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Jey\OneDrive\문서\업무_개발\Calibration Tool Project\MCT V2\Templates\"/>
    </mc:Choice>
  </mc:AlternateContent>
  <bookViews>
    <workbookView xWindow="0" yWindow="90" windowWidth="15225" windowHeight="8550" tabRatio="757"/>
  </bookViews>
  <sheets>
    <sheet name="기본정보" sheetId="13" r:id="rId1"/>
    <sheet name="교정결과" sheetId="11" r:id="rId2"/>
    <sheet name="교정결과-E" sheetId="24" r:id="rId3"/>
    <sheet name="교정결과-HY" sheetId="31" r:id="rId4"/>
    <sheet name="판정결과" sheetId="30" r:id="rId5"/>
    <sheet name="부록" sheetId="25" r:id="rId6"/>
    <sheet name="RAWDATA" sheetId="3" r:id="rId7"/>
    <sheet name="측정불확도추정보고서" sheetId="23" r:id="rId8"/>
    <sheet name="Calcu" sheetId="21" r:id="rId9"/>
    <sheet name="STD_Data" sheetId="29" r:id="rId10"/>
    <sheet name="Angle_2" sheetId="14" r:id="rId11"/>
    <sheet name="Squareness_2" sheetId="32" r:id="rId12"/>
    <sheet name="Flatness_1" sheetId="33" r:id="rId13"/>
  </sheets>
  <definedNames>
    <definedName name="_xlnm._FilterDatabase" localSheetId="0" hidden="1">기본정보!#REF!</definedName>
    <definedName name="Angle_2_CMC">Angle_2!$G$4:$I$13</definedName>
    <definedName name="Angle_2_Condition">Angle_2!$A$4:$F$13</definedName>
    <definedName name="Angle_2_Resolution">Angle_2!$J$4:$M$13</definedName>
    <definedName name="Angle_2_Result">Angle_2!$Q$4:$Z$13</definedName>
    <definedName name="Angle_2_Result2">Angle_2!$AA$4:$AJ$13</definedName>
    <definedName name="Angle_2_Result3">Angle_2!$L$17</definedName>
    <definedName name="Angle_2_Spec">Angle_2!$N$4:$P$13</definedName>
    <definedName name="Angle_2_STD1">Angle_2!$A$17</definedName>
    <definedName name="B_Tag" localSheetId="2">'교정결과-E'!$C$51:$I$51</definedName>
    <definedName name="B_Tag" localSheetId="3">'교정결과-HY'!$B$66:$Q$66</definedName>
    <definedName name="B_Tag">교정결과!$C$45:$I$45</definedName>
    <definedName name="B_Tag_2" localSheetId="4">판정결과!$C$44:$J$44</definedName>
    <definedName name="B_Tag_3" localSheetId="5">부록!$B$11:$K$11</definedName>
    <definedName name="Flatness_1_CMC" localSheetId="12">Flatness_1!$D$4:$F$5</definedName>
    <definedName name="Flatness_1_Condition" localSheetId="12">Flatness_1!$A$4:$C$5</definedName>
    <definedName name="Flatness_1_Resolution" localSheetId="12">Flatness_1!$G$4:$J$5</definedName>
    <definedName name="Flatness_1_Result" localSheetId="12">Flatness_1!$N$4:$R$5</definedName>
    <definedName name="Flatness_1_Spec" localSheetId="12">Flatness_1!$K$4:$M$5</definedName>
    <definedName name="Flatness_1_STD1" localSheetId="12">Flatness_1!$A$9</definedName>
    <definedName name="Flatness_1_STD2" localSheetId="12">Flatness_1!$A$31</definedName>
    <definedName name="Flatness_1_STD3" localSheetId="12">Flatness_1!$A$35</definedName>
    <definedName name="_xlnm.Print_Area" localSheetId="0">기본정보!$A$1:$J$38</definedName>
    <definedName name="_xlnm.Print_Titles" localSheetId="1">교정결과!$1:$5</definedName>
    <definedName name="_xlnm.Print_Titles" localSheetId="2">'교정결과-E'!$1:$5</definedName>
    <definedName name="_xlnm.Print_Titles" localSheetId="3">'교정결과-HY'!$1:$5</definedName>
    <definedName name="_xlnm.Print_Titles" localSheetId="5">부록!$1:$5</definedName>
    <definedName name="_xlnm.Print_Titles" localSheetId="4">판정결과!$1:$5</definedName>
    <definedName name="Squareness_2_CMC" localSheetId="11">Squareness_2!$D$4:$F$7</definedName>
    <definedName name="Squareness_2_Condition" localSheetId="11">Squareness_2!$A$4:$C$7</definedName>
    <definedName name="Squareness_2_Resolution" localSheetId="11">Squareness_2!$G$4:$J$7</definedName>
    <definedName name="Squareness_2_Result" localSheetId="11">Squareness_2!$N$4:$R$7</definedName>
    <definedName name="Squareness_2_Spec" localSheetId="11">Squareness_2!$K$4:$M$7</definedName>
    <definedName name="Squareness_2_STD1" localSheetId="11">Squareness_2!$A$11</definedName>
    <definedName name="Squareness_2_STD2">Squareness_2!$A$17</definedName>
    <definedName name="Squareness_2_STD3">Squareness_2!$A$39</definedName>
  </definedNames>
  <calcPr calcId="162913"/>
</workbook>
</file>

<file path=xl/calcChain.xml><?xml version="1.0" encoding="utf-8"?>
<calcChain xmlns="http://schemas.openxmlformats.org/spreadsheetml/2006/main">
  <c r="W378" i="23" l="1"/>
  <c r="AH368" i="23"/>
  <c r="AD368" i="23"/>
  <c r="Q359" i="23"/>
  <c r="AC357" i="23"/>
  <c r="P346" i="23"/>
  <c r="AU327" i="23"/>
  <c r="R395" i="23" s="1"/>
  <c r="AQ327" i="23"/>
  <c r="AL327" i="23"/>
  <c r="O327" i="23"/>
  <c r="J327" i="23"/>
  <c r="AU326" i="23"/>
  <c r="AS326" i="23"/>
  <c r="AL326" i="23"/>
  <c r="AG326" i="23"/>
  <c r="O383" i="23" s="1"/>
  <c r="L385" i="23" s="1"/>
  <c r="V385" i="23" s="1"/>
  <c r="AD333" i="23" s="1"/>
  <c r="AL339" i="23" s="1"/>
  <c r="AB326" i="23"/>
  <c r="Z326" i="23"/>
  <c r="S326" i="23"/>
  <c r="J326" i="23"/>
  <c r="AU325" i="23"/>
  <c r="AS325" i="23"/>
  <c r="AL325" i="23"/>
  <c r="AG325" i="23"/>
  <c r="O371" i="23" s="1"/>
  <c r="L373" i="23" s="1"/>
  <c r="V373" i="23" s="1"/>
  <c r="Y333" i="23" s="1"/>
  <c r="AF339" i="23" s="1"/>
  <c r="AB325" i="23"/>
  <c r="Z325" i="23"/>
  <c r="S325" i="23"/>
  <c r="J325" i="23"/>
  <c r="AU324" i="23"/>
  <c r="AS324" i="23"/>
  <c r="AL324" i="23"/>
  <c r="AG324" i="23"/>
  <c r="O361" i="23" s="1"/>
  <c r="L363" i="23" s="1"/>
  <c r="AB324" i="23"/>
  <c r="Z324" i="23"/>
  <c r="S324" i="23"/>
  <c r="J324" i="23"/>
  <c r="AU323" i="23"/>
  <c r="AS323" i="23"/>
  <c r="AL323" i="23"/>
  <c r="AG323" i="23"/>
  <c r="AB323" i="23"/>
  <c r="Z323" i="23"/>
  <c r="S323" i="23"/>
  <c r="J323" i="23"/>
  <c r="AU322" i="23"/>
  <c r="AQ322" i="23"/>
  <c r="AL322" i="23"/>
  <c r="AG322" i="23"/>
  <c r="AB322" i="23"/>
  <c r="X322" i="23"/>
  <c r="S322" i="23"/>
  <c r="O322" i="23"/>
  <c r="L331" i="23" s="1"/>
  <c r="J322" i="23"/>
  <c r="AK304" i="23"/>
  <c r="AF304" i="23"/>
  <c r="AA304" i="23"/>
  <c r="V304" i="23"/>
  <c r="Q304" i="23"/>
  <c r="L304" i="23"/>
  <c r="G304" i="23"/>
  <c r="AK303" i="23"/>
  <c r="AF303" i="23"/>
  <c r="AA303" i="23"/>
  <c r="V303" i="23"/>
  <c r="Q303" i="23"/>
  <c r="L303" i="23"/>
  <c r="G303" i="23"/>
  <c r="AK302" i="23"/>
  <c r="AF302" i="23"/>
  <c r="AA302" i="23"/>
  <c r="V302" i="23"/>
  <c r="Q302" i="23"/>
  <c r="L302" i="23"/>
  <c r="G302" i="23"/>
  <c r="AK301" i="23"/>
  <c r="AF301" i="23"/>
  <c r="AA301" i="23"/>
  <c r="V301" i="23"/>
  <c r="Q301" i="23"/>
  <c r="L301" i="23"/>
  <c r="G301" i="23"/>
  <c r="O271" i="23"/>
  <c r="W265" i="23"/>
  <c r="O267" i="23" s="1"/>
  <c r="T267" i="23" s="1"/>
  <c r="P272" i="23" s="1"/>
  <c r="P259" i="23"/>
  <c r="P256" i="23"/>
  <c r="Z254" i="23"/>
  <c r="Q245" i="23"/>
  <c r="AC243" i="23"/>
  <c r="P232" i="23"/>
  <c r="P222" i="23"/>
  <c r="AU214" i="23"/>
  <c r="AQ214" i="23"/>
  <c r="AL214" i="23"/>
  <c r="O214" i="23"/>
  <c r="J214" i="23"/>
  <c r="AU213" i="23"/>
  <c r="AQ213" i="23"/>
  <c r="AL213" i="23"/>
  <c r="AG213" i="23"/>
  <c r="AB213" i="23"/>
  <c r="X213" i="23"/>
  <c r="S213" i="23"/>
  <c r="O213" i="23"/>
  <c r="L264" i="23" s="1"/>
  <c r="J213" i="23"/>
  <c r="AU212" i="23"/>
  <c r="AQ212" i="23"/>
  <c r="AL212" i="23"/>
  <c r="S285" i="23" s="1"/>
  <c r="AG212" i="23"/>
  <c r="AB212" i="23"/>
  <c r="X212" i="23"/>
  <c r="S212" i="23"/>
  <c r="O212" i="23"/>
  <c r="J212" i="23"/>
  <c r="AU211" i="23"/>
  <c r="AS211" i="23"/>
  <c r="AL211" i="23"/>
  <c r="AG211" i="23"/>
  <c r="AB211" i="23"/>
  <c r="Z211" i="23"/>
  <c r="S211" i="23"/>
  <c r="P211" i="23"/>
  <c r="J211" i="23"/>
  <c r="AU210" i="23"/>
  <c r="S226" i="23" s="1"/>
  <c r="AS210" i="23"/>
  <c r="AL210" i="23"/>
  <c r="AG210" i="23"/>
  <c r="AB210" i="23"/>
  <c r="I235" i="23" s="1"/>
  <c r="Z210" i="23"/>
  <c r="S210" i="23"/>
  <c r="P210" i="23"/>
  <c r="J210" i="23"/>
  <c r="H231" i="23" s="1"/>
  <c r="AU209" i="23"/>
  <c r="AQ209" i="23"/>
  <c r="AL209" i="23"/>
  <c r="AG209" i="23"/>
  <c r="AB209" i="23"/>
  <c r="X209" i="23"/>
  <c r="S209" i="23"/>
  <c r="O209" i="23"/>
  <c r="L218" i="23" s="1"/>
  <c r="J209" i="23"/>
  <c r="AU187" i="23"/>
  <c r="AP187" i="23"/>
  <c r="AK187" i="23"/>
  <c r="AF187" i="23"/>
  <c r="AA187" i="23"/>
  <c r="V187" i="23"/>
  <c r="Q187" i="23"/>
  <c r="AU186" i="23"/>
  <c r="AP186" i="23"/>
  <c r="AK186" i="23"/>
  <c r="AF186" i="23"/>
  <c r="AA186" i="23"/>
  <c r="V186" i="23"/>
  <c r="Q186" i="23"/>
  <c r="B186" i="23"/>
  <c r="AU185" i="23"/>
  <c r="AP185" i="23"/>
  <c r="AK185" i="23"/>
  <c r="AF185" i="23"/>
  <c r="AA185" i="23"/>
  <c r="V185" i="23"/>
  <c r="Q185" i="23"/>
  <c r="AU184" i="23"/>
  <c r="AP184" i="23"/>
  <c r="AK184" i="23"/>
  <c r="AF184" i="23"/>
  <c r="AA184" i="23"/>
  <c r="V184" i="23"/>
  <c r="Q184" i="23"/>
  <c r="B184" i="23"/>
  <c r="AU183" i="23"/>
  <c r="AP183" i="23"/>
  <c r="AK183" i="23"/>
  <c r="AF183" i="23"/>
  <c r="AA183" i="23"/>
  <c r="V183" i="23"/>
  <c r="Q183" i="23"/>
  <c r="AU182" i="23"/>
  <c r="AP182" i="23"/>
  <c r="AK182" i="23"/>
  <c r="AF182" i="23"/>
  <c r="AA182" i="23"/>
  <c r="V182" i="23"/>
  <c r="Q182" i="23"/>
  <c r="G182" i="23"/>
  <c r="B182" i="23"/>
  <c r="AU181" i="23"/>
  <c r="AP181" i="23"/>
  <c r="AK181" i="23"/>
  <c r="AF181" i="23"/>
  <c r="AA181" i="23"/>
  <c r="V181" i="23"/>
  <c r="Q181" i="23"/>
  <c r="AU180" i="23"/>
  <c r="AP180" i="23"/>
  <c r="AK180" i="23"/>
  <c r="AF180" i="23"/>
  <c r="AA180" i="23"/>
  <c r="V180" i="23"/>
  <c r="Q180" i="23"/>
  <c r="G180" i="23"/>
  <c r="B180" i="23"/>
  <c r="AU179" i="23"/>
  <c r="AP179" i="23"/>
  <c r="AK179" i="23"/>
  <c r="AF179" i="23"/>
  <c r="AA179" i="23"/>
  <c r="V179" i="23"/>
  <c r="Q179" i="23"/>
  <c r="G179" i="23"/>
  <c r="AC143" i="23"/>
  <c r="R131" i="23"/>
  <c r="N131" i="23"/>
  <c r="K131" i="23"/>
  <c r="T130" i="23"/>
  <c r="W118" i="23"/>
  <c r="S118" i="23"/>
  <c r="P118" i="23"/>
  <c r="W107" i="23"/>
  <c r="S107" i="23"/>
  <c r="P107" i="23"/>
  <c r="AP94" i="23"/>
  <c r="Y95" i="23" s="1"/>
  <c r="AF92" i="23"/>
  <c r="AD92" i="23"/>
  <c r="AU87" i="23"/>
  <c r="AQ87" i="23"/>
  <c r="O87" i="23"/>
  <c r="AU86" i="23"/>
  <c r="AJ165" i="23" s="1"/>
  <c r="AQ86" i="23"/>
  <c r="AL86" i="23"/>
  <c r="AG86" i="23"/>
  <c r="AB86" i="23"/>
  <c r="X86" i="23"/>
  <c r="S86" i="23"/>
  <c r="J86" i="23"/>
  <c r="AU85" i="23"/>
  <c r="AD165" i="23" s="1"/>
  <c r="AQ85" i="23"/>
  <c r="AL85" i="23"/>
  <c r="AG85" i="23"/>
  <c r="AB85" i="23"/>
  <c r="I134" i="23" s="1"/>
  <c r="X85" i="23"/>
  <c r="S85" i="23"/>
  <c r="J85" i="23"/>
  <c r="AU84" i="23"/>
  <c r="X165" i="23" s="1"/>
  <c r="AQ84" i="23"/>
  <c r="AL84" i="23"/>
  <c r="AG84" i="23"/>
  <c r="AB84" i="23"/>
  <c r="I121" i="23" s="1"/>
  <c r="X84" i="23"/>
  <c r="S84" i="23"/>
  <c r="J84" i="23"/>
  <c r="AU83" i="23"/>
  <c r="R165" i="23" s="1"/>
  <c r="AQ83" i="23"/>
  <c r="AL83" i="23"/>
  <c r="AG83" i="23"/>
  <c r="AB83" i="23"/>
  <c r="X83" i="23"/>
  <c r="S83" i="23"/>
  <c r="O83" i="23"/>
  <c r="AU82" i="23"/>
  <c r="AQ82" i="23"/>
  <c r="AG82" i="23"/>
  <c r="L100" i="23" s="1"/>
  <c r="AB82" i="23"/>
  <c r="X82" i="23"/>
  <c r="O82" i="23"/>
  <c r="BG60" i="23"/>
  <c r="BC60" i="23"/>
  <c r="AY60" i="23"/>
  <c r="AU60" i="23"/>
  <c r="AQ60" i="23"/>
  <c r="AM60" i="23"/>
  <c r="AI60" i="23"/>
  <c r="AE60" i="23"/>
  <c r="AA60" i="23"/>
  <c r="W60" i="23"/>
  <c r="S60" i="23"/>
  <c r="O60" i="23"/>
  <c r="K60" i="23"/>
  <c r="G60" i="23"/>
  <c r="BG59" i="23"/>
  <c r="BC59" i="23"/>
  <c r="AY59" i="23"/>
  <c r="AU59" i="23"/>
  <c r="AQ59" i="23"/>
  <c r="AM59" i="23"/>
  <c r="AI59" i="23"/>
  <c r="AE59" i="23"/>
  <c r="AA59" i="23"/>
  <c r="W59" i="23"/>
  <c r="S59" i="23"/>
  <c r="O59" i="23"/>
  <c r="K59" i="23"/>
  <c r="G59" i="23"/>
  <c r="BG58" i="23"/>
  <c r="BC58" i="23"/>
  <c r="AY58" i="23"/>
  <c r="AU58" i="23"/>
  <c r="AQ58" i="23"/>
  <c r="AM58" i="23"/>
  <c r="AI58" i="23"/>
  <c r="AE58" i="23"/>
  <c r="AA58" i="23"/>
  <c r="W58" i="23"/>
  <c r="S58" i="23"/>
  <c r="O58" i="23"/>
  <c r="K58" i="23"/>
  <c r="G58" i="23"/>
  <c r="BG57" i="23"/>
  <c r="BC57" i="23"/>
  <c r="AY57" i="23"/>
  <c r="AU57" i="23"/>
  <c r="AQ57" i="23"/>
  <c r="AM57" i="23"/>
  <c r="AI57" i="23"/>
  <c r="AE57" i="23"/>
  <c r="AA57" i="23"/>
  <c r="W57" i="23"/>
  <c r="S57" i="23"/>
  <c r="O57" i="23"/>
  <c r="K57" i="23"/>
  <c r="G57" i="23"/>
  <c r="BG56" i="23"/>
  <c r="BC56" i="23"/>
  <c r="AY56" i="23"/>
  <c r="AU56" i="23"/>
  <c r="AQ56" i="23"/>
  <c r="AM56" i="23"/>
  <c r="AI56" i="23"/>
  <c r="AE56" i="23"/>
  <c r="AA56" i="23"/>
  <c r="W56" i="23"/>
  <c r="S56" i="23"/>
  <c r="O56" i="23"/>
  <c r="K56" i="23"/>
  <c r="G56" i="23"/>
  <c r="BG55" i="23"/>
  <c r="BC55" i="23"/>
  <c r="AY55" i="23"/>
  <c r="AU55" i="23"/>
  <c r="AQ55" i="23"/>
  <c r="AM55" i="23"/>
  <c r="AI55" i="23"/>
  <c r="AE55" i="23"/>
  <c r="AA55" i="23"/>
  <c r="W55" i="23"/>
  <c r="S55" i="23"/>
  <c r="O55" i="23"/>
  <c r="K55" i="23"/>
  <c r="G55" i="23"/>
  <c r="BG54" i="23"/>
  <c r="BC54" i="23"/>
  <c r="AY54" i="23"/>
  <c r="AU54" i="23"/>
  <c r="AQ54" i="23"/>
  <c r="AM54" i="23"/>
  <c r="AI54" i="23"/>
  <c r="AE54" i="23"/>
  <c r="AA54" i="23"/>
  <c r="W54" i="23"/>
  <c r="S54" i="23"/>
  <c r="O54" i="23"/>
  <c r="K54" i="23"/>
  <c r="G54" i="23"/>
  <c r="BG53" i="23"/>
  <c r="BC53" i="23"/>
  <c r="AY53" i="23"/>
  <c r="AU53" i="23"/>
  <c r="AQ53" i="23"/>
  <c r="AM53" i="23"/>
  <c r="AI53" i="23"/>
  <c r="AE53" i="23"/>
  <c r="AA53" i="23"/>
  <c r="W53" i="23"/>
  <c r="S53" i="23"/>
  <c r="O53" i="23"/>
  <c r="K53" i="23"/>
  <c r="G53" i="23"/>
  <c r="BG52" i="23"/>
  <c r="BC52" i="23"/>
  <c r="AY52" i="23"/>
  <c r="AU52" i="23"/>
  <c r="AQ52" i="23"/>
  <c r="AM52" i="23"/>
  <c r="AI52" i="23"/>
  <c r="AE52" i="23"/>
  <c r="AA52" i="23"/>
  <c r="W52" i="23"/>
  <c r="S52" i="23"/>
  <c r="O52" i="23"/>
  <c r="K52" i="23"/>
  <c r="G52" i="23"/>
  <c r="BG51" i="23"/>
  <c r="BC51" i="23"/>
  <c r="AY51" i="23"/>
  <c r="AU51" i="23"/>
  <c r="AQ51" i="23"/>
  <c r="AM51" i="23"/>
  <c r="AI51" i="23"/>
  <c r="AE51" i="23"/>
  <c r="AA51" i="23"/>
  <c r="W51" i="23"/>
  <c r="S51" i="23"/>
  <c r="O51" i="23"/>
  <c r="K51" i="23"/>
  <c r="G51" i="23"/>
  <c r="BG46" i="23"/>
  <c r="BC46" i="23"/>
  <c r="AY46" i="23"/>
  <c r="AU46" i="23"/>
  <c r="AQ46" i="23"/>
  <c r="AM46" i="23"/>
  <c r="AI46" i="23"/>
  <c r="AE46" i="23"/>
  <c r="AA46" i="23"/>
  <c r="W46" i="23"/>
  <c r="S46" i="23"/>
  <c r="O46" i="23"/>
  <c r="K46" i="23"/>
  <c r="G46" i="23"/>
  <c r="BG45" i="23"/>
  <c r="BC45" i="23"/>
  <c r="AY45" i="23"/>
  <c r="AU45" i="23"/>
  <c r="AQ45" i="23"/>
  <c r="AM45" i="23"/>
  <c r="AI45" i="23"/>
  <c r="AE45" i="23"/>
  <c r="AA45" i="23"/>
  <c r="W45" i="23"/>
  <c r="S45" i="23"/>
  <c r="O45" i="23"/>
  <c r="K45" i="23"/>
  <c r="G45" i="23"/>
  <c r="BG44" i="23"/>
  <c r="BC44" i="23"/>
  <c r="AY44" i="23"/>
  <c r="AU44" i="23"/>
  <c r="AQ44" i="23"/>
  <c r="AM44" i="23"/>
  <c r="AI44" i="23"/>
  <c r="AE44" i="23"/>
  <c r="AA44" i="23"/>
  <c r="W44" i="23"/>
  <c r="S44" i="23"/>
  <c r="O44" i="23"/>
  <c r="K44" i="23"/>
  <c r="G44" i="23"/>
  <c r="BG43" i="23"/>
  <c r="BC43" i="23"/>
  <c r="AY43" i="23"/>
  <c r="AU43" i="23"/>
  <c r="AQ43" i="23"/>
  <c r="AM43" i="23"/>
  <c r="AI43" i="23"/>
  <c r="AE43" i="23"/>
  <c r="AA43" i="23"/>
  <c r="W43" i="23"/>
  <c r="S43" i="23"/>
  <c r="O43" i="23"/>
  <c r="K43" i="23"/>
  <c r="G43" i="23"/>
  <c r="BG42" i="23"/>
  <c r="BC42" i="23"/>
  <c r="AY42" i="23"/>
  <c r="AU42" i="23"/>
  <c r="AQ42" i="23"/>
  <c r="AM42" i="23"/>
  <c r="AI42" i="23"/>
  <c r="AE42" i="23"/>
  <c r="AA42" i="23"/>
  <c r="W42" i="23"/>
  <c r="S42" i="23"/>
  <c r="O42" i="23"/>
  <c r="K42" i="23"/>
  <c r="G42" i="23"/>
  <c r="BG41" i="23"/>
  <c r="BC41" i="23"/>
  <c r="AY41" i="23"/>
  <c r="AU41" i="23"/>
  <c r="AQ41" i="23"/>
  <c r="AM41" i="23"/>
  <c r="AI41" i="23"/>
  <c r="AE41" i="23"/>
  <c r="AA41" i="23"/>
  <c r="W41" i="23"/>
  <c r="S41" i="23"/>
  <c r="O41" i="23"/>
  <c r="K41" i="23"/>
  <c r="G41" i="23"/>
  <c r="BG40" i="23"/>
  <c r="BC40" i="23"/>
  <c r="AY40" i="23"/>
  <c r="AU40" i="23"/>
  <c r="AQ40" i="23"/>
  <c r="AM40" i="23"/>
  <c r="AI40" i="23"/>
  <c r="AE40" i="23"/>
  <c r="AA40" i="23"/>
  <c r="W40" i="23"/>
  <c r="S40" i="23"/>
  <c r="O40" i="23"/>
  <c r="K40" i="23"/>
  <c r="G40" i="23"/>
  <c r="BG39" i="23"/>
  <c r="BC39" i="23"/>
  <c r="AY39" i="23"/>
  <c r="AU39" i="23"/>
  <c r="AQ39" i="23"/>
  <c r="AM39" i="23"/>
  <c r="AI39" i="23"/>
  <c r="AE39" i="23"/>
  <c r="AA39" i="23"/>
  <c r="W39" i="23"/>
  <c r="S39" i="23"/>
  <c r="O39" i="23"/>
  <c r="K39" i="23"/>
  <c r="G39" i="23"/>
  <c r="BG38" i="23"/>
  <c r="BC38" i="23"/>
  <c r="AY38" i="23"/>
  <c r="AU38" i="23"/>
  <c r="AQ38" i="23"/>
  <c r="AM38" i="23"/>
  <c r="AI38" i="23"/>
  <c r="AE38" i="23"/>
  <c r="AA38" i="23"/>
  <c r="W38" i="23"/>
  <c r="S38" i="23"/>
  <c r="O38" i="23"/>
  <c r="K38" i="23"/>
  <c r="G38" i="23"/>
  <c r="BG37" i="23"/>
  <c r="BC37" i="23"/>
  <c r="AY37" i="23"/>
  <c r="AU37" i="23"/>
  <c r="AQ37" i="23"/>
  <c r="AM37" i="23"/>
  <c r="AI37" i="23"/>
  <c r="AE37" i="23"/>
  <c r="AA37" i="23"/>
  <c r="W37" i="23"/>
  <c r="S37" i="23"/>
  <c r="O37" i="23"/>
  <c r="K37" i="23"/>
  <c r="G37" i="23"/>
  <c r="AV31" i="23"/>
  <c r="AR31" i="23"/>
  <c r="AN31" i="23"/>
  <c r="AJ31" i="23"/>
  <c r="AF31" i="23"/>
  <c r="AB31" i="23"/>
  <c r="X31" i="23"/>
  <c r="T31" i="23"/>
  <c r="P31" i="23"/>
  <c r="L31" i="23"/>
  <c r="B31" i="23"/>
  <c r="B60" i="23" s="1"/>
  <c r="AV30" i="23"/>
  <c r="AR30" i="23"/>
  <c r="AN30" i="23"/>
  <c r="AJ30" i="23"/>
  <c r="AF30" i="23"/>
  <c r="AB30" i="23"/>
  <c r="X30" i="23"/>
  <c r="T30" i="23"/>
  <c r="P30" i="23"/>
  <c r="L30" i="23"/>
  <c r="B30" i="23"/>
  <c r="AV29" i="23"/>
  <c r="AR29" i="23"/>
  <c r="AN29" i="23"/>
  <c r="AJ29" i="23"/>
  <c r="AF29" i="23"/>
  <c r="AB29" i="23"/>
  <c r="X29" i="23"/>
  <c r="T29" i="23"/>
  <c r="P29" i="23"/>
  <c r="L29" i="23"/>
  <c r="B29" i="23"/>
  <c r="AV28" i="23"/>
  <c r="AR28" i="23"/>
  <c r="AN28" i="23"/>
  <c r="AJ28" i="23"/>
  <c r="AF28" i="23"/>
  <c r="AB28" i="23"/>
  <c r="X28" i="23"/>
  <c r="T28" i="23"/>
  <c r="P28" i="23"/>
  <c r="L28" i="23"/>
  <c r="B28" i="23"/>
  <c r="AV27" i="23"/>
  <c r="AR27" i="23"/>
  <c r="AN27" i="23"/>
  <c r="AJ27" i="23"/>
  <c r="AF27" i="23"/>
  <c r="AB27" i="23"/>
  <c r="X27" i="23"/>
  <c r="T27" i="23"/>
  <c r="P27" i="23"/>
  <c r="L27" i="23"/>
  <c r="B27" i="23"/>
  <c r="B56" i="23" s="1"/>
  <c r="AV26" i="23"/>
  <c r="AR26" i="23"/>
  <c r="AN26" i="23"/>
  <c r="AJ26" i="23"/>
  <c r="AF26" i="23"/>
  <c r="AB26" i="23"/>
  <c r="X26" i="23"/>
  <c r="T26" i="23"/>
  <c r="P26" i="23"/>
  <c r="L26" i="23"/>
  <c r="B26" i="23"/>
  <c r="AV25" i="23"/>
  <c r="AR25" i="23"/>
  <c r="AN25" i="23"/>
  <c r="AJ25" i="23"/>
  <c r="AF25" i="23"/>
  <c r="AB25" i="23"/>
  <c r="X25" i="23"/>
  <c r="T25" i="23"/>
  <c r="P25" i="23"/>
  <c r="L25" i="23"/>
  <c r="B25" i="23"/>
  <c r="AV24" i="23"/>
  <c r="AR24" i="23"/>
  <c r="AN24" i="23"/>
  <c r="AJ24" i="23"/>
  <c r="AF24" i="23"/>
  <c r="AB24" i="23"/>
  <c r="X24" i="23"/>
  <c r="T24" i="23"/>
  <c r="P24" i="23"/>
  <c r="L24" i="23"/>
  <c r="B24" i="23"/>
  <c r="AV23" i="23"/>
  <c r="AR23" i="23"/>
  <c r="AN23" i="23"/>
  <c r="AJ23" i="23"/>
  <c r="AF23" i="23"/>
  <c r="AB23" i="23"/>
  <c r="X23" i="23"/>
  <c r="T23" i="23"/>
  <c r="P23" i="23"/>
  <c r="L23" i="23"/>
  <c r="B23" i="23"/>
  <c r="B52" i="23" s="1"/>
  <c r="AV22" i="23"/>
  <c r="AR22" i="23"/>
  <c r="AN22" i="23"/>
  <c r="AJ22" i="23"/>
  <c r="AF22" i="23"/>
  <c r="AB22" i="23"/>
  <c r="X22" i="23"/>
  <c r="T22" i="23"/>
  <c r="P22" i="23"/>
  <c r="L22" i="23"/>
  <c r="B22" i="23"/>
  <c r="B21" i="23"/>
  <c r="AV17" i="23"/>
  <c r="AR17" i="23"/>
  <c r="AN17" i="23"/>
  <c r="AJ17" i="23"/>
  <c r="AF17" i="23"/>
  <c r="AB17" i="23"/>
  <c r="X17" i="23"/>
  <c r="T17" i="23"/>
  <c r="P17" i="23"/>
  <c r="L17" i="23"/>
  <c r="G17" i="23"/>
  <c r="B17" i="23"/>
  <c r="B46" i="23" s="1"/>
  <c r="AV16" i="23"/>
  <c r="AR16" i="23"/>
  <c r="AN16" i="23"/>
  <c r="AJ16" i="23"/>
  <c r="AF16" i="23"/>
  <c r="AB16" i="23"/>
  <c r="X16" i="23"/>
  <c r="T16" i="23"/>
  <c r="P16" i="23"/>
  <c r="L16" i="23"/>
  <c r="G16" i="23"/>
  <c r="B16" i="23"/>
  <c r="AV15" i="23"/>
  <c r="AR15" i="23"/>
  <c r="AN15" i="23"/>
  <c r="AJ15" i="23"/>
  <c r="AF15" i="23"/>
  <c r="AB15" i="23"/>
  <c r="X15" i="23"/>
  <c r="T15" i="23"/>
  <c r="P15" i="23"/>
  <c r="L15" i="23"/>
  <c r="G15" i="23"/>
  <c r="B15" i="23"/>
  <c r="B44" i="23" s="1"/>
  <c r="AV14" i="23"/>
  <c r="AR14" i="23"/>
  <c r="AN14" i="23"/>
  <c r="AJ14" i="23"/>
  <c r="AF14" i="23"/>
  <c r="AB14" i="23"/>
  <c r="X14" i="23"/>
  <c r="T14" i="23"/>
  <c r="P14" i="23"/>
  <c r="L14" i="23"/>
  <c r="G14" i="23"/>
  <c r="B14" i="23"/>
  <c r="AV13" i="23"/>
  <c r="AR13" i="23"/>
  <c r="AN13" i="23"/>
  <c r="AJ13" i="23"/>
  <c r="AF13" i="23"/>
  <c r="AB13" i="23"/>
  <c r="X13" i="23"/>
  <c r="T13" i="23"/>
  <c r="P13" i="23"/>
  <c r="L13" i="23"/>
  <c r="G13" i="23"/>
  <c r="B13" i="23"/>
  <c r="B42" i="23" s="1"/>
  <c r="AV12" i="23"/>
  <c r="AR12" i="23"/>
  <c r="AN12" i="23"/>
  <c r="AJ12" i="23"/>
  <c r="AF12" i="23"/>
  <c r="AB12" i="23"/>
  <c r="X12" i="23"/>
  <c r="T12" i="23"/>
  <c r="P12" i="23"/>
  <c r="L12" i="23"/>
  <c r="G12" i="23"/>
  <c r="B12" i="23"/>
  <c r="AV11" i="23"/>
  <c r="AR11" i="23"/>
  <c r="AN11" i="23"/>
  <c r="AJ11" i="23"/>
  <c r="AF11" i="23"/>
  <c r="AB11" i="23"/>
  <c r="X11" i="23"/>
  <c r="T11" i="23"/>
  <c r="P11" i="23"/>
  <c r="L11" i="23"/>
  <c r="G11" i="23"/>
  <c r="B11" i="23"/>
  <c r="B40" i="23" s="1"/>
  <c r="AV10" i="23"/>
  <c r="AR10" i="23"/>
  <c r="AN10" i="23"/>
  <c r="AJ10" i="23"/>
  <c r="AF10" i="23"/>
  <c r="AB10" i="23"/>
  <c r="X10" i="23"/>
  <c r="T10" i="23"/>
  <c r="P10" i="23"/>
  <c r="L10" i="23"/>
  <c r="G10" i="23"/>
  <c r="B10" i="23"/>
  <c r="AV9" i="23"/>
  <c r="AR9" i="23"/>
  <c r="AN9" i="23"/>
  <c r="AJ9" i="23"/>
  <c r="AF9" i="23"/>
  <c r="AB9" i="23"/>
  <c r="X9" i="23"/>
  <c r="T9" i="23"/>
  <c r="P9" i="23"/>
  <c r="L9" i="23"/>
  <c r="G9" i="23"/>
  <c r="B9" i="23"/>
  <c r="B38" i="23" s="1"/>
  <c r="AV8" i="23"/>
  <c r="AR8" i="23"/>
  <c r="AN8" i="23"/>
  <c r="AJ8" i="23"/>
  <c r="AF8" i="23"/>
  <c r="AB8" i="23"/>
  <c r="X8" i="23"/>
  <c r="T8" i="23"/>
  <c r="P8" i="23"/>
  <c r="L8" i="23"/>
  <c r="G8" i="23"/>
  <c r="B8" i="23"/>
  <c r="B7" i="23"/>
  <c r="L397" i="23"/>
  <c r="L395" i="23"/>
  <c r="R385" i="23"/>
  <c r="Y385" i="23" s="1"/>
  <c r="I382" i="23"/>
  <c r="O380" i="23"/>
  <c r="T380" i="23" s="1"/>
  <c r="O385" i="23" s="1"/>
  <c r="Y373" i="23"/>
  <c r="AC369" i="23"/>
  <c r="R373" i="23" s="1"/>
  <c r="Z369" i="23"/>
  <c r="O373" i="23" s="1"/>
  <c r="U369" i="23"/>
  <c r="P369" i="23"/>
  <c r="R363" i="23"/>
  <c r="Y363" i="23" s="1"/>
  <c r="I360" i="23"/>
  <c r="Q358" i="23"/>
  <c r="Y352" i="23"/>
  <c r="R352" i="23"/>
  <c r="X347" i="23"/>
  <c r="O352" i="23" s="1"/>
  <c r="U347" i="23"/>
  <c r="R347" i="23"/>
  <c r="AK340" i="23"/>
  <c r="AE340" i="23"/>
  <c r="AQ338" i="23"/>
  <c r="I334" i="23"/>
  <c r="AL333" i="23"/>
  <c r="Q337" i="23" s="1"/>
  <c r="H331" i="23"/>
  <c r="I370" i="23"/>
  <c r="Y340" i="23"/>
  <c r="S340" i="23"/>
  <c r="O350" i="23"/>
  <c r="L352" i="23" s="1"/>
  <c r="V352" i="23" s="1"/>
  <c r="O333" i="23" s="1"/>
  <c r="T339" i="23" s="1"/>
  <c r="I349" i="23"/>
  <c r="X337" i="23"/>
  <c r="M396" i="23"/>
  <c r="N335" i="23"/>
  <c r="L337" i="23" s="1"/>
  <c r="AI333" i="23"/>
  <c r="N337" i="23" s="1"/>
  <c r="Y285" i="23"/>
  <c r="AD284" i="23"/>
  <c r="L284" i="23"/>
  <c r="V278" i="23"/>
  <c r="S272" i="23"/>
  <c r="T270" i="23"/>
  <c r="L272" i="23" s="1"/>
  <c r="Z260" i="23"/>
  <c r="S260" i="23"/>
  <c r="T258" i="23"/>
  <c r="L260" i="23" s="1"/>
  <c r="P255" i="23"/>
  <c r="U255" i="23" s="1"/>
  <c r="P260" i="23" s="1"/>
  <c r="W260" i="23" s="1"/>
  <c r="H253" i="23"/>
  <c r="R249" i="23"/>
  <c r="Y249" i="23" s="1"/>
  <c r="I246" i="23"/>
  <c r="Q244" i="23"/>
  <c r="L242" i="23"/>
  <c r="R238" i="23"/>
  <c r="Y238" i="23" s="1"/>
  <c r="O236" i="23"/>
  <c r="L238" i="23" s="1"/>
  <c r="U233" i="23"/>
  <c r="R233" i="23"/>
  <c r="X233" i="23" s="1"/>
  <c r="O238" i="23" s="1"/>
  <c r="Y226" i="23"/>
  <c r="S223" i="23"/>
  <c r="T221" i="23"/>
  <c r="L223" i="23" s="1"/>
  <c r="I220" i="23"/>
  <c r="F279" i="23"/>
  <c r="F281" i="23" s="1"/>
  <c r="M291" i="23" s="1"/>
  <c r="Z272" i="23"/>
  <c r="I269" i="23"/>
  <c r="H264" i="23"/>
  <c r="I257" i="23"/>
  <c r="L253" i="23"/>
  <c r="X286" i="23"/>
  <c r="O247" i="23"/>
  <c r="L249" i="23" s="1"/>
  <c r="H242" i="23"/>
  <c r="L231" i="23"/>
  <c r="L286" i="23"/>
  <c r="Z223" i="23"/>
  <c r="F278" i="23"/>
  <c r="AJ219" i="23"/>
  <c r="S224" i="23" s="1"/>
  <c r="H218" i="23"/>
  <c r="AE164" i="23"/>
  <c r="Y164" i="23"/>
  <c r="AE157" i="23"/>
  <c r="Y157" i="23"/>
  <c r="W151" i="23"/>
  <c r="Q151" i="23"/>
  <c r="O146" i="23"/>
  <c r="T137" i="23"/>
  <c r="Q137" i="23"/>
  <c r="W137" i="23" s="1"/>
  <c r="T132" i="23"/>
  <c r="N137" i="23" s="1"/>
  <c r="O132" i="23"/>
  <c r="W124" i="23"/>
  <c r="T124" i="23"/>
  <c r="Q124" i="23"/>
  <c r="T119" i="23"/>
  <c r="U113" i="23"/>
  <c r="V108" i="23"/>
  <c r="O113" i="23" s="1"/>
  <c r="Q108" i="23"/>
  <c r="L106" i="23"/>
  <c r="T95" i="23"/>
  <c r="R95" i="23"/>
  <c r="T151" i="23"/>
  <c r="L151" i="23"/>
  <c r="I148" i="23"/>
  <c r="T146" i="23"/>
  <c r="N151" i="23" s="1"/>
  <c r="H142" i="23"/>
  <c r="L137" i="23"/>
  <c r="H129" i="23"/>
  <c r="S157" i="23"/>
  <c r="L124" i="23"/>
  <c r="Y119" i="23"/>
  <c r="N124" i="23" s="1"/>
  <c r="H117" i="23"/>
  <c r="S164" i="23"/>
  <c r="L113" i="23"/>
  <c r="I110" i="23"/>
  <c r="L165" i="23"/>
  <c r="I97" i="23"/>
  <c r="L91" i="23"/>
  <c r="B55" i="23"/>
  <c r="B36" i="23"/>
  <c r="B59" i="23"/>
  <c r="B58" i="23"/>
  <c r="B57" i="23"/>
  <c r="B54" i="23"/>
  <c r="B53" i="23"/>
  <c r="B51" i="23"/>
  <c r="B50" i="23"/>
  <c r="G31" i="23"/>
  <c r="G30" i="23"/>
  <c r="B45" i="23"/>
  <c r="G29" i="23"/>
  <c r="G28" i="23"/>
  <c r="B43" i="23"/>
  <c r="G27" i="23"/>
  <c r="G26" i="23"/>
  <c r="B41" i="23"/>
  <c r="G25" i="23"/>
  <c r="G24" i="23"/>
  <c r="B39" i="23"/>
  <c r="G23" i="23"/>
  <c r="G22" i="23"/>
  <c r="B37" i="23"/>
  <c r="O106" i="21"/>
  <c r="R286" i="23" l="1"/>
  <c r="W244" i="23"/>
  <c r="O249" i="23" s="1"/>
  <c r="N278" i="23"/>
  <c r="V238" i="23"/>
  <c r="Z219" i="23" s="1"/>
  <c r="T225" i="23" s="1"/>
  <c r="W272" i="23"/>
  <c r="S338" i="23"/>
  <c r="V249" i="23"/>
  <c r="AE219" i="23" s="1"/>
  <c r="Z225" i="23" s="1"/>
  <c r="P223" i="23"/>
  <c r="W223" i="23" s="1"/>
  <c r="U337" i="23"/>
  <c r="W358" i="23"/>
  <c r="O363" i="23" s="1"/>
  <c r="V363" i="23" s="1"/>
  <c r="T333" i="23" s="1"/>
  <c r="Z339" i="23" s="1"/>
  <c r="M157" i="23"/>
  <c r="AK164" i="23"/>
  <c r="M285" i="23"/>
  <c r="AE224" i="23"/>
  <c r="J390" i="23"/>
  <c r="F392" i="23" s="1"/>
  <c r="M402" i="23" s="1"/>
  <c r="D43" i="30"/>
  <c r="F64" i="31" l="1"/>
  <c r="O140" i="21" l="1"/>
  <c r="M140" i="21" s="1"/>
  <c r="F140" i="21"/>
  <c r="C140" i="21"/>
  <c r="G134" i="21"/>
  <c r="H133" i="21"/>
  <c r="G133" i="21"/>
  <c r="J133" i="21" s="1"/>
  <c r="N133" i="21" s="1"/>
  <c r="I132" i="21"/>
  <c r="G132" i="21"/>
  <c r="B124" i="21"/>
  <c r="E124" i="21" s="1"/>
  <c r="F123" i="21"/>
  <c r="E123" i="21"/>
  <c r="D123" i="21"/>
  <c r="B123" i="21"/>
  <c r="C117" i="21"/>
  <c r="B117" i="21"/>
  <c r="I139" i="21" s="1"/>
  <c r="L139" i="21" s="1"/>
  <c r="Q139" i="21" s="1"/>
  <c r="G140" i="21"/>
  <c r="F139" i="21"/>
  <c r="J134" i="21"/>
  <c r="N134" i="21" s="1"/>
  <c r="I138" i="21"/>
  <c r="F124" i="21" l="1"/>
  <c r="F125" i="21" s="1"/>
  <c r="G123" i="21"/>
  <c r="A39" i="30"/>
  <c r="A40" i="30" s="1"/>
  <c r="A41" i="30" s="1"/>
  <c r="A42" i="30" s="1"/>
  <c r="A43" i="30" s="1"/>
  <c r="A42" i="24"/>
  <c r="A43" i="24" s="1"/>
  <c r="A44" i="24" s="1"/>
  <c r="A45" i="24" s="1"/>
  <c r="A63" i="31"/>
  <c r="A64" i="31" s="1"/>
  <c r="A39" i="11"/>
  <c r="A40" i="11" s="1"/>
  <c r="A41" i="11" s="1"/>
  <c r="H123" i="21"/>
  <c r="J132" i="21"/>
  <c r="N132" i="21" s="1"/>
  <c r="S123" i="21"/>
  <c r="D53" i="3"/>
  <c r="G53" i="3"/>
  <c r="D54" i="3"/>
  <c r="E53" i="3"/>
  <c r="C53" i="3"/>
  <c r="E54" i="3"/>
  <c r="F53" i="3"/>
  <c r="G124" i="21"/>
  <c r="F54" i="3" s="1"/>
  <c r="D124" i="21"/>
  <c r="C54" i="3" s="1"/>
  <c r="H124" i="21"/>
  <c r="G54" i="3" s="1"/>
  <c r="I124" i="21"/>
  <c r="E125" i="21"/>
  <c r="S122" i="21" l="1"/>
  <c r="G43" i="30"/>
  <c r="L64" i="31"/>
  <c r="G125" i="21"/>
  <c r="D125" i="21"/>
  <c r="J123" i="21"/>
  <c r="J124" i="21"/>
  <c r="H125" i="21"/>
  <c r="I123" i="21"/>
  <c r="J125" i="21" l="1"/>
  <c r="G131" i="21" s="1"/>
  <c r="J131" i="21" s="1"/>
  <c r="I125" i="21"/>
  <c r="E130" i="21" s="1"/>
  <c r="E135" i="21" s="1"/>
  <c r="N131" i="21" l="1"/>
  <c r="J130" i="21"/>
  <c r="I104" i="21"/>
  <c r="I103" i="21"/>
  <c r="P130" i="21" l="1"/>
  <c r="Q130" i="21" s="1"/>
  <c r="Q135" i="21" s="1"/>
  <c r="P135" i="21" s="1"/>
  <c r="C141" i="21" s="1"/>
  <c r="I402" i="23" s="1"/>
  <c r="N130" i="21"/>
  <c r="N135" i="21" s="1"/>
  <c r="C139" i="21" s="1"/>
  <c r="F61" i="31"/>
  <c r="F60" i="31"/>
  <c r="G44" i="24" l="1"/>
  <c r="H65" i="31"/>
  <c r="G139" i="21"/>
  <c r="H139" i="21" s="1"/>
  <c r="H40" i="11"/>
  <c r="D46" i="3"/>
  <c r="C46" i="3"/>
  <c r="B46" i="3"/>
  <c r="D44" i="3"/>
  <c r="C44" i="3"/>
  <c r="B44" i="3"/>
  <c r="J139" i="21" l="1"/>
  <c r="O139" i="21" s="1"/>
  <c r="R139" i="21"/>
  <c r="O111" i="21"/>
  <c r="M111" i="21" s="1"/>
  <c r="D111" i="21"/>
  <c r="C111" i="21"/>
  <c r="G105" i="21"/>
  <c r="G104" i="21"/>
  <c r="G103" i="21"/>
  <c r="B92" i="21"/>
  <c r="B91" i="21"/>
  <c r="B90" i="21"/>
  <c r="B89" i="21"/>
  <c r="C83" i="21"/>
  <c r="I109" i="21" s="1"/>
  <c r="B83" i="21"/>
  <c r="I110" i="21" s="1"/>
  <c r="L110" i="21" s="1"/>
  <c r="Q110" i="21" s="1"/>
  <c r="F110" i="21"/>
  <c r="F111" i="21" s="1"/>
  <c r="R105" i="21"/>
  <c r="R104" i="21"/>
  <c r="J104" i="21"/>
  <c r="M139" i="21" l="1"/>
  <c r="K125" i="21" s="1"/>
  <c r="D40" i="30"/>
  <c r="A33" i="30"/>
  <c r="A34" i="30" s="1"/>
  <c r="A35" i="30" s="1"/>
  <c r="A36" i="30" s="1"/>
  <c r="A37" i="30" s="1"/>
  <c r="D42" i="24"/>
  <c r="D39" i="11"/>
  <c r="N139" i="21"/>
  <c r="J90" i="21"/>
  <c r="M90" i="21"/>
  <c r="I90" i="21"/>
  <c r="N90" i="21"/>
  <c r="H90" i="21"/>
  <c r="E89" i="21"/>
  <c r="L90" i="21"/>
  <c r="K90" i="21"/>
  <c r="J45" i="3" s="1"/>
  <c r="G90" i="21"/>
  <c r="D89" i="21"/>
  <c r="D91" i="21"/>
  <c r="H92" i="21"/>
  <c r="M92" i="21"/>
  <c r="L92" i="21"/>
  <c r="K92" i="21"/>
  <c r="G92" i="21"/>
  <c r="E91" i="21"/>
  <c r="N92" i="21"/>
  <c r="J92" i="21"/>
  <c r="I92" i="21"/>
  <c r="J105" i="21"/>
  <c r="A59" i="31"/>
  <c r="A60" i="31" s="1"/>
  <c r="A61" i="31" s="1"/>
  <c r="A38" i="30"/>
  <c r="A35" i="24"/>
  <c r="A36" i="24" s="1"/>
  <c r="A37" i="24" s="1"/>
  <c r="A38" i="24" s="1"/>
  <c r="A39" i="24" s="1"/>
  <c r="A40" i="24" s="1"/>
  <c r="A41" i="24" s="1"/>
  <c r="A33" i="11"/>
  <c r="A34" i="11" s="1"/>
  <c r="A35" i="11" s="1"/>
  <c r="A36" i="11" s="1"/>
  <c r="A37" i="11" s="1"/>
  <c r="A38" i="11" s="1"/>
  <c r="L89" i="21"/>
  <c r="K89" i="21"/>
  <c r="G89" i="21"/>
  <c r="J89" i="21"/>
  <c r="N89" i="21"/>
  <c r="I89" i="21"/>
  <c r="M89" i="21"/>
  <c r="H89" i="21"/>
  <c r="N91" i="21"/>
  <c r="L91" i="21"/>
  <c r="I91" i="21"/>
  <c r="H91" i="21"/>
  <c r="K91" i="21"/>
  <c r="G91" i="21"/>
  <c r="M91" i="21"/>
  <c r="J91" i="21"/>
  <c r="J103" i="21"/>
  <c r="C91" i="21"/>
  <c r="Y90" i="21"/>
  <c r="C89" i="21"/>
  <c r="Y89" i="21"/>
  <c r="J47" i="3"/>
  <c r="G46" i="3"/>
  <c r="G45" i="3"/>
  <c r="H44" i="3"/>
  <c r="J46" i="3"/>
  <c r="F46" i="3"/>
  <c r="F45" i="3"/>
  <c r="G44" i="3"/>
  <c r="I44" i="3"/>
  <c r="I46" i="3"/>
  <c r="I45" i="3"/>
  <c r="J44" i="3"/>
  <c r="H45" i="3"/>
  <c r="M105" i="21"/>
  <c r="M101" i="21"/>
  <c r="E110" i="21"/>
  <c r="E111" i="21"/>
  <c r="G111" i="21" s="1"/>
  <c r="H101" i="21"/>
  <c r="Y62" i="21"/>
  <c r="Y61" i="21"/>
  <c r="Y60" i="21"/>
  <c r="Y59" i="21"/>
  <c r="Y58" i="21"/>
  <c r="Y57" i="21"/>
  <c r="Y56" i="21"/>
  <c r="Y55" i="21"/>
  <c r="Y54" i="21"/>
  <c r="Y53" i="21"/>
  <c r="Y48" i="21"/>
  <c r="Y47" i="21"/>
  <c r="Y46" i="21"/>
  <c r="Y45" i="21"/>
  <c r="Y44" i="21"/>
  <c r="Y43" i="21"/>
  <c r="Y42" i="21"/>
  <c r="Y41" i="21"/>
  <c r="Y40" i="21"/>
  <c r="Y39" i="21"/>
  <c r="N123" i="21" l="1"/>
  <c r="M123" i="21"/>
  <c r="P139" i="21"/>
  <c r="Q123" i="21" s="1"/>
  <c r="G95" i="21"/>
  <c r="F47" i="3"/>
  <c r="H95" i="21"/>
  <c r="G93" i="21"/>
  <c r="G47" i="3"/>
  <c r="H93" i="21"/>
  <c r="F44" i="3"/>
  <c r="H47" i="3"/>
  <c r="R123" i="21"/>
  <c r="B95" i="21"/>
  <c r="T90" i="21"/>
  <c r="K95" i="21"/>
  <c r="Y88" i="21"/>
  <c r="L60" i="31"/>
  <c r="G37" i="30"/>
  <c r="I95" i="21"/>
  <c r="O103" i="21"/>
  <c r="N96" i="21"/>
  <c r="O105" i="21"/>
  <c r="H46" i="3"/>
  <c r="J95" i="21"/>
  <c r="I93" i="21"/>
  <c r="H94" i="21"/>
  <c r="G102" i="21"/>
  <c r="I47" i="3"/>
  <c r="B93" i="21"/>
  <c r="T89" i="21"/>
  <c r="L61" i="31"/>
  <c r="G38" i="30"/>
  <c r="J93" i="21"/>
  <c r="K93" i="21"/>
  <c r="N94" i="21"/>
  <c r="E104" i="21" s="1"/>
  <c r="M104" i="21"/>
  <c r="M93" i="21"/>
  <c r="M95" i="21"/>
  <c r="L95" i="21"/>
  <c r="G96" i="21"/>
  <c r="T69" i="21"/>
  <c r="T71" i="21"/>
  <c r="T67" i="21"/>
  <c r="S139" i="21" l="1"/>
  <c r="T123" i="21" s="1"/>
  <c r="Q64" i="31" s="1"/>
  <c r="P123" i="21"/>
  <c r="K64" i="31" s="1"/>
  <c r="H96" i="21"/>
  <c r="G94" i="21"/>
  <c r="L93" i="21"/>
  <c r="H64" i="31"/>
  <c r="F43" i="30"/>
  <c r="J64" i="31"/>
  <c r="E43" i="30"/>
  <c r="T139" i="21"/>
  <c r="D40" i="11" s="1"/>
  <c r="O104" i="21"/>
  <c r="J102" i="21"/>
  <c r="K96" i="21"/>
  <c r="D37" i="24"/>
  <c r="D35" i="11"/>
  <c r="J94" i="21"/>
  <c r="D36" i="24"/>
  <c r="D34" i="11"/>
  <c r="J96" i="21"/>
  <c r="I96" i="21"/>
  <c r="K94" i="21"/>
  <c r="I94" i="21"/>
  <c r="M96" i="21"/>
  <c r="L96" i="21"/>
  <c r="Q76" i="21"/>
  <c r="F76" i="21"/>
  <c r="M94" i="21" l="1"/>
  <c r="L94" i="21"/>
  <c r="D43" i="24"/>
  <c r="O96" i="21"/>
  <c r="O102" i="21"/>
  <c r="G101" i="21"/>
  <c r="J101" i="21" s="1"/>
  <c r="O77" i="21"/>
  <c r="M77" i="21" s="1"/>
  <c r="E101" i="21" l="1"/>
  <c r="O94" i="21"/>
  <c r="Q101" i="21"/>
  <c r="O101" i="21"/>
  <c r="C9" i="31"/>
  <c r="C8" i="31"/>
  <c r="C7" i="31"/>
  <c r="C6" i="31"/>
  <c r="A4" i="31"/>
  <c r="E102" i="21" l="1"/>
  <c r="E106" i="21"/>
  <c r="R101" i="21"/>
  <c r="R106" i="21" s="1"/>
  <c r="Q106" i="21" s="1"/>
  <c r="E8" i="3"/>
  <c r="C110" i="21" l="1"/>
  <c r="C112" i="21"/>
  <c r="I291" i="23" s="1"/>
  <c r="D44" i="11"/>
  <c r="H62" i="31" l="1"/>
  <c r="G110" i="21"/>
  <c r="H110" i="21" s="1"/>
  <c r="R110" i="21" s="1"/>
  <c r="H36" i="11"/>
  <c r="G39" i="24"/>
  <c r="D50" i="24"/>
  <c r="J110" i="21" l="1"/>
  <c r="O110" i="21" l="1"/>
  <c r="M110" i="21"/>
  <c r="D8" i="3"/>
  <c r="B8" i="3"/>
  <c r="H4" i="3"/>
  <c r="E4" i="3"/>
  <c r="C4" i="3"/>
  <c r="H3" i="3"/>
  <c r="E3" i="3"/>
  <c r="C3" i="3"/>
  <c r="I158" i="21"/>
  <c r="L158" i="21"/>
  <c r="H158" i="21"/>
  <c r="S89" i="21" l="1"/>
  <c r="R89" i="21"/>
  <c r="P94" i="21"/>
  <c r="S90" i="21"/>
  <c r="P110" i="21"/>
  <c r="R90" i="21"/>
  <c r="P96" i="21"/>
  <c r="N110" i="21"/>
  <c r="K158" i="21"/>
  <c r="M158" i="21" s="1"/>
  <c r="A48" i="13" s="1"/>
  <c r="I76" i="21"/>
  <c r="L67" i="21"/>
  <c r="I67" i="21"/>
  <c r="H67" i="21"/>
  <c r="G67" i="21"/>
  <c r="B19" i="21"/>
  <c r="B18" i="21"/>
  <c r="B17" i="21"/>
  <c r="B16" i="21"/>
  <c r="B15" i="21"/>
  <c r="B14" i="21"/>
  <c r="B13" i="21"/>
  <c r="B12" i="21"/>
  <c r="B11" i="21"/>
  <c r="B10" i="21"/>
  <c r="G4" i="21"/>
  <c r="E4" i="21"/>
  <c r="C4" i="21"/>
  <c r="B4" i="21" s="1"/>
  <c r="J71" i="21"/>
  <c r="M71" i="21" s="1"/>
  <c r="S70" i="21"/>
  <c r="X90" i="21" l="1"/>
  <c r="F38" i="30" s="1"/>
  <c r="S110" i="21"/>
  <c r="Z90" i="21" s="1"/>
  <c r="Q61" i="31" s="1"/>
  <c r="W90" i="21"/>
  <c r="V90" i="21"/>
  <c r="K61" i="31" s="1"/>
  <c r="V89" i="21"/>
  <c r="K60" i="31" s="1"/>
  <c r="W89" i="21"/>
  <c r="X89" i="21"/>
  <c r="F4" i="21"/>
  <c r="G69" i="21" s="1"/>
  <c r="Z60" i="21"/>
  <c r="Z57" i="21"/>
  <c r="Z61" i="21"/>
  <c r="Z44" i="21"/>
  <c r="Z56" i="21"/>
  <c r="Z53" i="21"/>
  <c r="Z48" i="21"/>
  <c r="Z40" i="21"/>
  <c r="Z43" i="21"/>
  <c r="Z39" i="21"/>
  <c r="Z42" i="21"/>
  <c r="Z41" i="21"/>
  <c r="Z55" i="21"/>
  <c r="Z54" i="21"/>
  <c r="Z45" i="21"/>
  <c r="Z47" i="21"/>
  <c r="Z46" i="21"/>
  <c r="Z62" i="21"/>
  <c r="Z58" i="21"/>
  <c r="Z59" i="21"/>
  <c r="D10" i="21"/>
  <c r="C15" i="3" s="1"/>
  <c r="C10" i="21"/>
  <c r="A37" i="31"/>
  <c r="A15" i="31"/>
  <c r="A48" i="31"/>
  <c r="A26" i="31"/>
  <c r="D14" i="21"/>
  <c r="C14" i="21"/>
  <c r="A52" i="31"/>
  <c r="A30" i="31"/>
  <c r="A41" i="31"/>
  <c r="A19" i="31"/>
  <c r="C18" i="21"/>
  <c r="D18" i="21"/>
  <c r="C23" i="3" s="1"/>
  <c r="A56" i="31"/>
  <c r="A34" i="31"/>
  <c r="A45" i="31"/>
  <c r="A23" i="31"/>
  <c r="D11" i="21"/>
  <c r="C11" i="21"/>
  <c r="A49" i="31"/>
  <c r="A27" i="31"/>
  <c r="A38" i="31"/>
  <c r="A16" i="31"/>
  <c r="D15" i="21"/>
  <c r="C15" i="21"/>
  <c r="A53" i="31"/>
  <c r="A31" i="31"/>
  <c r="A42" i="31"/>
  <c r="A20" i="31"/>
  <c r="D19" i="21"/>
  <c r="C19" i="21"/>
  <c r="A57" i="31"/>
  <c r="A35" i="31"/>
  <c r="A46" i="31"/>
  <c r="A24" i="31"/>
  <c r="D12" i="21"/>
  <c r="C12" i="21"/>
  <c r="A39" i="31"/>
  <c r="A17" i="31"/>
  <c r="A50" i="31"/>
  <c r="A28" i="31"/>
  <c r="C16" i="21"/>
  <c r="D16" i="21"/>
  <c r="C21" i="3" s="1"/>
  <c r="A43" i="31"/>
  <c r="A21" i="31"/>
  <c r="A54" i="31"/>
  <c r="A32" i="31"/>
  <c r="C13" i="21"/>
  <c r="D13" i="21"/>
  <c r="C18" i="3" s="1"/>
  <c r="A40" i="31"/>
  <c r="A18" i="31"/>
  <c r="A51" i="31"/>
  <c r="A29" i="31"/>
  <c r="C17" i="21"/>
  <c r="D17" i="21"/>
  <c r="D31" i="21" s="1"/>
  <c r="C36" i="3" s="1"/>
  <c r="A44" i="31"/>
  <c r="A22" i="31"/>
  <c r="A55" i="31"/>
  <c r="A33" i="31"/>
  <c r="C43" i="21"/>
  <c r="A13" i="30"/>
  <c r="A27" i="30" s="1"/>
  <c r="A26" i="24"/>
  <c r="A25" i="11"/>
  <c r="C48" i="21"/>
  <c r="C62" i="21" s="1"/>
  <c r="A31" i="24"/>
  <c r="A18" i="30"/>
  <c r="A32" i="30" s="1"/>
  <c r="A30" i="11"/>
  <c r="C41" i="21"/>
  <c r="A24" i="24"/>
  <c r="A11" i="30"/>
  <c r="A25" i="30" s="1"/>
  <c r="A23" i="11"/>
  <c r="I16" i="21"/>
  <c r="C45" i="21"/>
  <c r="C59" i="21" s="1"/>
  <c r="A28" i="24"/>
  <c r="A15" i="30"/>
  <c r="A29" i="30" s="1"/>
  <c r="A27" i="11"/>
  <c r="C39" i="21"/>
  <c r="A22" i="24"/>
  <c r="A9" i="30"/>
  <c r="A23" i="30" s="1"/>
  <c r="A21" i="11"/>
  <c r="K18" i="21"/>
  <c r="C47" i="21"/>
  <c r="C61" i="21" s="1"/>
  <c r="A17" i="30"/>
  <c r="A31" i="30" s="1"/>
  <c r="A30" i="24"/>
  <c r="A29" i="11"/>
  <c r="C40" i="21"/>
  <c r="A23" i="24"/>
  <c r="A10" i="30"/>
  <c r="A24" i="30" s="1"/>
  <c r="A22" i="11"/>
  <c r="C44" i="21"/>
  <c r="A27" i="24"/>
  <c r="A14" i="30"/>
  <c r="A28" i="30" s="1"/>
  <c r="A26" i="11"/>
  <c r="G13" i="21"/>
  <c r="C42" i="21"/>
  <c r="A12" i="30"/>
  <c r="A26" i="30" s="1"/>
  <c r="A25" i="24"/>
  <c r="A24" i="11"/>
  <c r="D46" i="21"/>
  <c r="D60" i="21" s="1"/>
  <c r="C46" i="21"/>
  <c r="C60" i="21" s="1"/>
  <c r="A16" i="30"/>
  <c r="A30" i="30" s="1"/>
  <c r="A29" i="24"/>
  <c r="A28" i="11"/>
  <c r="B31" i="21"/>
  <c r="K60" i="21" s="1"/>
  <c r="I45" i="21"/>
  <c r="L13" i="21"/>
  <c r="L17" i="21"/>
  <c r="N31" i="21"/>
  <c r="G46" i="21"/>
  <c r="G17" i="21"/>
  <c r="J31" i="21"/>
  <c r="I39" i="21"/>
  <c r="K39" i="21"/>
  <c r="L26" i="21"/>
  <c r="K41" i="21"/>
  <c r="G10" i="21"/>
  <c r="F43" i="21"/>
  <c r="F57" i="21" s="1"/>
  <c r="K43" i="21"/>
  <c r="K10" i="21"/>
  <c r="K14" i="21"/>
  <c r="G18" i="21"/>
  <c r="K40" i="21"/>
  <c r="K44" i="21"/>
  <c r="K46" i="21"/>
  <c r="K17" i="21"/>
  <c r="K48" i="21"/>
  <c r="K45" i="21"/>
  <c r="H45" i="21"/>
  <c r="K42" i="21"/>
  <c r="K47" i="21"/>
  <c r="E39" i="21"/>
  <c r="E53" i="21" s="1"/>
  <c r="D15" i="3"/>
  <c r="D29" i="3"/>
  <c r="F25" i="21"/>
  <c r="D16" i="3"/>
  <c r="D30" i="3"/>
  <c r="I12" i="21"/>
  <c r="B42" i="21"/>
  <c r="D32" i="3"/>
  <c r="D18" i="3"/>
  <c r="H13" i="21"/>
  <c r="E45" i="21"/>
  <c r="E59" i="21" s="1"/>
  <c r="D35" i="3"/>
  <c r="D21" i="3"/>
  <c r="G16" i="21"/>
  <c r="M16" i="21"/>
  <c r="E47" i="21"/>
  <c r="E61" i="21" s="1"/>
  <c r="D23" i="3"/>
  <c r="D37" i="3"/>
  <c r="F33" i="21"/>
  <c r="D24" i="3"/>
  <c r="D38" i="3"/>
  <c r="H26" i="21"/>
  <c r="N27" i="21"/>
  <c r="L30" i="21"/>
  <c r="H32" i="21"/>
  <c r="F41" i="21"/>
  <c r="F55" i="21" s="1"/>
  <c r="B30" i="21"/>
  <c r="H59" i="21" s="1"/>
  <c r="F11" i="21"/>
  <c r="E12" i="21"/>
  <c r="K12" i="21"/>
  <c r="K13" i="21"/>
  <c r="G14" i="21"/>
  <c r="H16" i="21"/>
  <c r="B46" i="21"/>
  <c r="D36" i="3"/>
  <c r="D22" i="3"/>
  <c r="H17" i="21"/>
  <c r="H24" i="21"/>
  <c r="H28" i="21"/>
  <c r="F31" i="21"/>
  <c r="L32" i="21"/>
  <c r="D40" i="21"/>
  <c r="D54" i="21" s="1"/>
  <c r="F47" i="21"/>
  <c r="F61" i="21" s="1"/>
  <c r="E41" i="21"/>
  <c r="E55" i="21" s="1"/>
  <c r="D17" i="3"/>
  <c r="D31" i="3"/>
  <c r="G12" i="21"/>
  <c r="L12" i="21"/>
  <c r="S16" i="21"/>
  <c r="L24" i="21"/>
  <c r="F27" i="21"/>
  <c r="L28" i="21"/>
  <c r="F39" i="21"/>
  <c r="F53" i="21" s="1"/>
  <c r="B26" i="21"/>
  <c r="Q71" i="21"/>
  <c r="H12" i="21"/>
  <c r="M12" i="21"/>
  <c r="E43" i="21"/>
  <c r="E57" i="21" s="1"/>
  <c r="D19" i="3"/>
  <c r="D33" i="3"/>
  <c r="D20" i="3"/>
  <c r="D34" i="3"/>
  <c r="E16" i="21"/>
  <c r="L16" i="21"/>
  <c r="N25" i="21"/>
  <c r="J27" i="21"/>
  <c r="H30" i="21"/>
  <c r="D42" i="21"/>
  <c r="D56" i="21" s="1"/>
  <c r="F45" i="21"/>
  <c r="F59" i="21" s="1"/>
  <c r="B44" i="21"/>
  <c r="B58" i="21" s="1"/>
  <c r="M29" i="21"/>
  <c r="I29" i="21"/>
  <c r="E29" i="21"/>
  <c r="M15" i="21"/>
  <c r="I15" i="21"/>
  <c r="E15" i="21"/>
  <c r="F44" i="21"/>
  <c r="F58" i="21" s="1"/>
  <c r="L29" i="21"/>
  <c r="H29" i="21"/>
  <c r="L15" i="21"/>
  <c r="H15" i="21"/>
  <c r="E44" i="21"/>
  <c r="E58" i="21" s="1"/>
  <c r="K29" i="21"/>
  <c r="G29" i="21"/>
  <c r="K15" i="21"/>
  <c r="G15" i="21"/>
  <c r="N33" i="21"/>
  <c r="J11" i="21"/>
  <c r="F15" i="21"/>
  <c r="F19" i="21"/>
  <c r="J29" i="21"/>
  <c r="D44" i="21"/>
  <c r="D58" i="21" s="1"/>
  <c r="D48" i="21"/>
  <c r="D62" i="21" s="1"/>
  <c r="B29" i="21"/>
  <c r="N11" i="21"/>
  <c r="J15" i="21"/>
  <c r="J19" i="21"/>
  <c r="N29" i="21"/>
  <c r="B48" i="21"/>
  <c r="M33" i="21"/>
  <c r="I33" i="21"/>
  <c r="E33" i="21"/>
  <c r="M19" i="21"/>
  <c r="I19" i="21"/>
  <c r="E19" i="21"/>
  <c r="F48" i="21"/>
  <c r="F62" i="21" s="1"/>
  <c r="L33" i="21"/>
  <c r="H33" i="21"/>
  <c r="L19" i="21"/>
  <c r="H19" i="21"/>
  <c r="E48" i="21"/>
  <c r="E62" i="21" s="1"/>
  <c r="K33" i="21"/>
  <c r="G33" i="21"/>
  <c r="K19" i="21"/>
  <c r="G19" i="21"/>
  <c r="F29" i="21"/>
  <c r="B40" i="21"/>
  <c r="M25" i="21"/>
  <c r="I25" i="21"/>
  <c r="E25" i="21"/>
  <c r="M11" i="21"/>
  <c r="I11" i="21"/>
  <c r="E11" i="21"/>
  <c r="F40" i="21"/>
  <c r="F54" i="21" s="1"/>
  <c r="L25" i="21"/>
  <c r="H25" i="21"/>
  <c r="L11" i="21"/>
  <c r="H11" i="21"/>
  <c r="B25" i="21"/>
  <c r="E40" i="21"/>
  <c r="E54" i="21" s="1"/>
  <c r="K25" i="21"/>
  <c r="G25" i="21"/>
  <c r="K11" i="21"/>
  <c r="G11" i="21"/>
  <c r="N15" i="21"/>
  <c r="N19" i="21"/>
  <c r="J25" i="21"/>
  <c r="J33" i="21"/>
  <c r="H10" i="21"/>
  <c r="L10" i="21"/>
  <c r="F12" i="21"/>
  <c r="J12" i="21"/>
  <c r="N12" i="21"/>
  <c r="E13" i="21"/>
  <c r="I13" i="21"/>
  <c r="M13" i="21"/>
  <c r="H14" i="21"/>
  <c r="L14" i="21"/>
  <c r="F16" i="21"/>
  <c r="J16" i="21"/>
  <c r="N16" i="21"/>
  <c r="E17" i="21"/>
  <c r="I17" i="21"/>
  <c r="M17" i="21"/>
  <c r="H18" i="21"/>
  <c r="L18" i="21"/>
  <c r="E24" i="21"/>
  <c r="I24" i="21"/>
  <c r="M24" i="21"/>
  <c r="E26" i="21"/>
  <c r="I26" i="21"/>
  <c r="M26" i="21"/>
  <c r="G27" i="21"/>
  <c r="K27" i="21"/>
  <c r="E28" i="21"/>
  <c r="I28" i="21"/>
  <c r="M28" i="21"/>
  <c r="E30" i="21"/>
  <c r="I30" i="21"/>
  <c r="M30" i="21"/>
  <c r="G31" i="21"/>
  <c r="K31" i="21"/>
  <c r="E32" i="21"/>
  <c r="I32" i="21"/>
  <c r="M32" i="21"/>
  <c r="B39" i="21"/>
  <c r="B41" i="21"/>
  <c r="E42" i="21"/>
  <c r="E56" i="21" s="1"/>
  <c r="B43" i="21"/>
  <c r="B57" i="21" s="1"/>
  <c r="B45" i="21"/>
  <c r="E46" i="21"/>
  <c r="E60" i="21" s="1"/>
  <c r="B47" i="21"/>
  <c r="B61" i="21" s="1"/>
  <c r="E10" i="21"/>
  <c r="I10" i="21"/>
  <c r="M10" i="21"/>
  <c r="F13" i="21"/>
  <c r="J13" i="21"/>
  <c r="N13" i="21"/>
  <c r="E14" i="21"/>
  <c r="I14" i="21"/>
  <c r="M14" i="21"/>
  <c r="K16" i="21"/>
  <c r="F17" i="21"/>
  <c r="J17" i="21"/>
  <c r="N17" i="21"/>
  <c r="E18" i="21"/>
  <c r="I18" i="21"/>
  <c r="M18" i="21"/>
  <c r="F24" i="21"/>
  <c r="J24" i="21"/>
  <c r="N24" i="21"/>
  <c r="F26" i="21"/>
  <c r="J26" i="21"/>
  <c r="N26" i="21"/>
  <c r="H27" i="21"/>
  <c r="L27" i="21"/>
  <c r="F28" i="21"/>
  <c r="J28" i="21"/>
  <c r="N28" i="21"/>
  <c r="F30" i="21"/>
  <c r="J30" i="21"/>
  <c r="N30" i="21"/>
  <c r="H31" i="21"/>
  <c r="L31" i="21"/>
  <c r="F32" i="21"/>
  <c r="J32" i="21"/>
  <c r="N32" i="21"/>
  <c r="D39" i="21"/>
  <c r="D53" i="21" s="1"/>
  <c r="D41" i="21"/>
  <c r="D55" i="21" s="1"/>
  <c r="F42" i="21"/>
  <c r="F56" i="21" s="1"/>
  <c r="D43" i="21"/>
  <c r="D57" i="21" s="1"/>
  <c r="D45" i="21"/>
  <c r="D59" i="21" s="1"/>
  <c r="F46" i="21"/>
  <c r="F60" i="21" s="1"/>
  <c r="D47" i="21"/>
  <c r="D61" i="21" s="1"/>
  <c r="F10" i="21"/>
  <c r="J10" i="21"/>
  <c r="N10" i="21"/>
  <c r="F14" i="21"/>
  <c r="J14" i="21"/>
  <c r="N14" i="21"/>
  <c r="F18" i="21"/>
  <c r="J18" i="21"/>
  <c r="N18" i="21"/>
  <c r="G24" i="21"/>
  <c r="K24" i="21"/>
  <c r="G26" i="21"/>
  <c r="K26" i="21"/>
  <c r="E27" i="21"/>
  <c r="I27" i="21"/>
  <c r="M27" i="21"/>
  <c r="G28" i="21"/>
  <c r="K28" i="21"/>
  <c r="G30" i="21"/>
  <c r="K30" i="21"/>
  <c r="E31" i="21"/>
  <c r="I31" i="21"/>
  <c r="M31" i="21"/>
  <c r="G32" i="21"/>
  <c r="K32" i="21"/>
  <c r="AB14" i="21"/>
  <c r="X17" i="21"/>
  <c r="B28" i="21"/>
  <c r="B27" i="21"/>
  <c r="B24" i="21"/>
  <c r="J69" i="21"/>
  <c r="G70" i="21"/>
  <c r="I46" i="21"/>
  <c r="I47" i="21"/>
  <c r="H47" i="21"/>
  <c r="G47" i="21"/>
  <c r="B32" i="21"/>
  <c r="G48" i="21"/>
  <c r="I48" i="21"/>
  <c r="H48" i="21"/>
  <c r="B33" i="21"/>
  <c r="H46" i="21"/>
  <c r="G45" i="21"/>
  <c r="H60" i="21" l="1"/>
  <c r="H61" i="31"/>
  <c r="Z89" i="21"/>
  <c r="Q60" i="31" s="1"/>
  <c r="T110" i="21"/>
  <c r="D36" i="11" s="1"/>
  <c r="N24" i="3"/>
  <c r="K38" i="3"/>
  <c r="L20" i="3"/>
  <c r="E17" i="3"/>
  <c r="L60" i="21"/>
  <c r="L17" i="3"/>
  <c r="G19" i="3"/>
  <c r="C28" i="21"/>
  <c r="G60" i="21"/>
  <c r="AB17" i="21"/>
  <c r="H15" i="3"/>
  <c r="X14" i="21"/>
  <c r="L36" i="3"/>
  <c r="M31" i="3"/>
  <c r="J21" i="3"/>
  <c r="G16" i="3"/>
  <c r="H30" i="3"/>
  <c r="I16" i="3"/>
  <c r="F24" i="3"/>
  <c r="E21" i="3"/>
  <c r="N32" i="3"/>
  <c r="M21" i="3"/>
  <c r="C31" i="21"/>
  <c r="H60" i="31"/>
  <c r="F37" i="30"/>
  <c r="E38" i="30"/>
  <c r="E35" i="11"/>
  <c r="J61" i="31"/>
  <c r="E37" i="24"/>
  <c r="G31" i="3"/>
  <c r="F34" i="3"/>
  <c r="G34" i="3"/>
  <c r="H21" i="3"/>
  <c r="C27" i="21"/>
  <c r="X10" i="21"/>
  <c r="L16" i="3"/>
  <c r="L21" i="3"/>
  <c r="H17" i="3"/>
  <c r="T31" i="21"/>
  <c r="V17" i="21"/>
  <c r="K31" i="3"/>
  <c r="J19" i="3"/>
  <c r="F15" i="3"/>
  <c r="N37" i="3"/>
  <c r="H32" i="3"/>
  <c r="I23" i="3"/>
  <c r="F22" i="3"/>
  <c r="E37" i="3"/>
  <c r="I35" i="3"/>
  <c r="I22" i="3"/>
  <c r="K16" i="3"/>
  <c r="L24" i="3"/>
  <c r="I38" i="3"/>
  <c r="H20" i="3"/>
  <c r="I21" i="3"/>
  <c r="G21" i="3"/>
  <c r="I17" i="3"/>
  <c r="C24" i="21"/>
  <c r="E36" i="24"/>
  <c r="E37" i="30"/>
  <c r="J60" i="31"/>
  <c r="E34" i="11"/>
  <c r="Q17" i="21"/>
  <c r="Z26" i="21"/>
  <c r="F30" i="3"/>
  <c r="O10" i="21"/>
  <c r="G23" i="3"/>
  <c r="U18" i="21"/>
  <c r="Q18" i="21"/>
  <c r="K23" i="3"/>
  <c r="I60" i="21"/>
  <c r="G22" i="3"/>
  <c r="V26" i="21"/>
  <c r="P27" i="21"/>
  <c r="V13" i="21"/>
  <c r="R13" i="21"/>
  <c r="K22" i="3"/>
  <c r="D30" i="21"/>
  <c r="C35" i="3" s="1"/>
  <c r="U17" i="21"/>
  <c r="P12" i="21"/>
  <c r="V24" i="21"/>
  <c r="G18" i="3"/>
  <c r="Y30" i="21"/>
  <c r="B55" i="21"/>
  <c r="B56" i="21"/>
  <c r="B59" i="21"/>
  <c r="B53" i="21"/>
  <c r="B54" i="21"/>
  <c r="T29" i="21"/>
  <c r="B62" i="21"/>
  <c r="D32" i="21"/>
  <c r="C37" i="3" s="1"/>
  <c r="O11" i="21"/>
  <c r="Q13" i="21"/>
  <c r="R14" i="21"/>
  <c r="G15" i="3"/>
  <c r="B60" i="21"/>
  <c r="U13" i="21"/>
  <c r="P11" i="21"/>
  <c r="U19" i="21"/>
  <c r="R26" i="21"/>
  <c r="V10" i="21"/>
  <c r="O13" i="21"/>
  <c r="D27" i="21"/>
  <c r="C32" i="3" s="1"/>
  <c r="S14" i="21"/>
  <c r="F32" i="3"/>
  <c r="L18" i="3"/>
  <c r="L22" i="3"/>
  <c r="Q10" i="21"/>
  <c r="D27" i="24"/>
  <c r="D26" i="11"/>
  <c r="D24" i="24"/>
  <c r="D23" i="11"/>
  <c r="D23" i="24"/>
  <c r="D22" i="11"/>
  <c r="W12" i="21"/>
  <c r="F16" i="3"/>
  <c r="D30" i="24"/>
  <c r="D29" i="11"/>
  <c r="D28" i="24"/>
  <c r="D27" i="11"/>
  <c r="D26" i="24"/>
  <c r="D25" i="11"/>
  <c r="D29" i="24"/>
  <c r="D28" i="11"/>
  <c r="D31" i="24"/>
  <c r="D30" i="11"/>
  <c r="D25" i="24"/>
  <c r="D24" i="11"/>
  <c r="D22" i="24"/>
  <c r="D21" i="11"/>
  <c r="B22" i="3"/>
  <c r="R17" i="21"/>
  <c r="Q31" i="21"/>
  <c r="U14" i="21"/>
  <c r="V14" i="21"/>
  <c r="J60" i="21"/>
  <c r="R18" i="21"/>
  <c r="P18" i="21"/>
  <c r="O25" i="21"/>
  <c r="K19" i="3"/>
  <c r="Z17" i="21"/>
  <c r="T30" i="21"/>
  <c r="T26" i="21"/>
  <c r="T13" i="21"/>
  <c r="S27" i="21"/>
  <c r="O24" i="21"/>
  <c r="H29" i="3"/>
  <c r="U29" i="21"/>
  <c r="W16" i="21"/>
  <c r="AA16" i="21"/>
  <c r="J32" i="3"/>
  <c r="C22" i="3"/>
  <c r="O19" i="21"/>
  <c r="S29" i="21"/>
  <c r="J36" i="3"/>
  <c r="J18" i="3"/>
  <c r="K18" i="3"/>
  <c r="M33" i="3"/>
  <c r="L29" i="3"/>
  <c r="O31" i="21"/>
  <c r="S31" i="21"/>
  <c r="P15" i="21"/>
  <c r="O15" i="21"/>
  <c r="T10" i="21"/>
  <c r="Q24" i="21"/>
  <c r="N36" i="3"/>
  <c r="H31" i="3"/>
  <c r="G36" i="3"/>
  <c r="AA32" i="21"/>
  <c r="K61" i="21"/>
  <c r="I61" i="21"/>
  <c r="L44" i="21"/>
  <c r="J44" i="21"/>
  <c r="U10" i="21"/>
  <c r="S32" i="21"/>
  <c r="P26" i="21"/>
  <c r="U25" i="21"/>
  <c r="P13" i="21"/>
  <c r="W24" i="21"/>
  <c r="K53" i="21"/>
  <c r="I53" i="21"/>
  <c r="T27" i="21"/>
  <c r="Z14" i="21"/>
  <c r="O14" i="21"/>
  <c r="V27" i="21"/>
  <c r="J39" i="21"/>
  <c r="L39" i="21"/>
  <c r="J46" i="21"/>
  <c r="L46" i="21"/>
  <c r="L40" i="21"/>
  <c r="J40" i="21"/>
  <c r="F36" i="3"/>
  <c r="H37" i="3"/>
  <c r="I33" i="3"/>
  <c r="L37" i="3"/>
  <c r="L31" i="3"/>
  <c r="M19" i="3"/>
  <c r="J30" i="3"/>
  <c r="F38" i="3"/>
  <c r="K59" i="21"/>
  <c r="N59" i="21" s="1"/>
  <c r="I59" i="21"/>
  <c r="Q19" i="21"/>
  <c r="S15" i="21"/>
  <c r="J43" i="21"/>
  <c r="L43" i="21"/>
  <c r="J45" i="21"/>
  <c r="L45" i="21"/>
  <c r="L58" i="21"/>
  <c r="J58" i="21"/>
  <c r="K58" i="21"/>
  <c r="I58" i="21"/>
  <c r="L62" i="21"/>
  <c r="J62" i="21"/>
  <c r="K15" i="3"/>
  <c r="E29" i="3"/>
  <c r="G38" i="3"/>
  <c r="L15" i="3"/>
  <c r="H18" i="3"/>
  <c r="L38" i="3"/>
  <c r="F33" i="3"/>
  <c r="E15" i="3"/>
  <c r="J38" i="3"/>
  <c r="K55" i="21"/>
  <c r="I55" i="21"/>
  <c r="L56" i="21"/>
  <c r="J56" i="21"/>
  <c r="K56" i="21"/>
  <c r="I56" i="21"/>
  <c r="U28" i="21"/>
  <c r="K57" i="21"/>
  <c r="I57" i="21"/>
  <c r="L59" i="21"/>
  <c r="Q59" i="21" s="1"/>
  <c r="AE59" i="21" s="1"/>
  <c r="J59" i="21"/>
  <c r="L55" i="21"/>
  <c r="J55" i="21"/>
  <c r="J42" i="21"/>
  <c r="L42" i="21"/>
  <c r="K62" i="21"/>
  <c r="I62" i="21"/>
  <c r="V18" i="21"/>
  <c r="S10" i="21"/>
  <c r="O27" i="21"/>
  <c r="J47" i="21"/>
  <c r="L47" i="21"/>
  <c r="Q47" i="21" s="1"/>
  <c r="AE47" i="21" s="1"/>
  <c r="L61" i="21"/>
  <c r="J61" i="21"/>
  <c r="L57" i="21"/>
  <c r="J57" i="21"/>
  <c r="L53" i="21"/>
  <c r="J53" i="21"/>
  <c r="J41" i="21"/>
  <c r="L41" i="21"/>
  <c r="L48" i="21"/>
  <c r="O48" i="21" s="1"/>
  <c r="J48" i="21"/>
  <c r="T25" i="21"/>
  <c r="K54" i="21"/>
  <c r="I54" i="21"/>
  <c r="H19" i="3"/>
  <c r="H22" i="3"/>
  <c r="I29" i="3"/>
  <c r="I37" i="3"/>
  <c r="N23" i="3"/>
  <c r="N29" i="3"/>
  <c r="I34" i="3"/>
  <c r="K33" i="3"/>
  <c r="L54" i="21"/>
  <c r="J54" i="21"/>
  <c r="B36" i="3"/>
  <c r="T18" i="21"/>
  <c r="U31" i="21"/>
  <c r="O30" i="21"/>
  <c r="Q15" i="21"/>
  <c r="H34" i="3"/>
  <c r="G24" i="3"/>
  <c r="Q12" i="21"/>
  <c r="B21" i="3"/>
  <c r="C30" i="21"/>
  <c r="U12" i="21"/>
  <c r="C17" i="3"/>
  <c r="D26" i="21"/>
  <c r="C31" i="3" s="1"/>
  <c r="V30" i="21"/>
  <c r="R33" i="21"/>
  <c r="T15" i="21"/>
  <c r="Y25" i="21"/>
  <c r="X30" i="21"/>
  <c r="Y12" i="21"/>
  <c r="B29" i="3"/>
  <c r="Q30" i="21"/>
  <c r="O17" i="21"/>
  <c r="S13" i="21"/>
  <c r="C25" i="21"/>
  <c r="B16" i="3"/>
  <c r="R11" i="21"/>
  <c r="D33" i="21"/>
  <c r="C38" i="3" s="1"/>
  <c r="C24" i="3"/>
  <c r="U15" i="21"/>
  <c r="D29" i="21"/>
  <c r="C34" i="3" s="1"/>
  <c r="C20" i="3"/>
  <c r="M16" i="3"/>
  <c r="F21" i="3"/>
  <c r="E20" i="3"/>
  <c r="M29" i="3"/>
  <c r="G35" i="3"/>
  <c r="J35" i="3"/>
  <c r="F17" i="3"/>
  <c r="K30" i="3"/>
  <c r="K34" i="3"/>
  <c r="L19" i="3"/>
  <c r="E24" i="3"/>
  <c r="F31" i="3"/>
  <c r="L33" i="3"/>
  <c r="E36" i="3"/>
  <c r="M22" i="3"/>
  <c r="K24" i="3"/>
  <c r="E30" i="3"/>
  <c r="J33" i="3"/>
  <c r="M34" i="3"/>
  <c r="K36" i="3"/>
  <c r="E38" i="3"/>
  <c r="I15" i="3"/>
  <c r="G17" i="3"/>
  <c r="N18" i="3"/>
  <c r="G29" i="3"/>
  <c r="N30" i="3"/>
  <c r="G37" i="3"/>
  <c r="N38" i="3"/>
  <c r="V16" i="21"/>
  <c r="R12" i="21"/>
  <c r="Q14" i="21"/>
  <c r="O12" i="21"/>
  <c r="Y16" i="21"/>
  <c r="AA12" i="21"/>
  <c r="H43" i="21"/>
  <c r="U30" i="21"/>
  <c r="Q26" i="21"/>
  <c r="O18" i="21"/>
  <c r="U16" i="21"/>
  <c r="W29" i="21"/>
  <c r="AB30" i="21"/>
  <c r="O26" i="21"/>
  <c r="T12" i="21"/>
  <c r="G59" i="21"/>
  <c r="U27" i="21"/>
  <c r="V31" i="21"/>
  <c r="P30" i="21"/>
  <c r="T17" i="21"/>
  <c r="W26" i="21"/>
  <c r="Q11" i="21"/>
  <c r="V11" i="21"/>
  <c r="P29" i="21"/>
  <c r="R19" i="21"/>
  <c r="P19" i="21"/>
  <c r="Q29" i="21"/>
  <c r="R15" i="21"/>
  <c r="O29" i="21"/>
  <c r="N17" i="3"/>
  <c r="F20" i="3"/>
  <c r="E18" i="3"/>
  <c r="G30" i="3"/>
  <c r="N16" i="3"/>
  <c r="J23" i="3"/>
  <c r="J31" i="3"/>
  <c r="I36" i="3"/>
  <c r="N15" i="3"/>
  <c r="G20" i="3"/>
  <c r="K35" i="3"/>
  <c r="J15" i="3"/>
  <c r="M17" i="3"/>
  <c r="I20" i="3"/>
  <c r="M24" i="3"/>
  <c r="N31" i="3"/>
  <c r="L34" i="3"/>
  <c r="M36" i="3"/>
  <c r="N21" i="3"/>
  <c r="H23" i="3"/>
  <c r="F29" i="3"/>
  <c r="I30" i="3"/>
  <c r="G32" i="3"/>
  <c r="N33" i="3"/>
  <c r="H35" i="3"/>
  <c r="F37" i="3"/>
  <c r="M15" i="3"/>
  <c r="K17" i="3"/>
  <c r="E19" i="3"/>
  <c r="J22" i="3"/>
  <c r="M23" i="3"/>
  <c r="K29" i="3"/>
  <c r="E31" i="3"/>
  <c r="L32" i="3"/>
  <c r="J34" i="3"/>
  <c r="M35" i="3"/>
  <c r="K37" i="3"/>
  <c r="O16" i="21"/>
  <c r="B17" i="3"/>
  <c r="C26" i="21"/>
  <c r="C32" i="21"/>
  <c r="B23" i="3"/>
  <c r="Q16" i="21"/>
  <c r="B19" i="3"/>
  <c r="M69" i="21"/>
  <c r="H55" i="21"/>
  <c r="P14" i="21"/>
  <c r="S17" i="21"/>
  <c r="D25" i="21"/>
  <c r="C30" i="3" s="1"/>
  <c r="C16" i="3"/>
  <c r="J20" i="3"/>
  <c r="J17" i="3"/>
  <c r="H38" i="3"/>
  <c r="J16" i="3"/>
  <c r="F19" i="3"/>
  <c r="L30" i="3"/>
  <c r="M32" i="3"/>
  <c r="N35" i="3"/>
  <c r="K21" i="3"/>
  <c r="E23" i="3"/>
  <c r="E35" i="3"/>
  <c r="R30" i="21"/>
  <c r="AB26" i="21"/>
  <c r="P16" i="21"/>
  <c r="Z30" i="21"/>
  <c r="V25" i="21"/>
  <c r="S19" i="21"/>
  <c r="T11" i="21"/>
  <c r="J70" i="21"/>
  <c r="X26" i="21"/>
  <c r="AA25" i="21"/>
  <c r="B33" i="3"/>
  <c r="D24" i="21"/>
  <c r="C29" i="3" s="1"/>
  <c r="B32" i="3"/>
  <c r="U26" i="21"/>
  <c r="Z18" i="21"/>
  <c r="T14" i="21"/>
  <c r="P10" i="21"/>
  <c r="R31" i="21"/>
  <c r="R27" i="21"/>
  <c r="S18" i="21"/>
  <c r="P17" i="21"/>
  <c r="O32" i="21"/>
  <c r="S30" i="21"/>
  <c r="S26" i="21"/>
  <c r="T16" i="21"/>
  <c r="D28" i="21"/>
  <c r="C33" i="3" s="1"/>
  <c r="C19" i="3"/>
  <c r="R10" i="21"/>
  <c r="X19" i="21"/>
  <c r="U11" i="21"/>
  <c r="R25" i="21"/>
  <c r="S11" i="21"/>
  <c r="W25" i="21"/>
  <c r="C33" i="21"/>
  <c r="B24" i="3"/>
  <c r="U33" i="21"/>
  <c r="V19" i="21"/>
  <c r="S33" i="21"/>
  <c r="T19" i="21"/>
  <c r="C29" i="21"/>
  <c r="B20" i="3"/>
  <c r="V15" i="21"/>
  <c r="N19" i="3"/>
  <c r="E33" i="3"/>
  <c r="I32" i="3"/>
  <c r="M37" i="3"/>
  <c r="K20" i="3"/>
  <c r="I24" i="3"/>
  <c r="H33" i="3"/>
  <c r="E16" i="3"/>
  <c r="M18" i="3"/>
  <c r="M20" i="3"/>
  <c r="J24" i="3"/>
  <c r="I18" i="3"/>
  <c r="N20" i="3"/>
  <c r="F23" i="3"/>
  <c r="E32" i="3"/>
  <c r="F35" i="3"/>
  <c r="E22" i="3"/>
  <c r="L23" i="3"/>
  <c r="J29" i="3"/>
  <c r="M30" i="3"/>
  <c r="K32" i="3"/>
  <c r="E34" i="3"/>
  <c r="L35" i="3"/>
  <c r="J37" i="3"/>
  <c r="M38" i="3"/>
  <c r="H16" i="3"/>
  <c r="F18" i="3"/>
  <c r="I19" i="3"/>
  <c r="N22" i="3"/>
  <c r="H24" i="3"/>
  <c r="I31" i="3"/>
  <c r="G33" i="3"/>
  <c r="N34" i="3"/>
  <c r="H36" i="3"/>
  <c r="V12" i="21"/>
  <c r="R16" i="21"/>
  <c r="B18" i="3"/>
  <c r="B15" i="3"/>
  <c r="S12" i="21"/>
  <c r="P31" i="21"/>
  <c r="P25" i="21"/>
  <c r="P33" i="21"/>
  <c r="P32" i="21"/>
  <c r="O33" i="21"/>
  <c r="X18" i="21"/>
  <c r="AB19" i="21"/>
  <c r="Q32" i="21"/>
  <c r="Y33" i="21"/>
  <c r="T33" i="21"/>
  <c r="T32" i="21"/>
  <c r="V32" i="21"/>
  <c r="R32" i="21"/>
  <c r="S24" i="21"/>
  <c r="AB18" i="21"/>
  <c r="T24" i="21"/>
  <c r="S28" i="21"/>
  <c r="V33" i="21"/>
  <c r="X25" i="21"/>
  <c r="R29" i="21"/>
  <c r="AA33" i="21"/>
  <c r="U32" i="21"/>
  <c r="Y32" i="21"/>
  <c r="Q25" i="21"/>
  <c r="Z19" i="21"/>
  <c r="W32" i="21"/>
  <c r="D4" i="21"/>
  <c r="H4" i="21" s="1"/>
  <c r="AA30" i="21"/>
  <c r="W30" i="21"/>
  <c r="S25" i="21"/>
  <c r="V29" i="21"/>
  <c r="P45" i="21"/>
  <c r="AD45" i="21" s="1"/>
  <c r="N45" i="21"/>
  <c r="P48" i="21"/>
  <c r="AD48" i="21" s="1"/>
  <c r="N48" i="21"/>
  <c r="Z15" i="21"/>
  <c r="X15" i="21"/>
  <c r="AB15" i="21"/>
  <c r="P60" i="21"/>
  <c r="AD60" i="21" s="1"/>
  <c r="N60" i="21"/>
  <c r="W10" i="21"/>
  <c r="AA10" i="21"/>
  <c r="AA26" i="21"/>
  <c r="W28" i="21"/>
  <c r="X28" i="21"/>
  <c r="Z16" i="21"/>
  <c r="X16" i="21"/>
  <c r="AB16" i="21"/>
  <c r="W18" i="21"/>
  <c r="AA18" i="21"/>
  <c r="Y18" i="21"/>
  <c r="Z11" i="21"/>
  <c r="X11" i="21"/>
  <c r="AA29" i="21"/>
  <c r="Z29" i="21"/>
  <c r="X29" i="21"/>
  <c r="AB29" i="21"/>
  <c r="Z25" i="21"/>
  <c r="Z12" i="21"/>
  <c r="X12" i="21"/>
  <c r="AB12" i="21"/>
  <c r="I41" i="21"/>
  <c r="Z10" i="21"/>
  <c r="Z24" i="21"/>
  <c r="X24" i="21"/>
  <c r="X27" i="21"/>
  <c r="AB27" i="21"/>
  <c r="V28" i="21"/>
  <c r="Z33" i="21"/>
  <c r="X33" i="21"/>
  <c r="AB33" i="21"/>
  <c r="Y19" i="21"/>
  <c r="W19" i="21"/>
  <c r="AA19" i="21"/>
  <c r="Z32" i="21"/>
  <c r="AB32" i="21"/>
  <c r="X32" i="21"/>
  <c r="N47" i="21"/>
  <c r="P47" i="21"/>
  <c r="AD47" i="21" s="1"/>
  <c r="P46" i="21"/>
  <c r="AD46" i="21" s="1"/>
  <c r="N46" i="21"/>
  <c r="W15" i="21"/>
  <c r="W11" i="21"/>
  <c r="O46" i="21"/>
  <c r="Q46" i="21"/>
  <c r="AE46" i="21" s="1"/>
  <c r="X13" i="21"/>
  <c r="W13" i="21"/>
  <c r="Y13" i="21"/>
  <c r="R28" i="21"/>
  <c r="W14" i="21"/>
  <c r="P28" i="21"/>
  <c r="R24" i="21"/>
  <c r="G62" i="21"/>
  <c r="H62" i="21"/>
  <c r="Q33" i="21"/>
  <c r="H61" i="21"/>
  <c r="G61" i="21"/>
  <c r="AA17" i="21"/>
  <c r="W17" i="21"/>
  <c r="Y17" i="21"/>
  <c r="Y31" i="21"/>
  <c r="W31" i="21"/>
  <c r="AA31" i="21"/>
  <c r="W33" i="21"/>
  <c r="Z31" i="21"/>
  <c r="AB31" i="21"/>
  <c r="X31" i="21"/>
  <c r="Q27" i="21"/>
  <c r="U24" i="21"/>
  <c r="P24" i="21"/>
  <c r="W27" i="21"/>
  <c r="O28" i="21"/>
  <c r="T28" i="21"/>
  <c r="Q28" i="21"/>
  <c r="D9" i="24"/>
  <c r="D8" i="24"/>
  <c r="D7" i="24"/>
  <c r="D6" i="24"/>
  <c r="D38" i="24" l="1"/>
  <c r="J67" i="21"/>
  <c r="M67" i="21" s="1"/>
  <c r="S82" i="23" s="1"/>
  <c r="F77" i="21"/>
  <c r="E77" i="21"/>
  <c r="P59" i="21"/>
  <c r="AD59" i="21" s="1"/>
  <c r="Q48" i="21"/>
  <c r="AE48" i="21" s="1"/>
  <c r="O47" i="21"/>
  <c r="AA28" i="21"/>
  <c r="AA24" i="21"/>
  <c r="Y11" i="21"/>
  <c r="B37" i="3"/>
  <c r="Y29" i="21"/>
  <c r="G54" i="21"/>
  <c r="B35" i="3"/>
  <c r="AB11" i="21"/>
  <c r="M70" i="21"/>
  <c r="G42" i="21"/>
  <c r="I42" i="21" s="1"/>
  <c r="AA15" i="21"/>
  <c r="H54" i="21"/>
  <c r="H58" i="21"/>
  <c r="H40" i="21"/>
  <c r="O59" i="21"/>
  <c r="B38" i="3"/>
  <c r="AB10" i="21"/>
  <c r="Q69" i="21"/>
  <c r="B31" i="3"/>
  <c r="B34" i="3"/>
  <c r="Y26" i="21"/>
  <c r="B30" i="3"/>
  <c r="Z27" i="21"/>
  <c r="AB25" i="21"/>
  <c r="Y28" i="21"/>
  <c r="AA27" i="21"/>
  <c r="AB28" i="21"/>
  <c r="AA13" i="21"/>
  <c r="H53" i="21"/>
  <c r="Y10" i="21"/>
  <c r="H44" i="21"/>
  <c r="AB24" i="21"/>
  <c r="Y27" i="21"/>
  <c r="Y14" i="21"/>
  <c r="Z13" i="21"/>
  <c r="H39" i="21"/>
  <c r="H41" i="21"/>
  <c r="G41" i="21"/>
  <c r="D77" i="21"/>
  <c r="C77" i="21"/>
  <c r="E67" i="21"/>
  <c r="J82" i="23" s="1"/>
  <c r="P62" i="21"/>
  <c r="AD62" i="21" s="1"/>
  <c r="N62" i="21"/>
  <c r="O58" i="21"/>
  <c r="Q58" i="21"/>
  <c r="AE58" i="21" s="1"/>
  <c r="O60" i="21"/>
  <c r="Q60" i="21"/>
  <c r="AE60" i="21" s="1"/>
  <c r="AA14" i="21"/>
  <c r="AA11" i="21"/>
  <c r="O44" i="21"/>
  <c r="Q44" i="21"/>
  <c r="AE44" i="21" s="1"/>
  <c r="AB13" i="21"/>
  <c r="Q61" i="21"/>
  <c r="AE61" i="21" s="1"/>
  <c r="O61" i="21"/>
  <c r="O62" i="21"/>
  <c r="Q62" i="21"/>
  <c r="AE62" i="21" s="1"/>
  <c r="Z28" i="21"/>
  <c r="Y24" i="21"/>
  <c r="N61" i="21"/>
  <c r="P61" i="21"/>
  <c r="AD61" i="21" s="1"/>
  <c r="Y15" i="21"/>
  <c r="Q45" i="21"/>
  <c r="AE45" i="21" s="1"/>
  <c r="O45" i="21"/>
  <c r="G77" i="21" l="1"/>
  <c r="Q67" i="21"/>
  <c r="AL82" i="23" s="1"/>
  <c r="G44" i="21"/>
  <c r="G56" i="21"/>
  <c r="G57" i="21"/>
  <c r="H56" i="21"/>
  <c r="G55" i="21"/>
  <c r="G39" i="21"/>
  <c r="H57" i="21"/>
  <c r="H42" i="21"/>
  <c r="G43" i="21"/>
  <c r="I43" i="21" s="1"/>
  <c r="G53" i="21"/>
  <c r="Q70" i="21"/>
  <c r="G58" i="21"/>
  <c r="G40" i="21"/>
  <c r="I40" i="21" s="1"/>
  <c r="G68" i="21"/>
  <c r="I44" i="21"/>
  <c r="E68" i="21"/>
  <c r="J83" i="23" s="1"/>
  <c r="T70" i="21" l="1"/>
  <c r="J68" i="21"/>
  <c r="E72" i="21"/>
  <c r="J87" i="23" s="1"/>
  <c r="M68" i="21" l="1"/>
  <c r="Q68" i="21" l="1"/>
  <c r="T68" i="21" l="1"/>
  <c r="T72" i="21" s="1"/>
  <c r="S72" i="21" s="1"/>
  <c r="Q72" i="21"/>
  <c r="AL87" i="23" s="1"/>
  <c r="O55" i="21"/>
  <c r="N55" i="21"/>
  <c r="N58" i="21"/>
  <c r="N57" i="21"/>
  <c r="O42" i="21"/>
  <c r="O56" i="21"/>
  <c r="N41" i="21"/>
  <c r="O54" i="21"/>
  <c r="O39" i="21"/>
  <c r="N54" i="21"/>
  <c r="N43" i="21"/>
  <c r="N40" i="21"/>
  <c r="N56" i="21"/>
  <c r="O53" i="21"/>
  <c r="N42" i="21"/>
  <c r="N39" i="21"/>
  <c r="O40" i="21"/>
  <c r="O41" i="21"/>
  <c r="O43" i="21"/>
  <c r="N53" i="21"/>
  <c r="O57" i="21"/>
  <c r="N44" i="21"/>
  <c r="C76" i="21" l="1"/>
  <c r="C57" i="21"/>
  <c r="Q43" i="21"/>
  <c r="AE43" i="21" s="1"/>
  <c r="P43" i="21"/>
  <c r="AD43" i="21" s="1"/>
  <c r="C58" i="21"/>
  <c r="P58" i="21" s="1"/>
  <c r="AD58" i="21" s="1"/>
  <c r="P44" i="21"/>
  <c r="AD44" i="21" s="1"/>
  <c r="C54" i="21"/>
  <c r="P40" i="21"/>
  <c r="AD40" i="21" s="1"/>
  <c r="Q40" i="21"/>
  <c r="AE40" i="21" s="1"/>
  <c r="C55" i="21"/>
  <c r="P41" i="21"/>
  <c r="AD41" i="21" s="1"/>
  <c r="Q41" i="21"/>
  <c r="AE41" i="21" s="1"/>
  <c r="C56" i="21"/>
  <c r="P42" i="21"/>
  <c r="AD42" i="21" s="1"/>
  <c r="Q42" i="21"/>
  <c r="AE42" i="21" s="1"/>
  <c r="C53" i="21"/>
  <c r="P39" i="21"/>
  <c r="AD39" i="21" s="1"/>
  <c r="Q39" i="21"/>
  <c r="AE39" i="21" s="1"/>
  <c r="AD38" i="21" l="1"/>
  <c r="AE38" i="21"/>
  <c r="C78" i="21"/>
  <c r="I170" i="23" s="1"/>
  <c r="Q55" i="21"/>
  <c r="AE55" i="21" s="1"/>
  <c r="P55" i="21"/>
  <c r="AD55" i="21" s="1"/>
  <c r="P54" i="21"/>
  <c r="AD54" i="21" s="1"/>
  <c r="Q54" i="21"/>
  <c r="AE54" i="21" s="1"/>
  <c r="P56" i="21"/>
  <c r="AD56" i="21" s="1"/>
  <c r="Q56" i="21"/>
  <c r="AE56" i="21" s="1"/>
  <c r="P57" i="21"/>
  <c r="AD57" i="21" s="1"/>
  <c r="Q57" i="21"/>
  <c r="AE57" i="21" s="1"/>
  <c r="Q53" i="21"/>
  <c r="AE53" i="21" s="1"/>
  <c r="P53" i="21"/>
  <c r="AD53" i="21" s="1"/>
  <c r="H58" i="31" l="1"/>
  <c r="AD52" i="21"/>
  <c r="J4" i="21" s="1"/>
  <c r="AE52" i="21"/>
  <c r="H31" i="11"/>
  <c r="G33" i="24"/>
  <c r="G76" i="21"/>
  <c r="H76" i="21" s="1"/>
  <c r="R76" i="21" s="1"/>
  <c r="I4" i="21" l="1"/>
  <c r="L49" i="31"/>
  <c r="L48" i="31"/>
  <c r="L52" i="31"/>
  <c r="L56" i="31"/>
  <c r="L28" i="31"/>
  <c r="L51" i="31"/>
  <c r="L27" i="31"/>
  <c r="L32" i="31"/>
  <c r="L26" i="31"/>
  <c r="L33" i="31"/>
  <c r="L30" i="31"/>
  <c r="L34" i="31"/>
  <c r="L35" i="31"/>
  <c r="L31" i="31"/>
  <c r="L50" i="31"/>
  <c r="L54" i="31"/>
  <c r="L57" i="31"/>
  <c r="L29" i="31"/>
  <c r="L55" i="31"/>
  <c r="L53" i="31"/>
  <c r="I25" i="30" l="1"/>
  <c r="I28" i="30"/>
  <c r="I29" i="30"/>
  <c r="I27" i="30"/>
  <c r="I24" i="30"/>
  <c r="I30" i="30"/>
  <c r="I32" i="30"/>
  <c r="I26" i="30"/>
  <c r="I31" i="30"/>
  <c r="I23" i="30"/>
  <c r="I14" i="30"/>
  <c r="I17" i="30"/>
  <c r="I12" i="30"/>
  <c r="I18" i="30"/>
  <c r="I10" i="30"/>
  <c r="I11" i="30"/>
  <c r="I15" i="30"/>
  <c r="I13" i="30"/>
  <c r="I16" i="30"/>
  <c r="I9" i="30"/>
  <c r="C9" i="25" l="1"/>
  <c r="C8" i="25"/>
  <c r="C7" i="25"/>
  <c r="C6" i="25"/>
  <c r="A4" i="24" l="1"/>
  <c r="D9" i="11" l="1"/>
  <c r="D8" i="11"/>
  <c r="D7" i="11"/>
  <c r="D6" i="11"/>
  <c r="A4" i="11" l="1"/>
  <c r="C43" i="13" l="1"/>
  <c r="J76" i="21"/>
  <c r="M76" i="21" s="1"/>
  <c r="O76" i="21" l="1"/>
  <c r="P76" i="21"/>
  <c r="AA39" i="21"/>
  <c r="AB39" i="21"/>
  <c r="AB43" i="21"/>
  <c r="AB47" i="21"/>
  <c r="AB56" i="21"/>
  <c r="AB48" i="21"/>
  <c r="AA41" i="21"/>
  <c r="AA62" i="21"/>
  <c r="AB45" i="21"/>
  <c r="AB44" i="21"/>
  <c r="AA59" i="21"/>
  <c r="AA60" i="21"/>
  <c r="AB53" i="21"/>
  <c r="AB58" i="21"/>
  <c r="AA40" i="21"/>
  <c r="AA42" i="21"/>
  <c r="AA53" i="21"/>
  <c r="AA55" i="21"/>
  <c r="AA48" i="21"/>
  <c r="AB41" i="21"/>
  <c r="AB57" i="21"/>
  <c r="AB40" i="21"/>
  <c r="AA44" i="21"/>
  <c r="AB59" i="21"/>
  <c r="AA56" i="21"/>
  <c r="AA43" i="21"/>
  <c r="AA47" i="21"/>
  <c r="AA61" i="21"/>
  <c r="AA58" i="21"/>
  <c r="AB42" i="21"/>
  <c r="AB62" i="21"/>
  <c r="AA45" i="21"/>
  <c r="AA54" i="21"/>
  <c r="AB60" i="21"/>
  <c r="AB46" i="21"/>
  <c r="AB55" i="21"/>
  <c r="AB61" i="21"/>
  <c r="AA57" i="21"/>
  <c r="AA46" i="21"/>
  <c r="AB54" i="21"/>
  <c r="N76" i="21"/>
  <c r="AC54" i="21" l="1"/>
  <c r="G24" i="30" s="1"/>
  <c r="AC55" i="21"/>
  <c r="AC59" i="21"/>
  <c r="AC41" i="21"/>
  <c r="AC47" i="21"/>
  <c r="H23" i="31" s="1"/>
  <c r="AC46" i="21"/>
  <c r="AC62" i="21"/>
  <c r="H57" i="31" s="1"/>
  <c r="AC43" i="21"/>
  <c r="H30" i="31" s="1"/>
  <c r="AC60" i="21"/>
  <c r="H44" i="31" s="1"/>
  <c r="AC42" i="21"/>
  <c r="G12" i="30" s="1"/>
  <c r="AC40" i="21"/>
  <c r="AC58" i="21"/>
  <c r="AC44" i="21"/>
  <c r="H31" i="31" s="1"/>
  <c r="AC48" i="21"/>
  <c r="G18" i="30" s="1"/>
  <c r="AC39" i="21"/>
  <c r="AC61" i="21"/>
  <c r="AC57" i="21"/>
  <c r="H41" i="31" s="1"/>
  <c r="AC53" i="21"/>
  <c r="H48" i="31" s="1"/>
  <c r="AC45" i="21"/>
  <c r="AC56" i="21"/>
  <c r="H25" i="30"/>
  <c r="H13" i="30"/>
  <c r="S76" i="21"/>
  <c r="H31" i="30"/>
  <c r="H16" i="30"/>
  <c r="L43" i="31"/>
  <c r="L21" i="31"/>
  <c r="H28" i="30"/>
  <c r="H11" i="30"/>
  <c r="H9" i="30"/>
  <c r="L37" i="31"/>
  <c r="U57" i="21"/>
  <c r="K41" i="31" s="1"/>
  <c r="U48" i="21"/>
  <c r="K24" i="31" s="1"/>
  <c r="V41" i="21"/>
  <c r="K28" i="31" s="1"/>
  <c r="V40" i="21"/>
  <c r="K27" i="31" s="1"/>
  <c r="V54" i="21"/>
  <c r="K49" i="31" s="1"/>
  <c r="R55" i="21"/>
  <c r="R42" i="21"/>
  <c r="R43" i="21"/>
  <c r="V55" i="21"/>
  <c r="K50" i="31" s="1"/>
  <c r="U54" i="21"/>
  <c r="K38" i="31" s="1"/>
  <c r="U47" i="21"/>
  <c r="K23" i="31" s="1"/>
  <c r="U55" i="21"/>
  <c r="K39" i="31" s="1"/>
  <c r="V46" i="21"/>
  <c r="K33" i="31" s="1"/>
  <c r="V59" i="21"/>
  <c r="K54" i="31" s="1"/>
  <c r="U58" i="21"/>
  <c r="K42" i="31" s="1"/>
  <c r="U45" i="21"/>
  <c r="K21" i="31" s="1"/>
  <c r="V62" i="21"/>
  <c r="K57" i="31" s="1"/>
  <c r="V47" i="21"/>
  <c r="K34" i="31" s="1"/>
  <c r="U62" i="21"/>
  <c r="K46" i="31" s="1"/>
  <c r="V53" i="21"/>
  <c r="K48" i="31" s="1"/>
  <c r="U44" i="21"/>
  <c r="K20" i="31" s="1"/>
  <c r="V45" i="21"/>
  <c r="K32" i="31" s="1"/>
  <c r="V44" i="21"/>
  <c r="K31" i="31" s="1"/>
  <c r="R58" i="21"/>
  <c r="T39" i="21"/>
  <c r="R61" i="21"/>
  <c r="V42" i="21"/>
  <c r="K29" i="31" s="1"/>
  <c r="V58" i="21"/>
  <c r="K53" i="31" s="1"/>
  <c r="U61" i="21"/>
  <c r="K45" i="31" s="1"/>
  <c r="U42" i="21"/>
  <c r="K18" i="31" s="1"/>
  <c r="U39" i="21"/>
  <c r="K15" i="31" s="1"/>
  <c r="R53" i="21"/>
  <c r="R41" i="21"/>
  <c r="V60" i="21"/>
  <c r="K55" i="31" s="1"/>
  <c r="V48" i="21"/>
  <c r="K35" i="31" s="1"/>
  <c r="V61" i="21"/>
  <c r="K56" i="31" s="1"/>
  <c r="U60" i="21"/>
  <c r="K44" i="31" s="1"/>
  <c r="U41" i="21"/>
  <c r="K17" i="31" s="1"/>
  <c r="U53" i="21"/>
  <c r="K37" i="31" s="1"/>
  <c r="V43" i="21"/>
  <c r="K30" i="31" s="1"/>
  <c r="V57" i="21"/>
  <c r="K52" i="31" s="1"/>
  <c r="U56" i="21"/>
  <c r="K40" i="31" s="1"/>
  <c r="U46" i="21"/>
  <c r="K22" i="31" s="1"/>
  <c r="U40" i="21"/>
  <c r="K16" i="31" s="1"/>
  <c r="V39" i="21"/>
  <c r="K26" i="31" s="1"/>
  <c r="V56" i="21"/>
  <c r="K51" i="31" s="1"/>
  <c r="U59" i="21"/>
  <c r="K43" i="31" s="1"/>
  <c r="U43" i="21"/>
  <c r="K19" i="31" s="1"/>
  <c r="R40" i="21"/>
  <c r="R54" i="21"/>
  <c r="S60" i="21"/>
  <c r="R39" i="21"/>
  <c r="S42" i="21"/>
  <c r="T57" i="21"/>
  <c r="S53" i="21"/>
  <c r="T56" i="21"/>
  <c r="R60" i="21"/>
  <c r="R56" i="21"/>
  <c r="R47" i="21"/>
  <c r="R44" i="21"/>
  <c r="T44" i="21"/>
  <c r="S47" i="21"/>
  <c r="S55" i="21"/>
  <c r="T60" i="21"/>
  <c r="T40" i="21"/>
  <c r="S48" i="21"/>
  <c r="T47" i="21"/>
  <c r="S61" i="21"/>
  <c r="T41" i="21"/>
  <c r="S58" i="21"/>
  <c r="T43" i="21"/>
  <c r="S43" i="21"/>
  <c r="S45" i="21"/>
  <c r="S57" i="21"/>
  <c r="S59" i="21"/>
  <c r="T62" i="21"/>
  <c r="R62" i="21"/>
  <c r="T55" i="21"/>
  <c r="T45" i="21"/>
  <c r="T54" i="21"/>
  <c r="T58" i="21"/>
  <c r="T61" i="21"/>
  <c r="R57" i="21"/>
  <c r="R46" i="21"/>
  <c r="S46" i="21"/>
  <c r="S62" i="21"/>
  <c r="R45" i="21"/>
  <c r="R48" i="21"/>
  <c r="S44" i="21"/>
  <c r="S41" i="21"/>
  <c r="R59" i="21"/>
  <c r="S54" i="21"/>
  <c r="S56" i="21"/>
  <c r="T42" i="21"/>
  <c r="S40" i="21"/>
  <c r="T59" i="21"/>
  <c r="T46" i="21"/>
  <c r="T48" i="21"/>
  <c r="T53" i="21"/>
  <c r="S39" i="21"/>
  <c r="L39" i="31" l="1"/>
  <c r="W62" i="21"/>
  <c r="Q57" i="31" s="1"/>
  <c r="W58" i="21"/>
  <c r="Q53" i="31" s="1"/>
  <c r="W54" i="21"/>
  <c r="Q38" i="31" s="1"/>
  <c r="W61" i="21"/>
  <c r="Q56" i="31" s="1"/>
  <c r="W57" i="21"/>
  <c r="Q52" i="31" s="1"/>
  <c r="W53" i="21"/>
  <c r="Q37" i="31" s="1"/>
  <c r="W60" i="21"/>
  <c r="Q44" i="31" s="1"/>
  <c r="W56" i="21"/>
  <c r="Q40" i="31" s="1"/>
  <c r="W59" i="21"/>
  <c r="Q43" i="31" s="1"/>
  <c r="W55" i="21"/>
  <c r="Q50" i="31" s="1"/>
  <c r="W39" i="21"/>
  <c r="Q15" i="31" s="1"/>
  <c r="W41" i="21"/>
  <c r="Q17" i="31" s="1"/>
  <c r="W45" i="21"/>
  <c r="Q32" i="31" s="1"/>
  <c r="W46" i="21"/>
  <c r="Q33" i="31" s="1"/>
  <c r="W43" i="21"/>
  <c r="Q30" i="31" s="1"/>
  <c r="W47" i="21"/>
  <c r="Q34" i="31" s="1"/>
  <c r="W40" i="21"/>
  <c r="Q16" i="31" s="1"/>
  <c r="W44" i="21"/>
  <c r="Q31" i="31" s="1"/>
  <c r="W48" i="21"/>
  <c r="Q35" i="31" s="1"/>
  <c r="W42" i="21"/>
  <c r="Q18" i="31" s="1"/>
  <c r="T76" i="21"/>
  <c r="D32" i="24" s="1"/>
  <c r="L19" i="31"/>
  <c r="H35" i="31"/>
  <c r="G13" i="30"/>
  <c r="H19" i="31"/>
  <c r="H18" i="31"/>
  <c r="H29" i="31"/>
  <c r="L45" i="31"/>
  <c r="H20" i="31"/>
  <c r="G17" i="30"/>
  <c r="H29" i="30"/>
  <c r="G14" i="30"/>
  <c r="H15" i="30"/>
  <c r="H24" i="31"/>
  <c r="L42" i="31"/>
  <c r="H38" i="31"/>
  <c r="H46" i="31"/>
  <c r="G32" i="30"/>
  <c r="H49" i="31"/>
  <c r="L22" i="31"/>
  <c r="G30" i="30"/>
  <c r="G23" i="30"/>
  <c r="H37" i="31"/>
  <c r="L17" i="31"/>
  <c r="H52" i="31"/>
  <c r="H55" i="31"/>
  <c r="G27" i="30"/>
  <c r="L15" i="31"/>
  <c r="H23" i="30"/>
  <c r="H34" i="31"/>
  <c r="E14" i="30"/>
  <c r="G26" i="11"/>
  <c r="G27" i="24"/>
  <c r="J20" i="31"/>
  <c r="J39" i="31"/>
  <c r="E25" i="30"/>
  <c r="E23" i="11"/>
  <c r="E24" i="24"/>
  <c r="F50" i="31"/>
  <c r="D25" i="30"/>
  <c r="F39" i="31"/>
  <c r="L24" i="31"/>
  <c r="H18" i="30"/>
  <c r="L41" i="31"/>
  <c r="H27" i="30"/>
  <c r="J15" i="31"/>
  <c r="G21" i="11"/>
  <c r="G22" i="24"/>
  <c r="E9" i="30"/>
  <c r="F30" i="11"/>
  <c r="J57" i="31"/>
  <c r="F32" i="30"/>
  <c r="F31" i="24"/>
  <c r="G31" i="24"/>
  <c r="G30" i="11"/>
  <c r="J24" i="31"/>
  <c r="E18" i="30"/>
  <c r="G25" i="24"/>
  <c r="G24" i="11"/>
  <c r="E12" i="30"/>
  <c r="J18" i="31"/>
  <c r="D23" i="30"/>
  <c r="F48" i="31"/>
  <c r="F37" i="31"/>
  <c r="H15" i="31"/>
  <c r="G9" i="30"/>
  <c r="H26" i="31"/>
  <c r="L16" i="31"/>
  <c r="H10" i="30"/>
  <c r="J33" i="31"/>
  <c r="F16" i="30"/>
  <c r="H29" i="24"/>
  <c r="H28" i="11"/>
  <c r="F35" i="31"/>
  <c r="F24" i="31"/>
  <c r="D18" i="30"/>
  <c r="F31" i="30"/>
  <c r="F29" i="11"/>
  <c r="J56" i="31"/>
  <c r="F30" i="24"/>
  <c r="E28" i="24"/>
  <c r="E29" i="30"/>
  <c r="E27" i="11"/>
  <c r="J43" i="31"/>
  <c r="F11" i="30"/>
  <c r="H23" i="11"/>
  <c r="J28" i="31"/>
  <c r="H24" i="24"/>
  <c r="H23" i="24"/>
  <c r="J27" i="31"/>
  <c r="H22" i="11"/>
  <c r="F10" i="30"/>
  <c r="F34" i="31"/>
  <c r="F23" i="31"/>
  <c r="D17" i="30"/>
  <c r="F25" i="24"/>
  <c r="F24" i="11"/>
  <c r="F26" i="30"/>
  <c r="J51" i="31"/>
  <c r="F49" i="31"/>
  <c r="D24" i="30"/>
  <c r="F38" i="31"/>
  <c r="D28" i="30"/>
  <c r="F42" i="31"/>
  <c r="F53" i="31"/>
  <c r="H14" i="30"/>
  <c r="L20" i="31"/>
  <c r="L23" i="31"/>
  <c r="H17" i="30"/>
  <c r="G28" i="30"/>
  <c r="H53" i="31"/>
  <c r="H42" i="31"/>
  <c r="H12" i="30"/>
  <c r="L18" i="31"/>
  <c r="H54" i="31"/>
  <c r="G29" i="30"/>
  <c r="H43" i="31"/>
  <c r="F43" i="31"/>
  <c r="F54" i="31"/>
  <c r="D29" i="30"/>
  <c r="F15" i="30"/>
  <c r="H28" i="24"/>
  <c r="H27" i="11"/>
  <c r="J32" i="31"/>
  <c r="G25" i="11"/>
  <c r="J19" i="31"/>
  <c r="G26" i="24"/>
  <c r="E13" i="30"/>
  <c r="D14" i="30"/>
  <c r="F20" i="31"/>
  <c r="F31" i="31"/>
  <c r="G26" i="30"/>
  <c r="H51" i="31"/>
  <c r="H40" i="31"/>
  <c r="G11" i="30"/>
  <c r="H17" i="31"/>
  <c r="H28" i="31"/>
  <c r="J48" i="31"/>
  <c r="F22" i="24"/>
  <c r="F21" i="11"/>
  <c r="F23" i="30"/>
  <c r="H24" i="11"/>
  <c r="J29" i="31"/>
  <c r="F12" i="30"/>
  <c r="H25" i="24"/>
  <c r="E11" i="30"/>
  <c r="G23" i="11"/>
  <c r="J17" i="31"/>
  <c r="G24" i="24"/>
  <c r="E32" i="30"/>
  <c r="E30" i="11"/>
  <c r="E31" i="24"/>
  <c r="J46" i="31"/>
  <c r="F25" i="30"/>
  <c r="F23" i="11"/>
  <c r="F24" i="24"/>
  <c r="J50" i="31"/>
  <c r="H22" i="31"/>
  <c r="H33" i="31"/>
  <c r="G16" i="30"/>
  <c r="J54" i="31"/>
  <c r="F29" i="30"/>
  <c r="F28" i="24"/>
  <c r="F27" i="11"/>
  <c r="J40" i="31"/>
  <c r="E25" i="24"/>
  <c r="E26" i="30"/>
  <c r="E24" i="11"/>
  <c r="F32" i="31"/>
  <c r="F21" i="31"/>
  <c r="D15" i="30"/>
  <c r="G29" i="24"/>
  <c r="E16" i="30"/>
  <c r="J22" i="31"/>
  <c r="G28" i="11"/>
  <c r="F26" i="11"/>
  <c r="J53" i="31"/>
  <c r="F27" i="24"/>
  <c r="F28" i="30"/>
  <c r="E26" i="24"/>
  <c r="J41" i="31"/>
  <c r="E25" i="11"/>
  <c r="E27" i="30"/>
  <c r="E29" i="11"/>
  <c r="E31" i="30"/>
  <c r="J45" i="31"/>
  <c r="E30" i="24"/>
  <c r="F29" i="24"/>
  <c r="F28" i="11"/>
  <c r="J55" i="31"/>
  <c r="F30" i="30"/>
  <c r="J23" i="31"/>
  <c r="G29" i="11"/>
  <c r="E17" i="30"/>
  <c r="G30" i="24"/>
  <c r="D26" i="30"/>
  <c r="F40" i="31"/>
  <c r="F51" i="31"/>
  <c r="E23" i="30"/>
  <c r="E21" i="11"/>
  <c r="E22" i="24"/>
  <c r="J37" i="31"/>
  <c r="F26" i="31"/>
  <c r="F15" i="31"/>
  <c r="D9" i="30"/>
  <c r="D10" i="30"/>
  <c r="F16" i="31"/>
  <c r="F27" i="31"/>
  <c r="F30" i="31"/>
  <c r="D13" i="30"/>
  <c r="F19" i="31"/>
  <c r="H26" i="30"/>
  <c r="L40" i="31"/>
  <c r="H21" i="31"/>
  <c r="H32" i="31"/>
  <c r="G15" i="30"/>
  <c r="H56" i="31"/>
  <c r="G31" i="30"/>
  <c r="H45" i="31"/>
  <c r="F52" i="31"/>
  <c r="D27" i="30"/>
  <c r="F41" i="31"/>
  <c r="J42" i="31"/>
  <c r="E27" i="24"/>
  <c r="E28" i="30"/>
  <c r="E26" i="11"/>
  <c r="J26" i="31"/>
  <c r="H21" i="11"/>
  <c r="F9" i="30"/>
  <c r="H22" i="24"/>
  <c r="G10" i="30"/>
  <c r="H27" i="31"/>
  <c r="H16" i="31"/>
  <c r="J35" i="31"/>
  <c r="F18" i="30"/>
  <c r="H30" i="11"/>
  <c r="H31" i="24"/>
  <c r="G23" i="24"/>
  <c r="J16" i="31"/>
  <c r="E10" i="30"/>
  <c r="G22" i="11"/>
  <c r="E22" i="11"/>
  <c r="E24" i="30"/>
  <c r="J38" i="31"/>
  <c r="E23" i="24"/>
  <c r="F33" i="31"/>
  <c r="D16" i="30"/>
  <c r="F22" i="31"/>
  <c r="F23" i="24"/>
  <c r="F24" i="30"/>
  <c r="J49" i="31"/>
  <c r="F22" i="11"/>
  <c r="D32" i="30"/>
  <c r="F57" i="31"/>
  <c r="F46" i="31"/>
  <c r="G28" i="24"/>
  <c r="J21" i="31"/>
  <c r="E15" i="30"/>
  <c r="G27" i="11"/>
  <c r="J30" i="31"/>
  <c r="H25" i="11"/>
  <c r="F13" i="30"/>
  <c r="H26" i="24"/>
  <c r="H30" i="24"/>
  <c r="J34" i="31"/>
  <c r="H29" i="11"/>
  <c r="F17" i="30"/>
  <c r="J31" i="31"/>
  <c r="H27" i="24"/>
  <c r="H26" i="11"/>
  <c r="F14" i="30"/>
  <c r="F55" i="31"/>
  <c r="F44" i="31"/>
  <c r="D30" i="30"/>
  <c r="J52" i="31"/>
  <c r="F27" i="30"/>
  <c r="F25" i="11"/>
  <c r="F26" i="24"/>
  <c r="E30" i="30"/>
  <c r="J44" i="31"/>
  <c r="E29" i="24"/>
  <c r="E28" i="11"/>
  <c r="F17" i="31"/>
  <c r="F28" i="31"/>
  <c r="D11" i="30"/>
  <c r="F45" i="31"/>
  <c r="F56" i="31"/>
  <c r="D31" i="30"/>
  <c r="F29" i="31"/>
  <c r="D12" i="30"/>
  <c r="F18" i="31"/>
  <c r="L38" i="31"/>
  <c r="H24" i="30"/>
  <c r="H32" i="30"/>
  <c r="L46" i="31"/>
  <c r="H39" i="31"/>
  <c r="G25" i="30"/>
  <c r="H50" i="31"/>
  <c r="L44" i="31"/>
  <c r="H30" i="30"/>
  <c r="Q42" i="31" l="1"/>
  <c r="Q46" i="31"/>
  <c r="D31" i="11"/>
  <c r="Q27" i="31"/>
  <c r="Q54" i="31"/>
  <c r="Q41" i="31"/>
  <c r="Q21" i="31"/>
  <c r="Q39" i="31"/>
  <c r="Q48" i="31"/>
  <c r="Q22" i="31"/>
  <c r="Q20" i="31"/>
  <c r="Q55" i="31"/>
  <c r="Q49" i="31"/>
  <c r="Q24" i="31"/>
  <c r="Q19" i="31"/>
  <c r="Q26" i="31"/>
  <c r="Q28" i="31"/>
  <c r="Q29" i="31"/>
  <c r="Q23" i="31"/>
  <c r="Q51" i="31"/>
  <c r="Q45" i="31"/>
  <c r="A50" i="13"/>
  <c r="S402" i="23" l="1"/>
  <c r="T291" i="23" l="1"/>
  <c r="AE95" i="23" l="1"/>
  <c r="N100" i="23" s="1"/>
  <c r="H91" i="23"/>
  <c r="H106" i="23" l="1"/>
  <c r="M164" i="23"/>
  <c r="U100" i="23"/>
  <c r="G157" i="23"/>
  <c r="F160" i="23" l="1"/>
  <c r="G158" i="23"/>
  <c r="M170" i="23"/>
  <c r="Q170" i="23" s="1"/>
  <c r="L163" i="23"/>
  <c r="AP163" i="23"/>
</calcChain>
</file>

<file path=xl/sharedStrings.xml><?xml version="1.0" encoding="utf-8"?>
<sst xmlns="http://schemas.openxmlformats.org/spreadsheetml/2006/main" count="1973" uniqueCount="984">
  <si>
    <r>
      <t xml:space="preserve">CALIBRATION </t>
    </r>
    <r>
      <rPr>
        <b/>
        <sz val="20"/>
        <rFont val="돋움"/>
        <family val="3"/>
        <charset val="129"/>
      </rPr>
      <t>기본정보</t>
    </r>
    <phoneticPr fontId="4" type="noConversion"/>
  </si>
  <si>
    <r>
      <t xml:space="preserve">[1] </t>
    </r>
    <r>
      <rPr>
        <b/>
        <sz val="8"/>
        <rFont val="맑은 고딕"/>
        <family val="3"/>
        <charset val="129"/>
      </rPr>
      <t>교정정보</t>
    </r>
    <r>
      <rPr>
        <b/>
        <sz val="8"/>
        <rFont val="Tahoma"/>
        <family val="2"/>
      </rPr>
      <t/>
    </r>
    <phoneticPr fontId="4" type="noConversion"/>
  </si>
  <si>
    <t>등록번호</t>
    <phoneticPr fontId="4" type="noConversion"/>
  </si>
  <si>
    <r>
      <rPr>
        <sz val="8"/>
        <rFont val="맑은 고딕"/>
        <family val="3"/>
        <charset val="129"/>
      </rPr>
      <t>접수번호</t>
    </r>
    <phoneticPr fontId="4" type="noConversion"/>
  </si>
  <si>
    <r>
      <rPr>
        <sz val="8"/>
        <rFont val="맑은 고딕"/>
        <family val="3"/>
        <charset val="129"/>
      </rPr>
      <t>의뢰기관</t>
    </r>
    <phoneticPr fontId="4" type="noConversion"/>
  </si>
  <si>
    <r>
      <rPr>
        <sz val="8"/>
        <rFont val="맑은 고딕"/>
        <family val="3"/>
        <charset val="129"/>
      </rPr>
      <t>교정일자</t>
    </r>
    <phoneticPr fontId="4" type="noConversion"/>
  </si>
  <si>
    <r>
      <rPr>
        <sz val="8"/>
        <rFont val="맑은 고딕"/>
        <family val="3"/>
        <charset val="129"/>
      </rPr>
      <t>기기명</t>
    </r>
    <phoneticPr fontId="4" type="noConversion"/>
  </si>
  <si>
    <t>교정절차서1</t>
    <phoneticPr fontId="4" type="noConversion"/>
  </si>
  <si>
    <r>
      <rPr>
        <sz val="8"/>
        <rFont val="맑은 고딕"/>
        <family val="3"/>
        <charset val="129"/>
      </rPr>
      <t>제작회사</t>
    </r>
    <phoneticPr fontId="4" type="noConversion"/>
  </si>
  <si>
    <t>교정절차서2</t>
    <phoneticPr fontId="4" type="noConversion"/>
  </si>
  <si>
    <r>
      <rPr>
        <sz val="8"/>
        <rFont val="맑은 고딕"/>
        <family val="3"/>
        <charset val="129"/>
      </rPr>
      <t>형식</t>
    </r>
    <phoneticPr fontId="4" type="noConversion"/>
  </si>
  <si>
    <t>접수확인자</t>
    <phoneticPr fontId="4" type="noConversion"/>
  </si>
  <si>
    <r>
      <rPr>
        <sz val="8"/>
        <rFont val="맑은 고딕"/>
        <family val="3"/>
        <charset val="129"/>
      </rPr>
      <t>기기번호</t>
    </r>
    <phoneticPr fontId="4" type="noConversion"/>
  </si>
  <si>
    <t>인증교정자</t>
    <phoneticPr fontId="4" type="noConversion"/>
  </si>
  <si>
    <t>기술책임자</t>
    <phoneticPr fontId="4" type="noConversion"/>
  </si>
  <si>
    <r>
      <rPr>
        <sz val="8"/>
        <rFont val="맑은 고딕"/>
        <family val="3"/>
        <charset val="129"/>
      </rPr>
      <t>교정주기</t>
    </r>
    <phoneticPr fontId="4" type="noConversion"/>
  </si>
  <si>
    <r>
      <t>KOLAS</t>
    </r>
    <r>
      <rPr>
        <sz val="8"/>
        <rFont val="맑은 고딕"/>
        <family val="3"/>
        <charset val="129"/>
      </rPr>
      <t>유무</t>
    </r>
    <phoneticPr fontId="4" type="noConversion"/>
  </si>
  <si>
    <t>1: KOLAS 성적서
0: 비공인성적서</t>
    <phoneticPr fontId="4" type="noConversion"/>
  </si>
  <si>
    <r>
      <t xml:space="preserve">[2] </t>
    </r>
    <r>
      <rPr>
        <b/>
        <sz val="8"/>
        <rFont val="맑은 고딕"/>
        <family val="3"/>
        <charset val="129"/>
      </rPr>
      <t>교정환경</t>
    </r>
    <r>
      <rPr>
        <b/>
        <sz val="8"/>
        <rFont val="Tahoma"/>
        <family val="2"/>
      </rPr>
      <t/>
    </r>
    <phoneticPr fontId="4" type="noConversion"/>
  </si>
  <si>
    <r>
      <rPr>
        <sz val="8"/>
        <rFont val="맑은 고딕"/>
        <family val="3"/>
        <charset val="129"/>
      </rPr>
      <t>최저온도</t>
    </r>
    <phoneticPr fontId="4" type="noConversion"/>
  </si>
  <si>
    <t>최저습도</t>
    <phoneticPr fontId="4" type="noConversion"/>
  </si>
  <si>
    <t>최저기압</t>
    <phoneticPr fontId="4" type="noConversion"/>
  </si>
  <si>
    <t>교정장소</t>
    <phoneticPr fontId="4" type="noConversion"/>
  </si>
  <si>
    <t>0: KC00-011 고정표준실
1: 현장교정
4: KC10-244 고정표준실</t>
    <phoneticPr fontId="4" type="noConversion"/>
  </si>
  <si>
    <r>
      <rPr>
        <sz val="8"/>
        <rFont val="맑은 고딕"/>
        <family val="3"/>
        <charset val="129"/>
      </rPr>
      <t>최고온도</t>
    </r>
    <phoneticPr fontId="4" type="noConversion"/>
  </si>
  <si>
    <r>
      <rPr>
        <sz val="8"/>
        <rFont val="맑은 고딕"/>
        <family val="3"/>
        <charset val="129"/>
      </rPr>
      <t>최고습도</t>
    </r>
    <phoneticPr fontId="4" type="noConversion"/>
  </si>
  <si>
    <t>최고기압</t>
    <phoneticPr fontId="4" type="noConversion"/>
  </si>
  <si>
    <r>
      <t xml:space="preserve">[3] </t>
    </r>
    <r>
      <rPr>
        <b/>
        <sz val="8"/>
        <rFont val="맑은 고딕"/>
        <family val="3"/>
        <charset val="129"/>
      </rPr>
      <t>교정방법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소급성서술</t>
    </r>
    <r>
      <rPr>
        <b/>
        <sz val="8"/>
        <rFont val="Tahoma"/>
        <family val="2"/>
      </rPr>
      <t/>
    </r>
    <phoneticPr fontId="4" type="noConversion"/>
  </si>
  <si>
    <r>
      <t xml:space="preserve">[4] </t>
    </r>
    <r>
      <rPr>
        <b/>
        <sz val="8"/>
        <rFont val="맑은 고딕"/>
        <family val="3"/>
        <charset val="129"/>
      </rPr>
      <t>교정에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사용한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표준장비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명세</t>
    </r>
    <r>
      <rPr>
        <b/>
        <sz val="8"/>
        <rFont val="Tahoma"/>
        <family val="2"/>
      </rPr>
      <t/>
    </r>
    <phoneticPr fontId="4" type="noConversion"/>
  </si>
  <si>
    <r>
      <rPr>
        <sz val="8"/>
        <rFont val="맑은 고딕"/>
        <family val="3"/>
        <charset val="129"/>
      </rPr>
      <t>등록번호</t>
    </r>
    <phoneticPr fontId="4" type="noConversion"/>
  </si>
  <si>
    <t>기기명</t>
    <phoneticPr fontId="4" type="noConversion"/>
  </si>
  <si>
    <t>제작회사</t>
    <phoneticPr fontId="4" type="noConversion"/>
  </si>
  <si>
    <t>기기번호</t>
    <phoneticPr fontId="4" type="noConversion"/>
  </si>
  <si>
    <t>차기교정예정일자</t>
    <phoneticPr fontId="4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</si>
  <si>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4" type="noConversion"/>
  </si>
  <si>
    <t>세부분류코드</t>
    <phoneticPr fontId="4" type="noConversion"/>
  </si>
  <si>
    <r>
      <t xml:space="preserve">[5] </t>
    </r>
    <r>
      <rPr>
        <b/>
        <sz val="8"/>
        <rFont val="돋움"/>
        <family val="3"/>
        <charset val="129"/>
      </rPr>
      <t>교정결과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검토</t>
    </r>
    <phoneticPr fontId="4" type="noConversion"/>
  </si>
  <si>
    <t>전체</t>
    <phoneticPr fontId="4" type="noConversion"/>
  </si>
  <si>
    <t>특이사항</t>
    <phoneticPr fontId="4" type="noConversion"/>
  </si>
  <si>
    <t>PASS</t>
    <phoneticPr fontId="4" type="noConversion"/>
  </si>
  <si>
    <t>FIAL</t>
    <phoneticPr fontId="4" type="noConversion"/>
  </si>
  <si>
    <t>교정자 확인</t>
    <phoneticPr fontId="4" type="noConversion"/>
  </si>
  <si>
    <t>확인전</t>
  </si>
  <si>
    <t>CONDITION</t>
    <phoneticPr fontId="4" type="noConversion"/>
  </si>
  <si>
    <t>SPEC</t>
    <phoneticPr fontId="4" type="noConversion"/>
  </si>
  <si>
    <t>Display</t>
    <phoneticPr fontId="4" type="noConversion"/>
  </si>
  <si>
    <t>분해능단위</t>
    <phoneticPr fontId="4" type="noConversion"/>
  </si>
  <si>
    <t>MIN</t>
    <phoneticPr fontId="4" type="noConversion"/>
  </si>
  <si>
    <t>MAX</t>
    <phoneticPr fontId="4" type="noConversion"/>
  </si>
  <si>
    <t>UNIT</t>
    <phoneticPr fontId="4" type="noConversion"/>
  </si>
  <si>
    <t>CMC_UNIT</t>
    <phoneticPr fontId="4" type="noConversion"/>
  </si>
  <si>
    <t>CMC 검토</t>
    <phoneticPr fontId="4" type="noConversion"/>
  </si>
  <si>
    <t>자유도</t>
  </si>
  <si>
    <t>∞</t>
  </si>
  <si>
    <t>CMC_1</t>
    <phoneticPr fontId="4" type="noConversion"/>
  </si>
  <si>
    <t>CMC_2</t>
  </si>
  <si>
    <t xml:space="preserve"> 성적서발급번호(Certificate No) :</t>
    <phoneticPr fontId="4" type="noConversion"/>
  </si>
  <si>
    <t>CALIBRATION Result</t>
    <phoneticPr fontId="4" type="noConversion"/>
  </si>
  <si>
    <t>부록</t>
    <phoneticPr fontId="4" type="noConversion"/>
  </si>
  <si>
    <t>단위</t>
    <phoneticPr fontId="4" type="noConversion"/>
  </si>
  <si>
    <t>최소눈금</t>
    <phoneticPr fontId="4" type="noConversion"/>
  </si>
  <si>
    <t>CMC</t>
    <phoneticPr fontId="4" type="noConversion"/>
  </si>
  <si>
    <t>등록번호</t>
    <phoneticPr fontId="69" type="noConversion"/>
  </si>
  <si>
    <t>기기명(종류)</t>
    <phoneticPr fontId="69" type="noConversion"/>
  </si>
  <si>
    <t>측정값</t>
    <phoneticPr fontId="69" type="noConversion"/>
  </si>
  <si>
    <t>단위</t>
    <phoneticPr fontId="69" type="noConversion"/>
  </si>
  <si>
    <t>보정값</t>
    <phoneticPr fontId="69" type="noConversion"/>
  </si>
  <si>
    <t>불확도 1</t>
    <phoneticPr fontId="69" type="noConversion"/>
  </si>
  <si>
    <t>불확도 단위</t>
    <phoneticPr fontId="69" type="noConversion"/>
  </si>
  <si>
    <t>포함인자</t>
    <phoneticPr fontId="69" type="noConversion"/>
  </si>
  <si>
    <t>판정결과</t>
    <phoneticPr fontId="4" type="noConversion"/>
  </si>
  <si>
    <t>Resolution</t>
    <phoneticPr fontId="4" type="noConversion"/>
  </si>
  <si>
    <t>분해능</t>
    <phoneticPr fontId="4" type="noConversion"/>
  </si>
  <si>
    <t>표준편차</t>
    <phoneticPr fontId="4" type="noConversion"/>
  </si>
  <si>
    <t>D</t>
    <phoneticPr fontId="4" type="noConversion"/>
  </si>
  <si>
    <t>1회</t>
    <phoneticPr fontId="4" type="noConversion"/>
  </si>
  <si>
    <t xml:space="preserve"> 성적서발급번호(Certificate No) :</t>
    <phoneticPr fontId="4" type="noConversion"/>
  </si>
  <si>
    <r>
      <t xml:space="preserve">(신뢰수준 약 95 %, </t>
    </r>
    <r>
      <rPr>
        <i/>
        <sz val="9"/>
        <rFont val="Arial Unicode MS"/>
        <family val="3"/>
        <charset val="129"/>
      </rPr>
      <t>k</t>
    </r>
    <r>
      <rPr>
        <sz val="9"/>
        <rFont val="Arial Unicode MS"/>
        <family val="3"/>
        <charset val="129"/>
      </rPr>
      <t>=</t>
    </r>
    <phoneticPr fontId="4" type="noConversion"/>
  </si>
  <si>
    <r>
      <t xml:space="preserve">(Confidence level about 95 %, </t>
    </r>
    <r>
      <rPr>
        <i/>
        <sz val="9"/>
        <rFont val="Arial Unicode MS"/>
        <family val="3"/>
        <charset val="129"/>
      </rPr>
      <t>k</t>
    </r>
    <r>
      <rPr>
        <sz val="9"/>
        <rFont val="Arial Unicode MS"/>
        <family val="3"/>
        <charset val="129"/>
      </rPr>
      <t>=</t>
    </r>
    <phoneticPr fontId="4" type="noConversion"/>
  </si>
  <si>
    <t>Spec</t>
    <phoneticPr fontId="4" type="noConversion"/>
  </si>
  <si>
    <t>교정값</t>
    <phoneticPr fontId="4" type="noConversion"/>
  </si>
  <si>
    <t>Decision</t>
    <phoneticPr fontId="4" type="noConversion"/>
  </si>
  <si>
    <t>명목값</t>
    <phoneticPr fontId="4" type="noConversion"/>
  </si>
  <si>
    <t>기준기 교정데이터</t>
    <phoneticPr fontId="4" type="noConversion"/>
  </si>
  <si>
    <t>번호</t>
    <phoneticPr fontId="69" type="noConversion"/>
  </si>
  <si>
    <t>명목값</t>
    <phoneticPr fontId="69" type="noConversion"/>
  </si>
  <si>
    <t>기준값</t>
    <phoneticPr fontId="69" type="noConversion"/>
  </si>
  <si>
    <t>불확도 2</t>
  </si>
  <si>
    <t>비고</t>
    <phoneticPr fontId="4" type="noConversion"/>
  </si>
  <si>
    <t>교정일자</t>
    <phoneticPr fontId="69" type="noConversion"/>
  </si>
  <si>
    <t>1. 교정조건</t>
    <phoneticPr fontId="4" type="noConversion"/>
  </si>
  <si>
    <r>
      <t>t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</si>
  <si>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r>
      <t>CMC</t>
    </r>
    <r>
      <rPr>
        <b/>
        <sz val="9"/>
        <color indexed="9"/>
        <rFont val="돋움"/>
        <family val="3"/>
        <charset val="129"/>
      </rPr>
      <t>초과</t>
    </r>
    <r>
      <rPr>
        <b/>
        <sz val="9"/>
        <color indexed="9"/>
        <rFont val="Tahoma"/>
        <family val="2"/>
      </rPr>
      <t>?</t>
    </r>
  </si>
  <si>
    <t>FAIL?</t>
  </si>
  <si>
    <t>기준값</t>
    <phoneticPr fontId="4" type="noConversion"/>
  </si>
  <si>
    <t>보정값</t>
    <phoneticPr fontId="4" type="noConversion"/>
  </si>
  <si>
    <t>자리수 맞춤</t>
    <phoneticPr fontId="4" type="noConversion"/>
  </si>
  <si>
    <t>평균</t>
    <phoneticPr fontId="4" type="noConversion"/>
  </si>
  <si>
    <t>Max</t>
    <phoneticPr fontId="4" type="noConversion"/>
  </si>
  <si>
    <t>입력량</t>
    <phoneticPr fontId="4" type="noConversion"/>
  </si>
  <si>
    <t>표준불확도</t>
    <phoneticPr fontId="4" type="noConversion"/>
  </si>
  <si>
    <t>확률분포</t>
    <phoneticPr fontId="4" type="noConversion"/>
  </si>
  <si>
    <t>자유도</t>
    <phoneticPr fontId="4" type="noConversion"/>
  </si>
  <si>
    <t>표기용</t>
    <phoneticPr fontId="4" type="noConversion"/>
  </si>
  <si>
    <t>A</t>
    <phoneticPr fontId="4" type="noConversion"/>
  </si>
  <si>
    <t>B</t>
    <phoneticPr fontId="4" type="noConversion"/>
  </si>
  <si>
    <t>k</t>
    <phoneticPr fontId="4" type="noConversion"/>
  </si>
  <si>
    <t>선택</t>
    <phoneticPr fontId="4" type="noConversion"/>
  </si>
  <si>
    <t>신뢰수준(%)</t>
    <phoneticPr fontId="4" type="noConversion"/>
  </si>
  <si>
    <t>불확도</t>
    <phoneticPr fontId="4" type="noConversion"/>
  </si>
  <si>
    <t>성적서</t>
    <phoneticPr fontId="4" type="noConversion"/>
  </si>
  <si>
    <t>Rawdata</t>
    <phoneticPr fontId="4" type="noConversion"/>
  </si>
  <si>
    <t>Number</t>
    <phoneticPr fontId="4" type="noConversion"/>
  </si>
  <si>
    <t>소수점</t>
    <phoneticPr fontId="4" type="noConversion"/>
  </si>
  <si>
    <t>Format</t>
    <phoneticPr fontId="4" type="noConversion"/>
  </si>
  <si>
    <t>자리수</t>
    <phoneticPr fontId="4" type="noConversion"/>
  </si>
  <si>
    <t>0</t>
    <phoneticPr fontId="4" type="noConversion"/>
  </si>
  <si>
    <t>0.0</t>
    <phoneticPr fontId="4" type="noConversion"/>
  </si>
  <si>
    <t>0.00</t>
    <phoneticPr fontId="4" type="noConversion"/>
  </si>
  <si>
    <t>0.000</t>
    <phoneticPr fontId="4" type="noConversion"/>
  </si>
  <si>
    <t>0.000 0</t>
    <phoneticPr fontId="4" type="noConversion"/>
  </si>
  <si>
    <t>0.000 00</t>
    <phoneticPr fontId="4" type="noConversion"/>
  </si>
  <si>
    <t>추정값</t>
    <phoneticPr fontId="4" type="noConversion"/>
  </si>
  <si>
    <t>감도계수</t>
    <phoneticPr fontId="4" type="noConversion"/>
  </si>
  <si>
    <t>C</t>
    <phoneticPr fontId="4" type="noConversion"/>
  </si>
  <si>
    <t>E</t>
    <phoneticPr fontId="4" type="noConversion"/>
  </si>
  <si>
    <t>F</t>
    <phoneticPr fontId="4" type="noConversion"/>
  </si>
  <si>
    <t>● 교정료 계산</t>
    <phoneticPr fontId="4" type="noConversion"/>
  </si>
  <si>
    <t>조건 1</t>
    <phoneticPr fontId="4" type="noConversion"/>
  </si>
  <si>
    <t>기본수수료</t>
    <phoneticPr fontId="4" type="noConversion"/>
  </si>
  <si>
    <t>추가수수료</t>
    <phoneticPr fontId="4" type="noConversion"/>
  </si>
  <si>
    <t>합계</t>
    <phoneticPr fontId="4" type="noConversion"/>
  </si>
  <si>
    <r>
      <t>t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</si>
  <si>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t>5% rule</t>
    <phoneticPr fontId="4" type="noConversion"/>
  </si>
  <si>
    <r>
      <rPr>
        <b/>
        <sz val="20"/>
        <rFont val="돋움"/>
        <family val="3"/>
        <charset val="129"/>
      </rPr>
      <t>◆</t>
    </r>
    <r>
      <rPr>
        <b/>
        <sz val="20"/>
        <rFont val="Tahoma"/>
        <family val="2"/>
      </rPr>
      <t xml:space="preserve"> RAWDATA </t>
    </r>
    <r>
      <rPr>
        <b/>
        <sz val="20"/>
        <rFont val="돋움"/>
        <family val="3"/>
        <charset val="129"/>
      </rPr>
      <t>◆</t>
    </r>
    <phoneticPr fontId="4" type="noConversion"/>
  </si>
  <si>
    <r>
      <rPr>
        <b/>
        <sz val="9"/>
        <color indexed="9"/>
        <rFont val="돋움"/>
        <family val="3"/>
        <charset val="129"/>
      </rPr>
      <t>등록번호</t>
    </r>
    <phoneticPr fontId="4" type="noConversion"/>
  </si>
  <si>
    <r>
      <rPr>
        <b/>
        <sz val="9"/>
        <color indexed="9"/>
        <rFont val="돋움"/>
        <family val="3"/>
        <charset val="129"/>
      </rPr>
      <t>교정번호</t>
    </r>
    <phoneticPr fontId="4" type="noConversion"/>
  </si>
  <si>
    <r>
      <rPr>
        <b/>
        <sz val="9"/>
        <color indexed="9"/>
        <rFont val="돋움"/>
        <family val="3"/>
        <charset val="129"/>
      </rPr>
      <t>교정자</t>
    </r>
    <phoneticPr fontId="4" type="noConversion"/>
  </si>
  <si>
    <r>
      <rPr>
        <b/>
        <sz val="9"/>
        <color indexed="9"/>
        <rFont val="돋움"/>
        <family val="3"/>
        <charset val="129"/>
      </rPr>
      <t>기기번호</t>
    </r>
    <phoneticPr fontId="4" type="noConversion"/>
  </si>
  <si>
    <r>
      <rPr>
        <b/>
        <sz val="9"/>
        <color indexed="9"/>
        <rFont val="돋움"/>
        <family val="3"/>
        <charset val="129"/>
      </rPr>
      <t>교정일자</t>
    </r>
    <phoneticPr fontId="4" type="noConversion"/>
  </si>
  <si>
    <r>
      <rPr>
        <b/>
        <sz val="9"/>
        <color indexed="9"/>
        <rFont val="돋움"/>
        <family val="3"/>
        <charset val="129"/>
      </rPr>
      <t>기술책임자</t>
    </r>
    <phoneticPr fontId="4" type="noConversion"/>
  </si>
  <si>
    <r>
      <rPr>
        <b/>
        <sz val="9"/>
        <rFont val="돋움"/>
        <family val="3"/>
        <charset val="129"/>
      </rPr>
      <t>○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측정데이터</t>
    </r>
    <phoneticPr fontId="4" type="noConversion"/>
  </si>
  <si>
    <t>[Angle Calibration]</t>
    <phoneticPr fontId="4" type="noConversion"/>
  </si>
  <si>
    <t>사용중지?</t>
  </si>
  <si>
    <t>사용?</t>
    <phoneticPr fontId="4" type="noConversion"/>
  </si>
  <si>
    <t>정규</t>
    <phoneticPr fontId="4" type="noConversion"/>
  </si>
  <si>
    <t>∞</t>
    <phoneticPr fontId="4" type="noConversion"/>
  </si>
  <si>
    <t>t</t>
    <phoneticPr fontId="4" type="noConversion"/>
  </si>
  <si>
    <t>직사각형</t>
    <phoneticPr fontId="4" type="noConversion"/>
  </si>
  <si>
    <t>˝</t>
    <phoneticPr fontId="4" type="noConversion"/>
  </si>
  <si>
    <t>번호</t>
    <phoneticPr fontId="4" type="noConversion"/>
  </si>
  <si>
    <t>단위</t>
    <phoneticPr fontId="4" type="noConversion"/>
  </si>
  <si>
    <t>눈금</t>
    <phoneticPr fontId="4" type="noConversion"/>
  </si>
  <si>
    <t>눈금단위</t>
    <phoneticPr fontId="4" type="noConversion"/>
  </si>
  <si>
    <t>1회 전진</t>
    <phoneticPr fontId="4" type="noConversion"/>
  </si>
  <si>
    <t>1회 후퇴</t>
    <phoneticPr fontId="4" type="noConversion"/>
  </si>
  <si>
    <t>2회 전진</t>
    <phoneticPr fontId="4" type="noConversion"/>
  </si>
  <si>
    <t>2회 후퇴</t>
    <phoneticPr fontId="4" type="noConversion"/>
  </si>
  <si>
    <t>3회 전진</t>
    <phoneticPr fontId="4" type="noConversion"/>
  </si>
  <si>
    <t>3회 후퇴</t>
    <phoneticPr fontId="4" type="noConversion"/>
  </si>
  <si>
    <t>4회 전진</t>
    <phoneticPr fontId="4" type="noConversion"/>
  </si>
  <si>
    <t>4회 후퇴</t>
    <phoneticPr fontId="4" type="noConversion"/>
  </si>
  <si>
    <t>5회 전진</t>
    <phoneticPr fontId="4" type="noConversion"/>
  </si>
  <si>
    <t>5회 후퇴</t>
    <phoneticPr fontId="4" type="noConversion"/>
  </si>
  <si>
    <t>기준값</t>
    <phoneticPr fontId="4" type="noConversion"/>
  </si>
  <si>
    <t>단위</t>
    <phoneticPr fontId="4" type="noConversion"/>
  </si>
  <si>
    <t>교정값(+방향)</t>
    <phoneticPr fontId="4" type="noConversion"/>
  </si>
  <si>
    <t>교정값(-방향)</t>
    <phoneticPr fontId="4" type="noConversion"/>
  </si>
  <si>
    <t>불확도1</t>
    <phoneticPr fontId="4" type="noConversion"/>
  </si>
  <si>
    <t>불확도2</t>
    <phoneticPr fontId="4" type="noConversion"/>
  </si>
  <si>
    <t>불확도단위</t>
    <phoneticPr fontId="4" type="noConversion"/>
  </si>
  <si>
    <t>k</t>
    <phoneticPr fontId="4" type="noConversion"/>
  </si>
  <si>
    <t>방향</t>
    <phoneticPr fontId="69" type="noConversion"/>
  </si>
  <si>
    <t>감도</t>
    <phoneticPr fontId="4" type="noConversion"/>
  </si>
  <si>
    <t>미소각도 설정기 눈금값</t>
    <phoneticPr fontId="4" type="noConversion"/>
  </si>
  <si>
    <t>μm/m로 변환 (눈금 읽음값 × 감도)</t>
    <phoneticPr fontId="4" type="noConversion"/>
  </si>
  <si>
    <t>2회</t>
  </si>
  <si>
    <t>3회</t>
  </si>
  <si>
    <t>4회</t>
  </si>
  <si>
    <t>5회</t>
  </si>
  <si>
    <t>Y</t>
    <phoneticPr fontId="4" type="noConversion"/>
  </si>
  <si>
    <t>전진</t>
    <phoneticPr fontId="4" type="noConversion"/>
  </si>
  <si>
    <t>후퇴</t>
    <phoneticPr fontId="4" type="noConversion"/>
  </si>
  <si>
    <t>구간
(눈금)</t>
    <phoneticPr fontId="4" type="noConversion"/>
  </si>
  <si>
    <t>미소각도 설정기 교정값</t>
    <phoneticPr fontId="4" type="noConversion"/>
  </si>
  <si>
    <t>X</t>
    <phoneticPr fontId="4" type="noConversion"/>
  </si>
  <si>
    <t>+방향</t>
    <phoneticPr fontId="4" type="noConversion"/>
  </si>
  <si>
    <t>-방향</t>
    <phoneticPr fontId="4" type="noConversion"/>
  </si>
  <si>
    <t>최대범위</t>
    <phoneticPr fontId="4" type="noConversion"/>
  </si>
  <si>
    <t>위치</t>
    <phoneticPr fontId="4" type="noConversion"/>
  </si>
  <si>
    <t>Y (μm/m)</t>
    <phoneticPr fontId="4" type="noConversion"/>
  </si>
  <si>
    <t>s (μm/m)</t>
    <phoneticPr fontId="4" type="noConversion"/>
  </si>
  <si>
    <t>μm/m</t>
    <phoneticPr fontId="4" type="noConversion"/>
  </si>
  <si>
    <t>5. 성적서용</t>
    <phoneticPr fontId="4" type="noConversion"/>
  </si>
  <si>
    <t>6. 판정결과</t>
    <phoneticPr fontId="4" type="noConversion"/>
  </si>
  <si>
    <t>4. 불확도 계산</t>
    <phoneticPr fontId="4" type="noConversion"/>
  </si>
  <si>
    <t>요인</t>
    <phoneticPr fontId="4" type="noConversion"/>
  </si>
  <si>
    <t>요인(값)</t>
    <phoneticPr fontId="4" type="noConversion"/>
  </si>
  <si>
    <t>요인(환산)</t>
    <phoneticPr fontId="4" type="noConversion"/>
  </si>
  <si>
    <t>나눔수</t>
    <phoneticPr fontId="4" type="noConversion"/>
  </si>
  <si>
    <t>불확도기여량</t>
    <phoneticPr fontId="4" type="noConversion"/>
  </si>
  <si>
    <t>기준기</t>
    <phoneticPr fontId="4" type="noConversion"/>
  </si>
  <si>
    <t>지시값</t>
    <phoneticPr fontId="4" type="noConversion"/>
  </si>
  <si>
    <r>
      <t>δY</t>
    </r>
    <r>
      <rPr>
        <vertAlign val="subscript"/>
        <sz val="9"/>
        <rFont val="맑은 고딕"/>
        <family val="3"/>
        <charset val="129"/>
        <scheme val="major"/>
      </rPr>
      <t>d</t>
    </r>
    <phoneticPr fontId="4" type="noConversion"/>
  </si>
  <si>
    <t>목측오차</t>
    <phoneticPr fontId="4" type="noConversion"/>
  </si>
  <si>
    <r>
      <t>δY</t>
    </r>
    <r>
      <rPr>
        <vertAlign val="subscript"/>
        <sz val="9"/>
        <rFont val="맑은 고딕"/>
        <family val="3"/>
        <charset val="129"/>
        <scheme val="major"/>
      </rPr>
      <t>E</t>
    </r>
    <phoneticPr fontId="4" type="noConversion"/>
  </si>
  <si>
    <t>정렬오차</t>
    <phoneticPr fontId="4" type="noConversion"/>
  </si>
  <si>
    <r>
      <t>δM</t>
    </r>
    <r>
      <rPr>
        <vertAlign val="subscript"/>
        <sz val="9"/>
        <rFont val="맑은 고딕"/>
        <family val="3"/>
        <charset val="129"/>
        <scheme val="major"/>
      </rPr>
      <t>c</t>
    </r>
    <phoneticPr fontId="4" type="noConversion"/>
  </si>
  <si>
    <t>합성표준</t>
    <phoneticPr fontId="4" type="noConversion"/>
  </si>
  <si>
    <t>˝</t>
  </si>
  <si>
    <t>div.</t>
    <phoneticPr fontId="4" type="noConversion"/>
  </si>
  <si>
    <t>눈금 수</t>
    <phoneticPr fontId="4" type="noConversion"/>
  </si>
  <si>
    <t>직각도</t>
    <phoneticPr fontId="4" type="noConversion"/>
  </si>
  <si>
    <t>추가수수료 1</t>
    <phoneticPr fontId="4" type="noConversion"/>
  </si>
  <si>
    <t>추가수수료 2</t>
    <phoneticPr fontId="4" type="noConversion"/>
  </si>
  <si>
    <t>수준기</t>
    <phoneticPr fontId="4" type="noConversion"/>
  </si>
  <si>
    <t>4눈금 기준</t>
    <phoneticPr fontId="4" type="noConversion"/>
  </si>
  <si>
    <t>전기식수준기</t>
    <phoneticPr fontId="4" type="noConversion"/>
  </si>
  <si>
    <t>각형 수준기</t>
    <phoneticPr fontId="4" type="noConversion"/>
  </si>
  <si>
    <r>
      <rPr>
        <b/>
        <sz val="9"/>
        <rFont val="돋움"/>
        <family val="3"/>
        <charset val="129"/>
      </rPr>
      <t>●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측정데이터</t>
    </r>
    <phoneticPr fontId="4" type="noConversion"/>
  </si>
  <si>
    <t>감도</t>
    <phoneticPr fontId="4" type="noConversion"/>
  </si>
  <si>
    <t>눈금수</t>
    <phoneticPr fontId="4" type="noConversion"/>
  </si>
  <si>
    <t>부기포관 위치</t>
    <phoneticPr fontId="4" type="noConversion"/>
  </si>
  <si>
    <t>mm/m</t>
    <phoneticPr fontId="4" type="noConversion"/>
  </si>
  <si>
    <r>
      <t xml:space="preserve">1. </t>
    </r>
    <r>
      <rPr>
        <b/>
        <sz val="9"/>
        <rFont val="돋움"/>
        <family val="3"/>
        <charset val="129"/>
      </rPr>
      <t>기포관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눈금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반복측정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결과</t>
    </r>
    <phoneticPr fontId="4" type="noConversion"/>
  </si>
  <si>
    <t>수준기 눈금 읽음값 (기준선의 우측 눈금)</t>
    <phoneticPr fontId="4" type="noConversion"/>
  </si>
  <si>
    <t>수준기 눈금 읽음값 (기준선의 좌측 눈금)</t>
    <phoneticPr fontId="4" type="noConversion"/>
  </si>
  <si>
    <t>기포관위치</t>
    <phoneticPr fontId="4" type="noConversion"/>
  </si>
  <si>
    <r>
      <t>B</t>
    </r>
    <r>
      <rPr>
        <vertAlign val="subscript"/>
        <sz val="9"/>
        <rFont val="맑은 고딕"/>
        <family val="3"/>
        <charset val="129"/>
        <scheme val="major"/>
      </rPr>
      <t>x</t>
    </r>
    <phoneticPr fontId="4" type="noConversion"/>
  </si>
  <si>
    <t>Bx (μm/m)</t>
    <phoneticPr fontId="4" type="noConversion"/>
  </si>
  <si>
    <t>Bx ( ˝ )</t>
    <phoneticPr fontId="4" type="noConversion"/>
  </si>
  <si>
    <t>측정구간</t>
    <phoneticPr fontId="4" type="noConversion"/>
  </si>
  <si>
    <t>좌측교정값 (˝)</t>
    <phoneticPr fontId="4" type="noConversion"/>
  </si>
  <si>
    <t>우측교정값 (˝)</t>
    <phoneticPr fontId="4" type="noConversion"/>
  </si>
  <si>
    <t>1. 주기포관 교정 결과</t>
    <phoneticPr fontId="4" type="noConversion"/>
  </si>
  <si>
    <t>○ 1˝ 는 약 4.85 μm/m 임.</t>
    <phoneticPr fontId="4" type="noConversion"/>
  </si>
  <si>
    <t>○ 측정구간은 좌,우 기준선을 기준으로 측정하는 방향의 눈금 수를 말함.</t>
    <phoneticPr fontId="4" type="noConversion"/>
  </si>
  <si>
    <t>기준선 우측눈금 측정결과</t>
    <phoneticPr fontId="4" type="noConversion"/>
  </si>
  <si>
    <t>기준선 좌측눈금 측정결과</t>
    <phoneticPr fontId="4" type="noConversion"/>
  </si>
  <si>
    <t>수준기 눈금 읽음값 (기준선 우측눈금)</t>
    <phoneticPr fontId="4" type="noConversion"/>
  </si>
  <si>
    <t>수준기 눈금 읽음값 (기준선 좌측눈금)</t>
    <phoneticPr fontId="4" type="noConversion"/>
  </si>
  <si>
    <t>기준값</t>
    <phoneticPr fontId="4" type="noConversion"/>
  </si>
  <si>
    <t>1. Main bubble tube calibration result</t>
    <phoneticPr fontId="4" type="noConversion"/>
  </si>
  <si>
    <t>Measurement section</t>
    <phoneticPr fontId="4" type="noConversion"/>
  </si>
  <si>
    <t>Left calibration values of the baseline (˝)</t>
    <phoneticPr fontId="4" type="noConversion"/>
  </si>
  <si>
    <t>Right calibration values of the baseline (˝)</t>
    <phoneticPr fontId="4" type="noConversion"/>
  </si>
  <si>
    <t>Forward</t>
    <phoneticPr fontId="4" type="noConversion"/>
  </si>
  <si>
    <t>Backward</t>
    <phoneticPr fontId="4" type="noConversion"/>
  </si>
  <si>
    <t>○ 1˝is about 4.85 μm/m.</t>
    <phoneticPr fontId="4" type="noConversion"/>
  </si>
  <si>
    <t xml:space="preserve">○ The measurement section refers to the number of scales in </t>
    <phoneticPr fontId="4" type="noConversion"/>
  </si>
  <si>
    <t>the measurement direction based on the left and right baselines.</t>
    <phoneticPr fontId="4" type="noConversion"/>
  </si>
  <si>
    <t>○ The main tube calibration result shows the secondary bubble tube</t>
    <phoneticPr fontId="4" type="noConversion"/>
  </si>
  <si>
    <t>1. 기준선 우측 교정결과</t>
    <phoneticPr fontId="4" type="noConversion"/>
  </si>
  <si>
    <t>측정값 (˝)</t>
    <phoneticPr fontId="4" type="noConversion"/>
  </si>
  <si>
    <t>(˝)</t>
    <phoneticPr fontId="4" type="noConversion"/>
  </si>
  <si>
    <t>전진</t>
    <phoneticPr fontId="4" type="noConversion"/>
  </si>
  <si>
    <t>후퇴</t>
    <phoneticPr fontId="4" type="noConversion"/>
  </si>
  <si>
    <t>2. 기준선 좌측 교정결과</t>
    <phoneticPr fontId="4" type="noConversion"/>
  </si>
  <si>
    <t>3. 교정값 계산</t>
    <phoneticPr fontId="4" type="noConversion"/>
  </si>
  <si>
    <t>보정값(기준선 우측눈금)</t>
    <phoneticPr fontId="4" type="noConversion"/>
  </si>
  <si>
    <t>보정값(기준선 좌측눈금)</t>
    <phoneticPr fontId="4" type="noConversion"/>
  </si>
  <si>
    <t>COID</t>
    <phoneticPr fontId="4" type="noConversion"/>
  </si>
  <si>
    <r>
      <t>U+</t>
    </r>
    <r>
      <rPr>
        <sz val="9"/>
        <rFont val="돋움"/>
        <family val="3"/>
        <charset val="129"/>
      </rPr>
      <t>α</t>
    </r>
    <phoneticPr fontId="4" type="noConversion"/>
  </si>
  <si>
    <t>fees</t>
    <phoneticPr fontId="4" type="noConversion"/>
  </si>
  <si>
    <t>P/F</t>
    <phoneticPr fontId="4" type="noConversion"/>
  </si>
  <si>
    <t>보정값</t>
    <phoneticPr fontId="4" type="noConversion"/>
  </si>
  <si>
    <t>불확도</t>
    <phoneticPr fontId="4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</si>
  <si>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4" type="noConversion"/>
  </si>
  <si>
    <t xml:space="preserve"> 성적서발급번호(Certificate No) :</t>
    <phoneticPr fontId="4" type="noConversion"/>
  </si>
  <si>
    <t>● 교정결과</t>
    <phoneticPr fontId="4" type="noConversion"/>
  </si>
  <si>
    <t>Unit</t>
    <phoneticPr fontId="4" type="noConversion"/>
  </si>
  <si>
    <t>Spec</t>
    <phoneticPr fontId="4" type="noConversion"/>
  </si>
  <si>
    <t>조정 전</t>
    <phoneticPr fontId="4" type="noConversion"/>
  </si>
  <si>
    <t>조정 후</t>
    <phoneticPr fontId="4" type="noConversion"/>
  </si>
  <si>
    <t>Measurement Uncertainty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</si>
  <si>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</si>
  <si>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</si>
  <si>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</si>
  <si>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</si>
  <si>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방향</t>
    <phoneticPr fontId="4" type="noConversion"/>
  </si>
  <si>
    <t>위치</t>
    <phoneticPr fontId="4" type="noConversion"/>
  </si>
  <si>
    <t>Nominal Value</t>
    <phoneticPr fontId="4" type="noConversion"/>
  </si>
  <si>
    <t>전진</t>
    <phoneticPr fontId="4" type="noConversion"/>
  </si>
  <si>
    <t>우측</t>
    <phoneticPr fontId="4" type="noConversion"/>
  </si>
  <si>
    <t>좌측</t>
    <phoneticPr fontId="4" type="noConversion"/>
  </si>
  <si>
    <t>후퇴</t>
    <phoneticPr fontId="4" type="noConversion"/>
  </si>
  <si>
    <t>※ 신뢰수준 약 95 %,</t>
  </si>
  <si>
    <t>Measured
Value</t>
    <phoneticPr fontId="4" type="noConversion"/>
  </si>
  <si>
    <t>Correction
Value</t>
    <phoneticPr fontId="4" type="noConversion"/>
  </si>
  <si>
    <t>Correction
Value</t>
    <phoneticPr fontId="4" type="noConversion"/>
  </si>
  <si>
    <t>Pass
/Fail</t>
    <phoneticPr fontId="4" type="noConversion"/>
  </si>
  <si>
    <t>U &amp; r</t>
  </si>
  <si>
    <t>U+α</t>
    <phoneticPr fontId="4" type="noConversion"/>
  </si>
  <si>
    <t>U&amp;r</t>
    <phoneticPr fontId="4" type="noConversion"/>
  </si>
  <si>
    <t>HCT</t>
    <phoneticPr fontId="4" type="noConversion"/>
  </si>
  <si>
    <t>˝</t>
    <phoneticPr fontId="4" type="noConversion"/>
  </si>
  <si>
    <t>Min</t>
    <phoneticPr fontId="4" type="noConversion"/>
  </si>
  <si>
    <t>측정불확도</t>
    <phoneticPr fontId="4" type="noConversion"/>
  </si>
  <si>
    <t>소수점 자리수</t>
    <phoneticPr fontId="4" type="noConversion"/>
  </si>
  <si>
    <t>Number Format</t>
    <phoneticPr fontId="4" type="noConversion"/>
  </si>
  <si>
    <t>CMC초과?</t>
    <phoneticPr fontId="4" type="noConversion"/>
  </si>
  <si>
    <t>불확도표기</t>
    <phoneticPr fontId="4" type="noConversion"/>
  </si>
  <si>
    <t>단위</t>
    <phoneticPr fontId="4" type="noConversion"/>
  </si>
  <si>
    <t>계산</t>
    <phoneticPr fontId="4" type="noConversion"/>
  </si>
  <si>
    <t>성적서</t>
    <phoneticPr fontId="4" type="noConversion"/>
  </si>
  <si>
    <t>불확도</t>
    <phoneticPr fontId="4" type="noConversion"/>
  </si>
  <si>
    <t>측정불확도</t>
    <phoneticPr fontId="4" type="noConversion"/>
  </si>
  <si>
    <t>CMC</t>
    <phoneticPr fontId="4" type="noConversion"/>
  </si>
  <si>
    <t>0.000 000</t>
    <phoneticPr fontId="4" type="noConversion"/>
  </si>
  <si>
    <t>0.000 000 0</t>
    <phoneticPr fontId="4" type="noConversion"/>
  </si>
  <si>
    <t>0.000 000 00</t>
    <phoneticPr fontId="4" type="noConversion"/>
  </si>
  <si>
    <t>0.000 000 000</t>
    <phoneticPr fontId="4" type="noConversion"/>
  </si>
  <si>
    <r>
      <t>u</t>
    </r>
    <r>
      <rPr>
        <b/>
        <vertAlign val="superscript"/>
        <sz val="9"/>
        <color indexed="9"/>
        <rFont val="맑은 고딕"/>
        <family val="3"/>
        <charset val="129"/>
        <scheme val="major"/>
      </rPr>
      <t>4</t>
    </r>
    <r>
      <rPr>
        <b/>
        <sz val="9"/>
        <color indexed="9"/>
        <rFont val="맑은 고딕"/>
        <family val="3"/>
        <charset val="129"/>
        <scheme val="major"/>
      </rPr>
      <t>/ν</t>
    </r>
    <phoneticPr fontId="4" type="noConversion"/>
  </si>
  <si>
    <t>값</t>
    <phoneticPr fontId="4" type="noConversion"/>
  </si>
  <si>
    <t>단위포함</t>
    <phoneticPr fontId="4" type="noConversion"/>
  </si>
  <si>
    <t>Pass/Fail (전진) (후퇴)</t>
    <phoneticPr fontId="4" type="noConversion"/>
  </si>
  <si>
    <t>Spec</t>
    <phoneticPr fontId="4" type="noConversion"/>
  </si>
  <si>
    <t>표기용</t>
    <phoneticPr fontId="4" type="noConversion"/>
  </si>
  <si>
    <t>˝</t>
    <phoneticPr fontId="4" type="noConversion"/>
  </si>
  <si>
    <t>Spec</t>
    <phoneticPr fontId="4" type="noConversion"/>
  </si>
  <si>
    <t>±</t>
    <phoneticPr fontId="4" type="noConversion"/>
  </si>
  <si>
    <t>div.</t>
    <phoneticPr fontId="4" type="noConversion"/>
  </si>
  <si>
    <t>˝</t>
    <phoneticPr fontId="4" type="noConversion"/>
  </si>
  <si>
    <t>Spec</t>
    <phoneticPr fontId="4" type="noConversion"/>
  </si>
  <si>
    <t>±</t>
    <phoneticPr fontId="4" type="noConversion"/>
  </si>
  <si>
    <t>Min</t>
    <phoneticPr fontId="4" type="noConversion"/>
  </si>
  <si>
    <t>Max</t>
    <phoneticPr fontId="4" type="noConversion"/>
  </si>
  <si>
    <t>[Squareness Calibration]</t>
    <phoneticPr fontId="4" type="noConversion"/>
  </si>
  <si>
    <t>1회</t>
    <phoneticPr fontId="4" type="noConversion"/>
  </si>
  <si>
    <t>기준기명</t>
    <phoneticPr fontId="4" type="noConversion"/>
  </si>
  <si>
    <t>단위</t>
    <phoneticPr fontId="4" type="noConversion"/>
  </si>
  <si>
    <t>보정값</t>
    <phoneticPr fontId="4" type="noConversion"/>
  </si>
  <si>
    <t>측정불확도</t>
    <phoneticPr fontId="4" type="noConversion"/>
  </si>
  <si>
    <t>불확도단위</t>
    <phoneticPr fontId="4" type="noConversion"/>
  </si>
  <si>
    <t>방향</t>
    <phoneticPr fontId="4" type="noConversion"/>
  </si>
  <si>
    <t>번호</t>
    <phoneticPr fontId="4" type="noConversion"/>
  </si>
  <si>
    <t>등록번호</t>
    <phoneticPr fontId="4" type="noConversion"/>
  </si>
  <si>
    <t>Range</t>
    <phoneticPr fontId="4" type="noConversion"/>
  </si>
  <si>
    <t>채널</t>
    <phoneticPr fontId="4" type="noConversion"/>
  </si>
  <si>
    <t>명목값</t>
    <phoneticPr fontId="4" type="noConversion"/>
  </si>
  <si>
    <t>기준값</t>
    <phoneticPr fontId="4" type="noConversion"/>
  </si>
  <si>
    <t>교정값</t>
    <phoneticPr fontId="4" type="noConversion"/>
  </si>
  <si>
    <t>단위</t>
    <phoneticPr fontId="4" type="noConversion"/>
  </si>
  <si>
    <t>단위</t>
    <phoneticPr fontId="4" type="noConversion"/>
  </si>
  <si>
    <t>보정값</t>
    <phoneticPr fontId="4" type="noConversion"/>
  </si>
  <si>
    <t>단위</t>
    <phoneticPr fontId="4" type="noConversion"/>
  </si>
  <si>
    <t>측정불확도</t>
    <phoneticPr fontId="4" type="noConversion"/>
  </si>
  <si>
    <t>불확도단위</t>
    <phoneticPr fontId="4" type="noConversion"/>
  </si>
  <si>
    <t>k</t>
    <phoneticPr fontId="4" type="noConversion"/>
  </si>
  <si>
    <t>최소눈금</t>
    <phoneticPr fontId="4" type="noConversion"/>
  </si>
  <si>
    <t>교정일자</t>
    <phoneticPr fontId="4" type="noConversion"/>
  </si>
  <si>
    <t>사용안함?</t>
    <phoneticPr fontId="4" type="noConversion"/>
  </si>
  <si>
    <t>사용안함?</t>
    <phoneticPr fontId="4" type="noConversion"/>
  </si>
  <si>
    <t>번호</t>
    <phoneticPr fontId="4" type="noConversion"/>
  </si>
  <si>
    <t>등록번호</t>
    <phoneticPr fontId="4" type="noConversion"/>
  </si>
  <si>
    <t>기준기명</t>
    <phoneticPr fontId="4" type="noConversion"/>
  </si>
  <si>
    <t>명목값</t>
    <phoneticPr fontId="4" type="noConversion"/>
  </si>
  <si>
    <t>기준값</t>
    <phoneticPr fontId="4" type="noConversion"/>
  </si>
  <si>
    <t>교정값</t>
    <phoneticPr fontId="4" type="noConversion"/>
  </si>
  <si>
    <t>단위</t>
    <phoneticPr fontId="4" type="noConversion"/>
  </si>
  <si>
    <t>보정값</t>
    <phoneticPr fontId="4" type="noConversion"/>
  </si>
  <si>
    <t>측정불확도</t>
    <phoneticPr fontId="4" type="noConversion"/>
  </si>
  <si>
    <t>불확도단위</t>
    <phoneticPr fontId="4" type="noConversion"/>
  </si>
  <si>
    <t>k</t>
    <phoneticPr fontId="4" type="noConversion"/>
  </si>
  <si>
    <t>교정일자</t>
    <phoneticPr fontId="4" type="noConversion"/>
  </si>
  <si>
    <t>가로</t>
    <phoneticPr fontId="4" type="noConversion"/>
  </si>
  <si>
    <t>세로</t>
    <phoneticPr fontId="4" type="noConversion"/>
  </si>
  <si>
    <t>○ 기포관 눈금 교정</t>
    <phoneticPr fontId="4" type="noConversion"/>
  </si>
  <si>
    <t>2. 반복측정 결과</t>
    <phoneticPr fontId="4" type="noConversion"/>
  </si>
  <si>
    <t>μm</t>
    <phoneticPr fontId="4" type="noConversion"/>
  </si>
  <si>
    <t>μm/m</t>
  </si>
  <si>
    <t>○ 직각도 교정</t>
    <phoneticPr fontId="4" type="noConversion"/>
  </si>
  <si>
    <t>기준기 분해능</t>
    <phoneticPr fontId="4" type="noConversion"/>
  </si>
  <si>
    <t>사용?</t>
    <phoneticPr fontId="4" type="noConversion"/>
  </si>
  <si>
    <t>측정면</t>
    <phoneticPr fontId="4" type="noConversion"/>
  </si>
  <si>
    <t>전기마이크로미터 지시값</t>
    <phoneticPr fontId="4" type="noConversion"/>
  </si>
  <si>
    <t>직각도시험기 보정값</t>
    <phoneticPr fontId="4" type="noConversion"/>
  </si>
  <si>
    <t>평균</t>
    <phoneticPr fontId="4" type="noConversion"/>
  </si>
  <si>
    <t>표준편차</t>
    <phoneticPr fontId="4" type="noConversion"/>
  </si>
  <si>
    <t>μm</t>
    <phoneticPr fontId="4" type="noConversion"/>
  </si>
  <si>
    <t>μm</t>
    <phoneticPr fontId="4" type="noConversion"/>
  </si>
  <si>
    <t>μm/m</t>
    <phoneticPr fontId="4" type="noConversion"/>
  </si>
  <si>
    <t>최저점</t>
    <phoneticPr fontId="4" type="noConversion"/>
  </si>
  <si>
    <t>최고점</t>
    <phoneticPr fontId="4" type="noConversion"/>
  </si>
  <si>
    <t>최저점</t>
    <phoneticPr fontId="4" type="noConversion"/>
  </si>
  <si>
    <t>최고점</t>
    <phoneticPr fontId="4" type="noConversion"/>
  </si>
  <si>
    <t>최고점 - 최저점</t>
    <phoneticPr fontId="4" type="noConversion"/>
  </si>
  <si>
    <t>직각도 (μm/m)</t>
    <phoneticPr fontId="4" type="noConversion"/>
  </si>
  <si>
    <t>요인</t>
    <phoneticPr fontId="4" type="noConversion"/>
  </si>
  <si>
    <t>입력량</t>
    <phoneticPr fontId="4" type="noConversion"/>
  </si>
  <si>
    <t>추정값</t>
    <phoneticPr fontId="4" type="noConversion"/>
  </si>
  <si>
    <t>단위</t>
    <phoneticPr fontId="4" type="noConversion"/>
  </si>
  <si>
    <r>
      <t>u</t>
    </r>
    <r>
      <rPr>
        <b/>
        <vertAlign val="superscript"/>
        <sz val="9"/>
        <color indexed="9"/>
        <rFont val="맑은 고딕"/>
        <family val="3"/>
        <charset val="129"/>
        <scheme val="major"/>
      </rPr>
      <t>4</t>
    </r>
    <r>
      <rPr>
        <b/>
        <sz val="9"/>
        <color indexed="9"/>
        <rFont val="맑은 고딕"/>
        <family val="3"/>
        <charset val="129"/>
        <scheme val="major"/>
      </rPr>
      <t>/ν</t>
    </r>
    <phoneticPr fontId="4" type="noConversion"/>
  </si>
  <si>
    <t>요인</t>
    <phoneticPr fontId="4" type="noConversion"/>
  </si>
  <si>
    <t>나눔수</t>
    <phoneticPr fontId="4" type="noConversion"/>
  </si>
  <si>
    <t>표준불확도</t>
    <phoneticPr fontId="4" type="noConversion"/>
  </si>
  <si>
    <t>확률분포</t>
    <phoneticPr fontId="4" type="noConversion"/>
  </si>
  <si>
    <t>감도계수</t>
    <phoneticPr fontId="4" type="noConversion"/>
  </si>
  <si>
    <t>불확도기여량</t>
    <phoneticPr fontId="4" type="noConversion"/>
  </si>
  <si>
    <t>자유도</t>
    <phoneticPr fontId="4" type="noConversion"/>
  </si>
  <si>
    <t>A</t>
    <phoneticPr fontId="4" type="noConversion"/>
  </si>
  <si>
    <t>최고-최저</t>
    <phoneticPr fontId="4" type="noConversion"/>
  </si>
  <si>
    <t>Δd</t>
    <phoneticPr fontId="4" type="noConversion"/>
  </si>
  <si>
    <t>μm/m</t>
    <phoneticPr fontId="4" type="noConversion"/>
  </si>
  <si>
    <t>μm</t>
    <phoneticPr fontId="4" type="noConversion"/>
  </si>
  <si>
    <t>정규</t>
    <phoneticPr fontId="4" type="noConversion"/>
  </si>
  <si>
    <t>B</t>
    <phoneticPr fontId="4" type="noConversion"/>
  </si>
  <si>
    <t>반복</t>
    <phoneticPr fontId="4" type="noConversion"/>
  </si>
  <si>
    <r>
      <t>Δd</t>
    </r>
    <r>
      <rPr>
        <vertAlign val="subscript"/>
        <sz val="9"/>
        <rFont val="맑은 고딕"/>
        <family val="3"/>
        <charset val="129"/>
        <scheme val="major"/>
      </rPr>
      <t>우</t>
    </r>
    <phoneticPr fontId="4" type="noConversion"/>
  </si>
  <si>
    <t>t</t>
    <phoneticPr fontId="4" type="noConversion"/>
  </si>
  <si>
    <t>C</t>
    <phoneticPr fontId="4" type="noConversion"/>
  </si>
  <si>
    <t>전기마이크로</t>
    <phoneticPr fontId="4" type="noConversion"/>
  </si>
  <si>
    <r>
      <t>Δd</t>
    </r>
    <r>
      <rPr>
        <vertAlign val="subscript"/>
        <sz val="9"/>
        <rFont val="맑은 고딕"/>
        <family val="3"/>
        <charset val="129"/>
        <scheme val="major"/>
      </rPr>
      <t>전</t>
    </r>
    <phoneticPr fontId="4" type="noConversion"/>
  </si>
  <si>
    <t>μm/m</t>
    <phoneticPr fontId="4" type="noConversion"/>
  </si>
  <si>
    <t>∞</t>
    <phoneticPr fontId="4" type="noConversion"/>
  </si>
  <si>
    <t>D</t>
    <phoneticPr fontId="4" type="noConversion"/>
  </si>
  <si>
    <t>직각도시험기</t>
    <phoneticPr fontId="4" type="noConversion"/>
  </si>
  <si>
    <t>T</t>
    <phoneticPr fontId="4" type="noConversion"/>
  </si>
  <si>
    <t>μm/m</t>
    <phoneticPr fontId="4" type="noConversion"/>
  </si>
  <si>
    <t>E</t>
    <phoneticPr fontId="4" type="noConversion"/>
  </si>
  <si>
    <t>정반</t>
    <phoneticPr fontId="4" type="noConversion"/>
  </si>
  <si>
    <t>P</t>
    <phoneticPr fontId="4" type="noConversion"/>
  </si>
  <si>
    <t>∞</t>
    <phoneticPr fontId="4" type="noConversion"/>
  </si>
  <si>
    <t>합성표준</t>
    <phoneticPr fontId="4" type="noConversion"/>
  </si>
  <si>
    <t>S</t>
    <phoneticPr fontId="4" type="noConversion"/>
  </si>
  <si>
    <t>측정불확도</t>
    <phoneticPr fontId="4" type="noConversion"/>
  </si>
  <si>
    <t>선택</t>
    <phoneticPr fontId="4" type="noConversion"/>
  </si>
  <si>
    <t>분해능</t>
    <phoneticPr fontId="4" type="noConversion"/>
  </si>
  <si>
    <t>소수점 자리수</t>
    <phoneticPr fontId="4" type="noConversion"/>
  </si>
  <si>
    <t>5% rule</t>
    <phoneticPr fontId="4" type="noConversion"/>
  </si>
  <si>
    <t>Number Format</t>
    <phoneticPr fontId="4" type="noConversion"/>
  </si>
  <si>
    <t>CMC초과?</t>
    <phoneticPr fontId="4" type="noConversion"/>
  </si>
  <si>
    <t>불확도표기</t>
    <phoneticPr fontId="4" type="noConversion"/>
  </si>
  <si>
    <t>단위</t>
    <phoneticPr fontId="4" type="noConversion"/>
  </si>
  <si>
    <t>계산</t>
    <phoneticPr fontId="4" type="noConversion"/>
  </si>
  <si>
    <t>불확도</t>
    <phoneticPr fontId="4" type="noConversion"/>
  </si>
  <si>
    <t>성적서</t>
    <phoneticPr fontId="4" type="noConversion"/>
  </si>
  <si>
    <t>Rawdata</t>
    <phoneticPr fontId="4" type="noConversion"/>
  </si>
  <si>
    <t>선택</t>
    <phoneticPr fontId="4" type="noConversion"/>
  </si>
  <si>
    <t>불확도</t>
    <phoneticPr fontId="4" type="noConversion"/>
  </si>
  <si>
    <t>값</t>
    <phoneticPr fontId="4" type="noConversion"/>
  </si>
  <si>
    <t>단위포함</t>
    <phoneticPr fontId="4" type="noConversion"/>
  </si>
  <si>
    <t>CMC</t>
    <phoneticPr fontId="4" type="noConversion"/>
  </si>
  <si>
    <t>U+α</t>
    <phoneticPr fontId="4" type="noConversion"/>
  </si>
  <si>
    <t>U&amp;r</t>
    <phoneticPr fontId="4" type="noConversion"/>
  </si>
  <si>
    <t>HCT</t>
    <phoneticPr fontId="4" type="noConversion"/>
  </si>
  <si>
    <t>k</t>
    <phoneticPr fontId="4" type="noConversion"/>
  </si>
  <si>
    <t>자리수맞춤</t>
    <phoneticPr fontId="4" type="noConversion"/>
  </si>
  <si>
    <t>Spec</t>
    <phoneticPr fontId="4" type="noConversion"/>
  </si>
  <si>
    <t>표기용</t>
    <phoneticPr fontId="4" type="noConversion"/>
  </si>
  <si>
    <t>측정면</t>
    <phoneticPr fontId="4" type="noConversion"/>
  </si>
  <si>
    <t>눈금값</t>
    <phoneticPr fontId="4" type="noConversion"/>
  </si>
  <si>
    <t>교정값</t>
    <phoneticPr fontId="4" type="noConversion"/>
  </si>
  <si>
    <t>Pass/Fail</t>
    <phoneticPr fontId="4" type="noConversion"/>
  </si>
  <si>
    <t>불확도</t>
    <phoneticPr fontId="4" type="noConversion"/>
  </si>
  <si>
    <t>μm/m</t>
    <phoneticPr fontId="4" type="noConversion"/>
  </si>
  <si>
    <t>1. 교정조건</t>
    <phoneticPr fontId="4" type="noConversion"/>
  </si>
  <si>
    <t>2. 직각도 계산</t>
    <phoneticPr fontId="4" type="noConversion"/>
  </si>
  <si>
    <t>3. 불확도 계산</t>
    <phoneticPr fontId="4" type="noConversion"/>
  </si>
  <si>
    <t>4. 성적서용</t>
    <phoneticPr fontId="4" type="noConversion"/>
  </si>
  <si>
    <r>
      <t xml:space="preserve">2. </t>
    </r>
    <r>
      <rPr>
        <b/>
        <sz val="9"/>
        <rFont val="돋움"/>
        <family val="3"/>
        <charset val="129"/>
      </rPr>
      <t>직각도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반복측정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결과</t>
    </r>
    <phoneticPr fontId="4" type="noConversion"/>
  </si>
  <si>
    <t>측정방향</t>
    <phoneticPr fontId="4" type="noConversion"/>
  </si>
  <si>
    <t>측정점</t>
    <phoneticPr fontId="4" type="noConversion"/>
  </si>
  <si>
    <t>측정길이</t>
    <phoneticPr fontId="4" type="noConversion"/>
  </si>
  <si>
    <t>전기 마이크로미터 읽음값</t>
    <phoneticPr fontId="4" type="noConversion"/>
  </si>
  <si>
    <t>1회</t>
    <phoneticPr fontId="4" type="noConversion"/>
  </si>
  <si>
    <t>μm</t>
    <phoneticPr fontId="4" type="noConversion"/>
  </si>
  <si>
    <t>최저점</t>
    <phoneticPr fontId="4" type="noConversion"/>
  </si>
  <si>
    <t>최고점</t>
    <phoneticPr fontId="4" type="noConversion"/>
  </si>
  <si>
    <t>최저점</t>
    <phoneticPr fontId="4" type="noConversion"/>
  </si>
  <si>
    <t>측정점</t>
    <phoneticPr fontId="4" type="noConversion"/>
  </si>
  <si>
    <t>측정길이</t>
    <phoneticPr fontId="4" type="noConversion"/>
  </si>
  <si>
    <t>단위</t>
    <phoneticPr fontId="4" type="noConversion"/>
  </si>
  <si>
    <t>2. 밑면을 기준으로 좌, 우측 옆면의 직각도</t>
    <phoneticPr fontId="4" type="noConversion"/>
  </si>
  <si>
    <t>2. Squareness of left and right sides based on the bottom surface</t>
    <phoneticPr fontId="4" type="noConversion"/>
  </si>
  <si>
    <t>비고) 직각도 부호 "+"는 밖으로, "-"는 안으로 기울어짐.</t>
    <phoneticPr fontId="4" type="noConversion"/>
  </si>
  <si>
    <t>Remark) The squareness sign "+" is inclined outward, and "-" is inclined inward.</t>
    <phoneticPr fontId="4" type="noConversion"/>
  </si>
  <si>
    <t>3. 밑면을 기준으로 좌, 우측 옆면의 직각도 교정결과</t>
    <phoneticPr fontId="4" type="noConversion"/>
  </si>
  <si>
    <t>(μm/m)</t>
    <phoneticPr fontId="4" type="noConversion"/>
  </si>
  <si>
    <t>측정값</t>
    <phoneticPr fontId="4" type="noConversion"/>
  </si>
  <si>
    <t>항목</t>
    <phoneticPr fontId="4" type="noConversion"/>
  </si>
  <si>
    <t>주기포관 눈금</t>
    <phoneticPr fontId="4" type="noConversion"/>
  </si>
  <si>
    <t>옆면의 직각도</t>
    <phoneticPr fontId="4" type="noConversion"/>
  </si>
  <si>
    <t>좌측면</t>
    <phoneticPr fontId="4" type="noConversion"/>
  </si>
  <si>
    <t>우측면</t>
    <phoneticPr fontId="4" type="noConversion"/>
  </si>
  <si>
    <t>μm/m</t>
    <phoneticPr fontId="4" type="noConversion"/>
  </si>
  <si>
    <t>-</t>
    <phoneticPr fontId="4" type="noConversion"/>
  </si>
  <si>
    <t>-</t>
    <phoneticPr fontId="4" type="noConversion"/>
  </si>
  <si>
    <t>직사각형</t>
    <phoneticPr fontId="4" type="noConversion"/>
  </si>
  <si>
    <t>○ 기포관 눈금 정확도 교정</t>
    <phoneticPr fontId="4" type="noConversion"/>
  </si>
  <si>
    <t>미소각도 설정기 눈금값</t>
    <phoneticPr fontId="4" type="noConversion"/>
  </si>
  <si>
    <t>구간
(눈금)</t>
    <phoneticPr fontId="4" type="noConversion"/>
  </si>
  <si>
    <t>후퇴</t>
    <phoneticPr fontId="4" type="noConversion"/>
  </si>
  <si>
    <t>수준기 지시값 (기준선의 좌측 눈금 읽음값 × 수준기 감도, 단위 : μm/m)</t>
    <phoneticPr fontId="4" type="noConversion"/>
  </si>
  <si>
    <t>■ 수학적 모델</t>
    <phoneticPr fontId="4" type="noConversion"/>
  </si>
  <si>
    <t>수준기의 분해능 한계에 따른 보정값</t>
    <phoneticPr fontId="4" type="noConversion"/>
  </si>
  <si>
    <r>
      <t>δY</t>
    </r>
    <r>
      <rPr>
        <i/>
        <vertAlign val="subscript"/>
        <sz val="10"/>
        <rFont val="Times New Roman"/>
        <family val="1"/>
      </rPr>
      <t>E</t>
    </r>
    <phoneticPr fontId="4" type="noConversion"/>
  </si>
  <si>
    <t>표준불확도</t>
    <phoneticPr fontId="4" type="noConversion"/>
  </si>
  <si>
    <t>자유도</t>
    <phoneticPr fontId="4" type="noConversion"/>
  </si>
  <si>
    <r>
      <t>(</t>
    </r>
    <r>
      <rPr>
        <i/>
        <sz val="10"/>
        <rFont val="Times New Roman"/>
        <family val="1"/>
      </rPr>
      <t>c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</si>
  <si>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t>|</t>
    </r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y</t>
    </r>
    <r>
      <rPr>
        <sz val="10"/>
        <rFont val="Times New Roman"/>
        <family val="1"/>
      </rPr>
      <t>)|</t>
    </r>
    <phoneticPr fontId="4" type="noConversion"/>
  </si>
  <si>
    <t>C</t>
    <phoneticPr fontId="4" type="noConversion"/>
  </si>
  <si>
    <t>D4. 감도계수 :</t>
    <phoneticPr fontId="4" type="noConversion"/>
  </si>
  <si>
    <t>E1. 추정값 :</t>
    <phoneticPr fontId="4" type="noConversion"/>
  </si>
  <si>
    <t>E3. 확률분포 :</t>
    <phoneticPr fontId="4" type="noConversion"/>
  </si>
  <si>
    <t>×</t>
    <phoneticPr fontId="4" type="noConversion"/>
  </si>
  <si>
    <t>|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</si>
  <si>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0%로 추정</t>
    </r>
    <phoneticPr fontId="4" type="noConversion"/>
  </si>
  <si>
    <t>+</t>
    <phoneticPr fontId="4" type="noConversion"/>
  </si>
  <si>
    <t>=</t>
    <phoneticPr fontId="4" type="noConversion"/>
  </si>
  <si>
    <r>
      <t>U</t>
    </r>
    <r>
      <rPr>
        <sz val="10"/>
        <rFont val="Times New Roman"/>
        <family val="1"/>
      </rPr>
      <t xml:space="preserve"> = </t>
    </r>
    <r>
      <rPr>
        <i/>
        <sz val="10"/>
        <rFont val="Times New Roman"/>
        <family val="1"/>
      </rPr>
      <t>k</t>
    </r>
    <r>
      <rPr>
        <sz val="10"/>
        <rFont val="Times New Roman"/>
        <family val="1"/>
      </rPr>
      <t xml:space="preserve"> × </t>
    </r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 xml:space="preserve"> = </t>
    </r>
    <phoneticPr fontId="4" type="noConversion"/>
  </si>
  <si>
    <t>×</t>
  </si>
  <si>
    <t>측정길이</t>
    <phoneticPr fontId="4" type="noConversion"/>
  </si>
  <si>
    <t>측정점</t>
    <phoneticPr fontId="4" type="noConversion"/>
  </si>
  <si>
    <t>최저점</t>
    <phoneticPr fontId="4" type="noConversion"/>
  </si>
  <si>
    <t>확률분포</t>
    <phoneticPr fontId="4" type="noConversion"/>
  </si>
  <si>
    <t>-</t>
    <phoneticPr fontId="4" type="noConversion"/>
  </si>
  <si>
    <t>A1. 추정값 :</t>
    <phoneticPr fontId="4" type="noConversion"/>
  </si>
  <si>
    <t>A4. 감도계수 :</t>
    <phoneticPr fontId="4" type="noConversion"/>
  </si>
  <si>
    <t>m</t>
    <phoneticPr fontId="4" type="noConversion"/>
  </si>
  <si>
    <t>A6. 자유도 :</t>
    <phoneticPr fontId="4" type="noConversion"/>
  </si>
  <si>
    <t>B2. 표준불확도 :</t>
    <phoneticPr fontId="4" type="noConversion"/>
  </si>
  <si>
    <t>C2. 표준불확도 :</t>
    <phoneticPr fontId="4" type="noConversion"/>
  </si>
  <si>
    <r>
      <t xml:space="preserve">μm (신뢰수준 약 95 %, </t>
    </r>
    <r>
      <rPr>
        <i/>
        <sz val="10"/>
        <rFont val="맑은 고딕"/>
        <family val="3"/>
        <charset val="129"/>
        <scheme val="minor"/>
      </rPr>
      <t>k</t>
    </r>
    <r>
      <rPr>
        <sz val="10"/>
        <rFont val="맑은 고딕"/>
        <family val="3"/>
        <charset val="129"/>
        <scheme val="minor"/>
      </rPr>
      <t>=2) 이다.</t>
    </r>
    <phoneticPr fontId="4" type="noConversion"/>
  </si>
  <si>
    <t>μm</t>
  </si>
  <si>
    <t>C4. 감도계수 :</t>
    <phoneticPr fontId="4" type="noConversion"/>
  </si>
  <si>
    <t>2. 직각도 시험기의 교정값에 의한 표준불확도,</t>
    <phoneticPr fontId="4" type="noConversion"/>
  </si>
  <si>
    <t>D1. 추정값 :</t>
    <phoneticPr fontId="4" type="noConversion"/>
  </si>
  <si>
    <t>※ 직각도 시험기의 교정성적서에 불확도가</t>
    <phoneticPr fontId="4" type="noConversion"/>
  </si>
  <si>
    <r>
      <rPr>
        <i/>
        <sz val="10"/>
        <rFont val="Palatino Linotype"/>
        <family val="1"/>
      </rPr>
      <t>u</t>
    </r>
    <r>
      <rPr>
        <sz val="10"/>
        <rFont val="Palatino Linotype"/>
        <family val="1"/>
      </rPr>
      <t>(</t>
    </r>
    <r>
      <rPr>
        <i/>
        <sz val="10"/>
        <rFont val="Palatino Linotype"/>
        <family val="1"/>
      </rPr>
      <t>T</t>
    </r>
    <r>
      <rPr>
        <sz val="10"/>
        <rFont val="Palatino Linotype"/>
        <family val="1"/>
      </rPr>
      <t xml:space="preserve">) </t>
    </r>
    <phoneticPr fontId="4" type="noConversion"/>
  </si>
  <si>
    <t>μm 이고, 직각도 시험기 및 각형 수준기가 놓이게 될 면적이</t>
    <phoneticPr fontId="4" type="noConversion"/>
  </si>
  <si>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맑은 고딕"/>
        <family val="3"/>
        <charset val="129"/>
        <scheme val="major"/>
      </rPr>
      <t>(</t>
    </r>
    <r>
      <rPr>
        <i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ajor"/>
      </rPr>
      <t>)</t>
    </r>
    <phoneticPr fontId="4" type="noConversion"/>
  </si>
  <si>
    <t>[Flatness Calibration]</t>
    <phoneticPr fontId="4" type="noConversion"/>
  </si>
  <si>
    <t>측정면</t>
    <phoneticPr fontId="4" type="noConversion"/>
  </si>
  <si>
    <t>구분</t>
    <phoneticPr fontId="4" type="noConversion"/>
  </si>
  <si>
    <t>측정불확도1</t>
    <phoneticPr fontId="4" type="noConversion"/>
  </si>
  <si>
    <t>측정불확도2</t>
  </si>
  <si>
    <t>○ 평면도 교정</t>
    <phoneticPr fontId="4" type="noConversion"/>
  </si>
  <si>
    <t>1. 교정조건</t>
    <phoneticPr fontId="4" type="noConversion"/>
  </si>
  <si>
    <t>기준기 분해능</t>
    <phoneticPr fontId="4" type="noConversion"/>
  </si>
  <si>
    <t>2. 평면도 계산</t>
    <phoneticPr fontId="4" type="noConversion"/>
  </si>
  <si>
    <t>사용?</t>
    <phoneticPr fontId="4" type="noConversion"/>
  </si>
  <si>
    <t>구분</t>
    <phoneticPr fontId="4" type="noConversion"/>
  </si>
  <si>
    <t>전기마이크로미터 지시값</t>
    <phoneticPr fontId="4" type="noConversion"/>
  </si>
  <si>
    <t>평균</t>
    <phoneticPr fontId="4" type="noConversion"/>
  </si>
  <si>
    <t>표준편차</t>
    <phoneticPr fontId="4" type="noConversion"/>
  </si>
  <si>
    <t>1회</t>
    <phoneticPr fontId="4" type="noConversion"/>
  </si>
  <si>
    <t>μm</t>
    <phoneticPr fontId="4" type="noConversion"/>
  </si>
  <si>
    <t>μm</t>
    <phoneticPr fontId="4" type="noConversion"/>
  </si>
  <si>
    <t>최댓값</t>
  </si>
  <si>
    <t>최솟값</t>
  </si>
  <si>
    <t>평면도</t>
    <phoneticPr fontId="4" type="noConversion"/>
  </si>
  <si>
    <t>3. 불확도 계산</t>
    <phoneticPr fontId="4" type="noConversion"/>
  </si>
  <si>
    <t>요인</t>
    <phoneticPr fontId="4" type="noConversion"/>
  </si>
  <si>
    <t>입력량</t>
    <phoneticPr fontId="4" type="noConversion"/>
  </si>
  <si>
    <t>추정값</t>
    <phoneticPr fontId="4" type="noConversion"/>
  </si>
  <si>
    <t>단위</t>
    <phoneticPr fontId="4" type="noConversion"/>
  </si>
  <si>
    <r>
      <t>u</t>
    </r>
    <r>
      <rPr>
        <b/>
        <vertAlign val="superscript"/>
        <sz val="9"/>
        <color indexed="9"/>
        <rFont val="맑은 고딕"/>
        <family val="3"/>
        <charset val="129"/>
        <scheme val="major"/>
      </rPr>
      <t>4</t>
    </r>
    <r>
      <rPr>
        <b/>
        <sz val="9"/>
        <color indexed="9"/>
        <rFont val="맑은 고딕"/>
        <family val="3"/>
        <charset val="129"/>
        <scheme val="major"/>
      </rPr>
      <t>/ν</t>
    </r>
    <phoneticPr fontId="4" type="noConversion"/>
  </si>
  <si>
    <t>나눔수</t>
    <phoneticPr fontId="4" type="noConversion"/>
  </si>
  <si>
    <t>표준불확도</t>
    <phoneticPr fontId="4" type="noConversion"/>
  </si>
  <si>
    <t>확률분포</t>
    <phoneticPr fontId="4" type="noConversion"/>
  </si>
  <si>
    <t>감도계수</t>
    <phoneticPr fontId="4" type="noConversion"/>
  </si>
  <si>
    <t>불확도기여량</t>
    <phoneticPr fontId="4" type="noConversion"/>
  </si>
  <si>
    <t>자유도</t>
    <phoneticPr fontId="4" type="noConversion"/>
  </si>
  <si>
    <t>A</t>
    <phoneticPr fontId="4" type="noConversion"/>
  </si>
  <si>
    <t>차이값</t>
    <phoneticPr fontId="4" type="noConversion"/>
  </si>
  <si>
    <t>ΔS</t>
    <phoneticPr fontId="4" type="noConversion"/>
  </si>
  <si>
    <t>μm</t>
    <phoneticPr fontId="4" type="noConversion"/>
  </si>
  <si>
    <t>정규</t>
    <phoneticPr fontId="4" type="noConversion"/>
  </si>
  <si>
    <t>B</t>
    <phoneticPr fontId="4" type="noConversion"/>
  </si>
  <si>
    <t>반복</t>
    <phoneticPr fontId="4" type="noConversion"/>
  </si>
  <si>
    <r>
      <t>ΔS</t>
    </r>
    <r>
      <rPr>
        <vertAlign val="subscript"/>
        <sz val="9"/>
        <rFont val="맑은 고딕"/>
        <family val="3"/>
        <charset val="129"/>
        <scheme val="major"/>
      </rPr>
      <t>우</t>
    </r>
    <phoneticPr fontId="4" type="noConversion"/>
  </si>
  <si>
    <t>-</t>
    <phoneticPr fontId="4" type="noConversion"/>
  </si>
  <si>
    <t>t</t>
    <phoneticPr fontId="4" type="noConversion"/>
  </si>
  <si>
    <t>μm</t>
    <phoneticPr fontId="4" type="noConversion"/>
  </si>
  <si>
    <t>C</t>
    <phoneticPr fontId="4" type="noConversion"/>
  </si>
  <si>
    <t>전기마이크로</t>
    <phoneticPr fontId="4" type="noConversion"/>
  </si>
  <si>
    <r>
      <t>ΔS</t>
    </r>
    <r>
      <rPr>
        <vertAlign val="subscript"/>
        <sz val="9"/>
        <rFont val="맑은 고딕"/>
        <family val="3"/>
        <charset val="129"/>
        <scheme val="major"/>
      </rPr>
      <t>전</t>
    </r>
    <phoneticPr fontId="4" type="noConversion"/>
  </si>
  <si>
    <t>∞</t>
    <phoneticPr fontId="4" type="noConversion"/>
  </si>
  <si>
    <t>D</t>
    <phoneticPr fontId="4" type="noConversion"/>
  </si>
  <si>
    <t>평행받침</t>
    <phoneticPr fontId="4" type="noConversion"/>
  </si>
  <si>
    <r>
      <t>ΔS</t>
    </r>
    <r>
      <rPr>
        <vertAlign val="subscript"/>
        <sz val="9"/>
        <rFont val="맑은 고딕"/>
        <family val="3"/>
        <charset val="129"/>
        <scheme val="major"/>
      </rPr>
      <t>게</t>
    </r>
    <phoneticPr fontId="4" type="noConversion"/>
  </si>
  <si>
    <t>-</t>
    <phoneticPr fontId="4" type="noConversion"/>
  </si>
  <si>
    <t>E</t>
    <phoneticPr fontId="4" type="noConversion"/>
  </si>
  <si>
    <t>정반</t>
    <phoneticPr fontId="4" type="noConversion"/>
  </si>
  <si>
    <r>
      <t>ΔS</t>
    </r>
    <r>
      <rPr>
        <vertAlign val="subscript"/>
        <sz val="9"/>
        <rFont val="맑은 고딕"/>
        <family val="3"/>
        <charset val="129"/>
        <scheme val="major"/>
      </rPr>
      <t>정</t>
    </r>
    <phoneticPr fontId="4" type="noConversion"/>
  </si>
  <si>
    <t>μm</t>
    <phoneticPr fontId="4" type="noConversion"/>
  </si>
  <si>
    <t>직사각형</t>
    <phoneticPr fontId="4" type="noConversion"/>
  </si>
  <si>
    <t>F</t>
    <phoneticPr fontId="4" type="noConversion"/>
  </si>
  <si>
    <t>합성표준</t>
    <phoneticPr fontId="4" type="noConversion"/>
  </si>
  <si>
    <t>F</t>
    <phoneticPr fontId="4" type="noConversion"/>
  </si>
  <si>
    <t>측정불확도</t>
    <phoneticPr fontId="4" type="noConversion"/>
  </si>
  <si>
    <t>선택</t>
    <phoneticPr fontId="4" type="noConversion"/>
  </si>
  <si>
    <t>분해능</t>
    <phoneticPr fontId="4" type="noConversion"/>
  </si>
  <si>
    <t>소수점 자리수</t>
    <phoneticPr fontId="4" type="noConversion"/>
  </si>
  <si>
    <t>5% rule</t>
    <phoneticPr fontId="4" type="noConversion"/>
  </si>
  <si>
    <t>Number Format</t>
    <phoneticPr fontId="4" type="noConversion"/>
  </si>
  <si>
    <t>CMC초과?</t>
    <phoneticPr fontId="4" type="noConversion"/>
  </si>
  <si>
    <t>불확도표기</t>
    <phoneticPr fontId="4" type="noConversion"/>
  </si>
  <si>
    <t>단위</t>
    <phoneticPr fontId="4" type="noConversion"/>
  </si>
  <si>
    <t>계산</t>
    <phoneticPr fontId="4" type="noConversion"/>
  </si>
  <si>
    <t>μm</t>
    <phoneticPr fontId="4" type="noConversion"/>
  </si>
  <si>
    <t>불확도</t>
    <phoneticPr fontId="4" type="noConversion"/>
  </si>
  <si>
    <t>성적서</t>
    <phoneticPr fontId="4" type="noConversion"/>
  </si>
  <si>
    <t>Rawdata</t>
    <phoneticPr fontId="4" type="noConversion"/>
  </si>
  <si>
    <t>값</t>
    <phoneticPr fontId="4" type="noConversion"/>
  </si>
  <si>
    <t>단위포함</t>
    <phoneticPr fontId="4" type="noConversion"/>
  </si>
  <si>
    <t>CMC</t>
    <phoneticPr fontId="4" type="noConversion"/>
  </si>
  <si>
    <t>U+α</t>
    <phoneticPr fontId="4" type="noConversion"/>
  </si>
  <si>
    <t>U&amp;r</t>
    <phoneticPr fontId="4" type="noConversion"/>
  </si>
  <si>
    <t>HCT</t>
    <phoneticPr fontId="4" type="noConversion"/>
  </si>
  <si>
    <t>k</t>
    <phoneticPr fontId="4" type="noConversion"/>
  </si>
  <si>
    <t>4. 성적서용</t>
    <phoneticPr fontId="4" type="noConversion"/>
  </si>
  <si>
    <t>자리수맞춤</t>
    <phoneticPr fontId="4" type="noConversion"/>
  </si>
  <si>
    <t>Spec</t>
    <phoneticPr fontId="4" type="noConversion"/>
  </si>
  <si>
    <t>표기용</t>
    <phoneticPr fontId="4" type="noConversion"/>
  </si>
  <si>
    <t>Min</t>
    <phoneticPr fontId="4" type="noConversion"/>
  </si>
  <si>
    <t>Max</t>
    <phoneticPr fontId="4" type="noConversion"/>
  </si>
  <si>
    <t>눈금값</t>
    <phoneticPr fontId="4" type="noConversion"/>
  </si>
  <si>
    <t>보정값</t>
    <phoneticPr fontId="4" type="noConversion"/>
  </si>
  <si>
    <t>Pass/Fail</t>
    <phoneticPr fontId="4" type="noConversion"/>
  </si>
  <si>
    <t>불확도</t>
    <phoneticPr fontId="4" type="noConversion"/>
  </si>
  <si>
    <r>
      <t xml:space="preserve">3. </t>
    </r>
    <r>
      <rPr>
        <b/>
        <sz val="9"/>
        <rFont val="돋움"/>
        <family val="3"/>
        <charset val="129"/>
      </rPr>
      <t>평면도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반복측정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결과</t>
    </r>
    <phoneticPr fontId="4" type="noConversion"/>
  </si>
  <si>
    <t>구분</t>
    <phoneticPr fontId="4" type="noConversion"/>
  </si>
  <si>
    <t>전기 마이크로미터 읽음값</t>
    <phoneticPr fontId="4" type="noConversion"/>
  </si>
  <si>
    <t>1회</t>
    <phoneticPr fontId="4" type="noConversion"/>
  </si>
  <si>
    <t>μm</t>
    <phoneticPr fontId="4" type="noConversion"/>
  </si>
  <si>
    <t>μm</t>
    <phoneticPr fontId="4" type="noConversion"/>
  </si>
  <si>
    <t>최댓값</t>
    <phoneticPr fontId="4" type="noConversion"/>
  </si>
  <si>
    <t>최솟값</t>
    <phoneticPr fontId="4" type="noConversion"/>
  </si>
  <si>
    <t>밑면의 평면도</t>
    <phoneticPr fontId="4" type="noConversion"/>
  </si>
  <si>
    <t>μm</t>
    <phoneticPr fontId="4" type="noConversion"/>
  </si>
  <si>
    <t>/m</t>
    <phoneticPr fontId="4" type="noConversion"/>
  </si>
  <si>
    <t>/m</t>
    <phoneticPr fontId="4" type="noConversion"/>
  </si>
  <si>
    <t>/m</t>
    <phoneticPr fontId="4" type="noConversion"/>
  </si>
  <si>
    <t>◆ 측정불확도 추정보고서 ◆</t>
    <phoneticPr fontId="4" type="noConversion"/>
  </si>
  <si>
    <t>■ 반복 측정 결과</t>
    <phoneticPr fontId="4" type="noConversion"/>
  </si>
  <si>
    <t>미소각도 설정기 눈금값</t>
    <phoneticPr fontId="4" type="noConversion"/>
  </si>
  <si>
    <t>수준기 눈금 긹음값 (기준선의 우측 눈금 진행)</t>
    <phoneticPr fontId="4" type="noConversion"/>
  </si>
  <si>
    <t>1회</t>
    <phoneticPr fontId="4" type="noConversion"/>
  </si>
  <si>
    <t>전진</t>
    <phoneticPr fontId="4" type="noConversion"/>
  </si>
  <si>
    <t>후퇴</t>
    <phoneticPr fontId="4" type="noConversion"/>
  </si>
  <si>
    <t>수준기 눈금 긹음값 (기준선의 좌측 눈금 진행)</t>
    <phoneticPr fontId="4" type="noConversion"/>
  </si>
  <si>
    <t>후퇴</t>
    <phoneticPr fontId="4" type="noConversion"/>
  </si>
  <si>
    <t>전진</t>
    <phoneticPr fontId="4" type="noConversion"/>
  </si>
  <si>
    <t>■ 눈금 읽음값을 지시값으로 변환</t>
    <phoneticPr fontId="4" type="noConversion"/>
  </si>
  <si>
    <t>미소각도 설정기 눈금값</t>
    <phoneticPr fontId="4" type="noConversion"/>
  </si>
  <si>
    <t>수준기 지시값 (기준선의 우측 눈금 읽음값 × 수준기 감도, 단위 : μm/m)</t>
    <phoneticPr fontId="4" type="noConversion"/>
  </si>
  <si>
    <t>1회</t>
    <phoneticPr fontId="4" type="noConversion"/>
  </si>
  <si>
    <t>평균</t>
    <phoneticPr fontId="4" type="noConversion"/>
  </si>
  <si>
    <t>표준편차</t>
    <phoneticPr fontId="4" type="noConversion"/>
  </si>
  <si>
    <t>전진</t>
    <phoneticPr fontId="4" type="noConversion"/>
  </si>
  <si>
    <t>후퇴</t>
    <phoneticPr fontId="4" type="noConversion"/>
  </si>
  <si>
    <t>전진</t>
    <phoneticPr fontId="4" type="noConversion"/>
  </si>
  <si>
    <t>미소각도 설정기 눈금값</t>
    <phoneticPr fontId="4" type="noConversion"/>
  </si>
  <si>
    <t>후퇴</t>
    <phoneticPr fontId="4" type="noConversion"/>
  </si>
  <si>
    <t>전진</t>
    <phoneticPr fontId="4" type="noConversion"/>
  </si>
  <si>
    <t>■ 수학적 모델</t>
    <phoneticPr fontId="4" type="noConversion"/>
  </si>
  <si>
    <r>
      <t>B</t>
    </r>
    <r>
      <rPr>
        <i/>
        <vertAlign val="subscript"/>
        <sz val="10"/>
        <rFont val="Times New Roman"/>
        <family val="1"/>
      </rPr>
      <t>x</t>
    </r>
    <phoneticPr fontId="4" type="noConversion"/>
  </si>
  <si>
    <t>:</t>
    <phoneticPr fontId="4" type="noConversion"/>
  </si>
  <si>
    <t>수준기 보정값</t>
    <phoneticPr fontId="4" type="noConversion"/>
  </si>
  <si>
    <t>X</t>
    <phoneticPr fontId="4" type="noConversion"/>
  </si>
  <si>
    <t>미소각도 설정기의 교정값</t>
    <phoneticPr fontId="4" type="noConversion"/>
  </si>
  <si>
    <t>Y</t>
    <phoneticPr fontId="4" type="noConversion"/>
  </si>
  <si>
    <t>:</t>
    <phoneticPr fontId="4" type="noConversion"/>
  </si>
  <si>
    <t>:</t>
    <phoneticPr fontId="4" type="noConversion"/>
  </si>
  <si>
    <t>수준기의 지시값</t>
    <phoneticPr fontId="4" type="noConversion"/>
  </si>
  <si>
    <r>
      <t>δY</t>
    </r>
    <r>
      <rPr>
        <i/>
        <vertAlign val="subscript"/>
        <sz val="10"/>
        <rFont val="Times New Roman"/>
        <family val="1"/>
      </rPr>
      <t>d</t>
    </r>
    <phoneticPr fontId="4" type="noConversion"/>
  </si>
  <si>
    <t>목측오차에 의한 보정값</t>
    <phoneticPr fontId="4" type="noConversion"/>
  </si>
  <si>
    <r>
      <t>δM</t>
    </r>
    <r>
      <rPr>
        <i/>
        <vertAlign val="subscript"/>
        <sz val="10"/>
        <rFont val="Times New Roman"/>
        <family val="1"/>
      </rPr>
      <t>c</t>
    </r>
    <phoneticPr fontId="4" type="noConversion"/>
  </si>
  <si>
    <t>정렬오차에 의한 보정값</t>
    <phoneticPr fontId="4" type="noConversion"/>
  </si>
  <si>
    <t>■ 합성표준불확도 관계식</t>
    <phoneticPr fontId="4" type="noConversion"/>
  </si>
  <si>
    <t>※ 감도계수</t>
    <phoneticPr fontId="4" type="noConversion"/>
  </si>
  <si>
    <t>■ 불확도 총괄표</t>
    <phoneticPr fontId="4" type="noConversion"/>
  </si>
  <si>
    <t>입력량</t>
    <phoneticPr fontId="4" type="noConversion"/>
  </si>
  <si>
    <t>추정값</t>
    <phoneticPr fontId="4" type="noConversion"/>
  </si>
  <si>
    <t>확률분포</t>
    <phoneticPr fontId="4" type="noConversion"/>
  </si>
  <si>
    <t>감도계수</t>
    <phoneticPr fontId="4" type="noConversion"/>
  </si>
  <si>
    <t>불확도 기여량</t>
    <phoneticPr fontId="4" type="noConversion"/>
  </si>
  <si>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</si>
  <si>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</si>
  <si>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</si>
  <si>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t>A</t>
    <phoneticPr fontId="4" type="noConversion"/>
  </si>
  <si>
    <t>X</t>
    <phoneticPr fontId="4" type="noConversion"/>
  </si>
  <si>
    <t>B</t>
    <phoneticPr fontId="4" type="noConversion"/>
  </si>
  <si>
    <t>Y</t>
    <phoneticPr fontId="4" type="noConversion"/>
  </si>
  <si>
    <t>C</t>
    <phoneticPr fontId="4" type="noConversion"/>
  </si>
  <si>
    <r>
      <t>δY</t>
    </r>
    <r>
      <rPr>
        <i/>
        <vertAlign val="subscript"/>
        <sz val="10"/>
        <rFont val="Times New Roman"/>
        <family val="1"/>
      </rPr>
      <t>d</t>
    </r>
    <phoneticPr fontId="4" type="noConversion"/>
  </si>
  <si>
    <t>D</t>
    <phoneticPr fontId="4" type="noConversion"/>
  </si>
  <si>
    <r>
      <t>δY</t>
    </r>
    <r>
      <rPr>
        <i/>
        <vertAlign val="subscript"/>
        <sz val="10"/>
        <rFont val="Times New Roman"/>
        <family val="1"/>
      </rPr>
      <t>E</t>
    </r>
    <phoneticPr fontId="4" type="noConversion"/>
  </si>
  <si>
    <t>E</t>
    <phoneticPr fontId="4" type="noConversion"/>
  </si>
  <si>
    <t>E</t>
    <phoneticPr fontId="4" type="noConversion"/>
  </si>
  <si>
    <r>
      <t>δM</t>
    </r>
    <r>
      <rPr>
        <i/>
        <vertAlign val="subscript"/>
        <sz val="10"/>
        <rFont val="Times New Roman"/>
        <family val="1"/>
      </rPr>
      <t>c</t>
    </r>
    <phoneticPr fontId="4" type="noConversion"/>
  </si>
  <si>
    <t>F</t>
    <phoneticPr fontId="4" type="noConversion"/>
  </si>
  <si>
    <r>
      <t>B</t>
    </r>
    <r>
      <rPr>
        <i/>
        <vertAlign val="subscript"/>
        <sz val="10"/>
        <rFont val="Times New Roman"/>
        <family val="1"/>
      </rPr>
      <t>x</t>
    </r>
    <phoneticPr fontId="4" type="noConversion"/>
  </si>
  <si>
    <t>-</t>
    <phoneticPr fontId="4" type="noConversion"/>
  </si>
  <si>
    <t>-</t>
    <phoneticPr fontId="4" type="noConversion"/>
  </si>
  <si>
    <t>■ 표준불확도 성분의 계산</t>
    <phoneticPr fontId="4" type="noConversion"/>
  </si>
  <si>
    <r>
      <rPr>
        <b/>
        <sz val="10"/>
        <rFont val="맑은 고딕"/>
        <family val="1"/>
        <scheme val="major"/>
      </rPr>
      <t>1</t>
    </r>
    <r>
      <rPr>
        <b/>
        <sz val="10"/>
        <rFont val="맑은 고딕"/>
        <family val="3"/>
        <charset val="129"/>
        <scheme val="major"/>
      </rPr>
      <t xml:space="preserve">. 미소각도 설정기의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X</t>
    </r>
    <r>
      <rPr>
        <b/>
        <sz val="10"/>
        <rFont val="Times New Roman"/>
        <family val="1"/>
      </rPr>
      <t>)</t>
    </r>
    <phoneticPr fontId="4" type="noConversion"/>
  </si>
  <si>
    <t>A2. 표준불확도 :</t>
    <phoneticPr fontId="4" type="noConversion"/>
  </si>
  <si>
    <t>※ 미소각도 설정기의 교정성적서에 불확도가</t>
    <phoneticPr fontId="4" type="noConversion"/>
  </si>
  <si>
    <r>
      <t xml:space="preserve">(신뢰수준 약 95 %, </t>
    </r>
    <r>
      <rPr>
        <i/>
        <sz val="10"/>
        <rFont val="맑은 고딕"/>
        <family val="3"/>
        <charset val="129"/>
        <scheme val="minor"/>
      </rPr>
      <t>k</t>
    </r>
    <r>
      <rPr>
        <sz val="10"/>
        <rFont val="맑은 고딕"/>
        <family val="3"/>
        <charset val="129"/>
        <scheme val="minor"/>
      </rPr>
      <t>=2)</t>
    </r>
    <phoneticPr fontId="4" type="noConversion"/>
  </si>
  <si>
    <t>※ R의 단위는 ˝ (초)이다.</t>
    <phoneticPr fontId="4" type="noConversion"/>
  </si>
  <si>
    <t>※ 여기서는 눈금값 μm/m로 교정을 진행하였으므로 단위를 ˝ (초)로 변경하면 R =</t>
    <phoneticPr fontId="4" type="noConversion"/>
  </si>
  <si>
    <t>이다.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</si>
  <si>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sz val="10"/>
        <rFont val="Times New Roman"/>
        <family val="1"/>
      </rPr>
      <t xml:space="preserve">) </t>
    </r>
    <phoneticPr fontId="4" type="noConversion"/>
  </si>
  <si>
    <t>U</t>
    <phoneticPr fontId="4" type="noConversion"/>
  </si>
  <si>
    <t>A3. 확률분포 :</t>
    <phoneticPr fontId="4" type="noConversion"/>
  </si>
  <si>
    <t>A4. 감도계수 :</t>
    <phoneticPr fontId="4" type="noConversion"/>
  </si>
  <si>
    <t>A5. 불확도 기여량 :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</si>
  <si>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sz val="10"/>
        <rFont val="Times New Roman"/>
        <family val="1"/>
      </rPr>
      <t xml:space="preserve">) = </t>
    </r>
    <r>
      <rPr>
        <sz val="10"/>
        <rFont val="바탕"/>
        <family val="1"/>
        <charset val="129"/>
      </rPr>
      <t>∞</t>
    </r>
    <phoneticPr fontId="4" type="noConversion"/>
  </si>
  <si>
    <r>
      <rPr>
        <b/>
        <sz val="10"/>
        <rFont val="맑은 고딕"/>
        <family val="1"/>
        <scheme val="major"/>
      </rPr>
      <t>2</t>
    </r>
    <r>
      <rPr>
        <b/>
        <sz val="10"/>
        <rFont val="맑은 고딕"/>
        <family val="3"/>
        <charset val="129"/>
        <scheme val="major"/>
      </rPr>
      <t xml:space="preserve">. 수준기 지시값에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Y</t>
    </r>
    <r>
      <rPr>
        <b/>
        <sz val="10"/>
        <rFont val="Times New Roman"/>
        <family val="1"/>
      </rPr>
      <t>)</t>
    </r>
    <phoneticPr fontId="4" type="noConversion"/>
  </si>
  <si>
    <t>※ 표준불확도 성분은 우연효과로 인한 불확도로써 A형 평가를 통하여 구한다.</t>
    <phoneticPr fontId="4" type="noConversion"/>
  </si>
  <si>
    <r>
      <t>반복측정한</t>
    </r>
    <r>
      <rPr>
        <sz val="10"/>
        <rFont val="맑은 고딕"/>
        <family val="1"/>
        <scheme val="major"/>
      </rPr>
      <t xml:space="preserve"> 결과의 </t>
    </r>
    <r>
      <rPr>
        <sz val="10"/>
        <rFont val="맑은 고딕"/>
        <family val="3"/>
        <charset val="129"/>
        <scheme val="major"/>
      </rPr>
      <t>표준편차(</t>
    </r>
    <r>
      <rPr>
        <i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ajor"/>
      </rPr>
      <t>)를 구하고 이 값을 측정횟수의 제곱근으로 나누어 구한다.</t>
    </r>
    <phoneticPr fontId="4" type="noConversion"/>
  </si>
  <si>
    <t>B1. 추정값 :</t>
    <phoneticPr fontId="4" type="noConversion"/>
  </si>
  <si>
    <r>
      <rPr>
        <sz val="10"/>
        <rFont val="맑은 고딕"/>
        <family val="3"/>
        <charset val="129"/>
      </rPr>
      <t>※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</rPr>
      <t>표준편차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s</t>
    </r>
    <r>
      <rPr>
        <sz val="10"/>
        <rFont val="Times New Roman"/>
        <family val="1"/>
      </rPr>
      <t>) :</t>
    </r>
    <phoneticPr fontId="4" type="noConversion"/>
  </si>
  <si>
    <t>=</t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</si>
  <si>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Y</t>
    </r>
    <r>
      <rPr>
        <sz val="10"/>
        <rFont val="Times New Roman"/>
        <family val="1"/>
      </rPr>
      <t>)</t>
    </r>
    <phoneticPr fontId="4" type="noConversion"/>
  </si>
  <si>
    <t>s</t>
    <phoneticPr fontId="4" type="noConversion"/>
  </si>
  <si>
    <t>s</t>
    <phoneticPr fontId="4" type="noConversion"/>
  </si>
  <si>
    <t>B3. 확률분포 :</t>
    <phoneticPr fontId="4" type="noConversion"/>
  </si>
  <si>
    <t>B4. 감도계수 :</t>
    <phoneticPr fontId="4" type="noConversion"/>
  </si>
  <si>
    <t>B5. 불확도 기여도 :</t>
    <phoneticPr fontId="4" type="noConversion"/>
  </si>
  <si>
    <t>|</t>
    <phoneticPr fontId="4" type="noConversion"/>
  </si>
  <si>
    <t>B6. 자유도 :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</si>
  <si>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Y</t>
    </r>
    <r>
      <rPr>
        <sz val="10"/>
        <rFont val="Times New Roman"/>
        <family val="1"/>
      </rPr>
      <t>) = n - 1 = 4</t>
    </r>
    <phoneticPr fontId="4" type="noConversion"/>
  </si>
  <si>
    <r>
      <t xml:space="preserve">3. 각도 정규의 분해능 한계에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</t>
    </r>
    <r>
      <rPr>
        <b/>
        <i/>
        <sz val="10"/>
        <rFont val="Times New Roman"/>
        <family val="1"/>
      </rPr>
      <t>Y</t>
    </r>
    <r>
      <rPr>
        <b/>
        <i/>
        <vertAlign val="subscript"/>
        <sz val="10"/>
        <rFont val="Times New Roman"/>
        <family val="1"/>
      </rPr>
      <t>d</t>
    </r>
    <r>
      <rPr>
        <b/>
        <sz val="10"/>
        <rFont val="Times New Roman"/>
        <family val="1"/>
      </rPr>
      <t>)</t>
    </r>
    <phoneticPr fontId="4" type="noConversion"/>
  </si>
  <si>
    <t>C1. 추정값 :</t>
    <phoneticPr fontId="4" type="noConversion"/>
  </si>
  <si>
    <t>C2. 표준불확도 :</t>
    <phoneticPr fontId="4" type="noConversion"/>
  </si>
  <si>
    <r>
      <t>※ 분해능 (</t>
    </r>
    <r>
      <rPr>
        <i/>
        <sz val="10"/>
        <rFont val="Times New Roman"/>
        <family val="1"/>
      </rPr>
      <t>d</t>
    </r>
    <r>
      <rPr>
        <sz val="10"/>
        <rFont val="맑은 고딕"/>
        <family val="3"/>
        <charset val="129"/>
        <scheme val="major"/>
      </rPr>
      <t>) =</t>
    </r>
    <phoneticPr fontId="4" type="noConversion"/>
  </si>
  <si>
    <t>=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</si>
  <si>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δY</t>
    </r>
    <r>
      <rPr>
        <i/>
        <vertAlign val="subscript"/>
        <sz val="10"/>
        <rFont val="Times New Roman"/>
        <family val="1"/>
      </rPr>
      <t>d</t>
    </r>
    <r>
      <rPr>
        <sz val="10"/>
        <rFont val="Times New Roman"/>
        <family val="1"/>
      </rPr>
      <t>)</t>
    </r>
    <phoneticPr fontId="4" type="noConversion"/>
  </si>
  <si>
    <t>=</t>
    <phoneticPr fontId="4" type="noConversion"/>
  </si>
  <si>
    <t>d</t>
    <phoneticPr fontId="4" type="noConversion"/>
  </si>
  <si>
    <t>C3. 확률분포 :</t>
    <phoneticPr fontId="4" type="noConversion"/>
  </si>
  <si>
    <t>C5. 불확도 기여량 :</t>
    <phoneticPr fontId="4" type="noConversion"/>
  </si>
  <si>
    <t>|</t>
    <phoneticPr fontId="4" type="noConversion"/>
  </si>
  <si>
    <t>C6. 자유도 :</t>
    <phoneticPr fontId="4" type="noConversion"/>
  </si>
  <si>
    <r>
      <rPr>
        <b/>
        <sz val="10"/>
        <rFont val="맑은 고딕"/>
        <family val="1"/>
        <scheme val="major"/>
      </rPr>
      <t>4</t>
    </r>
    <r>
      <rPr>
        <b/>
        <sz val="10"/>
        <rFont val="맑은 고딕"/>
        <family val="3"/>
        <charset val="129"/>
        <scheme val="major"/>
      </rPr>
      <t xml:space="preserve">. 수준기의 목측오차에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</t>
    </r>
    <r>
      <rPr>
        <b/>
        <i/>
        <sz val="10"/>
        <rFont val="Times New Roman"/>
        <family val="1"/>
      </rPr>
      <t>Y</t>
    </r>
    <r>
      <rPr>
        <b/>
        <i/>
        <vertAlign val="subscript"/>
        <sz val="10"/>
        <rFont val="Times New Roman"/>
        <family val="1"/>
      </rPr>
      <t>E</t>
    </r>
    <r>
      <rPr>
        <b/>
        <sz val="10"/>
        <rFont val="Times New Roman"/>
        <family val="1"/>
      </rPr>
      <t>)</t>
    </r>
    <phoneticPr fontId="4" type="noConversion"/>
  </si>
  <si>
    <t>D1. 추정값 :</t>
    <phoneticPr fontId="4" type="noConversion"/>
  </si>
  <si>
    <t>D2. 표준불확도 :</t>
    <phoneticPr fontId="4" type="noConversion"/>
  </si>
  <si>
    <t>※ 수준기의 목측오차는</t>
    <phoneticPr fontId="4" type="noConversion"/>
  </si>
  <si>
    <t>로 추정하여 계산한다.</t>
    <phoneticPr fontId="4" type="noConversion"/>
  </si>
  <si>
    <t>※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</si>
  <si>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δY</t>
    </r>
    <r>
      <rPr>
        <i/>
        <vertAlign val="subscript"/>
        <sz val="10"/>
        <rFont val="Times New Roman"/>
        <family val="1"/>
      </rPr>
      <t>E</t>
    </r>
    <r>
      <rPr>
        <sz val="10"/>
        <rFont val="Times New Roman"/>
        <family val="1"/>
      </rPr>
      <t>)</t>
    </r>
    <phoneticPr fontId="4" type="noConversion"/>
  </si>
  <si>
    <t>=</t>
    <phoneticPr fontId="4" type="noConversion"/>
  </si>
  <si>
    <t>D3. 확률분포 :</t>
    <phoneticPr fontId="4" type="noConversion"/>
  </si>
  <si>
    <t>D3. 확률분포 :</t>
    <phoneticPr fontId="4" type="noConversion"/>
  </si>
  <si>
    <t>D4. 감도계수 :</t>
    <phoneticPr fontId="4" type="noConversion"/>
  </si>
  <si>
    <t>D5. 불확도 기여량 :</t>
    <phoneticPr fontId="4" type="noConversion"/>
  </si>
  <si>
    <t>×</t>
    <phoneticPr fontId="4" type="noConversion"/>
  </si>
  <si>
    <t>|</t>
    <phoneticPr fontId="4" type="noConversion"/>
  </si>
  <si>
    <t>D6. 자유도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</si>
  <si>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20%로 추정</t>
    </r>
    <phoneticPr fontId="4" type="noConversion"/>
  </si>
  <si>
    <r>
      <rPr>
        <b/>
        <sz val="10"/>
        <rFont val="맑은 고딕"/>
        <family val="1"/>
        <scheme val="major"/>
      </rPr>
      <t>5</t>
    </r>
    <r>
      <rPr>
        <b/>
        <sz val="10"/>
        <rFont val="맑은 고딕"/>
        <family val="3"/>
        <charset val="129"/>
        <scheme val="major"/>
      </rPr>
      <t xml:space="preserve">. 미소각도 설정기와 수준준기 위치에 따른 정렬오차에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</t>
    </r>
    <r>
      <rPr>
        <b/>
        <i/>
        <sz val="10"/>
        <rFont val="Times New Roman"/>
        <family val="1"/>
      </rPr>
      <t>M</t>
    </r>
    <r>
      <rPr>
        <b/>
        <i/>
        <vertAlign val="subscript"/>
        <sz val="10"/>
        <rFont val="Times New Roman"/>
        <family val="1"/>
      </rPr>
      <t>c</t>
    </r>
    <r>
      <rPr>
        <b/>
        <sz val="10"/>
        <rFont val="Times New Roman"/>
        <family val="1"/>
      </rPr>
      <t>)</t>
    </r>
    <phoneticPr fontId="4" type="noConversion"/>
  </si>
  <si>
    <t>E2. 표준불확도 :</t>
    <phoneticPr fontId="4" type="noConversion"/>
  </si>
  <si>
    <t>※ 미소각도 설정기에서의 정렬오차는 경험적으로</t>
    <phoneticPr fontId="4" type="noConversion"/>
  </si>
  <si>
    <t>이다. 직사각형 분포로 추정하면 다음과 같다.</t>
    <phoneticPr fontId="4" type="noConversion"/>
  </si>
  <si>
    <t>(정렬오차는 미소각도 설정기 축방향과 수준기를 평행하게 맞추어 정렬을 할때 기울기에 따른 변화하는 오차이며,</t>
    <phoneticPr fontId="4" type="noConversion"/>
  </si>
  <si>
    <t>미소각도 설정기와 수준기를 맞추었을때 최소한의 변화량을 적용하였다.)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</si>
  <si>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δM</t>
    </r>
    <r>
      <rPr>
        <i/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>)</t>
    </r>
    <phoneticPr fontId="4" type="noConversion"/>
  </si>
  <si>
    <t>=</t>
    <phoneticPr fontId="4" type="noConversion"/>
  </si>
  <si>
    <t>=</t>
    <phoneticPr fontId="4" type="noConversion"/>
  </si>
  <si>
    <t>E3. 확률분포 :</t>
    <phoneticPr fontId="4" type="noConversion"/>
  </si>
  <si>
    <t>E4. 감도계수 :</t>
    <phoneticPr fontId="4" type="noConversion"/>
  </si>
  <si>
    <t>E5. 불확도 기여량 :</t>
    <phoneticPr fontId="4" type="noConversion"/>
  </si>
  <si>
    <t>|</t>
    <phoneticPr fontId="4" type="noConversion"/>
  </si>
  <si>
    <t>E6. 자유도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</si>
  <si>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0%로 추정</t>
    </r>
    <phoneticPr fontId="4" type="noConversion"/>
  </si>
  <si>
    <t>■ 합성표준불확도 계산</t>
    <phoneticPr fontId="4" type="noConversion"/>
  </si>
  <si>
    <t>+</t>
    <phoneticPr fontId="4" type="noConversion"/>
  </si>
  <si>
    <t>+</t>
    <phoneticPr fontId="4" type="noConversion"/>
  </si>
  <si>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맑은 고딕"/>
        <family val="3"/>
        <charset val="129"/>
        <scheme val="major"/>
      </rPr>
      <t>(</t>
    </r>
    <r>
      <rPr>
        <i/>
        <sz val="10"/>
        <rFont val="Times New Roman"/>
        <family val="1"/>
      </rPr>
      <t>B</t>
    </r>
    <r>
      <rPr>
        <i/>
        <vertAlign val="subscript"/>
        <sz val="10"/>
        <rFont val="Times New Roman"/>
        <family val="1"/>
      </rPr>
      <t>x</t>
    </r>
    <r>
      <rPr>
        <sz val="10"/>
        <rFont val="맑은 고딕"/>
        <family val="3"/>
        <charset val="129"/>
        <scheme val="major"/>
      </rPr>
      <t>)</t>
    </r>
    <phoneticPr fontId="4" type="noConversion"/>
  </si>
  <si>
    <t>■ 유효자유도</t>
    <phoneticPr fontId="4" type="noConversion"/>
  </si>
  <si>
    <t>+</t>
    <phoneticPr fontId="4" type="noConversion"/>
  </si>
  <si>
    <t>+</t>
    <phoneticPr fontId="4" type="noConversion"/>
  </si>
  <si>
    <t>■ 측정불확도</t>
    <phoneticPr fontId="4" type="noConversion"/>
  </si>
  <si>
    <r>
      <t xml:space="preserve">※ 유효자유도 계산 결과 값을 이용하여 t 분포표에서 신뢰수준 약 95%에 해당하는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값을 찾아서 계산한다.</t>
    </r>
    <phoneticPr fontId="4" type="noConversion"/>
  </si>
  <si>
    <r>
      <t xml:space="preserve">이 때 유효자유도가 10 이상으로 충분히 큰 경우 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=2를 적용한다.</t>
    </r>
    <phoneticPr fontId="4" type="noConversion"/>
  </si>
  <si>
    <r>
      <t xml:space="preserve">이 때 유효자유도가 10 이상으로 충분히 큰 경우 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=2를 적용한다.</t>
    </r>
    <phoneticPr fontId="4" type="noConversion"/>
  </si>
  <si>
    <t>■ 반복 측정 결과</t>
    <phoneticPr fontId="4" type="noConversion"/>
  </si>
  <si>
    <t>전기 마이크로미터 지시값</t>
    <phoneticPr fontId="4" type="noConversion"/>
  </si>
  <si>
    <t>평균값</t>
    <phoneticPr fontId="4" type="noConversion"/>
  </si>
  <si>
    <t>최고점</t>
    <phoneticPr fontId="4" type="noConversion"/>
  </si>
  <si>
    <t>최저점</t>
    <phoneticPr fontId="4" type="noConversion"/>
  </si>
  <si>
    <t>최고점</t>
    <phoneticPr fontId="4" type="noConversion"/>
  </si>
  <si>
    <t>최고점 - 최저점</t>
    <phoneticPr fontId="4" type="noConversion"/>
  </si>
  <si>
    <t>직각도 (μm)</t>
    <phoneticPr fontId="4" type="noConversion"/>
  </si>
  <si>
    <t>최고점 - 최저점</t>
    <phoneticPr fontId="4" type="noConversion"/>
  </si>
  <si>
    <t>직각도 (μm)</t>
    <phoneticPr fontId="4" type="noConversion"/>
  </si>
  <si>
    <t>■ 수학적 모델</t>
    <phoneticPr fontId="4" type="noConversion"/>
  </si>
  <si>
    <t>S</t>
    <phoneticPr fontId="4" type="noConversion"/>
  </si>
  <si>
    <t>:</t>
    <phoneticPr fontId="4" type="noConversion"/>
  </si>
  <si>
    <t>각형 수준기의 직각도</t>
    <phoneticPr fontId="4" type="noConversion"/>
  </si>
  <si>
    <t>l</t>
    <phoneticPr fontId="4" type="noConversion"/>
  </si>
  <si>
    <t>최고점과 최저점간의 거리</t>
    <phoneticPr fontId="4" type="noConversion"/>
  </si>
  <si>
    <r>
      <rPr>
        <sz val="10"/>
        <rFont val="Times New Roman"/>
        <family val="1"/>
      </rPr>
      <t>Δ</t>
    </r>
    <r>
      <rPr>
        <i/>
        <sz val="10"/>
        <rFont val="Times New Roman"/>
        <family val="1"/>
      </rPr>
      <t>d</t>
    </r>
    <phoneticPr fontId="4" type="noConversion"/>
  </si>
  <si>
    <t>전기 마이크로미터 읽음값의 차이값 (최고점값 - 최저점값)</t>
    <phoneticPr fontId="4" type="noConversion"/>
  </si>
  <si>
    <t>T</t>
    <phoneticPr fontId="4" type="noConversion"/>
  </si>
  <si>
    <t>직각도 시험기 교정값</t>
    <phoneticPr fontId="4" type="noConversion"/>
  </si>
  <si>
    <t>P</t>
    <phoneticPr fontId="4" type="noConversion"/>
  </si>
  <si>
    <t>정반의 평면도에 의한 보정항</t>
    <phoneticPr fontId="4" type="noConversion"/>
  </si>
  <si>
    <t>■ 불확도 총괄표</t>
    <phoneticPr fontId="4" type="noConversion"/>
  </si>
  <si>
    <t>입력량</t>
    <phoneticPr fontId="4" type="noConversion"/>
  </si>
  <si>
    <t>표준불확도</t>
    <phoneticPr fontId="4" type="noConversion"/>
  </si>
  <si>
    <t>감도계수</t>
    <phoneticPr fontId="4" type="noConversion"/>
  </si>
  <si>
    <t>자유도</t>
    <phoneticPr fontId="4" type="noConversion"/>
  </si>
  <si>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</si>
  <si>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t>(</t>
    </r>
    <r>
      <rPr>
        <i/>
        <sz val="10"/>
        <rFont val="Times New Roman"/>
        <family val="1"/>
      </rPr>
      <t>c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</si>
  <si>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t>|</t>
    </r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y</t>
    </r>
    <r>
      <rPr>
        <sz val="10"/>
        <rFont val="Times New Roman"/>
        <family val="1"/>
      </rPr>
      <t>)|</t>
    </r>
    <phoneticPr fontId="4" type="noConversion"/>
  </si>
  <si>
    <t>A</t>
    <phoneticPr fontId="4" type="noConversion"/>
  </si>
  <si>
    <t>/m</t>
    <phoneticPr fontId="4" type="noConversion"/>
  </si>
  <si>
    <t>B</t>
    <phoneticPr fontId="4" type="noConversion"/>
  </si>
  <si>
    <r>
      <rPr>
        <sz val="10"/>
        <rFont val="Times New Roman"/>
        <family val="1"/>
      </rPr>
      <t>Δ</t>
    </r>
    <r>
      <rPr>
        <i/>
        <sz val="10"/>
        <rFont val="Times New Roman"/>
        <family val="1"/>
      </rPr>
      <t>d</t>
    </r>
    <r>
      <rPr>
        <vertAlign val="subscript"/>
        <sz val="10"/>
        <rFont val="바탕"/>
        <family val="1"/>
        <charset val="129"/>
      </rPr>
      <t>우</t>
    </r>
    <phoneticPr fontId="4" type="noConversion"/>
  </si>
  <si>
    <r>
      <rPr>
        <sz val="10"/>
        <rFont val="Times New Roman"/>
        <family val="1"/>
      </rPr>
      <t>Δ</t>
    </r>
    <r>
      <rPr>
        <i/>
        <sz val="10"/>
        <rFont val="Times New Roman"/>
        <family val="1"/>
      </rPr>
      <t>d</t>
    </r>
    <r>
      <rPr>
        <vertAlign val="subscript"/>
        <sz val="10"/>
        <rFont val="바탕"/>
        <family val="1"/>
        <charset val="129"/>
      </rPr>
      <t>전</t>
    </r>
    <phoneticPr fontId="4" type="noConversion"/>
  </si>
  <si>
    <t>D</t>
    <phoneticPr fontId="4" type="noConversion"/>
  </si>
  <si>
    <t>T</t>
    <phoneticPr fontId="4" type="noConversion"/>
  </si>
  <si>
    <t>/m</t>
    <phoneticPr fontId="4" type="noConversion"/>
  </si>
  <si>
    <t>P</t>
    <phoneticPr fontId="4" type="noConversion"/>
  </si>
  <si>
    <t>S</t>
    <phoneticPr fontId="4" type="noConversion"/>
  </si>
  <si>
    <t>-</t>
    <phoneticPr fontId="4" type="noConversion"/>
  </si>
  <si>
    <t>-</t>
    <phoneticPr fontId="4" type="noConversion"/>
  </si>
  <si>
    <t>■ 표준불확도 성분의 계산</t>
    <phoneticPr fontId="4" type="noConversion"/>
  </si>
  <si>
    <r>
      <t>1</t>
    </r>
    <r>
      <rPr>
        <b/>
        <sz val="10"/>
        <rFont val="맑은 고딕"/>
        <family val="3"/>
        <charset val="129"/>
        <scheme val="major"/>
      </rPr>
      <t>. 직각도 시험기로 읽은 최고점 값과 최저점 값의 차이값의 표준불확도,</t>
    </r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</si>
  <si>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(Δ</t>
    </r>
    <r>
      <rPr>
        <b/>
        <i/>
        <sz val="10"/>
        <rFont val="Times New Roman"/>
        <family val="1"/>
      </rPr>
      <t>d</t>
    </r>
    <r>
      <rPr>
        <b/>
        <sz val="10"/>
        <rFont val="Times New Roman"/>
        <family val="1"/>
      </rPr>
      <t>)</t>
    </r>
    <phoneticPr fontId="4" type="noConversion"/>
  </si>
  <si>
    <t>A1. 추정값 :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</si>
  <si>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(Δ</t>
    </r>
    <r>
      <rPr>
        <i/>
        <sz val="10"/>
        <rFont val="Times New Roman"/>
        <family val="1"/>
      </rPr>
      <t>d</t>
    </r>
    <r>
      <rPr>
        <sz val="10"/>
        <rFont val="Times New Roman"/>
        <family val="1"/>
      </rPr>
      <t xml:space="preserve">) </t>
    </r>
    <phoneticPr fontId="4" type="noConversion"/>
  </si>
  <si>
    <t>=</t>
    <phoneticPr fontId="4" type="noConversion"/>
  </si>
  <si>
    <t>A3. 확률분포 :</t>
    <phoneticPr fontId="4" type="noConversion"/>
  </si>
  <si>
    <t>A4. 감도계수 :</t>
    <phoneticPr fontId="4" type="noConversion"/>
  </si>
  <si>
    <t>m</t>
    <phoneticPr fontId="4" type="noConversion"/>
  </si>
  <si>
    <t>×</t>
    <phoneticPr fontId="4" type="noConversion"/>
  </si>
  <si>
    <t>|</t>
    <phoneticPr fontId="4" type="noConversion"/>
  </si>
  <si>
    <t>A6. 자유도 :</t>
    <phoneticPr fontId="4" type="noConversion"/>
  </si>
  <si>
    <t>+</t>
    <phoneticPr fontId="4" type="noConversion"/>
  </si>
  <si>
    <t>가) 반복측정에 의한 표준불확도,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</si>
  <si>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(Δ</t>
    </r>
    <r>
      <rPr>
        <b/>
        <i/>
        <sz val="10"/>
        <rFont val="Times New Roman"/>
        <family val="1"/>
      </rPr>
      <t>d</t>
    </r>
    <r>
      <rPr>
        <b/>
        <vertAlign val="subscript"/>
        <sz val="10"/>
        <rFont val="바탕"/>
        <family val="1"/>
        <charset val="129"/>
      </rPr>
      <t>우</t>
    </r>
    <r>
      <rPr>
        <b/>
        <sz val="10"/>
        <rFont val="Times New Roman"/>
        <family val="1"/>
      </rPr>
      <t>)</t>
    </r>
    <phoneticPr fontId="4" type="noConversion"/>
  </si>
  <si>
    <t>※ 표준불확도 성분은 우연효과로 인한 불확도로써 A형 평가를 통하여 구한다.</t>
    <phoneticPr fontId="4" type="noConversion"/>
  </si>
  <si>
    <r>
      <t>반복측정한</t>
    </r>
    <r>
      <rPr>
        <sz val="10"/>
        <rFont val="맑은 고딕"/>
        <family val="1"/>
        <scheme val="major"/>
      </rPr>
      <t xml:space="preserve"> 결과의 </t>
    </r>
    <r>
      <rPr>
        <sz val="10"/>
        <rFont val="맑은 고딕"/>
        <family val="3"/>
        <charset val="129"/>
        <scheme val="major"/>
      </rPr>
      <t>표준편차(</t>
    </r>
    <r>
      <rPr>
        <i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ajor"/>
      </rPr>
      <t>)를 구하고 이 값을 측정횟수의 제곱근으로 나누어 구한다.</t>
    </r>
    <phoneticPr fontId="4" type="noConversion"/>
  </si>
  <si>
    <t>B1. 추정값 :</t>
    <phoneticPr fontId="4" type="noConversion"/>
  </si>
  <si>
    <t>B2. 표준불확도 :</t>
    <phoneticPr fontId="4" type="noConversion"/>
  </si>
  <si>
    <r>
      <rPr>
        <sz val="10"/>
        <rFont val="맑은 고딕"/>
        <family val="3"/>
        <charset val="129"/>
      </rPr>
      <t>※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</rPr>
      <t>표준편차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s</t>
    </r>
    <r>
      <rPr>
        <sz val="10"/>
        <rFont val="Times New Roman"/>
        <family val="1"/>
      </rPr>
      <t>) :</t>
    </r>
    <phoneticPr fontId="4" type="noConversion"/>
  </si>
  <si>
    <t>μm</t>
    <phoneticPr fontId="4" type="noConversion"/>
  </si>
  <si>
    <r>
      <t>u</t>
    </r>
    <r>
      <rPr>
        <sz val="10"/>
        <rFont val="Palatino Linotype"/>
        <family val="1"/>
      </rPr>
      <t>(Δ</t>
    </r>
    <r>
      <rPr>
        <i/>
        <sz val="10"/>
        <rFont val="Palatino Linotype"/>
        <family val="1"/>
      </rPr>
      <t>d</t>
    </r>
    <r>
      <rPr>
        <vertAlign val="subscript"/>
        <sz val="10"/>
        <rFont val="바탕"/>
        <family val="1"/>
        <charset val="129"/>
      </rPr>
      <t>우</t>
    </r>
    <r>
      <rPr>
        <sz val="10"/>
        <rFont val="Palatino Linotype"/>
        <family val="1"/>
      </rPr>
      <t>)</t>
    </r>
    <phoneticPr fontId="4" type="noConversion"/>
  </si>
  <si>
    <t>=</t>
    <phoneticPr fontId="4" type="noConversion"/>
  </si>
  <si>
    <t>μm</t>
    <phoneticPr fontId="4" type="noConversion"/>
  </si>
  <si>
    <t>B4. 감도계수 :</t>
    <phoneticPr fontId="4" type="noConversion"/>
  </si>
  <si>
    <t>B6. 자유도 :</t>
    <phoneticPr fontId="4" type="noConversion"/>
  </si>
  <si>
    <r>
      <rPr>
        <i/>
        <sz val="10"/>
        <rFont val="Palatino Linotype"/>
        <family val="1"/>
      </rPr>
      <t>ν</t>
    </r>
    <r>
      <rPr>
        <sz val="10"/>
        <rFont val="Palatino Linotype"/>
        <family val="1"/>
      </rPr>
      <t>(Δ</t>
    </r>
    <r>
      <rPr>
        <i/>
        <sz val="10"/>
        <rFont val="Palatino Linotype"/>
        <family val="1"/>
      </rPr>
      <t>d</t>
    </r>
    <r>
      <rPr>
        <vertAlign val="subscript"/>
        <sz val="10"/>
        <rFont val="바탕"/>
        <family val="1"/>
        <charset val="129"/>
      </rPr>
      <t>우</t>
    </r>
    <r>
      <rPr>
        <sz val="10"/>
        <rFont val="Palatino Linotype"/>
        <family val="1"/>
      </rPr>
      <t>) = n - 1 = 4</t>
    </r>
    <phoneticPr fontId="4" type="noConversion"/>
  </si>
  <si>
    <t>나) 전기 마이크로미터의 표준불확도,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</si>
  <si>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(Δ</t>
    </r>
    <r>
      <rPr>
        <b/>
        <i/>
        <sz val="10"/>
        <rFont val="Times New Roman"/>
        <family val="1"/>
      </rPr>
      <t>d</t>
    </r>
    <r>
      <rPr>
        <b/>
        <vertAlign val="subscript"/>
        <sz val="10"/>
        <rFont val="바탕"/>
        <family val="1"/>
        <charset val="129"/>
      </rPr>
      <t>전</t>
    </r>
    <r>
      <rPr>
        <b/>
        <sz val="10"/>
        <rFont val="Times New Roman"/>
        <family val="1"/>
      </rPr>
      <t>)</t>
    </r>
    <phoneticPr fontId="4" type="noConversion"/>
  </si>
  <si>
    <t>C1. 추정값 :</t>
    <phoneticPr fontId="4" type="noConversion"/>
  </si>
  <si>
    <t>※ 전기 마이크로미터의 교정성적서에 불확도가</t>
    <phoneticPr fontId="4" type="noConversion"/>
  </si>
  <si>
    <r>
      <rPr>
        <i/>
        <sz val="10"/>
        <rFont val="Palatino Linotype"/>
        <family val="1"/>
      </rPr>
      <t>u</t>
    </r>
    <r>
      <rPr>
        <sz val="10"/>
        <rFont val="Palatino Linotype"/>
        <family val="1"/>
      </rPr>
      <t>(Δ</t>
    </r>
    <r>
      <rPr>
        <i/>
        <sz val="10"/>
        <rFont val="Palatino Linotype"/>
        <family val="1"/>
      </rPr>
      <t>d</t>
    </r>
    <r>
      <rPr>
        <vertAlign val="subscript"/>
        <sz val="10"/>
        <rFont val="바탕"/>
        <family val="1"/>
        <charset val="129"/>
      </rPr>
      <t>전</t>
    </r>
    <r>
      <rPr>
        <sz val="10"/>
        <rFont val="Palatino Linotype"/>
        <family val="1"/>
      </rPr>
      <t xml:space="preserve">) </t>
    </r>
    <phoneticPr fontId="4" type="noConversion"/>
  </si>
  <si>
    <t>U</t>
    <phoneticPr fontId="4" type="noConversion"/>
  </si>
  <si>
    <t>C3. 확률분포 :</t>
    <phoneticPr fontId="4" type="noConversion"/>
  </si>
  <si>
    <t>C4. 감도계수 :</t>
    <phoneticPr fontId="4" type="noConversion"/>
  </si>
  <si>
    <t>C5. 불확도 기여도 :</t>
    <phoneticPr fontId="4" type="noConversion"/>
  </si>
  <si>
    <t>C6. 자유도 :</t>
    <phoneticPr fontId="4" type="noConversion"/>
  </si>
  <si>
    <r>
      <rPr>
        <i/>
        <sz val="10"/>
        <rFont val="Palatino Linotype"/>
        <family val="1"/>
      </rPr>
      <t>ν</t>
    </r>
    <r>
      <rPr>
        <sz val="10"/>
        <rFont val="Palatino Linotype"/>
        <family val="1"/>
      </rPr>
      <t>(Δ</t>
    </r>
    <r>
      <rPr>
        <i/>
        <sz val="10"/>
        <rFont val="Palatino Linotype"/>
        <family val="1"/>
      </rPr>
      <t>d</t>
    </r>
    <r>
      <rPr>
        <vertAlign val="subscript"/>
        <sz val="10"/>
        <rFont val="바탕"/>
        <family val="1"/>
        <charset val="129"/>
      </rPr>
      <t>전</t>
    </r>
    <r>
      <rPr>
        <sz val="10"/>
        <rFont val="Palatino Linotype"/>
        <family val="1"/>
      </rPr>
      <t xml:space="preserve">) = </t>
    </r>
    <r>
      <rPr>
        <sz val="10"/>
        <rFont val="바탕"/>
        <family val="1"/>
        <charset val="129"/>
      </rPr>
      <t>∞</t>
    </r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</si>
  <si>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T</t>
    </r>
    <r>
      <rPr>
        <b/>
        <sz val="10"/>
        <rFont val="Times New Roman"/>
        <family val="1"/>
      </rPr>
      <t>)</t>
    </r>
    <phoneticPr fontId="4" type="noConversion"/>
  </si>
  <si>
    <t>k</t>
    <phoneticPr fontId="4" type="noConversion"/>
  </si>
  <si>
    <t>D3. 확률분포 :</t>
    <phoneticPr fontId="4" type="noConversion"/>
  </si>
  <si>
    <t>D4. 감도계수 :</t>
    <phoneticPr fontId="4" type="noConversion"/>
  </si>
  <si>
    <t>D6. 자유도 :</t>
    <phoneticPr fontId="4" type="noConversion"/>
  </si>
  <si>
    <r>
      <rPr>
        <i/>
        <sz val="10"/>
        <rFont val="Palatino Linotype"/>
        <family val="1"/>
      </rPr>
      <t>ν</t>
    </r>
    <r>
      <rPr>
        <sz val="10"/>
        <rFont val="Palatino Linotype"/>
        <family val="1"/>
      </rPr>
      <t>(</t>
    </r>
    <r>
      <rPr>
        <i/>
        <sz val="10"/>
        <rFont val="Palatino Linotype"/>
        <family val="1"/>
      </rPr>
      <t>T</t>
    </r>
    <r>
      <rPr>
        <sz val="10"/>
        <rFont val="Palatino Linotype"/>
        <family val="1"/>
      </rPr>
      <t xml:space="preserve">) = </t>
    </r>
    <r>
      <rPr>
        <sz val="10"/>
        <rFont val="바탕"/>
        <family val="1"/>
        <charset val="129"/>
      </rPr>
      <t>∞</t>
    </r>
    <phoneticPr fontId="4" type="noConversion"/>
  </si>
  <si>
    <t>3. 정반의 평면도에 의한 영향,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</si>
  <si>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P</t>
    </r>
    <r>
      <rPr>
        <b/>
        <sz val="10"/>
        <rFont val="Times New Roman"/>
        <family val="1"/>
      </rPr>
      <t>)</t>
    </r>
    <phoneticPr fontId="4" type="noConversion"/>
  </si>
  <si>
    <t>E1. 추정값 :</t>
    <phoneticPr fontId="4" type="noConversion"/>
  </si>
  <si>
    <t>E2. 표준불확도 :</t>
    <phoneticPr fontId="4" type="noConversion"/>
  </si>
  <si>
    <t>※ 정반의 교정성적서에 평면도가</t>
    <phoneticPr fontId="4" type="noConversion"/>
  </si>
  <si>
    <t>전체 면적의 약 1/5일 때, 평면도를 반범위로 직사각형 확률분포를 적용하여 계산하면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</si>
  <si>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P</t>
    </r>
    <r>
      <rPr>
        <sz val="10"/>
        <rFont val="Times New Roman"/>
        <family val="1"/>
      </rPr>
      <t>)</t>
    </r>
    <phoneticPr fontId="4" type="noConversion"/>
  </si>
  <si>
    <t>μm</t>
    <phoneticPr fontId="4" type="noConversion"/>
  </si>
  <si>
    <t>E4. 감도계수 :</t>
    <phoneticPr fontId="4" type="noConversion"/>
  </si>
  <si>
    <t>E5. 불확도 기여량 :</t>
    <phoneticPr fontId="4" type="noConversion"/>
  </si>
  <si>
    <t>|</t>
    <phoneticPr fontId="4" type="noConversion"/>
  </si>
  <si>
    <t>×</t>
    <phoneticPr fontId="4" type="noConversion"/>
  </si>
  <si>
    <t>|</t>
    <phoneticPr fontId="4" type="noConversion"/>
  </si>
  <si>
    <t>E6. 자유도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</si>
  <si>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0%로 추정</t>
    </r>
    <phoneticPr fontId="4" type="noConversion"/>
  </si>
  <si>
    <t>■ 합성표준불확도 계산</t>
    <phoneticPr fontId="4" type="noConversion"/>
  </si>
  <si>
    <t>■ 유효자유도</t>
    <phoneticPr fontId="4" type="noConversion"/>
  </si>
  <si>
    <t>=</t>
    <phoneticPr fontId="4" type="noConversion"/>
  </si>
  <si>
    <t>■ 측정불확도</t>
    <phoneticPr fontId="4" type="noConversion"/>
  </si>
  <si>
    <r>
      <t xml:space="preserve">※ 유효자유도 계산 결과 값을 이용하여 t 분포표에서 신뢰수준 약 95%에 해당하는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값을 찾아서 계산한다.</t>
    </r>
    <phoneticPr fontId="4" type="noConversion"/>
  </si>
  <si>
    <r>
      <t>U</t>
    </r>
    <r>
      <rPr>
        <sz val="10"/>
        <rFont val="Times New Roman"/>
        <family val="1"/>
      </rPr>
      <t xml:space="preserve"> = </t>
    </r>
    <r>
      <rPr>
        <i/>
        <sz val="10"/>
        <rFont val="Times New Roman"/>
        <family val="1"/>
      </rPr>
      <t>k</t>
    </r>
    <r>
      <rPr>
        <sz val="10"/>
        <rFont val="Times New Roman"/>
        <family val="1"/>
      </rPr>
      <t xml:space="preserve"> × </t>
    </r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 xml:space="preserve"> = </t>
    </r>
    <phoneticPr fontId="4" type="noConversion"/>
  </si>
  <si>
    <t>■ 반복 측정 결과</t>
    <phoneticPr fontId="4" type="noConversion"/>
  </si>
  <si>
    <t>구분</t>
    <phoneticPr fontId="4" type="noConversion"/>
  </si>
  <si>
    <t>평균값</t>
    <phoneticPr fontId="4" type="noConversion"/>
  </si>
  <si>
    <t>최댓값</t>
    <phoneticPr fontId="4" type="noConversion"/>
  </si>
  <si>
    <t>최솟값</t>
    <phoneticPr fontId="4" type="noConversion"/>
  </si>
  <si>
    <t>평면도</t>
    <phoneticPr fontId="4" type="noConversion"/>
  </si>
  <si>
    <t>F</t>
    <phoneticPr fontId="4" type="noConversion"/>
  </si>
  <si>
    <t>:</t>
    <phoneticPr fontId="4" type="noConversion"/>
  </si>
  <si>
    <t>평면도 교정값</t>
    <phoneticPr fontId="4" type="noConversion"/>
  </si>
  <si>
    <r>
      <rPr>
        <sz val="10"/>
        <rFont val="Times New Roman"/>
        <family val="1"/>
      </rPr>
      <t>Δ</t>
    </r>
    <r>
      <rPr>
        <i/>
        <sz val="10"/>
        <rFont val="Times New Roman"/>
        <family val="1"/>
      </rPr>
      <t>S</t>
    </r>
    <phoneticPr fontId="4" type="noConversion"/>
  </si>
  <si>
    <t>:</t>
    <phoneticPr fontId="4" type="noConversion"/>
  </si>
  <si>
    <t>차이값 (최댓값 - 최솟값)</t>
    <phoneticPr fontId="4" type="noConversion"/>
  </si>
  <si>
    <t>■ 합성표준불확도 관계식</t>
    <phoneticPr fontId="4" type="noConversion"/>
  </si>
  <si>
    <t>※ 감도계수</t>
    <phoneticPr fontId="4" type="noConversion"/>
  </si>
  <si>
    <t>■ 불확도 총괄표</t>
    <phoneticPr fontId="4" type="noConversion"/>
  </si>
  <si>
    <t>입력량</t>
    <phoneticPr fontId="4" type="noConversion"/>
  </si>
  <si>
    <t>추정값</t>
    <phoneticPr fontId="4" type="noConversion"/>
  </si>
  <si>
    <t>표준불확도</t>
    <phoneticPr fontId="4" type="noConversion"/>
  </si>
  <si>
    <t>자유도</t>
    <phoneticPr fontId="4" type="noConversion"/>
  </si>
  <si>
    <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</si>
  <si>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t>(</t>
    </r>
    <r>
      <rPr>
        <i/>
        <sz val="10"/>
        <rFont val="Times New Roman"/>
        <family val="1"/>
      </rPr>
      <t>c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</si>
  <si>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t>|</t>
    </r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y</t>
    </r>
    <r>
      <rPr>
        <sz val="10"/>
        <rFont val="Times New Roman"/>
        <family val="1"/>
      </rPr>
      <t>)|</t>
    </r>
    <phoneticPr fontId="4" type="noConversion"/>
  </si>
  <si>
    <t>A</t>
    <phoneticPr fontId="4" type="noConversion"/>
  </si>
  <si>
    <t>B</t>
    <phoneticPr fontId="4" type="noConversion"/>
  </si>
  <si>
    <r>
      <t>Δ</t>
    </r>
    <r>
      <rPr>
        <i/>
        <sz val="10"/>
        <rFont val="Times New Roman"/>
        <family val="1"/>
      </rPr>
      <t>S</t>
    </r>
    <r>
      <rPr>
        <vertAlign val="subscript"/>
        <sz val="10"/>
        <rFont val="바탕"/>
        <family val="1"/>
        <charset val="129"/>
      </rPr>
      <t>우</t>
    </r>
    <phoneticPr fontId="4" type="noConversion"/>
  </si>
  <si>
    <r>
      <t>Δ</t>
    </r>
    <r>
      <rPr>
        <i/>
        <sz val="10"/>
        <rFont val="Times New Roman"/>
        <family val="1"/>
      </rPr>
      <t>S</t>
    </r>
    <r>
      <rPr>
        <vertAlign val="subscript"/>
        <sz val="10"/>
        <rFont val="바탕"/>
        <family val="1"/>
        <charset val="129"/>
      </rPr>
      <t>전</t>
    </r>
    <phoneticPr fontId="4" type="noConversion"/>
  </si>
  <si>
    <r>
      <t>Δ</t>
    </r>
    <r>
      <rPr>
        <i/>
        <sz val="10"/>
        <rFont val="Times New Roman"/>
        <family val="1"/>
      </rPr>
      <t>S</t>
    </r>
    <r>
      <rPr>
        <vertAlign val="subscript"/>
        <sz val="10"/>
        <rFont val="바탕"/>
        <family val="1"/>
        <charset val="129"/>
      </rPr>
      <t>게</t>
    </r>
    <phoneticPr fontId="4" type="noConversion"/>
  </si>
  <si>
    <r>
      <t>Δ</t>
    </r>
    <r>
      <rPr>
        <i/>
        <sz val="10"/>
        <rFont val="Times New Roman"/>
        <family val="1"/>
      </rPr>
      <t>S</t>
    </r>
    <r>
      <rPr>
        <vertAlign val="subscript"/>
        <sz val="10"/>
        <rFont val="바탕"/>
        <family val="1"/>
        <charset val="129"/>
      </rPr>
      <t>정</t>
    </r>
    <phoneticPr fontId="4" type="noConversion"/>
  </si>
  <si>
    <t>F</t>
    <phoneticPr fontId="4" type="noConversion"/>
  </si>
  <si>
    <t>-</t>
    <phoneticPr fontId="4" type="noConversion"/>
  </si>
  <si>
    <t>-</t>
    <phoneticPr fontId="4" type="noConversion"/>
  </si>
  <si>
    <t>■ 표준불확도 성분의 계산</t>
    <phoneticPr fontId="4" type="noConversion"/>
  </si>
  <si>
    <r>
      <t>1</t>
    </r>
    <r>
      <rPr>
        <b/>
        <sz val="10"/>
        <rFont val="맑은 고딕"/>
        <family val="3"/>
        <charset val="129"/>
        <scheme val="major"/>
      </rPr>
      <t>. 측정값의 차이값에 의한 표준불확도,</t>
    </r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</si>
  <si>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(Δ</t>
    </r>
    <r>
      <rPr>
        <b/>
        <i/>
        <sz val="10"/>
        <rFont val="Times New Roman"/>
        <family val="1"/>
      </rPr>
      <t>S</t>
    </r>
    <r>
      <rPr>
        <b/>
        <sz val="10"/>
        <rFont val="Times New Roman"/>
        <family val="1"/>
      </rPr>
      <t>)</t>
    </r>
    <phoneticPr fontId="4" type="noConversion"/>
  </si>
  <si>
    <t>A1. 추정값 :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</si>
  <si>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(Δ</t>
    </r>
    <r>
      <rPr>
        <i/>
        <sz val="10"/>
        <rFont val="Times New Roman"/>
        <family val="1"/>
      </rPr>
      <t>S</t>
    </r>
    <r>
      <rPr>
        <sz val="10"/>
        <rFont val="Times New Roman"/>
        <family val="1"/>
      </rPr>
      <t xml:space="preserve">) </t>
    </r>
    <phoneticPr fontId="4" type="noConversion"/>
  </si>
  <si>
    <t>=</t>
    <phoneticPr fontId="4" type="noConversion"/>
  </si>
  <si>
    <t>A3. 확률분포 :</t>
    <phoneticPr fontId="4" type="noConversion"/>
  </si>
  <si>
    <t>A5. 불확도 기여량 :</t>
    <phoneticPr fontId="4" type="noConversion"/>
  </si>
  <si>
    <t>|</t>
    <phoneticPr fontId="4" type="noConversion"/>
  </si>
  <si>
    <t>+</t>
    <phoneticPr fontId="4" type="noConversion"/>
  </si>
  <si>
    <t>+</t>
    <phoneticPr fontId="4" type="noConversion"/>
  </si>
  <si>
    <t>가) 반복측정에 의한 표준불확도,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</si>
  <si>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(Δ</t>
    </r>
    <r>
      <rPr>
        <b/>
        <i/>
        <sz val="10"/>
        <rFont val="Times New Roman"/>
        <family val="1"/>
      </rPr>
      <t>S</t>
    </r>
    <r>
      <rPr>
        <b/>
        <vertAlign val="subscript"/>
        <sz val="10"/>
        <rFont val="바탕"/>
        <family val="1"/>
        <charset val="129"/>
      </rPr>
      <t>우</t>
    </r>
    <r>
      <rPr>
        <b/>
        <sz val="10"/>
        <rFont val="Times New Roman"/>
        <family val="1"/>
      </rPr>
      <t>)</t>
    </r>
    <phoneticPr fontId="4" type="noConversion"/>
  </si>
  <si>
    <t>※ 표준불확도 성분은 우연효과로 인한 불확도로써 A형 평가를 통하여 구한다.</t>
    <phoneticPr fontId="4" type="noConversion"/>
  </si>
  <si>
    <t>B1. 추정값 :</t>
    <phoneticPr fontId="4" type="noConversion"/>
  </si>
  <si>
    <t>-</t>
    <phoneticPr fontId="4" type="noConversion"/>
  </si>
  <si>
    <r>
      <rPr>
        <sz val="10"/>
        <rFont val="맑은 고딕"/>
        <family val="3"/>
        <charset val="129"/>
      </rPr>
      <t>※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</rPr>
      <t>표준편차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s</t>
    </r>
    <r>
      <rPr>
        <sz val="10"/>
        <rFont val="Times New Roman"/>
        <family val="1"/>
      </rPr>
      <t>) :</t>
    </r>
    <phoneticPr fontId="4" type="noConversion"/>
  </si>
  <si>
    <t>μm</t>
    <phoneticPr fontId="4" type="noConversion"/>
  </si>
  <si>
    <r>
      <t>u</t>
    </r>
    <r>
      <rPr>
        <sz val="10"/>
        <rFont val="Palatino Linotype"/>
        <family val="1"/>
      </rPr>
      <t>(Δ</t>
    </r>
    <r>
      <rPr>
        <i/>
        <sz val="10"/>
        <rFont val="Palatino Linotype"/>
        <family val="1"/>
      </rPr>
      <t>S</t>
    </r>
    <r>
      <rPr>
        <vertAlign val="subscript"/>
        <sz val="10"/>
        <rFont val="바탕"/>
        <family val="1"/>
        <charset val="129"/>
      </rPr>
      <t>우</t>
    </r>
    <r>
      <rPr>
        <sz val="10"/>
        <rFont val="Palatino Linotype"/>
        <family val="1"/>
      </rPr>
      <t>)</t>
    </r>
    <phoneticPr fontId="4" type="noConversion"/>
  </si>
  <si>
    <t>s</t>
    <phoneticPr fontId="4" type="noConversion"/>
  </si>
  <si>
    <t>B4. 감도계수 :</t>
    <phoneticPr fontId="4" type="noConversion"/>
  </si>
  <si>
    <t>B5. 불확도 기여도 :</t>
    <phoneticPr fontId="4" type="noConversion"/>
  </si>
  <si>
    <t>×</t>
    <phoneticPr fontId="4" type="noConversion"/>
  </si>
  <si>
    <r>
      <rPr>
        <i/>
        <sz val="10"/>
        <rFont val="Palatino Linotype"/>
        <family val="1"/>
      </rPr>
      <t>ν</t>
    </r>
    <r>
      <rPr>
        <sz val="10"/>
        <rFont val="Palatino Linotype"/>
        <family val="1"/>
      </rPr>
      <t>(Δ</t>
    </r>
    <r>
      <rPr>
        <i/>
        <sz val="10"/>
        <rFont val="Palatino Linotype"/>
        <family val="1"/>
      </rPr>
      <t>d</t>
    </r>
    <r>
      <rPr>
        <vertAlign val="subscript"/>
        <sz val="10"/>
        <rFont val="바탕"/>
        <family val="1"/>
        <charset val="129"/>
      </rPr>
      <t>우</t>
    </r>
    <r>
      <rPr>
        <sz val="10"/>
        <rFont val="Palatino Linotype"/>
        <family val="1"/>
      </rPr>
      <t>) = n - 1 = 4</t>
    </r>
    <phoneticPr fontId="4" type="noConversion"/>
  </si>
  <si>
    <t>나) 전기 마이크로미터의 표준불확도,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</si>
  <si>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(Δ</t>
    </r>
    <r>
      <rPr>
        <b/>
        <i/>
        <sz val="10"/>
        <rFont val="Times New Roman"/>
        <family val="1"/>
      </rPr>
      <t>S</t>
    </r>
    <r>
      <rPr>
        <b/>
        <vertAlign val="subscript"/>
        <sz val="10"/>
        <rFont val="바탕"/>
        <family val="1"/>
        <charset val="129"/>
      </rPr>
      <t>전</t>
    </r>
    <r>
      <rPr>
        <b/>
        <sz val="10"/>
        <rFont val="Times New Roman"/>
        <family val="1"/>
      </rPr>
      <t>)</t>
    </r>
    <phoneticPr fontId="4" type="noConversion"/>
  </si>
  <si>
    <t>-</t>
    <phoneticPr fontId="4" type="noConversion"/>
  </si>
  <si>
    <t>C2. 표준불확도 :</t>
    <phoneticPr fontId="4" type="noConversion"/>
  </si>
  <si>
    <t>※ 전기 마이크로미터의 교정성적서에 불확도가</t>
    <phoneticPr fontId="4" type="noConversion"/>
  </si>
  <si>
    <r>
      <t xml:space="preserve">μm (신뢰수준 약 95 %, </t>
    </r>
    <r>
      <rPr>
        <i/>
        <sz val="10"/>
        <rFont val="맑은 고딕"/>
        <family val="3"/>
        <charset val="129"/>
        <scheme val="minor"/>
      </rPr>
      <t>k</t>
    </r>
    <r>
      <rPr>
        <sz val="10"/>
        <rFont val="맑은 고딕"/>
        <family val="3"/>
        <charset val="129"/>
        <scheme val="minor"/>
      </rPr>
      <t>=2) 이다.</t>
    </r>
    <phoneticPr fontId="4" type="noConversion"/>
  </si>
  <si>
    <r>
      <rPr>
        <i/>
        <sz val="10"/>
        <rFont val="Palatino Linotype"/>
        <family val="1"/>
      </rPr>
      <t>u</t>
    </r>
    <r>
      <rPr>
        <sz val="10"/>
        <rFont val="Palatino Linotype"/>
        <family val="1"/>
      </rPr>
      <t>(Δ</t>
    </r>
    <r>
      <rPr>
        <i/>
        <sz val="10"/>
        <rFont val="Palatino Linotype"/>
        <family val="1"/>
      </rPr>
      <t>S</t>
    </r>
    <r>
      <rPr>
        <vertAlign val="subscript"/>
        <sz val="10"/>
        <rFont val="바탕"/>
        <family val="1"/>
        <charset val="129"/>
      </rPr>
      <t>전</t>
    </r>
    <r>
      <rPr>
        <sz val="10"/>
        <rFont val="Palatino Linotype"/>
        <family val="1"/>
      </rPr>
      <t xml:space="preserve">) </t>
    </r>
    <phoneticPr fontId="4" type="noConversion"/>
  </si>
  <si>
    <t>C4. 감도계수 :</t>
    <phoneticPr fontId="4" type="noConversion"/>
  </si>
  <si>
    <t>C5. 불확도 기여도 :</t>
    <phoneticPr fontId="4" type="noConversion"/>
  </si>
  <si>
    <t>×</t>
    <phoneticPr fontId="4" type="noConversion"/>
  </si>
  <si>
    <t>C6. 자유도 :</t>
    <phoneticPr fontId="4" type="noConversion"/>
  </si>
  <si>
    <r>
      <rPr>
        <i/>
        <sz val="10"/>
        <rFont val="Palatino Linotype"/>
        <family val="1"/>
      </rPr>
      <t>ν</t>
    </r>
    <r>
      <rPr>
        <sz val="10"/>
        <rFont val="Palatino Linotype"/>
        <family val="1"/>
      </rPr>
      <t>(Δ</t>
    </r>
    <r>
      <rPr>
        <i/>
        <sz val="10"/>
        <rFont val="Palatino Linotype"/>
        <family val="1"/>
      </rPr>
      <t>S</t>
    </r>
    <r>
      <rPr>
        <vertAlign val="subscript"/>
        <sz val="10"/>
        <rFont val="바탕"/>
        <family val="1"/>
        <charset val="129"/>
      </rPr>
      <t>전</t>
    </r>
    <r>
      <rPr>
        <sz val="10"/>
        <rFont val="Palatino Linotype"/>
        <family val="1"/>
      </rPr>
      <t xml:space="preserve">) = </t>
    </r>
    <r>
      <rPr>
        <sz val="10"/>
        <rFont val="바탕"/>
        <family val="1"/>
        <charset val="129"/>
      </rPr>
      <t>∞</t>
    </r>
    <phoneticPr fontId="4" type="noConversion"/>
  </si>
  <si>
    <t>다) 평행받침으로 사용된 게이지 블록의 표준불확도,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</si>
  <si>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(Δ</t>
    </r>
    <r>
      <rPr>
        <b/>
        <i/>
        <sz val="10"/>
        <rFont val="Times New Roman"/>
        <family val="1"/>
      </rPr>
      <t>S</t>
    </r>
    <r>
      <rPr>
        <b/>
        <vertAlign val="subscript"/>
        <sz val="10"/>
        <rFont val="바탕"/>
        <family val="1"/>
        <charset val="129"/>
      </rPr>
      <t>게</t>
    </r>
    <r>
      <rPr>
        <b/>
        <sz val="10"/>
        <rFont val="Times New Roman"/>
        <family val="1"/>
      </rPr>
      <t>)</t>
    </r>
    <phoneticPr fontId="4" type="noConversion"/>
  </si>
  <si>
    <t>D1. 추정값 :</t>
    <phoneticPr fontId="4" type="noConversion"/>
  </si>
  <si>
    <t>D2. 표준불확도 :</t>
    <phoneticPr fontId="4" type="noConversion"/>
  </si>
  <si>
    <t>※ 사용한 2개의 게이지 블록의 측정불확도가 각각</t>
    <phoneticPr fontId="4" type="noConversion"/>
  </si>
  <si>
    <t>,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</si>
  <si>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(Δ</t>
    </r>
    <r>
      <rPr>
        <i/>
        <sz val="10"/>
        <rFont val="Times New Roman"/>
        <family val="1"/>
      </rPr>
      <t>S</t>
    </r>
    <r>
      <rPr>
        <vertAlign val="subscript"/>
        <sz val="10"/>
        <rFont val="바탕"/>
        <family val="1"/>
        <charset val="129"/>
      </rPr>
      <t>게</t>
    </r>
    <r>
      <rPr>
        <sz val="10"/>
        <rFont val="Times New Roman"/>
        <family val="1"/>
      </rPr>
      <t xml:space="preserve">) </t>
    </r>
    <phoneticPr fontId="4" type="noConversion"/>
  </si>
  <si>
    <t>=</t>
    <phoneticPr fontId="4" type="noConversion"/>
  </si>
  <si>
    <t>D5. 불확도 기여량 :</t>
    <phoneticPr fontId="4" type="noConversion"/>
  </si>
  <si>
    <t>D6. 자유도 :</t>
    <phoneticPr fontId="4" type="noConversion"/>
  </si>
  <si>
    <r>
      <rPr>
        <i/>
        <sz val="10"/>
        <rFont val="Palatino Linotype"/>
        <family val="1"/>
      </rPr>
      <t>ν</t>
    </r>
    <r>
      <rPr>
        <sz val="10"/>
        <rFont val="Palatino Linotype"/>
        <family val="1"/>
      </rPr>
      <t>(Δ</t>
    </r>
    <r>
      <rPr>
        <i/>
        <sz val="10"/>
        <rFont val="Palatino Linotype"/>
        <family val="1"/>
      </rPr>
      <t>S</t>
    </r>
    <r>
      <rPr>
        <vertAlign val="subscript"/>
        <sz val="10"/>
        <rFont val="바탕"/>
        <family val="1"/>
        <charset val="129"/>
      </rPr>
      <t>게</t>
    </r>
    <r>
      <rPr>
        <sz val="10"/>
        <rFont val="Palatino Linotype"/>
        <family val="1"/>
      </rPr>
      <t xml:space="preserve">) = </t>
    </r>
    <r>
      <rPr>
        <sz val="10"/>
        <rFont val="바탕"/>
        <family val="1"/>
        <charset val="129"/>
      </rPr>
      <t>∞</t>
    </r>
    <phoneticPr fontId="4" type="noConversion"/>
  </si>
  <si>
    <t>라) 정반의 평면도에 의한 영향,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</si>
  <si>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(Δ</t>
    </r>
    <r>
      <rPr>
        <b/>
        <i/>
        <sz val="10"/>
        <rFont val="Times New Roman"/>
        <family val="1"/>
      </rPr>
      <t>S</t>
    </r>
    <r>
      <rPr>
        <b/>
        <vertAlign val="subscript"/>
        <sz val="10"/>
        <rFont val="바탕"/>
        <family val="1"/>
        <charset val="129"/>
      </rPr>
      <t>정</t>
    </r>
    <r>
      <rPr>
        <b/>
        <sz val="10"/>
        <rFont val="Times New Roman"/>
        <family val="1"/>
      </rPr>
      <t>)</t>
    </r>
    <phoneticPr fontId="4" type="noConversion"/>
  </si>
  <si>
    <t>E1. 추정값 :</t>
    <phoneticPr fontId="4" type="noConversion"/>
  </si>
  <si>
    <t>-</t>
    <phoneticPr fontId="4" type="noConversion"/>
  </si>
  <si>
    <t>E2. 표준불확도 :</t>
    <phoneticPr fontId="4" type="noConversion"/>
  </si>
  <si>
    <t>※ 정반의 교정성적서에 평면도가</t>
    <phoneticPr fontId="4" type="noConversion"/>
  </si>
  <si>
    <t>μm 이고, 직각도 시험기 및 각형 수준기가 놓이게 될 면적이</t>
    <phoneticPr fontId="4" type="noConversion"/>
  </si>
  <si>
    <t>전체 면적의 약 1/5일 때, 평면도를 반범위로 직사각형 확률분포를 적용하여 계산하면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</si>
  <si>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(Δ</t>
    </r>
    <r>
      <rPr>
        <i/>
        <sz val="10"/>
        <rFont val="Times New Roman"/>
        <family val="1"/>
      </rPr>
      <t>S</t>
    </r>
    <r>
      <rPr>
        <vertAlign val="subscript"/>
        <sz val="10"/>
        <rFont val="바탕"/>
        <family val="1"/>
        <charset val="129"/>
      </rPr>
      <t>정</t>
    </r>
    <r>
      <rPr>
        <sz val="10"/>
        <rFont val="Times New Roman"/>
        <family val="1"/>
      </rPr>
      <t xml:space="preserve">) </t>
    </r>
    <phoneticPr fontId="4" type="noConversion"/>
  </si>
  <si>
    <t>E3. 확률분포 :</t>
    <phoneticPr fontId="4" type="noConversion"/>
  </si>
  <si>
    <t>E4. 감도계수 :</t>
    <phoneticPr fontId="4" type="noConversion"/>
  </si>
  <si>
    <t>E5. 불확도 기여량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</si>
  <si>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0%로 추정</t>
    </r>
    <phoneticPr fontId="4" type="noConversion"/>
  </si>
  <si>
    <t>■ 합성표준불확도 계산</t>
    <phoneticPr fontId="4" type="noConversion"/>
  </si>
  <si>
    <t>μm</t>
    <phoneticPr fontId="4" type="noConversion"/>
  </si>
  <si>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맑은 고딕"/>
        <family val="3"/>
        <charset val="129"/>
        <scheme val="major"/>
      </rPr>
      <t>(</t>
    </r>
    <r>
      <rPr>
        <i/>
        <sz val="10"/>
        <rFont val="Times New Roman"/>
        <family val="1"/>
      </rPr>
      <t>F</t>
    </r>
    <r>
      <rPr>
        <sz val="10"/>
        <rFont val="맑은 고딕"/>
        <family val="3"/>
        <charset val="129"/>
        <scheme val="major"/>
      </rPr>
      <t>)</t>
    </r>
    <phoneticPr fontId="4" type="noConversion"/>
  </si>
  <si>
    <t>μm</t>
    <phoneticPr fontId="4" type="noConversion"/>
  </si>
  <si>
    <t>■ 측정불확도</t>
    <phoneticPr fontId="4" type="noConversion"/>
  </si>
  <si>
    <r>
      <t xml:space="preserve">이 때 유효자유도가 10 이상으로 충분히 큰 경우 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=2를 적용한다.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</si>
</sst>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9">
    <numFmt numFmtId="41" formatCode="_-* #,##0_-;\-* #,##0_-;_-* &quot;-&quot;_-;_-@_-"/>
    <numFmt numFmtId="43" formatCode="_-* #,##0.00_-;\-* #,##0.00_-;_-* &quot;-&quot;??_-;_-@_-"/>
    <numFmt numFmtId="176" formatCode="_ &quot;₩&quot;* #,##0.00_ ;_ &quot;₩&quot;* &quot;₩&quot;&quot;₩&quot;&quot;₩&quot;&quot;₩&quot;&quot;₩&quot;&quot;₩&quot;&quot;₩&quot;\-#,##0.00_ ;_ &quot;₩&quot;* &quot;-&quot;??_ ;_ @_ "/>
    <numFmt numFmtId="177" formatCode="&quot;₩&quot;#,##0;&quot;₩&quot;&quot;₩&quot;&quot;₩&quot;&quot;₩&quot;&quot;₩&quot;&quot;₩&quot;&quot;₩&quot;&quot;₩&quot;&quot;₩&quot;\-#,##0"/>
    <numFmt numFmtId="178" formatCode="_ * #,##0.00_ ;_ * &quot;₩&quot;&quot;₩&quot;&quot;₩&quot;&quot;₩&quot;&quot;₩&quot;&quot;₩&quot;&quot;₩&quot;\-#,##0.00_ ;_ * &quot;-&quot;??_ ;_ @_ "/>
    <numFmt numFmtId="179" formatCode="&quot;₩&quot;#,##0;[Red]&quot;₩&quot;&quot;₩&quot;&quot;₩&quot;&quot;₩&quot;&quot;₩&quot;&quot;₩&quot;&quot;₩&quot;&quot;₩&quot;&quot;₩&quot;\-#,##0"/>
    <numFmt numFmtId="180" formatCode="_ * #,##0_ ;_ * \-#,##0_ ;_ * &quot;-&quot;_ ;_ @_ "/>
    <numFmt numFmtId="181" formatCode="_ * #,##0.00_ ;_ * \-#,##0.00_ ;_ * &quot;-&quot;??_ ;_ @_ "/>
    <numFmt numFmtId="182" formatCode="&quot;₩&quot;#,##0;&quot;₩&quot;&quot;₩&quot;&quot;₩&quot;&quot;₩&quot;&quot;₩&quot;&quot;₩&quot;&quot;₩&quot;&quot;₩&quot;\-#,##0"/>
    <numFmt numFmtId="183" formatCode="&quot;₩&quot;#,##0.00;&quot;₩&quot;&quot;₩&quot;&quot;₩&quot;&quot;₩&quot;&quot;₩&quot;&quot;₩&quot;&quot;₩&quot;&quot;₩&quot;\-#,##0.00"/>
    <numFmt numFmtId="184" formatCode="################################"/>
    <numFmt numFmtId="185" formatCode="0.0\ &quot;℃&quot;"/>
    <numFmt numFmtId="186" formatCode="0\ &quot;％ R.H.&quot;"/>
    <numFmt numFmtId="187" formatCode="0.0\ &quot;hPa&quot;"/>
    <numFmt numFmtId="188" formatCode="0.00_ "/>
    <numFmt numFmtId="189" formatCode="0.000_ "/>
    <numFmt numFmtId="190" formatCode="0.000000_ "/>
    <numFmt numFmtId="191" formatCode="0.000"/>
    <numFmt numFmtId="192" formatCode="####\-##\-##"/>
    <numFmt numFmtId="193" formatCode="0.0000_);[Red]\(0.0000\)"/>
    <numFmt numFmtId="194" formatCode="0.0000_ "/>
    <numFmt numFmtId="195" formatCode="0.0"/>
    <numFmt numFmtId="196" formatCode="_-* #,##0_-;\-* #,##0_-;_-* &quot;-&quot;??_-;_-@_-"/>
    <numFmt numFmtId="197" formatCode="0.0_ "/>
    <numFmt numFmtId="198" formatCode="\√\(0\)"/>
    <numFmt numFmtId="199" formatCode="#\ ##0"/>
    <numFmt numFmtId="200" formatCode="0_ "/>
    <numFmt numFmtId="201" formatCode="0.000_);[Red]\(0.000\)"/>
    <numFmt numFmtId="202" formatCode="0.000\ 00"/>
    <numFmt numFmtId="203" formatCode="0.0\˝"/>
    <numFmt numFmtId="204" formatCode="0.000\ 0\ "/>
    <numFmt numFmtId="205" formatCode="0.000&quot;˝&quot;"/>
    <numFmt numFmtId="206" formatCode="0.000\ &quot;kg&quot;"/>
    <numFmt numFmtId="207" formatCode="0.00\ &quot;mg&quot;"/>
    <numFmt numFmtId="208" formatCode="&quot;±&quot;\ 0\ &quot;μm/m&quot;"/>
    <numFmt numFmtId="209" formatCode="0.0&quot;˝&quot;"/>
    <numFmt numFmtId="210" formatCode="0.0000000"/>
    <numFmt numFmtId="211" formatCode="General\ &quot;m&quot;"/>
    <numFmt numFmtId="212" formatCode="General\ &quot;/m&quot;"/>
  </numFmts>
  <fonts count="105">
    <font>
      <sz val="11"/>
      <name val="돋움"/>
      <family val="3"/>
      <charset val="129"/>
    </font>
    <font>
      <sz val="9"/>
      <name val="Tahoma"/>
      <family val="2"/>
    </font>
    <font>
      <b/>
      <sz val="9"/>
      <name val="Tahoma"/>
      <family val="2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9"/>
      <color indexed="9"/>
      <name val="Tahoma"/>
      <family val="2"/>
    </font>
    <font>
      <sz val="10"/>
      <name val="Arial"/>
      <family val="2"/>
    </font>
    <font>
      <b/>
      <sz val="9"/>
      <color indexed="9"/>
      <name val="돋움"/>
      <family val="3"/>
      <charset val="129"/>
    </font>
    <font>
      <sz val="8"/>
      <name val="Tahoma"/>
      <family val="2"/>
    </font>
    <font>
      <sz val="11"/>
      <name val="Tahoma"/>
      <family val="2"/>
    </font>
    <font>
      <sz val="10"/>
      <name val="Tahoma"/>
      <family val="2"/>
    </font>
    <font>
      <b/>
      <sz val="8"/>
      <name val="Tahoma"/>
      <family val="2"/>
    </font>
    <font>
      <sz val="8"/>
      <color indexed="8"/>
      <name val="Tahoma"/>
      <family val="2"/>
    </font>
    <font>
      <sz val="12"/>
      <name val="바탕체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u/>
      <sz val="10"/>
      <color indexed="36"/>
      <name val="Arial"/>
      <family val="2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¹ÙÅÁÃ¼"/>
      <family val="1"/>
      <charset val="129"/>
    </font>
    <font>
      <sz val="14"/>
      <name val="¾©"/>
      <family val="3"/>
      <charset val="129"/>
    </font>
    <font>
      <sz val="10"/>
      <name val="±¼¸²Ã¼"/>
      <family val="3"/>
      <charset val="129"/>
    </font>
    <font>
      <sz val="8"/>
      <name val="Arial"/>
      <family val="2"/>
    </font>
    <font>
      <sz val="10"/>
      <name val="Helv"/>
      <family val="2"/>
    </font>
    <font>
      <sz val="12"/>
      <name val="¾©"/>
      <family val="3"/>
      <charset val="129"/>
    </font>
    <font>
      <b/>
      <sz val="20"/>
      <name val="Tahoma"/>
      <family val="2"/>
    </font>
    <font>
      <b/>
      <sz val="20"/>
      <name val="돋움"/>
      <family val="3"/>
      <charset val="129"/>
    </font>
    <font>
      <b/>
      <sz val="8"/>
      <name val="맑은 고딕"/>
      <family val="3"/>
      <charset val="129"/>
    </font>
    <font>
      <sz val="8"/>
      <name val="맑은 고딕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sz val="8"/>
      <color indexed="10"/>
      <name val="Tahoma"/>
      <family val="2"/>
    </font>
    <font>
      <sz val="8"/>
      <name val="맑은 고딕"/>
      <family val="3"/>
      <charset val="129"/>
    </font>
    <font>
      <sz val="8"/>
      <color indexed="8"/>
      <name val="Tahoma"/>
      <family val="2"/>
    </font>
    <font>
      <b/>
      <sz val="23"/>
      <name val="Arial Unicode MS"/>
      <family val="3"/>
      <charset val="129"/>
    </font>
    <font>
      <sz val="9"/>
      <name val="Arial Unicode MS"/>
      <family val="3"/>
      <charset val="129"/>
    </font>
    <font>
      <b/>
      <sz val="12"/>
      <name val="Arial Unicode MS"/>
      <family val="3"/>
      <charset val="129"/>
    </font>
    <font>
      <sz val="9"/>
      <color indexed="8"/>
      <name val="Arial Unicode MS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</font>
    <font>
      <b/>
      <sz val="22"/>
      <name val="맑은 고딕"/>
      <family val="3"/>
      <charset val="129"/>
      <scheme val="minor"/>
    </font>
    <font>
      <sz val="9"/>
      <color indexed="8"/>
      <name val="맑은 고딕"/>
      <family val="3"/>
      <charset val="129"/>
    </font>
    <font>
      <sz val="12"/>
      <color indexed="8"/>
      <name val="굴림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name val="Arial Unicode MS"/>
      <family val="3"/>
      <charset val="129"/>
    </font>
    <font>
      <b/>
      <sz val="9"/>
      <name val="돋움"/>
      <family val="3"/>
      <charset val="129"/>
    </font>
    <font>
      <b/>
      <sz val="8"/>
      <name val="돋움"/>
      <family val="3"/>
      <charset val="129"/>
    </font>
    <font>
      <sz val="8"/>
      <name val="맑은 고딕"/>
      <family val="3"/>
      <charset val="129"/>
      <scheme val="major"/>
    </font>
    <font>
      <sz val="9"/>
      <color rgb="FFFF0000"/>
      <name val="Arial Unicode MS"/>
      <family val="3"/>
      <charset val="129"/>
    </font>
    <font>
      <i/>
      <sz val="9"/>
      <name val="Arial Unicode MS"/>
      <family val="3"/>
      <charset val="129"/>
    </font>
    <font>
      <sz val="10"/>
      <name val="맑은 고딕"/>
      <family val="3"/>
      <charset val="129"/>
      <scheme val="major"/>
    </font>
    <font>
      <b/>
      <sz val="20"/>
      <name val="Felix Titling"/>
      <family val="5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color indexed="9"/>
      <name val="맑은 고딕"/>
      <family val="3"/>
      <charset val="129"/>
      <scheme val="major"/>
    </font>
    <font>
      <b/>
      <vertAlign val="subscript"/>
      <sz val="9"/>
      <color indexed="9"/>
      <name val="맑은 고딕"/>
      <family val="3"/>
      <charset val="129"/>
      <scheme val="major"/>
    </font>
    <font>
      <b/>
      <sz val="9"/>
      <color rgb="FFFF0000"/>
      <name val="Tahoma"/>
      <family val="2"/>
    </font>
    <font>
      <b/>
      <sz val="10"/>
      <color rgb="FFFF0000"/>
      <name val="맑은 고딕"/>
      <family val="3"/>
      <charset val="129"/>
      <scheme val="minor"/>
    </font>
    <font>
      <sz val="9"/>
      <color rgb="FF0070C0"/>
      <name val="Arial Unicode MS"/>
      <family val="3"/>
      <charset val="129"/>
    </font>
    <font>
      <sz val="9"/>
      <color rgb="FFFF0000"/>
      <name val="맑은 고딕"/>
      <family val="3"/>
      <charset val="129"/>
      <scheme val="major"/>
    </font>
    <font>
      <vertAlign val="subscript"/>
      <sz val="9"/>
      <name val="맑은 고딕"/>
      <family val="3"/>
      <charset val="129"/>
      <scheme val="major"/>
    </font>
    <font>
      <sz val="9"/>
      <name val="돋움"/>
      <family val="3"/>
      <charset val="129"/>
    </font>
    <font>
      <b/>
      <sz val="9"/>
      <color indexed="8"/>
      <name val="Arial Unicode MS"/>
      <family val="3"/>
      <charset val="129"/>
    </font>
    <font>
      <b/>
      <sz val="9"/>
      <color theme="0" tint="-0.499984740745262"/>
      <name val="맑은 고딕"/>
      <family val="3"/>
      <charset val="129"/>
      <scheme val="major"/>
    </font>
    <font>
      <sz val="9"/>
      <color theme="0" tint="-0.499984740745262"/>
      <name val="맑은 고딕"/>
      <family val="3"/>
      <charset val="129"/>
      <scheme val="major"/>
    </font>
    <font>
      <b/>
      <vertAlign val="superscript"/>
      <sz val="9"/>
      <color indexed="9"/>
      <name val="맑은 고딕"/>
      <family val="3"/>
      <charset val="129"/>
      <scheme val="major"/>
    </font>
    <font>
      <b/>
      <sz val="20"/>
      <name val="맑은 고딕"/>
      <family val="3"/>
      <charset val="129"/>
      <scheme val="minor"/>
    </font>
    <font>
      <b/>
      <sz val="10"/>
      <name val="맑은 고딕"/>
      <family val="3"/>
      <charset val="129"/>
      <scheme val="major"/>
    </font>
    <font>
      <i/>
      <sz val="10"/>
      <name val="Times New Roman"/>
      <family val="1"/>
    </font>
    <font>
      <i/>
      <vertAlign val="subscript"/>
      <sz val="10"/>
      <name val="Times New Roman"/>
      <family val="1"/>
    </font>
    <font>
      <sz val="10"/>
      <name val="Times New Roman"/>
      <family val="1"/>
    </font>
    <font>
      <b/>
      <sz val="10"/>
      <name val="맑은 고딕"/>
      <family val="1"/>
      <scheme val="major"/>
    </font>
    <font>
      <b/>
      <i/>
      <sz val="10"/>
      <name val="Times New Roman"/>
      <family val="1"/>
    </font>
    <font>
      <b/>
      <sz val="10"/>
      <name val="Times New Roman"/>
      <family val="1"/>
    </font>
    <font>
      <i/>
      <sz val="10"/>
      <name val="맑은 고딕"/>
      <family val="3"/>
      <charset val="129"/>
      <scheme val="minor"/>
    </font>
    <font>
      <sz val="10"/>
      <name val="바탕"/>
      <family val="1"/>
      <charset val="129"/>
    </font>
    <font>
      <sz val="10"/>
      <name val="맑은 고딕"/>
      <family val="1"/>
      <scheme val="major"/>
    </font>
    <font>
      <sz val="10"/>
      <color rgb="FFFF0000"/>
      <name val="맑은 고딕"/>
      <family val="3"/>
      <charset val="129"/>
      <scheme val="minor"/>
    </font>
    <font>
      <b/>
      <i/>
      <sz val="10"/>
      <name val="맑은 고딕"/>
      <family val="3"/>
      <charset val="129"/>
    </font>
    <font>
      <b/>
      <i/>
      <vertAlign val="subscript"/>
      <sz val="10"/>
      <name val="Times New Roman"/>
      <family val="1"/>
    </font>
    <font>
      <sz val="10"/>
      <color rgb="FFFF0000"/>
      <name val="맑은 고딕"/>
      <family val="3"/>
      <charset val="129"/>
      <scheme val="major"/>
    </font>
    <font>
      <i/>
      <sz val="10"/>
      <name val="맑은 고딕"/>
      <family val="3"/>
      <charset val="129"/>
      <scheme val="major"/>
    </font>
    <font>
      <vertAlign val="subscript"/>
      <sz val="10"/>
      <name val="바탕"/>
      <family val="1"/>
      <charset val="129"/>
    </font>
    <font>
      <sz val="10"/>
      <name val="Palatino Linotype"/>
      <family val="1"/>
    </font>
    <font>
      <b/>
      <vertAlign val="subscript"/>
      <sz val="10"/>
      <name val="바탕"/>
      <family val="1"/>
      <charset val="129"/>
    </font>
    <font>
      <i/>
      <sz val="10"/>
      <name val="Palatino Linotype"/>
      <family val="1"/>
    </font>
  </fonts>
  <fills count="4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0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/>
      <right/>
      <top/>
      <bottom style="thin">
        <color indexed="22"/>
      </bottom>
      <diagonal/>
    </border>
    <border>
      <left style="thin">
        <color theme="0" tint="-0.499984740745262"/>
      </left>
      <right style="thin">
        <color indexed="22"/>
      </right>
      <top style="thin">
        <color indexed="2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 style="thin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 diagonalDown="1"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 style="thin">
        <color indexed="22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127">
    <xf numFmtId="0" fontId="0" fillId="0" borderId="0">
      <alignment vertical="center"/>
    </xf>
    <xf numFmtId="0" fontId="13" fillId="0" borderId="0"/>
    <xf numFmtId="0" fontId="13" fillId="0" borderId="0"/>
    <xf numFmtId="40" fontId="33" fillId="0" borderId="0" applyFont="0" applyFill="0" applyBorder="0" applyAlignment="0" applyProtection="0"/>
    <xf numFmtId="38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7" fillId="0" borderId="0"/>
    <xf numFmtId="0" fontId="37" fillId="0" borderId="0"/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176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9" fontId="32" fillId="0" borderId="0" applyFont="0" applyFill="0" applyBorder="0" applyAlignment="0" applyProtection="0"/>
    <xf numFmtId="0" fontId="34" fillId="0" borderId="0"/>
    <xf numFmtId="180" fontId="6" fillId="0" borderId="0" applyFont="0" applyFill="0" applyBorder="0" applyAlignment="0" applyProtection="0"/>
    <xf numFmtId="181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38" fontId="35" fillId="16" borderId="0" applyNumberFormat="0" applyBorder="0" applyAlignment="0" applyProtection="0"/>
    <xf numFmtId="10" fontId="35" fillId="17" borderId="1" applyNumberFormat="0" applyBorder="0" applyAlignment="0" applyProtection="0"/>
    <xf numFmtId="0" fontId="36" fillId="0" borderId="0"/>
    <xf numFmtId="0" fontId="6" fillId="0" borderId="0"/>
    <xf numFmtId="10" fontId="6" fillId="0" borderId="0" applyFont="0" applyFill="0" applyBorder="0" applyAlignment="0" applyProtection="0"/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2" borderId="2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3" fillId="23" borderId="3" applyNumberFormat="0" applyFon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42" fillId="0" borderId="0"/>
    <xf numFmtId="0" fontId="21" fillId="0" borderId="0" applyNumberFormat="0" applyFill="0" applyBorder="0" applyAlignment="0" applyProtection="0">
      <alignment vertical="center"/>
    </xf>
    <xf numFmtId="0" fontId="22" fillId="25" borderId="4" applyNumberFormat="0" applyAlignment="0" applyProtection="0">
      <alignment vertical="center"/>
    </xf>
    <xf numFmtId="0" fontId="6" fillId="0" borderId="0"/>
    <xf numFmtId="0" fontId="23" fillId="0" borderId="5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7" borderId="2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22" borderId="10" applyNumberFormat="0" applyAlignment="0" applyProtection="0">
      <alignment vertical="center"/>
    </xf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43" fillId="0" borderId="0">
      <alignment vertical="center"/>
    </xf>
    <xf numFmtId="0" fontId="3" fillId="0" borderId="0">
      <alignment vertical="center"/>
    </xf>
    <xf numFmtId="0" fontId="3" fillId="0" borderId="0"/>
    <xf numFmtId="0" fontId="51" fillId="0" borderId="0">
      <alignment vertical="center"/>
    </xf>
    <xf numFmtId="0" fontId="14" fillId="0" borderId="0">
      <alignment vertical="center"/>
    </xf>
    <xf numFmtId="0" fontId="3" fillId="0" borderId="0"/>
    <xf numFmtId="0" fontId="4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58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1" fontId="3" fillId="0" borderId="0" applyFont="0" applyFill="0" applyBorder="0" applyAlignment="0" applyProtection="0">
      <alignment vertical="center"/>
    </xf>
    <xf numFmtId="10" fontId="35" fillId="17" borderId="49" applyNumberFormat="0" applyBorder="0" applyAlignment="0" applyProtection="0"/>
    <xf numFmtId="0" fontId="17" fillId="22" borderId="50" applyNumberFormat="0" applyAlignment="0" applyProtection="0">
      <alignment vertical="center"/>
    </xf>
    <xf numFmtId="0" fontId="3" fillId="23" borderId="48" applyNumberFormat="0" applyFont="0" applyAlignment="0" applyProtection="0">
      <alignment vertical="center"/>
    </xf>
    <xf numFmtId="0" fontId="24" fillId="0" borderId="51" applyNumberFormat="0" applyFill="0" applyAlignment="0" applyProtection="0">
      <alignment vertical="center"/>
    </xf>
    <xf numFmtId="0" fontId="25" fillId="7" borderId="50" applyNumberFormat="0" applyAlignment="0" applyProtection="0">
      <alignment vertical="center"/>
    </xf>
    <xf numFmtId="0" fontId="31" fillId="22" borderId="52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55" applyNumberFormat="0" applyBorder="0" applyAlignment="0" applyProtection="0"/>
    <xf numFmtId="0" fontId="17" fillId="22" borderId="56" applyNumberFormat="0" applyAlignment="0" applyProtection="0">
      <alignment vertical="center"/>
    </xf>
    <xf numFmtId="0" fontId="3" fillId="23" borderId="53" applyNumberFormat="0" applyFont="0" applyAlignment="0" applyProtection="0">
      <alignment vertical="center"/>
    </xf>
    <xf numFmtId="0" fontId="24" fillId="0" borderId="57" applyNumberFormat="0" applyFill="0" applyAlignment="0" applyProtection="0">
      <alignment vertical="center"/>
    </xf>
    <xf numFmtId="0" fontId="25" fillId="7" borderId="56" applyNumberFormat="0" applyAlignment="0" applyProtection="0">
      <alignment vertical="center"/>
    </xf>
    <xf numFmtId="0" fontId="31" fillId="22" borderId="58" applyNumberFormat="0" applyAlignment="0" applyProtection="0">
      <alignment vertical="center"/>
    </xf>
    <xf numFmtId="0" fontId="17" fillId="22" borderId="61" applyNumberFormat="0" applyAlignment="0" applyProtection="0">
      <alignment vertical="center"/>
    </xf>
    <xf numFmtId="0" fontId="3" fillId="23" borderId="62" applyNumberFormat="0" applyFont="0" applyAlignment="0" applyProtection="0">
      <alignment vertical="center"/>
    </xf>
    <xf numFmtId="0" fontId="24" fillId="0" borderId="63" applyNumberFormat="0" applyFill="0" applyAlignment="0" applyProtection="0">
      <alignment vertical="center"/>
    </xf>
    <xf numFmtId="0" fontId="25" fillId="7" borderId="61" applyNumberFormat="0" applyAlignment="0" applyProtection="0">
      <alignment vertical="center"/>
    </xf>
    <xf numFmtId="0" fontId="31" fillId="22" borderId="64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55" applyNumberFormat="0" applyBorder="0" applyAlignment="0" applyProtection="0"/>
    <xf numFmtId="0" fontId="17" fillId="22" borderId="61" applyNumberFormat="0" applyAlignment="0" applyProtection="0">
      <alignment vertical="center"/>
    </xf>
    <xf numFmtId="0" fontId="3" fillId="23" borderId="62" applyNumberFormat="0" applyFont="0" applyAlignment="0" applyProtection="0">
      <alignment vertical="center"/>
    </xf>
    <xf numFmtId="0" fontId="24" fillId="0" borderId="63" applyNumberFormat="0" applyFill="0" applyAlignment="0" applyProtection="0">
      <alignment vertical="center"/>
    </xf>
    <xf numFmtId="0" fontId="25" fillId="7" borderId="61" applyNumberFormat="0" applyAlignment="0" applyProtection="0">
      <alignment vertical="center"/>
    </xf>
    <xf numFmtId="0" fontId="31" fillId="22" borderId="64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7" fillId="22" borderId="61" applyNumberFormat="0" applyAlignment="0" applyProtection="0">
      <alignment vertical="center"/>
    </xf>
    <xf numFmtId="0" fontId="3" fillId="23" borderId="62" applyNumberFormat="0" applyFont="0" applyAlignment="0" applyProtection="0">
      <alignment vertical="center"/>
    </xf>
    <xf numFmtId="0" fontId="24" fillId="0" borderId="63" applyNumberFormat="0" applyFill="0" applyAlignment="0" applyProtection="0">
      <alignment vertical="center"/>
    </xf>
    <xf numFmtId="0" fontId="25" fillId="7" borderId="61" applyNumberFormat="0" applyAlignment="0" applyProtection="0">
      <alignment vertical="center"/>
    </xf>
    <xf numFmtId="0" fontId="31" fillId="22" borderId="64" applyNumberFormat="0" applyAlignment="0" applyProtection="0">
      <alignment vertical="center"/>
    </xf>
    <xf numFmtId="10" fontId="35" fillId="17" borderId="65" applyNumberFormat="0" applyBorder="0" applyAlignment="0" applyProtection="0"/>
    <xf numFmtId="41" fontId="3" fillId="0" borderId="0" applyFont="0" applyFill="0" applyBorder="0" applyAlignment="0" applyProtection="0">
      <alignment vertical="center"/>
    </xf>
    <xf numFmtId="0" fontId="17" fillId="22" borderId="56" applyNumberFormat="0" applyAlignment="0" applyProtection="0">
      <alignment vertical="center"/>
    </xf>
    <xf numFmtId="0" fontId="3" fillId="23" borderId="53" applyNumberFormat="0" applyFont="0" applyAlignment="0" applyProtection="0">
      <alignment vertical="center"/>
    </xf>
    <xf numFmtId="0" fontId="24" fillId="0" borderId="57" applyNumberFormat="0" applyFill="0" applyAlignment="0" applyProtection="0">
      <alignment vertical="center"/>
    </xf>
    <xf numFmtId="0" fontId="25" fillId="7" borderId="56" applyNumberFormat="0" applyAlignment="0" applyProtection="0">
      <alignment vertical="center"/>
    </xf>
    <xf numFmtId="0" fontId="31" fillId="22" borderId="58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0" borderId="0"/>
  </cellStyleXfs>
  <cellXfs count="596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0" fontId="41" fillId="0" borderId="1" xfId="0" applyFont="1" applyFill="1" applyBorder="1" applyAlignment="1" applyProtection="1">
      <alignment horizontal="center" vertical="center" shrinkToFit="1"/>
    </xf>
    <xf numFmtId="0" fontId="8" fillId="0" borderId="1" xfId="0" applyFont="1" applyFill="1" applyBorder="1" applyAlignment="1" applyProtection="1">
      <alignment horizontal="center" vertical="center" shrinkToFit="1"/>
    </xf>
    <xf numFmtId="0" fontId="44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41" fillId="0" borderId="1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>
      <alignment vertical="center"/>
    </xf>
    <xf numFmtId="0" fontId="8" fillId="0" borderId="1" xfId="0" applyFont="1" applyFill="1" applyBorder="1" applyAlignment="1" applyProtection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14" fontId="1" fillId="0" borderId="0" xfId="0" applyNumberFormat="1" applyFont="1" applyFill="1" applyBorder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2" fillId="0" borderId="0" xfId="0" applyFont="1" applyAlignment="1">
      <alignment horizontal="center" vertical="center"/>
    </xf>
    <xf numFmtId="0" fontId="53" fillId="26" borderId="0" xfId="0" applyFont="1" applyFill="1" applyAlignment="1">
      <alignment horizontal="center" vertical="center"/>
    </xf>
    <xf numFmtId="0" fontId="53" fillId="26" borderId="0" xfId="0" applyFont="1" applyFill="1" applyAlignment="1">
      <alignment horizontal="center" vertical="center" wrapText="1"/>
    </xf>
    <xf numFmtId="0" fontId="56" fillId="0" borderId="0" xfId="0" applyFont="1" applyAlignment="1">
      <alignment horizontal="left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4" fillId="0" borderId="0" xfId="0" applyFont="1" applyAlignment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7" fillId="0" borderId="0" xfId="0" applyFont="1" applyBorder="1" applyAlignment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48" fillId="0" borderId="0" xfId="79" applyNumberFormat="1" applyFont="1"/>
    <xf numFmtId="0" fontId="55" fillId="0" borderId="25" xfId="0" applyFont="1" applyBorder="1" applyAlignment="1">
      <alignment horizontal="center" vertical="center"/>
    </xf>
    <xf numFmtId="0" fontId="52" fillId="0" borderId="25" xfId="0" applyFont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vertical="center"/>
    </xf>
    <xf numFmtId="0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2" fillId="0" borderId="0" xfId="0" applyNumberFormat="1" applyFont="1" applyBorder="1" applyAlignment="1">
      <alignment horizontal="center" vertical="center"/>
    </xf>
    <xf numFmtId="0" fontId="8" fillId="29" borderId="11" xfId="0" applyFont="1" applyFill="1" applyBorder="1" applyAlignment="1" applyProtection="1">
      <alignment horizontal="center" vertical="center"/>
      <protection locked="0"/>
    </xf>
    <xf numFmtId="0" fontId="8" fillId="29" borderId="1" xfId="0" applyFont="1" applyFill="1" applyBorder="1" applyAlignment="1" applyProtection="1">
      <alignment horizontal="center" vertical="center" shrinkToFit="1"/>
      <protection locked="0"/>
    </xf>
    <xf numFmtId="0" fontId="48" fillId="0" borderId="0" xfId="79" applyNumberFormat="1" applyFont="1" applyFill="1" applyBorder="1" applyAlignment="1">
      <alignment vertical="center"/>
    </xf>
    <xf numFmtId="0" fontId="48" fillId="0" borderId="0" xfId="79" applyNumberFormat="1" applyFont="1" applyFill="1" applyAlignment="1">
      <alignment horizontal="center" vertical="center"/>
    </xf>
    <xf numFmtId="0" fontId="48" fillId="0" borderId="0" xfId="79" applyNumberFormat="1" applyFont="1" applyFill="1" applyAlignment="1">
      <alignment vertical="center"/>
    </xf>
    <xf numFmtId="0" fontId="11" fillId="0" borderId="0" xfId="0" applyFont="1" applyFill="1" applyBorder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3" fillId="26" borderId="33" xfId="0" applyFont="1" applyFill="1" applyBorder="1" applyAlignment="1">
      <alignment horizontal="center" vertical="center" wrapText="1"/>
    </xf>
    <xf numFmtId="0" fontId="55" fillId="0" borderId="33" xfId="0" applyFont="1" applyBorder="1" applyAlignment="1">
      <alignment horizontal="center" vertical="center"/>
    </xf>
    <xf numFmtId="0" fontId="64" fillId="0" borderId="0" xfId="79" applyNumberFormat="1" applyFont="1" applyFill="1" applyAlignment="1">
      <alignment horizontal="left" vertical="center"/>
    </xf>
    <xf numFmtId="0" fontId="64" fillId="0" borderId="0" xfId="79" applyNumberFormat="1" applyFont="1" applyFill="1" applyAlignment="1">
      <alignment vertical="center"/>
    </xf>
    <xf numFmtId="0" fontId="9" fillId="0" borderId="0" xfId="0" applyNumberFormat="1" applyFont="1" applyFill="1">
      <alignment vertical="center"/>
    </xf>
    <xf numFmtId="0" fontId="1" fillId="0" borderId="0" xfId="79" applyNumberFormat="1" applyFont="1" applyFill="1" applyAlignment="1">
      <alignment horizontal="left" vertical="center"/>
    </xf>
    <xf numFmtId="0" fontId="48" fillId="0" borderId="0" xfId="0" applyNumberFormat="1" applyFont="1">
      <alignment vertical="center"/>
    </xf>
    <xf numFmtId="0" fontId="1" fillId="0" borderId="0" xfId="79" applyNumberFormat="1" applyFont="1" applyFill="1" applyBorder="1" applyAlignment="1">
      <alignment horizontal="left" vertical="center"/>
    </xf>
    <xf numFmtId="0" fontId="48" fillId="0" borderId="0" xfId="79" applyNumberFormat="1" applyFont="1" applyFill="1" applyAlignment="1">
      <alignment horizontal="left" vertical="center"/>
    </xf>
    <xf numFmtId="0" fontId="48" fillId="0" borderId="0" xfId="79" applyNumberFormat="1" applyFont="1" applyFill="1" applyBorder="1" applyAlignment="1">
      <alignment horizontal="center" vertical="center"/>
    </xf>
    <xf numFmtId="0" fontId="48" fillId="0" borderId="0" xfId="79" applyNumberFormat="1" applyFont="1" applyFill="1" applyAlignment="1">
      <alignment horizontal="right" vertical="center"/>
    </xf>
    <xf numFmtId="0" fontId="48" fillId="0" borderId="0" xfId="0" applyNumberFormat="1" applyFont="1" applyBorder="1" applyAlignment="1">
      <alignment vertical="center"/>
    </xf>
    <xf numFmtId="0" fontId="55" fillId="0" borderId="35" xfId="0" applyFont="1" applyBorder="1" applyAlignment="1">
      <alignment horizontal="center" vertical="center"/>
    </xf>
    <xf numFmtId="0" fontId="66" fillId="0" borderId="0" xfId="0" applyFont="1">
      <alignment vertical="center"/>
    </xf>
    <xf numFmtId="0" fontId="38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horizontal="center" vertical="center"/>
    </xf>
    <xf numFmtId="190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vertical="center"/>
    </xf>
    <xf numFmtId="0" fontId="52" fillId="0" borderId="0" xfId="0" applyNumberFormat="1" applyFont="1" applyFill="1" applyBorder="1" applyAlignment="1">
      <alignment vertical="center"/>
    </xf>
    <xf numFmtId="0" fontId="48" fillId="31" borderId="0" xfId="79" applyNumberFormat="1" applyFont="1" applyFill="1" applyAlignment="1">
      <alignment horizontal="center" vertical="center"/>
    </xf>
    <xf numFmtId="0" fontId="60" fillId="31" borderId="0" xfId="0" applyNumberFormat="1" applyFont="1" applyFill="1" applyBorder="1" applyAlignment="1">
      <alignment horizontal="left" vertical="center"/>
    </xf>
    <xf numFmtId="0" fontId="48" fillId="0" borderId="36" xfId="79" applyNumberFormat="1" applyFont="1" applyFill="1" applyBorder="1" applyAlignment="1">
      <alignment horizontal="center" vertical="center"/>
    </xf>
    <xf numFmtId="0" fontId="50" fillId="0" borderId="36" xfId="80" applyNumberFormat="1" applyFont="1" applyFill="1" applyBorder="1" applyAlignment="1">
      <alignment horizontal="right" vertical="center"/>
    </xf>
    <xf numFmtId="0" fontId="48" fillId="0" borderId="36" xfId="79" applyNumberFormat="1" applyFont="1" applyFill="1" applyBorder="1" applyAlignment="1">
      <alignment horizontal="left" vertical="center"/>
    </xf>
    <xf numFmtId="0" fontId="48" fillId="0" borderId="36" xfId="79" applyNumberFormat="1" applyFont="1" applyFill="1" applyBorder="1" applyAlignment="1">
      <alignment vertical="center"/>
    </xf>
    <xf numFmtId="49" fontId="1" fillId="0" borderId="0" xfId="79" applyNumberFormat="1" applyFont="1" applyFill="1" applyAlignment="1">
      <alignment horizontal="left" vertical="center"/>
    </xf>
    <xf numFmtId="0" fontId="48" fillId="0" borderId="0" xfId="0" applyFont="1">
      <alignment vertical="center"/>
    </xf>
    <xf numFmtId="49" fontId="1" fillId="0" borderId="0" xfId="79" applyNumberFormat="1" applyFont="1" applyFill="1" applyBorder="1" applyAlignment="1">
      <alignment horizontal="left" vertical="center"/>
    </xf>
    <xf numFmtId="49" fontId="48" fillId="0" borderId="0" xfId="79" applyNumberFormat="1" applyFont="1" applyFill="1" applyBorder="1" applyAlignment="1">
      <alignment vertical="center"/>
    </xf>
    <xf numFmtId="49" fontId="1" fillId="0" borderId="0" xfId="79" applyNumberFormat="1" applyFont="1" applyFill="1" applyBorder="1" applyAlignment="1">
      <alignment vertical="center"/>
    </xf>
    <xf numFmtId="49" fontId="1" fillId="0" borderId="0" xfId="79" applyNumberFormat="1" applyFont="1" applyFill="1" applyAlignment="1">
      <alignment horizontal="center" vertical="center"/>
    </xf>
    <xf numFmtId="0" fontId="46" fillId="17" borderId="1" xfId="0" applyNumberFormat="1" applyFont="1" applyFill="1" applyBorder="1" applyAlignment="1" applyProtection="1">
      <alignment horizontal="center" vertical="center" shrinkToFit="1"/>
      <protection locked="0"/>
    </xf>
    <xf numFmtId="185" fontId="8" fillId="17" borderId="1" xfId="0" applyNumberFormat="1" applyFont="1" applyFill="1" applyBorder="1" applyAlignment="1" applyProtection="1">
      <alignment horizontal="center" vertical="center" shrinkToFit="1"/>
    </xf>
    <xf numFmtId="186" fontId="8" fillId="17" borderId="1" xfId="0" applyNumberFormat="1" applyFont="1" applyFill="1" applyBorder="1" applyAlignment="1" applyProtection="1">
      <alignment horizontal="center" vertical="center" shrinkToFit="1"/>
    </xf>
    <xf numFmtId="187" fontId="8" fillId="0" borderId="1" xfId="0" applyNumberFormat="1" applyFont="1" applyFill="1" applyBorder="1" applyAlignment="1" applyProtection="1">
      <alignment horizontal="center" vertical="center" shrinkToFit="1"/>
    </xf>
    <xf numFmtId="0" fontId="48" fillId="0" borderId="38" xfId="79" applyNumberFormat="1" applyFont="1" applyFill="1" applyBorder="1" applyAlignment="1">
      <alignment vertical="center"/>
    </xf>
    <xf numFmtId="0" fontId="48" fillId="0" borderId="38" xfId="79" applyNumberFormat="1" applyFont="1" applyFill="1" applyBorder="1" applyAlignment="1">
      <alignment horizontal="left" vertical="center"/>
    </xf>
    <xf numFmtId="0" fontId="48" fillId="0" borderId="38" xfId="79" applyNumberFormat="1" applyFont="1" applyFill="1" applyBorder="1" applyAlignment="1">
      <alignment horizontal="right" vertical="center"/>
    </xf>
    <xf numFmtId="49" fontId="48" fillId="0" borderId="0" xfId="79" applyNumberFormat="1" applyFont="1" applyFill="1" applyAlignment="1">
      <alignment horizontal="center" vertical="center"/>
    </xf>
    <xf numFmtId="0" fontId="64" fillId="0" borderId="0" xfId="79" applyNumberFormat="1" applyFont="1" applyFill="1" applyAlignment="1">
      <alignment horizontal="center" vertical="center"/>
    </xf>
    <xf numFmtId="0" fontId="70" fillId="0" borderId="0" xfId="0" applyFont="1">
      <alignment vertical="center"/>
    </xf>
    <xf numFmtId="0" fontId="54" fillId="0" borderId="0" xfId="0" applyFont="1" applyAlignment="1">
      <alignment horizontal="center" vertical="center"/>
    </xf>
    <xf numFmtId="0" fontId="55" fillId="0" borderId="37" xfId="0" applyFont="1" applyBorder="1" applyAlignment="1">
      <alignment horizontal="center" vertical="center"/>
    </xf>
    <xf numFmtId="0" fontId="48" fillId="0" borderId="38" xfId="79" applyNumberFormat="1" applyFont="1" applyFill="1" applyBorder="1" applyAlignment="1">
      <alignment horizontal="center" vertical="center"/>
    </xf>
    <xf numFmtId="0" fontId="50" fillId="0" borderId="38" xfId="80" applyNumberFormat="1" applyFont="1" applyFill="1" applyBorder="1" applyAlignment="1">
      <alignment horizontal="right" vertical="center"/>
    </xf>
    <xf numFmtId="0" fontId="2" fillId="0" borderId="0" xfId="0" applyNumberFormat="1" applyFont="1" applyFill="1" applyAlignment="1">
      <alignment vertical="center"/>
    </xf>
    <xf numFmtId="0" fontId="48" fillId="31" borderId="39" xfId="79" applyNumberFormat="1" applyFont="1" applyFill="1" applyBorder="1" applyAlignment="1">
      <alignment horizontal="center" vertical="center"/>
    </xf>
    <xf numFmtId="0" fontId="60" fillId="31" borderId="39" xfId="0" applyNumberFormat="1" applyFont="1" applyFill="1" applyBorder="1" applyAlignment="1">
      <alignment horizontal="left" vertical="center"/>
    </xf>
    <xf numFmtId="0" fontId="1" fillId="35" borderId="0" xfId="0" applyFont="1" applyFill="1" applyBorder="1" applyProtection="1">
      <alignment vertical="center"/>
      <protection locked="0"/>
    </xf>
    <xf numFmtId="0" fontId="55" fillId="0" borderId="40" xfId="0" applyFont="1" applyBorder="1" applyAlignment="1">
      <alignment horizontal="center" vertical="center"/>
    </xf>
    <xf numFmtId="0" fontId="52" fillId="0" borderId="40" xfId="0" applyFont="1" applyBorder="1" applyAlignment="1">
      <alignment horizontal="center" vertical="center"/>
    </xf>
    <xf numFmtId="0" fontId="52" fillId="0" borderId="40" xfId="0" applyNumberFormat="1" applyFont="1" applyBorder="1" applyAlignment="1">
      <alignment horizontal="center" vertical="center"/>
    </xf>
    <xf numFmtId="0" fontId="72" fillId="0" borderId="0" xfId="0" applyNumberFormat="1" applyFont="1" applyFill="1" applyBorder="1" applyAlignment="1">
      <alignment horizontal="center" vertical="center"/>
    </xf>
    <xf numFmtId="0" fontId="72" fillId="0" borderId="0" xfId="0" applyNumberFormat="1" applyFont="1" applyFill="1" applyBorder="1" applyAlignment="1">
      <alignment horizontal="left" vertical="center"/>
    </xf>
    <xf numFmtId="0" fontId="72" fillId="0" borderId="0" xfId="0" applyNumberFormat="1" applyFont="1">
      <alignment vertical="center"/>
    </xf>
    <xf numFmtId="0" fontId="72" fillId="0" borderId="0" xfId="0" applyNumberFormat="1" applyFont="1" applyFill="1" applyBorder="1" applyAlignment="1">
      <alignment vertical="center"/>
    </xf>
    <xf numFmtId="0" fontId="71" fillId="0" borderId="0" xfId="0" applyNumberFormat="1" applyFont="1" applyFill="1" applyBorder="1" applyAlignment="1">
      <alignment vertical="center"/>
    </xf>
    <xf numFmtId="0" fontId="72" fillId="0" borderId="43" xfId="0" applyNumberFormat="1" applyFont="1" applyFill="1" applyBorder="1" applyAlignment="1">
      <alignment horizontal="center" vertical="center"/>
    </xf>
    <xf numFmtId="0" fontId="72" fillId="35" borderId="43" xfId="0" applyNumberFormat="1" applyFont="1" applyFill="1" applyBorder="1" applyAlignment="1">
      <alignment horizontal="center" vertical="center"/>
    </xf>
    <xf numFmtId="0" fontId="71" fillId="0" borderId="0" xfId="0" applyNumberFormat="1" applyFont="1" applyFill="1" applyAlignment="1">
      <alignment vertical="center"/>
    </xf>
    <xf numFmtId="0" fontId="75" fillId="35" borderId="42" xfId="78" applyNumberFormat="1" applyFont="1" applyFill="1" applyBorder="1" applyAlignment="1">
      <alignment horizontal="center" vertical="center"/>
    </xf>
    <xf numFmtId="0" fontId="71" fillId="0" borderId="0" xfId="0" applyNumberFormat="1" applyFont="1" applyFill="1" applyAlignment="1">
      <alignment horizontal="left" vertical="center"/>
    </xf>
    <xf numFmtId="194" fontId="72" fillId="0" borderId="45" xfId="0" applyNumberFormat="1" applyFont="1" applyFill="1" applyBorder="1" applyAlignment="1">
      <alignment horizontal="center" vertical="center"/>
    </xf>
    <xf numFmtId="0" fontId="72" fillId="35" borderId="45" xfId="0" applyNumberFormat="1" applyFont="1" applyFill="1" applyBorder="1" applyAlignment="1">
      <alignment horizontal="center" vertical="center"/>
    </xf>
    <xf numFmtId="0" fontId="54" fillId="0" borderId="0" xfId="0" applyNumberFormat="1" applyFont="1">
      <alignment vertical="center"/>
    </xf>
    <xf numFmtId="0" fontId="52" fillId="0" borderId="0" xfId="0" applyNumberFormat="1" applyFont="1">
      <alignment vertical="center"/>
    </xf>
    <xf numFmtId="0" fontId="76" fillId="0" borderId="0" xfId="0" applyNumberFormat="1" applyFont="1" applyAlignment="1">
      <alignment horizontal="left" vertical="center" indent="1"/>
    </xf>
    <xf numFmtId="0" fontId="72" fillId="0" borderId="45" xfId="0" applyNumberFormat="1" applyFont="1" applyFill="1" applyBorder="1" applyAlignment="1">
      <alignment horizontal="center" vertical="center"/>
    </xf>
    <xf numFmtId="0" fontId="48" fillId="0" borderId="0" xfId="79" applyNumberFormat="1" applyFont="1" applyFill="1" applyAlignment="1">
      <alignment horizontal="center" vertical="center"/>
    </xf>
    <xf numFmtId="0" fontId="9" fillId="0" borderId="0" xfId="0" applyFont="1" applyFill="1">
      <alignment vertical="center"/>
    </xf>
    <xf numFmtId="0" fontId="2" fillId="0" borderId="0" xfId="0" applyNumberFormat="1" applyFont="1" applyFill="1" applyBorder="1" applyAlignment="1">
      <alignment vertical="center"/>
    </xf>
    <xf numFmtId="0" fontId="71" fillId="0" borderId="0" xfId="0" applyNumberFormat="1" applyFont="1" applyFill="1" applyAlignment="1">
      <alignment horizontal="left" vertical="center" indent="1"/>
    </xf>
    <xf numFmtId="0" fontId="72" fillId="0" borderId="0" xfId="0" applyNumberFormat="1" applyFont="1" applyFill="1" applyAlignment="1">
      <alignment vertical="center"/>
    </xf>
    <xf numFmtId="0" fontId="72" fillId="0" borderId="62" xfId="78" applyNumberFormat="1" applyFont="1" applyFill="1" applyBorder="1" applyAlignment="1">
      <alignment horizontal="center" vertical="center"/>
    </xf>
    <xf numFmtId="0" fontId="72" fillId="0" borderId="62" xfId="0" applyNumberFormat="1" applyFont="1" applyFill="1" applyBorder="1" applyAlignment="1">
      <alignment horizontal="center" vertical="center"/>
    </xf>
    <xf numFmtId="0" fontId="72" fillId="32" borderId="62" xfId="0" applyNumberFormat="1" applyFont="1" applyFill="1" applyBorder="1" applyAlignment="1">
      <alignment horizontal="center" vertical="center"/>
    </xf>
    <xf numFmtId="0" fontId="52" fillId="0" borderId="65" xfId="0" applyNumberFormat="1" applyFont="1" applyBorder="1" applyAlignment="1">
      <alignment horizontal="center" vertical="center"/>
    </xf>
    <xf numFmtId="0" fontId="73" fillId="28" borderId="62" xfId="0" applyNumberFormat="1" applyFont="1" applyFill="1" applyBorder="1" applyAlignment="1">
      <alignment horizontal="center" vertical="center"/>
    </xf>
    <xf numFmtId="49" fontId="73" fillId="28" borderId="62" xfId="0" applyNumberFormat="1" applyFont="1" applyFill="1" applyBorder="1" applyAlignment="1">
      <alignment horizontal="center" vertical="center"/>
    </xf>
    <xf numFmtId="0" fontId="72" fillId="34" borderId="62" xfId="0" applyNumberFormat="1" applyFont="1" applyFill="1" applyBorder="1" applyAlignment="1">
      <alignment horizontal="center" vertical="center"/>
    </xf>
    <xf numFmtId="188" fontId="72" fillId="0" borderId="62" xfId="78" applyNumberFormat="1" applyFont="1" applyFill="1" applyBorder="1" applyAlignment="1">
      <alignment horizontal="center" vertical="center"/>
    </xf>
    <xf numFmtId="191" fontId="72" fillId="0" borderId="62" xfId="0" applyNumberFormat="1" applyFont="1" applyFill="1" applyBorder="1" applyAlignment="1">
      <alignment horizontal="center" vertical="center"/>
    </xf>
    <xf numFmtId="191" fontId="72" fillId="32" borderId="62" xfId="0" applyNumberFormat="1" applyFont="1" applyFill="1" applyBorder="1" applyAlignment="1">
      <alignment horizontal="center" vertical="center"/>
    </xf>
    <xf numFmtId="0" fontId="72" fillId="32" borderId="62" xfId="0" applyNumberFormat="1" applyFont="1" applyFill="1" applyBorder="1" applyAlignment="1">
      <alignment horizontal="center" vertical="center" wrapText="1"/>
    </xf>
    <xf numFmtId="0" fontId="72" fillId="36" borderId="62" xfId="0" applyNumberFormat="1" applyFont="1" applyFill="1" applyBorder="1" applyAlignment="1">
      <alignment horizontal="center" vertical="center"/>
    </xf>
    <xf numFmtId="0" fontId="72" fillId="0" borderId="62" xfId="0" applyNumberFormat="1" applyFont="1" applyFill="1" applyBorder="1" applyAlignment="1">
      <alignment horizontal="left" vertical="center"/>
    </xf>
    <xf numFmtId="49" fontId="72" fillId="0" borderId="62" xfId="0" applyNumberFormat="1" applyFont="1" applyFill="1" applyBorder="1" applyAlignment="1">
      <alignment horizontal="left" vertical="center"/>
    </xf>
    <xf numFmtId="0" fontId="52" fillId="0" borderId="55" xfId="0" applyNumberFormat="1" applyFont="1" applyBorder="1" applyAlignment="1">
      <alignment horizontal="center" vertical="center"/>
    </xf>
    <xf numFmtId="0" fontId="52" fillId="0" borderId="55" xfId="0" applyNumberFormat="1" applyFont="1" applyBorder="1" applyAlignment="1">
      <alignment horizontal="center" vertical="center" shrinkToFit="1"/>
    </xf>
    <xf numFmtId="41" fontId="52" fillId="0" borderId="55" xfId="86" applyFont="1" applyBorder="1" applyAlignment="1">
      <alignment horizontal="center" vertical="center"/>
    </xf>
    <xf numFmtId="196" fontId="52" fillId="0" borderId="55" xfId="86" applyNumberFormat="1" applyFont="1" applyBorder="1" applyAlignment="1">
      <alignment horizontal="center" vertical="center"/>
    </xf>
    <xf numFmtId="0" fontId="5" fillId="28" borderId="67" xfId="0" applyNumberFormat="1" applyFont="1" applyFill="1" applyBorder="1" applyAlignment="1">
      <alignment horizontal="center" vertical="center"/>
    </xf>
    <xf numFmtId="0" fontId="1" fillId="0" borderId="62" xfId="78" applyNumberFormat="1" applyFont="1" applyFill="1" applyBorder="1" applyAlignment="1">
      <alignment horizontal="center" vertical="center"/>
    </xf>
    <xf numFmtId="49" fontId="1" fillId="0" borderId="62" xfId="78" applyNumberFormat="1" applyFont="1" applyFill="1" applyBorder="1" applyAlignment="1">
      <alignment horizontal="center" vertical="center"/>
    </xf>
    <xf numFmtId="192" fontId="1" fillId="0" borderId="62" xfId="78" applyNumberFormat="1" applyFont="1" applyFill="1" applyBorder="1" applyAlignment="1">
      <alignment horizontal="center" vertical="center"/>
    </xf>
    <xf numFmtId="0" fontId="77" fillId="0" borderId="0" xfId="79" applyNumberFormat="1" applyFont="1" applyFill="1" applyAlignment="1">
      <alignment horizontal="center" vertical="center"/>
    </xf>
    <xf numFmtId="0" fontId="48" fillId="31" borderId="0" xfId="79" applyNumberFormat="1" applyFont="1" applyFill="1" applyBorder="1" applyAlignment="1">
      <alignment horizontal="center" vertical="center"/>
    </xf>
    <xf numFmtId="0" fontId="48" fillId="0" borderId="60" xfId="79" applyNumberFormat="1" applyFont="1" applyFill="1" applyBorder="1" applyAlignment="1">
      <alignment horizontal="center" vertical="center"/>
    </xf>
    <xf numFmtId="0" fontId="59" fillId="27" borderId="59" xfId="81" applyFont="1" applyFill="1" applyBorder="1" applyAlignment="1">
      <alignment horizontal="center" vertical="center"/>
    </xf>
    <xf numFmtId="0" fontId="59" fillId="27" borderId="41" xfId="81" applyFont="1" applyFill="1" applyBorder="1" applyAlignment="1">
      <alignment horizontal="center" vertical="center"/>
    </xf>
    <xf numFmtId="0" fontId="59" fillId="27" borderId="47" xfId="81" applyFont="1" applyFill="1" applyBorder="1" applyAlignment="1">
      <alignment horizontal="center" vertical="center"/>
    </xf>
    <xf numFmtId="0" fontId="59" fillId="27" borderId="47" xfId="81" applyFont="1" applyFill="1" applyBorder="1" applyAlignment="1">
      <alignment horizontal="center" vertical="center" wrapText="1"/>
    </xf>
    <xf numFmtId="0" fontId="55" fillId="0" borderId="40" xfId="0" applyNumberFormat="1" applyFont="1" applyBorder="1" applyAlignment="1">
      <alignment horizontal="center" vertical="center"/>
    </xf>
    <xf numFmtId="0" fontId="55" fillId="0" borderId="55" xfId="0" applyNumberFormat="1" applyFont="1" applyBorder="1" applyAlignment="1">
      <alignment horizontal="center" vertical="center"/>
    </xf>
    <xf numFmtId="0" fontId="55" fillId="0" borderId="25" xfId="0" applyNumberFormat="1" applyFont="1" applyBorder="1" applyAlignment="1">
      <alignment horizontal="center" vertical="center"/>
    </xf>
    <xf numFmtId="0" fontId="55" fillId="0" borderId="65" xfId="0" applyFont="1" applyBorder="1" applyAlignment="1">
      <alignment horizontal="center" vertical="center"/>
    </xf>
    <xf numFmtId="0" fontId="52" fillId="0" borderId="65" xfId="0" applyFont="1" applyBorder="1" applyAlignment="1">
      <alignment horizontal="center" vertical="center"/>
    </xf>
    <xf numFmtId="0" fontId="68" fillId="33" borderId="55" xfId="0" applyFont="1" applyFill="1" applyBorder="1">
      <alignment vertical="center"/>
    </xf>
    <xf numFmtId="0" fontId="73" fillId="28" borderId="42" xfId="0" applyNumberFormat="1" applyFont="1" applyFill="1" applyBorder="1" applyAlignment="1">
      <alignment horizontal="center" vertical="center"/>
    </xf>
    <xf numFmtId="0" fontId="73" fillId="28" borderId="62" xfId="0" applyNumberFormat="1" applyFont="1" applyFill="1" applyBorder="1" applyAlignment="1">
      <alignment horizontal="center" vertical="center" wrapText="1"/>
    </xf>
    <xf numFmtId="0" fontId="73" fillId="28" borderId="67" xfId="0" applyNumberFormat="1" applyFont="1" applyFill="1" applyBorder="1" applyAlignment="1">
      <alignment horizontal="center" vertical="center" wrapText="1"/>
    </xf>
    <xf numFmtId="0" fontId="73" fillId="28" borderId="68" xfId="0" applyNumberFormat="1" applyFont="1" applyFill="1" applyBorder="1" applyAlignment="1">
      <alignment horizontal="center" vertical="center" wrapText="1"/>
    </xf>
    <xf numFmtId="0" fontId="72" fillId="29" borderId="62" xfId="78" applyNumberFormat="1" applyFont="1" applyFill="1" applyBorder="1" applyAlignment="1">
      <alignment horizontal="center" vertical="center"/>
    </xf>
    <xf numFmtId="195" fontId="72" fillId="0" borderId="62" xfId="0" applyNumberFormat="1" applyFont="1" applyFill="1" applyBorder="1" applyAlignment="1">
      <alignment horizontal="center" vertical="center"/>
    </xf>
    <xf numFmtId="0" fontId="73" fillId="28" borderId="62" xfId="0" quotePrefix="1" applyNumberFormat="1" applyFont="1" applyFill="1" applyBorder="1" applyAlignment="1">
      <alignment horizontal="center" vertical="center" wrapText="1"/>
    </xf>
    <xf numFmtId="0" fontId="78" fillId="35" borderId="55" xfId="0" applyNumberFormat="1" applyFont="1" applyFill="1" applyBorder="1" applyAlignment="1">
      <alignment horizontal="center" vertical="center"/>
    </xf>
    <xf numFmtId="0" fontId="72" fillId="32" borderId="77" xfId="0" applyNumberFormat="1" applyFont="1" applyFill="1" applyBorder="1" applyAlignment="1">
      <alignment horizontal="center" vertical="center" wrapText="1"/>
    </xf>
    <xf numFmtId="0" fontId="72" fillId="0" borderId="62" xfId="0" applyNumberFormat="1" applyFont="1" applyFill="1" applyBorder="1" applyAlignment="1">
      <alignment horizontal="center" vertical="center" wrapText="1"/>
    </xf>
    <xf numFmtId="197" fontId="72" fillId="0" borderId="62" xfId="0" applyNumberFormat="1" applyFont="1" applyFill="1" applyBorder="1" applyAlignment="1">
      <alignment horizontal="center" vertical="center"/>
    </xf>
    <xf numFmtId="0" fontId="72" fillId="0" borderId="62" xfId="0" applyNumberFormat="1" applyFont="1" applyBorder="1" applyAlignment="1">
      <alignment horizontal="center" vertical="center"/>
    </xf>
    <xf numFmtId="189" fontId="72" fillId="0" borderId="62" xfId="0" applyNumberFormat="1" applyFont="1" applyFill="1" applyBorder="1" applyAlignment="1">
      <alignment horizontal="center" vertical="center"/>
    </xf>
    <xf numFmtId="191" fontId="72" fillId="29" borderId="62" xfId="0" applyNumberFormat="1" applyFont="1" applyFill="1" applyBorder="1" applyAlignment="1">
      <alignment horizontal="center" vertical="center"/>
    </xf>
    <xf numFmtId="0" fontId="72" fillId="29" borderId="62" xfId="0" applyNumberFormat="1" applyFont="1" applyFill="1" applyBorder="1" applyAlignment="1">
      <alignment horizontal="center" vertical="center"/>
    </xf>
    <xf numFmtId="0" fontId="72" fillId="32" borderId="42" xfId="0" applyNumberFormat="1" applyFont="1" applyFill="1" applyBorder="1" applyAlignment="1">
      <alignment horizontal="center" vertical="center" wrapText="1"/>
    </xf>
    <xf numFmtId="195" fontId="72" fillId="0" borderId="62" xfId="0" applyNumberFormat="1" applyFont="1" applyBorder="1" applyAlignment="1">
      <alignment horizontal="center" vertical="center"/>
    </xf>
    <xf numFmtId="188" fontId="72" fillId="0" borderId="62" xfId="0" applyNumberFormat="1" applyFont="1" applyFill="1" applyBorder="1" applyAlignment="1">
      <alignment horizontal="center" vertical="center"/>
    </xf>
    <xf numFmtId="198" fontId="72" fillId="0" borderId="62" xfId="0" applyNumberFormat="1" applyFont="1" applyFill="1" applyBorder="1" applyAlignment="1">
      <alignment horizontal="center" vertical="center"/>
    </xf>
    <xf numFmtId="0" fontId="72" fillId="0" borderId="44" xfId="0" applyNumberFormat="1" applyFont="1" applyFill="1" applyBorder="1" applyAlignment="1">
      <alignment horizontal="center" vertical="center"/>
    </xf>
    <xf numFmtId="0" fontId="78" fillId="0" borderId="62" xfId="0" applyNumberFormat="1" applyFont="1" applyFill="1" applyBorder="1" applyAlignment="1">
      <alignment horizontal="center" vertical="center"/>
    </xf>
    <xf numFmtId="191" fontId="72" fillId="0" borderId="45" xfId="0" applyNumberFormat="1" applyFont="1" applyFill="1" applyBorder="1" applyAlignment="1">
      <alignment horizontal="center" vertical="center"/>
    </xf>
    <xf numFmtId="0" fontId="52" fillId="0" borderId="78" xfId="0" applyNumberFormat="1" applyFont="1" applyBorder="1" applyAlignment="1">
      <alignment vertical="center"/>
    </xf>
    <xf numFmtId="0" fontId="7" fillId="28" borderId="67" xfId="0" applyNumberFormat="1" applyFont="1" applyFill="1" applyBorder="1" applyAlignment="1">
      <alignment horizontal="center" vertical="center"/>
    </xf>
    <xf numFmtId="0" fontId="80" fillId="0" borderId="62" xfId="78" applyNumberFormat="1" applyFont="1" applyFill="1" applyBorder="1" applyAlignment="1">
      <alignment horizontal="center" vertical="center"/>
    </xf>
    <xf numFmtId="0" fontId="48" fillId="0" borderId="55" xfId="0" applyNumberFormat="1" applyFont="1" applyBorder="1" applyAlignment="1">
      <alignment horizontal="center" vertical="center"/>
    </xf>
    <xf numFmtId="0" fontId="48" fillId="0" borderId="0" xfId="0" applyNumberFormat="1" applyFont="1" applyBorder="1" applyAlignment="1">
      <alignment horizontal="center" vertical="center"/>
    </xf>
    <xf numFmtId="199" fontId="48" fillId="0" borderId="0" xfId="0" applyNumberFormat="1" applyFont="1" applyFill="1" applyBorder="1" applyAlignment="1">
      <alignment horizontal="left" vertical="center"/>
    </xf>
    <xf numFmtId="0" fontId="48" fillId="0" borderId="55" xfId="79" applyNumberFormat="1" applyFont="1" applyFill="1" applyBorder="1" applyAlignment="1">
      <alignment horizontal="center" vertical="center"/>
    </xf>
    <xf numFmtId="0" fontId="72" fillId="0" borderId="89" xfId="0" applyNumberFormat="1" applyFont="1" applyFill="1" applyBorder="1" applyAlignment="1">
      <alignment horizontal="center" vertical="center"/>
    </xf>
    <xf numFmtId="0" fontId="48" fillId="0" borderId="55" xfId="79" applyNumberFormat="1" applyFont="1" applyFill="1" applyBorder="1" applyAlignment="1">
      <alignment horizontal="center" vertical="center"/>
    </xf>
    <xf numFmtId="199" fontId="48" fillId="0" borderId="0" xfId="0" applyNumberFormat="1" applyFont="1" applyFill="1" applyBorder="1" applyAlignment="1">
      <alignment horizontal="left" vertical="center" indent="1"/>
    </xf>
    <xf numFmtId="0" fontId="48" fillId="0" borderId="0" xfId="79" applyNumberFormat="1" applyFont="1" applyFill="1" applyAlignment="1">
      <alignment horizontal="left" vertical="center" indent="1"/>
    </xf>
    <xf numFmtId="0" fontId="48" fillId="0" borderId="55" xfId="79" applyNumberFormat="1" applyFont="1" applyFill="1" applyBorder="1" applyAlignment="1">
      <alignment horizontal="center" vertical="center"/>
    </xf>
    <xf numFmtId="0" fontId="48" fillId="0" borderId="13" xfId="79" applyNumberFormat="1" applyFont="1" applyFill="1" applyBorder="1" applyAlignment="1">
      <alignment horizontal="center" vertical="center"/>
    </xf>
    <xf numFmtId="0" fontId="72" fillId="0" borderId="89" xfId="78" applyNumberFormat="1" applyFont="1" applyFill="1" applyBorder="1" applyAlignment="1">
      <alignment horizontal="center" vertical="center"/>
    </xf>
    <xf numFmtId="190" fontId="73" fillId="28" borderId="89" xfId="0" applyNumberFormat="1" applyFont="1" applyFill="1" applyBorder="1" applyAlignment="1">
      <alignment horizontal="center" vertical="center" wrapText="1"/>
    </xf>
    <xf numFmtId="0" fontId="48" fillId="0" borderId="82" xfId="79" applyNumberFormat="1" applyFont="1" applyFill="1" applyBorder="1" applyAlignment="1">
      <alignment vertical="center"/>
    </xf>
    <xf numFmtId="0" fontId="48" fillId="0" borderId="82" xfId="79" applyNumberFormat="1" applyFont="1" applyFill="1" applyBorder="1" applyAlignment="1">
      <alignment horizontal="left" vertical="center"/>
    </xf>
    <xf numFmtId="0" fontId="50" fillId="0" borderId="82" xfId="80" applyNumberFormat="1" applyFont="1" applyFill="1" applyBorder="1" applyAlignment="1">
      <alignment horizontal="right" vertical="center"/>
    </xf>
    <xf numFmtId="0" fontId="48" fillId="0" borderId="82" xfId="79" applyNumberFormat="1" applyFont="1" applyFill="1" applyBorder="1" applyAlignment="1">
      <alignment horizontal="right" vertical="center"/>
    </xf>
    <xf numFmtId="0" fontId="48" fillId="0" borderId="82" xfId="79" applyNumberFormat="1" applyFont="1" applyFill="1" applyBorder="1" applyAlignment="1">
      <alignment horizontal="center" vertical="center"/>
    </xf>
    <xf numFmtId="49" fontId="60" fillId="0" borderId="0" xfId="79" applyNumberFormat="1" applyFont="1" applyFill="1" applyBorder="1" applyAlignment="1">
      <alignment vertical="center"/>
    </xf>
    <xf numFmtId="49" fontId="60" fillId="0" borderId="0" xfId="79" applyNumberFormat="1" applyFont="1" applyFill="1" applyBorder="1" applyAlignment="1">
      <alignment horizontal="center" vertical="center"/>
    </xf>
    <xf numFmtId="0" fontId="48" fillId="0" borderId="0" xfId="79" applyNumberFormat="1" applyFont="1" applyFill="1" applyAlignment="1">
      <alignment horizontal="left" vertical="center" indent="2"/>
    </xf>
    <xf numFmtId="200" fontId="81" fillId="37" borderId="82" xfId="126" applyNumberFormat="1" applyFont="1" applyFill="1" applyBorder="1" applyAlignment="1">
      <alignment horizontal="center" vertical="center" wrapText="1"/>
    </xf>
    <xf numFmtId="49" fontId="60" fillId="37" borderId="82" xfId="79" applyNumberFormat="1" applyFont="1" applyFill="1" applyBorder="1" applyAlignment="1">
      <alignment horizontal="center" vertical="center" wrapText="1"/>
    </xf>
    <xf numFmtId="0" fontId="73" fillId="28" borderId="89" xfId="0" applyNumberFormat="1" applyFont="1" applyFill="1" applyBorder="1" applyAlignment="1">
      <alignment horizontal="center" vertical="center" wrapText="1"/>
    </xf>
    <xf numFmtId="0" fontId="72" fillId="29" borderId="89" xfId="0" applyNumberFormat="1" applyFont="1" applyFill="1" applyBorder="1" applyAlignment="1">
      <alignment horizontal="center" vertical="center"/>
    </xf>
    <xf numFmtId="0" fontId="82" fillId="28" borderId="89" xfId="0" applyNumberFormat="1" applyFont="1" applyFill="1" applyBorder="1" applyAlignment="1">
      <alignment horizontal="center" vertical="center" wrapText="1"/>
    </xf>
    <xf numFmtId="0" fontId="83" fillId="0" borderId="89" xfId="0" applyNumberFormat="1" applyFont="1" applyFill="1" applyBorder="1" applyAlignment="1">
      <alignment horizontal="center" vertical="center"/>
    </xf>
    <xf numFmtId="0" fontId="73" fillId="28" borderId="62" xfId="0" applyNumberFormat="1" applyFont="1" applyFill="1" applyBorder="1" applyAlignment="1">
      <alignment horizontal="center" vertical="center" wrapText="1"/>
    </xf>
    <xf numFmtId="0" fontId="73" fillId="28" borderId="89" xfId="0" applyNumberFormat="1" applyFont="1" applyFill="1" applyBorder="1" applyAlignment="1">
      <alignment horizontal="center" vertical="center"/>
    </xf>
    <xf numFmtId="201" fontId="72" fillId="29" borderId="44" xfId="0" applyNumberFormat="1" applyFont="1" applyFill="1" applyBorder="1" applyAlignment="1">
      <alignment horizontal="center" vertical="center"/>
    </xf>
    <xf numFmtId="193" fontId="72" fillId="0" borderId="43" xfId="0" applyNumberFormat="1" applyFont="1" applyFill="1" applyBorder="1" applyAlignment="1">
      <alignment horizontal="center" vertical="center"/>
    </xf>
    <xf numFmtId="0" fontId="72" fillId="38" borderId="0" xfId="0" applyNumberFormat="1" applyFont="1" applyFill="1" applyBorder="1" applyAlignment="1">
      <alignment vertical="center"/>
    </xf>
    <xf numFmtId="201" fontId="72" fillId="0" borderId="46" xfId="0" applyNumberFormat="1" applyFont="1" applyFill="1" applyBorder="1" applyAlignment="1">
      <alignment horizontal="center" vertical="center"/>
    </xf>
    <xf numFmtId="0" fontId="72" fillId="0" borderId="89" xfId="0" applyNumberFormat="1" applyFont="1" applyFill="1" applyBorder="1" applyAlignment="1">
      <alignment horizontal="left" vertical="center"/>
    </xf>
    <xf numFmtId="49" fontId="72" fillId="0" borderId="89" xfId="0" applyNumberFormat="1" applyFont="1" applyFill="1" applyBorder="1" applyAlignment="1">
      <alignment horizontal="left" vertical="center"/>
    </xf>
    <xf numFmtId="193" fontId="72" fillId="29" borderId="46" xfId="0" applyNumberFormat="1" applyFont="1" applyFill="1" applyBorder="1" applyAlignment="1">
      <alignment horizontal="center" vertical="center"/>
    </xf>
    <xf numFmtId="0" fontId="72" fillId="36" borderId="53" xfId="0" applyNumberFormat="1" applyFont="1" applyFill="1" applyBorder="1" applyAlignment="1">
      <alignment horizontal="center" vertical="center"/>
    </xf>
    <xf numFmtId="0" fontId="72" fillId="39" borderId="53" xfId="0" applyNumberFormat="1" applyFont="1" applyFill="1" applyBorder="1" applyAlignment="1">
      <alignment horizontal="center" vertical="center"/>
    </xf>
    <xf numFmtId="0" fontId="72" fillId="34" borderId="89" xfId="0" applyNumberFormat="1" applyFont="1" applyFill="1" applyBorder="1" applyAlignment="1">
      <alignment horizontal="center" vertical="center"/>
    </xf>
    <xf numFmtId="0" fontId="73" fillId="28" borderId="68" xfId="0" applyNumberFormat="1" applyFont="1" applyFill="1" applyBorder="1" applyAlignment="1">
      <alignment horizontal="center" vertical="center" wrapText="1"/>
    </xf>
    <xf numFmtId="0" fontId="52" fillId="0" borderId="0" xfId="0" applyNumberFormat="1" applyFont="1" applyBorder="1" applyAlignment="1">
      <alignment horizontal="center" vertical="center"/>
    </xf>
    <xf numFmtId="191" fontId="72" fillId="0" borderId="89" xfId="0" applyNumberFormat="1" applyFont="1" applyFill="1" applyBorder="1" applyAlignment="1">
      <alignment horizontal="center" vertical="center"/>
    </xf>
    <xf numFmtId="0" fontId="52" fillId="0" borderId="0" xfId="0" applyNumberFormat="1" applyFont="1" applyBorder="1" applyAlignment="1">
      <alignment horizontal="center" vertical="center"/>
    </xf>
    <xf numFmtId="0" fontId="59" fillId="27" borderId="83" xfId="81" applyFont="1" applyFill="1" applyBorder="1" applyAlignment="1">
      <alignment horizontal="center" vertical="center"/>
    </xf>
    <xf numFmtId="0" fontId="59" fillId="27" borderId="13" xfId="81" applyFont="1" applyFill="1" applyBorder="1" applyAlignment="1">
      <alignment horizontal="center" vertical="center"/>
    </xf>
    <xf numFmtId="0" fontId="59" fillId="27" borderId="13" xfId="81" applyFont="1" applyFill="1" applyBorder="1" applyAlignment="1">
      <alignment horizontal="center" vertical="center" wrapText="1"/>
    </xf>
    <xf numFmtId="0" fontId="59" fillId="27" borderId="92" xfId="81" applyFont="1" applyFill="1" applyBorder="1" applyAlignment="1">
      <alignment horizontal="center" vertical="center"/>
    </xf>
    <xf numFmtId="0" fontId="52" fillId="0" borderId="0" xfId="0" applyNumberFormat="1" applyFont="1" applyBorder="1" applyAlignment="1">
      <alignment horizontal="center" vertical="center"/>
    </xf>
    <xf numFmtId="0" fontId="71" fillId="0" borderId="0" xfId="0" applyNumberFormat="1" applyFont="1">
      <alignment vertical="center"/>
    </xf>
    <xf numFmtId="0" fontId="72" fillId="0" borderId="95" xfId="0" applyNumberFormat="1" applyFont="1" applyFill="1" applyBorder="1" applyAlignment="1">
      <alignment horizontal="center" vertical="center"/>
    </xf>
    <xf numFmtId="0" fontId="72" fillId="32" borderId="89" xfId="0" applyNumberFormat="1" applyFont="1" applyFill="1" applyBorder="1" applyAlignment="1">
      <alignment horizontal="center" vertical="center" wrapText="1"/>
    </xf>
    <xf numFmtId="0" fontId="72" fillId="0" borderId="89" xfId="0" applyNumberFormat="1" applyFont="1" applyFill="1" applyBorder="1" applyAlignment="1">
      <alignment horizontal="center" vertical="center" wrapText="1"/>
    </xf>
    <xf numFmtId="197" fontId="72" fillId="0" borderId="89" xfId="0" applyNumberFormat="1" applyFont="1" applyFill="1" applyBorder="1" applyAlignment="1">
      <alignment horizontal="center" vertical="center"/>
    </xf>
    <xf numFmtId="0" fontId="72" fillId="0" borderId="89" xfId="0" applyNumberFormat="1" applyFont="1" applyBorder="1" applyAlignment="1">
      <alignment horizontal="center" vertical="center"/>
    </xf>
    <xf numFmtId="189" fontId="72" fillId="0" borderId="89" xfId="0" applyNumberFormat="1" applyFont="1" applyFill="1" applyBorder="1" applyAlignment="1">
      <alignment horizontal="center" vertical="center"/>
    </xf>
    <xf numFmtId="191" fontId="72" fillId="29" borderId="89" xfId="0" applyNumberFormat="1" applyFont="1" applyFill="1" applyBorder="1" applyAlignment="1">
      <alignment horizontal="center" vertical="center"/>
    </xf>
    <xf numFmtId="195" fontId="72" fillId="0" borderId="89" xfId="0" applyNumberFormat="1" applyFont="1" applyFill="1" applyBorder="1" applyAlignment="1">
      <alignment horizontal="center" vertical="center"/>
    </xf>
    <xf numFmtId="0" fontId="72" fillId="36" borderId="89" xfId="0" applyNumberFormat="1" applyFont="1" applyFill="1" applyBorder="1" applyAlignment="1">
      <alignment horizontal="center" vertical="center"/>
    </xf>
    <xf numFmtId="188" fontId="72" fillId="0" borderId="89" xfId="0" applyNumberFormat="1" applyFont="1" applyFill="1" applyBorder="1" applyAlignment="1">
      <alignment horizontal="center" vertical="center"/>
    </xf>
    <xf numFmtId="198" fontId="72" fillId="0" borderId="89" xfId="0" applyNumberFormat="1" applyFont="1" applyFill="1" applyBorder="1" applyAlignment="1">
      <alignment horizontal="center" vertical="center"/>
    </xf>
    <xf numFmtId="0" fontId="72" fillId="36" borderId="95" xfId="0" applyNumberFormat="1" applyFont="1" applyFill="1" applyBorder="1" applyAlignment="1">
      <alignment horizontal="center" vertical="center"/>
    </xf>
    <xf numFmtId="191" fontId="72" fillId="32" borderId="89" xfId="0" applyNumberFormat="1" applyFont="1" applyFill="1" applyBorder="1" applyAlignment="1">
      <alignment horizontal="center" vertical="center"/>
    </xf>
    <xf numFmtId="2" fontId="72" fillId="0" borderId="89" xfId="0" applyNumberFormat="1" applyFont="1" applyFill="1" applyBorder="1" applyAlignment="1">
      <alignment horizontal="center" vertical="center"/>
    </xf>
    <xf numFmtId="0" fontId="72" fillId="39" borderId="89" xfId="0" applyNumberFormat="1" applyFont="1" applyFill="1" applyBorder="1" applyAlignment="1">
      <alignment horizontal="center" vertical="center"/>
    </xf>
    <xf numFmtId="0" fontId="72" fillId="29" borderId="44" xfId="0" applyNumberFormat="1" applyFont="1" applyFill="1" applyBorder="1" applyAlignment="1">
      <alignment horizontal="center" vertical="center"/>
    </xf>
    <xf numFmtId="0" fontId="73" fillId="28" borderId="86" xfId="0" applyNumberFormat="1" applyFont="1" applyFill="1" applyBorder="1" applyAlignment="1">
      <alignment horizontal="center" vertical="center" wrapText="1"/>
    </xf>
    <xf numFmtId="0" fontId="73" fillId="28" borderId="90" xfId="0" applyNumberFormat="1" applyFont="1" applyFill="1" applyBorder="1" applyAlignment="1">
      <alignment horizontal="center" vertical="center" wrapText="1"/>
    </xf>
    <xf numFmtId="0" fontId="73" fillId="28" borderId="90" xfId="0" applyNumberFormat="1" applyFont="1" applyFill="1" applyBorder="1" applyAlignment="1">
      <alignment horizontal="center" vertical="center"/>
    </xf>
    <xf numFmtId="2" fontId="72" fillId="29" borderId="89" xfId="0" applyNumberFormat="1" applyFont="1" applyFill="1" applyBorder="1" applyAlignment="1">
      <alignment horizontal="center" vertical="center"/>
    </xf>
    <xf numFmtId="0" fontId="72" fillId="32" borderId="89" xfId="0" applyNumberFormat="1" applyFont="1" applyFill="1" applyBorder="1" applyAlignment="1">
      <alignment horizontal="center" vertical="center"/>
    </xf>
    <xf numFmtId="197" fontId="72" fillId="36" borderId="89" xfId="0" applyNumberFormat="1" applyFont="1" applyFill="1" applyBorder="1" applyAlignment="1">
      <alignment horizontal="center" vertical="center"/>
    </xf>
    <xf numFmtId="190" fontId="73" fillId="28" borderId="89" xfId="0" applyNumberFormat="1" applyFont="1" applyFill="1" applyBorder="1" applyAlignment="1">
      <alignment horizontal="center" vertical="center"/>
    </xf>
    <xf numFmtId="49" fontId="73" fillId="28" borderId="89" xfId="0" applyNumberFormat="1" applyFont="1" applyFill="1" applyBorder="1" applyAlignment="1">
      <alignment horizontal="center" vertical="center"/>
    </xf>
    <xf numFmtId="0" fontId="48" fillId="0" borderId="0" xfId="79" applyNumberFormat="1" applyFont="1" applyFill="1" applyBorder="1" applyAlignment="1">
      <alignment horizontal="right" vertical="center"/>
    </xf>
    <xf numFmtId="0" fontId="48" fillId="0" borderId="55" xfId="79" applyNumberFormat="1" applyFont="1" applyFill="1" applyBorder="1" applyAlignment="1">
      <alignment horizontal="center" vertical="center"/>
    </xf>
    <xf numFmtId="0" fontId="48" fillId="0" borderId="0" xfId="79" applyNumberFormat="1" applyFont="1" applyFill="1" applyBorder="1" applyAlignment="1">
      <alignment horizontal="left" vertical="center" indent="1"/>
    </xf>
    <xf numFmtId="0" fontId="48" fillId="0" borderId="96" xfId="79" applyNumberFormat="1" applyFont="1" applyFill="1" applyBorder="1" applyAlignment="1">
      <alignment horizontal="center" vertical="center"/>
    </xf>
    <xf numFmtId="0" fontId="85" fillId="0" borderId="0" xfId="0" applyNumberFormat="1" applyFont="1" applyAlignment="1">
      <alignment vertical="center"/>
    </xf>
    <xf numFmtId="0" fontId="52" fillId="0" borderId="0" xfId="0" applyNumberFormat="1" applyFont="1" applyAlignment="1">
      <alignment vertical="center"/>
    </xf>
    <xf numFmtId="0" fontId="54" fillId="0" borderId="0" xfId="0" applyNumberFormat="1" applyFont="1" applyAlignment="1">
      <alignment vertical="center"/>
    </xf>
    <xf numFmtId="0" fontId="86" fillId="0" borderId="0" xfId="0" applyFont="1" applyBorder="1" applyAlignment="1">
      <alignment vertical="center"/>
    </xf>
    <xf numFmtId="0" fontId="66" fillId="0" borderId="0" xfId="0" applyFont="1" applyBorder="1">
      <alignment vertical="center"/>
    </xf>
    <xf numFmtId="0" fontId="86" fillId="0" borderId="0" xfId="0" applyFont="1" applyBorder="1" applyAlignment="1">
      <alignment horizontal="left" vertical="center" indent="1"/>
    </xf>
    <xf numFmtId="0" fontId="87" fillId="0" borderId="0" xfId="0" applyFont="1" applyBorder="1" applyAlignment="1">
      <alignment vertical="center"/>
    </xf>
    <xf numFmtId="0" fontId="86" fillId="0" borderId="0" xfId="0" applyFont="1" applyBorder="1">
      <alignment vertical="center"/>
    </xf>
    <xf numFmtId="0" fontId="52" fillId="0" borderId="0" xfId="0" applyFont="1" applyBorder="1" applyAlignment="1">
      <alignment vertical="center"/>
    </xf>
    <xf numFmtId="0" fontId="89" fillId="0" borderId="0" xfId="0" applyNumberFormat="1" applyFont="1" applyBorder="1" applyAlignment="1">
      <alignment horizontal="right" vertical="center"/>
    </xf>
    <xf numFmtId="191" fontId="52" fillId="0" borderId="0" xfId="0" applyNumberFormat="1" applyFont="1" applyBorder="1" applyAlignment="1">
      <alignment horizontal="center" vertical="center"/>
    </xf>
    <xf numFmtId="202" fontId="52" fillId="0" borderId="0" xfId="0" applyNumberFormat="1" applyFont="1" applyBorder="1" applyAlignment="1">
      <alignment vertical="center"/>
    </xf>
    <xf numFmtId="189" fontId="52" fillId="0" borderId="0" xfId="0" applyNumberFormat="1" applyFont="1" applyBorder="1" applyAlignment="1">
      <alignment vertical="center"/>
    </xf>
    <xf numFmtId="204" fontId="66" fillId="0" borderId="82" xfId="0" applyNumberFormat="1" applyFont="1" applyBorder="1" applyAlignment="1">
      <alignment vertical="center"/>
    </xf>
    <xf numFmtId="195" fontId="66" fillId="0" borderId="82" xfId="0" applyNumberFormat="1" applyFont="1" applyBorder="1" applyAlignment="1">
      <alignment vertical="center"/>
    </xf>
    <xf numFmtId="0" fontId="52" fillId="0" borderId="82" xfId="0" applyNumberFormat="1" applyFont="1" applyBorder="1" applyAlignment="1">
      <alignment vertical="center"/>
    </xf>
    <xf numFmtId="0" fontId="52" fillId="0" borderId="0" xfId="0" quotePrefix="1" applyNumberFormat="1" applyFont="1" applyBorder="1" applyAlignment="1">
      <alignment horizontal="center" vertical="center"/>
    </xf>
    <xf numFmtId="0" fontId="52" fillId="0" borderId="0" xfId="0" applyNumberFormat="1" applyFont="1" applyBorder="1" applyAlignment="1">
      <alignment horizontal="center" vertical="center"/>
    </xf>
    <xf numFmtId="0" fontId="89" fillId="0" borderId="0" xfId="0" applyNumberFormat="1" applyFont="1" applyBorder="1" applyAlignment="1">
      <alignment horizontal="left" vertical="center"/>
    </xf>
    <xf numFmtId="0" fontId="89" fillId="0" borderId="0" xfId="0" applyFont="1" applyBorder="1" applyAlignment="1">
      <alignment vertical="center"/>
    </xf>
    <xf numFmtId="2" fontId="66" fillId="0" borderId="0" xfId="0" applyNumberFormat="1" applyFont="1" applyBorder="1" applyAlignment="1">
      <alignment vertical="center"/>
    </xf>
    <xf numFmtId="0" fontId="66" fillId="0" borderId="0" xfId="0" applyNumberFormat="1" applyFont="1" applyBorder="1" applyAlignment="1">
      <alignment vertical="center"/>
    </xf>
    <xf numFmtId="0" fontId="89" fillId="0" borderId="0" xfId="0" applyFont="1" applyBorder="1">
      <alignment vertical="center"/>
    </xf>
    <xf numFmtId="206" fontId="66" fillId="0" borderId="0" xfId="0" applyNumberFormat="1" applyFont="1" applyBorder="1" applyAlignment="1">
      <alignment vertical="center"/>
    </xf>
    <xf numFmtId="0" fontId="66" fillId="0" borderId="39" xfId="0" applyFont="1" applyBorder="1" applyAlignment="1">
      <alignment vertical="center"/>
    </xf>
    <xf numFmtId="207" fontId="66" fillId="0" borderId="0" xfId="0" applyNumberFormat="1" applyFont="1" applyBorder="1" applyAlignment="1">
      <alignment horizontal="center" vertical="center"/>
    </xf>
    <xf numFmtId="0" fontId="89" fillId="0" borderId="0" xfId="0" applyFont="1" applyBorder="1" applyAlignment="1">
      <alignment horizontal="left" vertical="center"/>
    </xf>
    <xf numFmtId="0" fontId="66" fillId="0" borderId="0" xfId="0" quotePrefix="1" applyFont="1" applyBorder="1" applyAlignment="1">
      <alignment vertical="center"/>
    </xf>
    <xf numFmtId="0" fontId="96" fillId="0" borderId="0" xfId="0" applyFont="1" applyBorder="1">
      <alignment vertical="center"/>
    </xf>
    <xf numFmtId="0" fontId="66" fillId="0" borderId="0" xfId="0" applyFont="1" applyAlignment="1">
      <alignment horizontal="center" vertical="center"/>
    </xf>
    <xf numFmtId="195" fontId="89" fillId="0" borderId="0" xfId="0" applyNumberFormat="1" applyFont="1" applyBorder="1" applyAlignment="1">
      <alignment vertical="center"/>
    </xf>
    <xf numFmtId="0" fontId="99" fillId="0" borderId="0" xfId="0" applyFont="1" applyBorder="1" applyAlignment="1">
      <alignment vertical="center"/>
    </xf>
    <xf numFmtId="195" fontId="99" fillId="0" borderId="0" xfId="0" applyNumberFormat="1" applyFont="1" applyBorder="1" applyAlignment="1">
      <alignment vertical="center"/>
    </xf>
    <xf numFmtId="0" fontId="66" fillId="0" borderId="0" xfId="0" applyFont="1" applyBorder="1" applyAlignment="1">
      <alignment horizontal="right" vertical="center"/>
    </xf>
    <xf numFmtId="0" fontId="66" fillId="0" borderId="0" xfId="0" applyFont="1" applyAlignment="1">
      <alignment vertical="center"/>
    </xf>
    <xf numFmtId="208" fontId="66" fillId="0" borderId="0" xfId="0" applyNumberFormat="1" applyFont="1" applyBorder="1" applyAlignment="1">
      <alignment vertical="center"/>
    </xf>
    <xf numFmtId="205" fontId="66" fillId="0" borderId="0" xfId="0" applyNumberFormat="1" applyFont="1" applyBorder="1" applyAlignment="1">
      <alignment vertical="center"/>
    </xf>
    <xf numFmtId="210" fontId="66" fillId="0" borderId="0" xfId="0" applyNumberFormat="1" applyFont="1" applyBorder="1" applyAlignment="1">
      <alignment horizontal="center" vertical="center"/>
    </xf>
    <xf numFmtId="202" fontId="66" fillId="0" borderId="0" xfId="0" applyNumberFormat="1" applyFont="1" applyAlignment="1">
      <alignment vertical="center"/>
    </xf>
    <xf numFmtId="202" fontId="66" fillId="0" borderId="0" xfId="0" applyNumberFormat="1" applyFont="1" applyBorder="1" applyAlignment="1">
      <alignment vertical="center"/>
    </xf>
    <xf numFmtId="210" fontId="66" fillId="0" borderId="0" xfId="0" applyNumberFormat="1" applyFont="1" applyBorder="1" applyAlignment="1">
      <alignment vertical="center"/>
    </xf>
    <xf numFmtId="211" fontId="66" fillId="0" borderId="99" xfId="0" applyNumberFormat="1" applyFont="1" applyBorder="1" applyAlignment="1">
      <alignment vertical="center"/>
    </xf>
    <xf numFmtId="211" fontId="66" fillId="0" borderId="100" xfId="0" applyNumberFormat="1" applyFont="1" applyBorder="1" applyAlignment="1">
      <alignment vertical="center"/>
    </xf>
    <xf numFmtId="0" fontId="90" fillId="0" borderId="0" xfId="0" applyFont="1" applyBorder="1" applyAlignment="1">
      <alignment vertical="center"/>
    </xf>
    <xf numFmtId="0" fontId="92" fillId="0" borderId="0" xfId="0" applyFont="1" applyBorder="1" applyAlignment="1">
      <alignment vertical="center"/>
    </xf>
    <xf numFmtId="0" fontId="102" fillId="0" borderId="0" xfId="0" applyNumberFormat="1" applyFont="1" applyBorder="1" applyAlignment="1">
      <alignment horizontal="left" vertical="center"/>
    </xf>
    <xf numFmtId="0" fontId="102" fillId="0" borderId="0" xfId="0" applyFont="1" applyBorder="1" applyAlignment="1">
      <alignment horizontal="left" vertical="center"/>
    </xf>
    <xf numFmtId="0" fontId="102" fillId="0" borderId="0" xfId="0" applyFont="1" applyBorder="1" applyAlignment="1">
      <alignment vertical="center"/>
    </xf>
    <xf numFmtId="209" fontId="66" fillId="0" borderId="0" xfId="0" applyNumberFormat="1" applyFont="1" applyBorder="1" applyAlignment="1">
      <alignment vertical="center"/>
    </xf>
    <xf numFmtId="0" fontId="66" fillId="0" borderId="0" xfId="0" applyNumberFormat="1" applyFont="1" applyAlignment="1">
      <alignment vertical="center"/>
    </xf>
    <xf numFmtId="0" fontId="52" fillId="0" borderId="0" xfId="0" applyNumberFormat="1" applyFont="1" applyBorder="1" applyAlignment="1">
      <alignment horizontal="center" vertical="center"/>
    </xf>
    <xf numFmtId="0" fontId="52" fillId="0" borderId="0" xfId="0" applyNumberFormat="1" applyFont="1" applyBorder="1" applyAlignment="1">
      <alignment horizontal="center" vertical="center"/>
    </xf>
    <xf numFmtId="0" fontId="73" fillId="28" borderId="90" xfId="0" applyNumberFormat="1" applyFont="1" applyFill="1" applyBorder="1" applyAlignment="1">
      <alignment horizontal="center" vertical="center" wrapText="1"/>
    </xf>
    <xf numFmtId="0" fontId="73" fillId="28" borderId="86" xfId="0" applyNumberFormat="1" applyFont="1" applyFill="1" applyBorder="1" applyAlignment="1">
      <alignment horizontal="center" vertical="center" wrapText="1"/>
    </xf>
    <xf numFmtId="0" fontId="73" fillId="28" borderId="90" xfId="0" applyNumberFormat="1" applyFont="1" applyFill="1" applyBorder="1" applyAlignment="1">
      <alignment horizontal="center" vertical="center"/>
    </xf>
    <xf numFmtId="0" fontId="73" fillId="28" borderId="93" xfId="0" applyNumberFormat="1" applyFont="1" applyFill="1" applyBorder="1" applyAlignment="1">
      <alignment horizontal="center" vertical="center" wrapText="1"/>
    </xf>
    <xf numFmtId="0" fontId="72" fillId="0" borderId="89" xfId="0" applyNumberFormat="1" applyFont="1" applyFill="1" applyBorder="1" applyAlignment="1">
      <alignment horizontal="right" vertical="center" wrapText="1"/>
    </xf>
    <xf numFmtId="191" fontId="72" fillId="29" borderId="89" xfId="0" applyNumberFormat="1" applyFont="1" applyFill="1" applyBorder="1" applyAlignment="1">
      <alignment horizontal="right" vertical="center"/>
    </xf>
    <xf numFmtId="0" fontId="72" fillId="0" borderId="89" xfId="0" applyNumberFormat="1" applyFont="1" applyBorder="1" applyAlignment="1">
      <alignment horizontal="right" vertical="center"/>
    </xf>
    <xf numFmtId="195" fontId="72" fillId="0" borderId="89" xfId="0" applyNumberFormat="1" applyFont="1" applyFill="1" applyBorder="1" applyAlignment="1">
      <alignment horizontal="right" vertical="center"/>
    </xf>
    <xf numFmtId="0" fontId="72" fillId="29" borderId="89" xfId="0" applyNumberFormat="1" applyFont="1" applyFill="1" applyBorder="1" applyAlignment="1">
      <alignment horizontal="right" vertical="center"/>
    </xf>
    <xf numFmtId="191" fontId="72" fillId="0" borderId="89" xfId="0" applyNumberFormat="1" applyFont="1" applyFill="1" applyBorder="1" applyAlignment="1">
      <alignment horizontal="right" vertical="center"/>
    </xf>
    <xf numFmtId="0" fontId="72" fillId="0" borderId="89" xfId="0" applyNumberFormat="1" applyFont="1" applyFill="1" applyBorder="1" applyAlignment="1">
      <alignment horizontal="right" vertical="center"/>
    </xf>
    <xf numFmtId="191" fontId="72" fillId="32" borderId="89" xfId="0" applyNumberFormat="1" applyFont="1" applyFill="1" applyBorder="1" applyAlignment="1">
      <alignment horizontal="right" vertical="center"/>
    </xf>
    <xf numFmtId="0" fontId="48" fillId="0" borderId="0" xfId="79" applyNumberFormat="1" applyFont="1" applyFill="1" applyBorder="1" applyAlignment="1">
      <alignment horizontal="left" vertical="center" indent="2"/>
    </xf>
    <xf numFmtId="0" fontId="48" fillId="0" borderId="55" xfId="79" applyNumberFormat="1" applyFont="1" applyFill="1" applyBorder="1" applyAlignment="1">
      <alignment horizontal="center" vertical="center"/>
    </xf>
    <xf numFmtId="0" fontId="66" fillId="0" borderId="0" xfId="0" applyFont="1" applyBorder="1" applyAlignment="1">
      <alignment horizontal="center" vertical="center"/>
    </xf>
    <xf numFmtId="191" fontId="66" fillId="0" borderId="0" xfId="0" applyNumberFormat="1" applyFont="1" applyBorder="1" applyAlignment="1">
      <alignment vertical="center"/>
    </xf>
    <xf numFmtId="191" fontId="52" fillId="0" borderId="0" xfId="0" applyNumberFormat="1" applyFont="1" applyBorder="1" applyAlignment="1">
      <alignment vertical="center"/>
    </xf>
    <xf numFmtId="0" fontId="52" fillId="0" borderId="0" xfId="0" applyNumberFormat="1" applyFont="1" applyBorder="1" applyAlignment="1">
      <alignment vertical="center"/>
    </xf>
    <xf numFmtId="0" fontId="66" fillId="0" borderId="0" xfId="0" applyFont="1" applyBorder="1" applyAlignment="1">
      <alignment vertical="center"/>
    </xf>
    <xf numFmtId="0" fontId="66" fillId="0" borderId="0" xfId="0" applyFont="1" applyBorder="1" applyAlignment="1">
      <alignment horizontal="left" vertical="center"/>
    </xf>
    <xf numFmtId="0" fontId="66" fillId="0" borderId="82" xfId="0" applyNumberFormat="1" applyFont="1" applyBorder="1" applyAlignment="1">
      <alignment vertical="center"/>
    </xf>
    <xf numFmtId="0" fontId="66" fillId="0" borderId="0" xfId="0" applyNumberFormat="1" applyFont="1" applyBorder="1" applyAlignment="1">
      <alignment horizontal="center" vertical="center"/>
    </xf>
    <xf numFmtId="0" fontId="87" fillId="0" borderId="0" xfId="0" applyFont="1" applyBorder="1" applyAlignment="1">
      <alignment horizontal="center" vertical="center"/>
    </xf>
    <xf numFmtId="0" fontId="87" fillId="0" borderId="82" xfId="0" applyFont="1" applyBorder="1" applyAlignment="1">
      <alignment horizontal="center" vertical="center"/>
    </xf>
    <xf numFmtId="0" fontId="89" fillId="0" borderId="0" xfId="0" applyFont="1" applyBorder="1" applyAlignment="1">
      <alignment horizontal="right" vertical="center"/>
    </xf>
    <xf numFmtId="0" fontId="52" fillId="0" borderId="0" xfId="0" applyNumberFormat="1" applyFont="1" applyBorder="1" applyAlignment="1">
      <alignment horizontal="center" vertical="center"/>
    </xf>
    <xf numFmtId="0" fontId="52" fillId="0" borderId="0" xfId="0" applyNumberFormat="1" applyFont="1" applyBorder="1" applyAlignment="1">
      <alignment horizontal="right" vertical="center"/>
    </xf>
    <xf numFmtId="191" fontId="66" fillId="0" borderId="99" xfId="0" applyNumberFormat="1" applyFont="1" applyBorder="1" applyAlignment="1">
      <alignment vertical="center"/>
    </xf>
    <xf numFmtId="0" fontId="66" fillId="0" borderId="99" xfId="0" applyFont="1" applyBorder="1" applyAlignment="1">
      <alignment vertical="center"/>
    </xf>
    <xf numFmtId="208" fontId="66" fillId="0" borderId="0" xfId="0" applyNumberFormat="1" applyFont="1" applyBorder="1" applyAlignment="1">
      <alignment horizontal="center" vertical="center"/>
    </xf>
    <xf numFmtId="0" fontId="87" fillId="0" borderId="0" xfId="0" applyFont="1" applyBorder="1" applyAlignment="1">
      <alignment horizontal="right" vertical="center"/>
    </xf>
    <xf numFmtId="2" fontId="52" fillId="0" borderId="0" xfId="0" applyNumberFormat="1" applyFont="1" applyBorder="1" applyAlignment="1">
      <alignment vertical="center"/>
    </xf>
    <xf numFmtId="212" fontId="52" fillId="0" borderId="0" xfId="0" applyNumberFormat="1" applyFont="1" applyBorder="1" applyAlignment="1">
      <alignment vertical="center"/>
    </xf>
    <xf numFmtId="0" fontId="8" fillId="0" borderId="1" xfId="0" applyFont="1" applyFill="1" applyBorder="1" applyAlignment="1" applyProtection="1">
      <alignment horizontal="center" vertical="center" shrinkToFit="1"/>
    </xf>
    <xf numFmtId="0" fontId="4" fillId="0" borderId="1" xfId="0" applyFont="1" applyFill="1" applyBorder="1" applyAlignment="1" applyProtection="1">
      <alignment horizontal="center" vertical="center" shrinkToFit="1"/>
    </xf>
    <xf numFmtId="0" fontId="8" fillId="0" borderId="1" xfId="0" applyFont="1" applyFill="1" applyBorder="1" applyAlignment="1" applyProtection="1">
      <alignment vertical="center" shrinkToFit="1"/>
    </xf>
    <xf numFmtId="0" fontId="41" fillId="0" borderId="1" xfId="0" applyFont="1" applyFill="1" applyBorder="1" applyAlignment="1" applyProtection="1">
      <alignment horizontal="center" vertical="center" shrinkToFit="1"/>
    </xf>
    <xf numFmtId="0" fontId="8" fillId="29" borderId="1" xfId="0" applyFont="1" applyFill="1" applyBorder="1" applyAlignment="1" applyProtection="1">
      <alignment horizontal="center" vertical="center" shrinkToFit="1"/>
      <protection locked="0"/>
    </xf>
    <xf numFmtId="0" fontId="8" fillId="29" borderId="1" xfId="0" applyFont="1" applyFill="1" applyBorder="1" applyAlignment="1" applyProtection="1">
      <alignment vertical="center" shrinkToFit="1"/>
      <protection locked="0"/>
    </xf>
    <xf numFmtId="0" fontId="38" fillId="0" borderId="11" xfId="0" applyFont="1" applyFill="1" applyBorder="1" applyAlignment="1" applyProtection="1">
      <alignment horizontal="center" vertical="center"/>
    </xf>
    <xf numFmtId="0" fontId="38" fillId="0" borderId="14" xfId="0" applyFont="1" applyFill="1" applyBorder="1" applyAlignment="1" applyProtection="1">
      <alignment horizontal="center" vertical="center"/>
    </xf>
    <xf numFmtId="0" fontId="9" fillId="0" borderId="14" xfId="0" applyFont="1" applyFill="1" applyBorder="1" applyAlignment="1" applyProtection="1">
      <alignment vertical="center"/>
    </xf>
    <xf numFmtId="0" fontId="0" fillId="0" borderId="14" xfId="0" applyFill="1" applyBorder="1" applyAlignment="1" applyProtection="1">
      <alignment vertical="center"/>
    </xf>
    <xf numFmtId="0" fontId="0" fillId="0" borderId="16" xfId="0" applyFill="1" applyBorder="1" applyAlignment="1" applyProtection="1">
      <alignment vertical="center"/>
    </xf>
    <xf numFmtId="0" fontId="11" fillId="0" borderId="0" xfId="0" applyFont="1" applyFill="1" applyBorder="1" applyAlignment="1" applyProtection="1">
      <alignment horizontal="left" vertical="center" shrinkToFit="1"/>
    </xf>
    <xf numFmtId="0" fontId="11" fillId="0" borderId="1" xfId="0" applyFont="1" applyFill="1" applyBorder="1" applyAlignment="1" applyProtection="1">
      <alignment horizontal="center" vertical="center" shrinkToFit="1"/>
    </xf>
    <xf numFmtId="49" fontId="8" fillId="0" borderId="1" xfId="0" applyNumberFormat="1" applyFont="1" applyFill="1" applyBorder="1" applyAlignment="1" applyProtection="1">
      <alignment horizontal="center" vertical="center" shrinkToFit="1"/>
    </xf>
    <xf numFmtId="49" fontId="8" fillId="0" borderId="1" xfId="0" applyNumberFormat="1" applyFont="1" applyFill="1" applyBorder="1" applyAlignment="1" applyProtection="1">
      <alignment vertical="center" shrinkToFit="1"/>
    </xf>
    <xf numFmtId="184" fontId="8" fillId="0" borderId="1" xfId="0" applyNumberFormat="1" applyFont="1" applyFill="1" applyBorder="1" applyAlignment="1" applyProtection="1">
      <alignment horizontal="center" vertical="center" shrinkToFit="1"/>
    </xf>
    <xf numFmtId="0" fontId="45" fillId="0" borderId="1" xfId="0" applyFont="1" applyFill="1" applyBorder="1" applyAlignment="1" applyProtection="1">
      <alignment horizontal="center" vertical="center" shrinkToFit="1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8" fillId="17" borderId="1" xfId="0" applyFont="1" applyFill="1" applyBorder="1" applyAlignment="1" applyProtection="1">
      <alignment horizontal="center" vertical="center" shrinkToFit="1"/>
      <protection locked="0"/>
    </xf>
    <xf numFmtId="0" fontId="8" fillId="29" borderId="11" xfId="0" applyFont="1" applyFill="1" applyBorder="1" applyAlignment="1" applyProtection="1">
      <alignment horizontal="left" vertical="center" wrapText="1"/>
    </xf>
    <xf numFmtId="0" fontId="8" fillId="29" borderId="14" xfId="0" applyFont="1" applyFill="1" applyBorder="1" applyAlignment="1" applyProtection="1">
      <alignment horizontal="left" vertical="center" wrapText="1"/>
    </xf>
    <xf numFmtId="0" fontId="8" fillId="29" borderId="16" xfId="0" applyFont="1" applyFill="1" applyBorder="1" applyAlignment="1" applyProtection="1">
      <alignment horizontal="left" vertical="center" wrapText="1"/>
    </xf>
    <xf numFmtId="0" fontId="8" fillId="0" borderId="21" xfId="0" applyNumberFormat="1" applyFont="1" applyFill="1" applyBorder="1" applyAlignment="1" applyProtection="1">
      <alignment horizontal="center" vertical="center" shrinkToFit="1"/>
    </xf>
    <xf numFmtId="0" fontId="8" fillId="0" borderId="18" xfId="0" applyNumberFormat="1" applyFont="1" applyFill="1" applyBorder="1" applyAlignment="1" applyProtection="1">
      <alignment horizontal="center" vertical="center" shrinkToFit="1"/>
    </xf>
    <xf numFmtId="0" fontId="41" fillId="29" borderId="22" xfId="0" applyFont="1" applyFill="1" applyBorder="1" applyAlignment="1" applyProtection="1">
      <alignment horizontal="left" vertical="center" wrapText="1"/>
    </xf>
    <xf numFmtId="0" fontId="41" fillId="29" borderId="16" xfId="0" applyFont="1" applyFill="1" applyBorder="1" applyAlignment="1" applyProtection="1">
      <alignment horizontal="left" vertical="center"/>
    </xf>
    <xf numFmtId="0" fontId="41" fillId="0" borderId="12" xfId="0" applyFont="1" applyFill="1" applyBorder="1" applyAlignment="1" applyProtection="1">
      <alignment horizontal="center" vertical="center"/>
    </xf>
    <xf numFmtId="0" fontId="41" fillId="0" borderId="13" xfId="0" applyFont="1" applyFill="1" applyBorder="1" applyAlignment="1" applyProtection="1">
      <alignment horizontal="center" vertical="center"/>
    </xf>
    <xf numFmtId="0" fontId="41" fillId="0" borderId="23" xfId="0" applyFont="1" applyFill="1" applyBorder="1" applyAlignment="1" applyProtection="1">
      <alignment horizontal="left" vertical="center" wrapText="1"/>
    </xf>
    <xf numFmtId="0" fontId="41" fillId="0" borderId="15" xfId="0" applyFont="1" applyFill="1" applyBorder="1" applyAlignment="1" applyProtection="1">
      <alignment horizontal="left" vertical="center"/>
    </xf>
    <xf numFmtId="0" fontId="41" fillId="0" borderId="24" xfId="0" applyFont="1" applyFill="1" applyBorder="1" applyAlignment="1" applyProtection="1">
      <alignment horizontal="left" vertical="center"/>
    </xf>
    <xf numFmtId="0" fontId="41" fillId="0" borderId="20" xfId="0" applyFont="1" applyFill="1" applyBorder="1" applyAlignment="1" applyProtection="1">
      <alignment horizontal="left" vertical="center"/>
    </xf>
    <xf numFmtId="0" fontId="63" fillId="0" borderId="28" xfId="0" applyFont="1" applyFill="1" applyBorder="1" applyAlignment="1" applyProtection="1">
      <alignment horizontal="left" vertical="center" wrapText="1"/>
      <protection locked="0"/>
    </xf>
    <xf numFmtId="0" fontId="63" fillId="0" borderId="29" xfId="0" applyFont="1" applyFill="1" applyBorder="1" applyAlignment="1" applyProtection="1">
      <alignment horizontal="left" vertical="center" wrapText="1"/>
      <protection locked="0"/>
    </xf>
    <xf numFmtId="0" fontId="63" fillId="0" borderId="30" xfId="0" applyFont="1" applyFill="1" applyBorder="1" applyAlignment="1" applyProtection="1">
      <alignment horizontal="left" vertical="center" wrapText="1"/>
      <protection locked="0"/>
    </xf>
    <xf numFmtId="0" fontId="63" fillId="0" borderId="31" xfId="0" applyFont="1" applyFill="1" applyBorder="1" applyAlignment="1" applyProtection="1">
      <alignment horizontal="left" vertical="center" wrapText="1"/>
      <protection locked="0"/>
    </xf>
    <xf numFmtId="0" fontId="63" fillId="0" borderId="0" xfId="0" applyFont="1" applyFill="1" applyBorder="1" applyAlignment="1" applyProtection="1">
      <alignment horizontal="left" vertical="center" wrapText="1"/>
      <protection locked="0"/>
    </xf>
    <xf numFmtId="0" fontId="63" fillId="0" borderId="32" xfId="0" applyFont="1" applyFill="1" applyBorder="1" applyAlignment="1" applyProtection="1">
      <alignment horizontal="left" vertical="center" wrapText="1"/>
      <protection locked="0"/>
    </xf>
    <xf numFmtId="0" fontId="63" fillId="0" borderId="18" xfId="0" applyFont="1" applyFill="1" applyBorder="1" applyAlignment="1" applyProtection="1">
      <alignment horizontal="left" vertical="center" wrapText="1"/>
      <protection locked="0"/>
    </xf>
    <xf numFmtId="0" fontId="63" fillId="0" borderId="19" xfId="0" applyFont="1" applyFill="1" applyBorder="1" applyAlignment="1" applyProtection="1">
      <alignment horizontal="left" vertical="center" wrapText="1"/>
      <protection locked="0"/>
    </xf>
    <xf numFmtId="0" fontId="63" fillId="0" borderId="20" xfId="0" applyFont="1" applyFill="1" applyBorder="1" applyAlignment="1" applyProtection="1">
      <alignment horizontal="left" vertical="center" wrapText="1"/>
      <protection locked="0"/>
    </xf>
    <xf numFmtId="0" fontId="63" fillId="0" borderId="26" xfId="0" applyFont="1" applyFill="1" applyBorder="1" applyAlignment="1">
      <alignment horizontal="center" vertical="center"/>
    </xf>
    <xf numFmtId="0" fontId="63" fillId="30" borderId="34" xfId="0" applyFont="1" applyFill="1" applyBorder="1" applyAlignment="1" applyProtection="1">
      <alignment horizontal="center" vertical="center"/>
      <protection locked="0"/>
    </xf>
    <xf numFmtId="0" fontId="63" fillId="0" borderId="35" xfId="0" applyFont="1" applyFill="1" applyBorder="1" applyAlignment="1">
      <alignment horizontal="center" vertical="center"/>
    </xf>
    <xf numFmtId="0" fontId="63" fillId="0" borderId="27" xfId="0" applyFont="1" applyFill="1" applyBorder="1" applyAlignment="1">
      <alignment horizontal="center" vertical="center" wrapText="1"/>
    </xf>
    <xf numFmtId="0" fontId="63" fillId="0" borderId="17" xfId="0" applyFont="1" applyFill="1" applyBorder="1" applyAlignment="1">
      <alignment horizontal="center" vertical="center" wrapText="1"/>
    </xf>
    <xf numFmtId="0" fontId="63" fillId="0" borderId="13" xfId="0" applyFont="1" applyFill="1" applyBorder="1" applyAlignment="1">
      <alignment horizontal="center" vertical="center" wrapText="1"/>
    </xf>
    <xf numFmtId="0" fontId="47" fillId="0" borderId="0" xfId="79" applyNumberFormat="1" applyFont="1" applyAlignment="1">
      <alignment horizontal="center" wrapText="1"/>
    </xf>
    <xf numFmtId="0" fontId="48" fillId="0" borderId="55" xfId="79" applyNumberFormat="1" applyFont="1" applyFill="1" applyBorder="1" applyAlignment="1">
      <alignment horizontal="center" vertical="center"/>
    </xf>
    <xf numFmtId="0" fontId="48" fillId="0" borderId="55" xfId="79" applyNumberFormat="1" applyFont="1" applyFill="1" applyBorder="1" applyAlignment="1">
      <alignment horizontal="center" vertical="center" wrapText="1"/>
    </xf>
    <xf numFmtId="0" fontId="48" fillId="0" borderId="79" xfId="79" applyNumberFormat="1" applyFont="1" applyFill="1" applyBorder="1" applyAlignment="1">
      <alignment horizontal="center" vertical="center" wrapText="1"/>
    </xf>
    <xf numFmtId="0" fontId="48" fillId="0" borderId="80" xfId="79" applyNumberFormat="1" applyFont="1" applyFill="1" applyBorder="1" applyAlignment="1">
      <alignment horizontal="center" vertical="center" wrapText="1"/>
    </xf>
    <xf numFmtId="0" fontId="48" fillId="0" borderId="81" xfId="79" applyNumberFormat="1" applyFont="1" applyFill="1" applyBorder="1" applyAlignment="1">
      <alignment horizontal="center" vertical="center" wrapText="1"/>
    </xf>
    <xf numFmtId="0" fontId="48" fillId="0" borderId="83" xfId="79" applyNumberFormat="1" applyFont="1" applyFill="1" applyBorder="1" applyAlignment="1">
      <alignment horizontal="center" vertical="center" wrapText="1"/>
    </xf>
    <xf numFmtId="49" fontId="67" fillId="0" borderId="0" xfId="82" applyNumberFormat="1" applyFont="1" applyFill="1" applyBorder="1" applyAlignment="1">
      <alignment horizontal="center" vertical="center" wrapText="1"/>
    </xf>
    <xf numFmtId="0" fontId="60" fillId="37" borderId="0" xfId="0" applyNumberFormat="1" applyFont="1" applyFill="1" applyAlignment="1">
      <alignment horizontal="center" vertical="center"/>
    </xf>
    <xf numFmtId="49" fontId="60" fillId="37" borderId="0" xfId="79" applyNumberFormat="1" applyFont="1" applyFill="1" applyBorder="1" applyAlignment="1">
      <alignment horizontal="center" vertical="center"/>
    </xf>
    <xf numFmtId="49" fontId="60" fillId="37" borderId="82" xfId="79" applyNumberFormat="1" applyFont="1" applyFill="1" applyBorder="1" applyAlignment="1">
      <alignment horizontal="center" vertical="center"/>
    </xf>
    <xf numFmtId="200" fontId="60" fillId="37" borderId="0" xfId="0" applyNumberFormat="1" applyFont="1" applyFill="1" applyBorder="1" applyAlignment="1">
      <alignment horizontal="center" vertical="center" wrapText="1"/>
    </xf>
    <xf numFmtId="200" fontId="60" fillId="37" borderId="82" xfId="0" applyNumberFormat="1" applyFont="1" applyFill="1" applyBorder="1" applyAlignment="1">
      <alignment horizontal="center" vertical="center" wrapText="1"/>
    </xf>
    <xf numFmtId="49" fontId="60" fillId="37" borderId="0" xfId="0" applyNumberFormat="1" applyFont="1" applyFill="1" applyBorder="1" applyAlignment="1">
      <alignment horizontal="center" vertical="center"/>
    </xf>
    <xf numFmtId="49" fontId="60" fillId="37" borderId="82" xfId="0" applyNumberFormat="1" applyFont="1" applyFill="1" applyBorder="1" applyAlignment="1">
      <alignment horizontal="center" vertical="center"/>
    </xf>
    <xf numFmtId="200" fontId="60" fillId="37" borderId="0" xfId="0" applyNumberFormat="1" applyFont="1" applyFill="1" applyAlignment="1">
      <alignment horizontal="center" vertical="center"/>
    </xf>
    <xf numFmtId="200" fontId="60" fillId="37" borderId="82" xfId="0" applyNumberFormat="1" applyFont="1" applyFill="1" applyBorder="1" applyAlignment="1">
      <alignment horizontal="center" vertical="center"/>
    </xf>
    <xf numFmtId="200" fontId="81" fillId="37" borderId="0" xfId="126" applyNumberFormat="1" applyFont="1" applyFill="1" applyBorder="1" applyAlignment="1">
      <alignment horizontal="center" vertical="center" wrapText="1"/>
    </xf>
    <xf numFmtId="200" fontId="81" fillId="37" borderId="82" xfId="126" applyNumberFormat="1" applyFont="1" applyFill="1" applyBorder="1" applyAlignment="1">
      <alignment horizontal="center" vertical="center" wrapText="1"/>
    </xf>
    <xf numFmtId="200" fontId="81" fillId="37" borderId="0" xfId="126" applyNumberFormat="1" applyFont="1" applyFill="1" applyBorder="1" applyAlignment="1">
      <alignment horizontal="center" vertical="center"/>
    </xf>
    <xf numFmtId="200" fontId="81" fillId="37" borderId="82" xfId="126" applyNumberFormat="1" applyFont="1" applyFill="1" applyBorder="1" applyAlignment="1">
      <alignment horizontal="center" vertical="center"/>
    </xf>
    <xf numFmtId="0" fontId="60" fillId="37" borderId="0" xfId="0" applyNumberFormat="1" applyFont="1" applyFill="1" applyBorder="1" applyAlignment="1">
      <alignment horizontal="center" vertical="center"/>
    </xf>
    <xf numFmtId="0" fontId="60" fillId="37" borderId="82" xfId="0" applyNumberFormat="1" applyFont="1" applyFill="1" applyBorder="1" applyAlignment="1">
      <alignment horizontal="center" vertical="center"/>
    </xf>
    <xf numFmtId="200" fontId="48" fillId="37" borderId="0" xfId="0" applyNumberFormat="1" applyFont="1" applyFill="1" applyBorder="1" applyAlignment="1">
      <alignment horizontal="center" vertical="center"/>
    </xf>
    <xf numFmtId="200" fontId="48" fillId="37" borderId="82" xfId="0" applyNumberFormat="1" applyFont="1" applyFill="1" applyBorder="1" applyAlignment="1">
      <alignment horizontal="center" vertical="center"/>
    </xf>
    <xf numFmtId="200" fontId="60" fillId="37" borderId="0" xfId="0" applyNumberFormat="1" applyFont="1" applyFill="1" applyBorder="1" applyAlignment="1">
      <alignment horizontal="center" vertical="center"/>
    </xf>
    <xf numFmtId="0" fontId="47" fillId="0" borderId="0" xfId="79" applyFont="1" applyAlignment="1">
      <alignment horizontal="center" wrapText="1"/>
    </xf>
    <xf numFmtId="0" fontId="48" fillId="0" borderId="84" xfId="79" applyNumberFormat="1" applyFont="1" applyFill="1" applyBorder="1" applyAlignment="1">
      <alignment horizontal="center" vertical="center"/>
    </xf>
    <xf numFmtId="0" fontId="48" fillId="0" borderId="85" xfId="79" applyNumberFormat="1" applyFont="1" applyFill="1" applyBorder="1" applyAlignment="1">
      <alignment horizontal="center" vertical="center"/>
    </xf>
    <xf numFmtId="49" fontId="73" fillId="28" borderId="90" xfId="0" applyNumberFormat="1" applyFont="1" applyFill="1" applyBorder="1" applyAlignment="1">
      <alignment horizontal="center" vertical="center"/>
    </xf>
    <xf numFmtId="49" fontId="73" fillId="28" borderId="103" xfId="0" applyNumberFormat="1" applyFont="1" applyFill="1" applyBorder="1" applyAlignment="1">
      <alignment horizontal="center" vertical="center"/>
    </xf>
    <xf numFmtId="49" fontId="73" fillId="28" borderId="42" xfId="0" applyNumberFormat="1" applyFont="1" applyFill="1" applyBorder="1" applyAlignment="1">
      <alignment horizontal="center" vertical="center"/>
    </xf>
    <xf numFmtId="0" fontId="73" fillId="28" borderId="86" xfId="0" applyNumberFormat="1" applyFont="1" applyFill="1" applyBorder="1" applyAlignment="1">
      <alignment horizontal="center" vertical="center"/>
    </xf>
    <xf numFmtId="0" fontId="73" fillId="28" borderId="87" xfId="0" applyNumberFormat="1" applyFont="1" applyFill="1" applyBorder="1" applyAlignment="1">
      <alignment horizontal="center" vertical="center"/>
    </xf>
    <xf numFmtId="0" fontId="73" fillId="28" borderId="88" xfId="0" applyNumberFormat="1" applyFont="1" applyFill="1" applyBorder="1" applyAlignment="1">
      <alignment horizontal="center" vertical="center"/>
    </xf>
    <xf numFmtId="0" fontId="72" fillId="0" borderId="90" xfId="0" applyNumberFormat="1" applyFont="1" applyFill="1" applyBorder="1" applyAlignment="1">
      <alignment horizontal="center" vertical="center"/>
    </xf>
    <xf numFmtId="0" fontId="72" fillId="0" borderId="42" xfId="0" applyNumberFormat="1" applyFont="1" applyFill="1" applyBorder="1" applyAlignment="1">
      <alignment horizontal="center" vertical="center"/>
    </xf>
    <xf numFmtId="0" fontId="72" fillId="0" borderId="90" xfId="78" applyNumberFormat="1" applyFont="1" applyFill="1" applyBorder="1" applyAlignment="1">
      <alignment horizontal="center" vertical="center"/>
    </xf>
    <xf numFmtId="0" fontId="72" fillId="0" borderId="42" xfId="78" applyNumberFormat="1" applyFont="1" applyFill="1" applyBorder="1" applyAlignment="1">
      <alignment horizontal="center" vertical="center"/>
    </xf>
    <xf numFmtId="49" fontId="73" fillId="28" borderId="68" xfId="0" applyNumberFormat="1" applyFont="1" applyFill="1" applyBorder="1" applyAlignment="1">
      <alignment horizontal="center" vertical="center"/>
    </xf>
    <xf numFmtId="49" fontId="73" fillId="28" borderId="70" xfId="0" applyNumberFormat="1" applyFont="1" applyFill="1" applyBorder="1" applyAlignment="1">
      <alignment horizontal="center" vertical="center"/>
    </xf>
    <xf numFmtId="0" fontId="73" fillId="28" borderId="90" xfId="0" applyNumberFormat="1" applyFont="1" applyFill="1" applyBorder="1" applyAlignment="1">
      <alignment horizontal="center" vertical="center" wrapText="1"/>
    </xf>
    <xf numFmtId="0" fontId="73" fillId="28" borderId="54" xfId="0" applyNumberFormat="1" applyFont="1" applyFill="1" applyBorder="1" applyAlignment="1">
      <alignment horizontal="center" vertical="center" wrapText="1"/>
    </xf>
    <xf numFmtId="0" fontId="73" fillId="28" borderId="42" xfId="0" applyNumberFormat="1" applyFont="1" applyFill="1" applyBorder="1" applyAlignment="1">
      <alignment horizontal="center" vertical="center" wrapText="1"/>
    </xf>
    <xf numFmtId="49" fontId="73" fillId="28" borderId="54" xfId="0" applyNumberFormat="1" applyFont="1" applyFill="1" applyBorder="1" applyAlignment="1">
      <alignment horizontal="center" vertical="center"/>
    </xf>
    <xf numFmtId="49" fontId="73" fillId="28" borderId="90" xfId="0" applyNumberFormat="1" applyFont="1" applyFill="1" applyBorder="1" applyAlignment="1">
      <alignment horizontal="center" vertical="center" wrapText="1"/>
    </xf>
    <xf numFmtId="192" fontId="1" fillId="0" borderId="86" xfId="78" applyNumberFormat="1" applyFont="1" applyFill="1" applyBorder="1" applyAlignment="1">
      <alignment horizontal="center" vertical="center"/>
    </xf>
    <xf numFmtId="192" fontId="1" fillId="0" borderId="88" xfId="78" applyNumberFormat="1" applyFont="1" applyFill="1" applyBorder="1" applyAlignment="1">
      <alignment horizontal="center" vertical="center"/>
    </xf>
    <xf numFmtId="49" fontId="1" fillId="0" borderId="86" xfId="78" applyNumberFormat="1" applyFont="1" applyFill="1" applyBorder="1" applyAlignment="1">
      <alignment horizontal="center" vertical="center"/>
    </xf>
    <xf numFmtId="49" fontId="1" fillId="0" borderId="88" xfId="78" applyNumberFormat="1" applyFont="1" applyFill="1" applyBorder="1" applyAlignment="1">
      <alignment horizontal="center" vertical="center"/>
    </xf>
    <xf numFmtId="0" fontId="73" fillId="28" borderId="71" xfId="0" applyNumberFormat="1" applyFont="1" applyFill="1" applyBorder="1" applyAlignment="1">
      <alignment horizontal="center" vertical="center" wrapText="1"/>
    </xf>
    <xf numFmtId="0" fontId="73" fillId="28" borderId="72" xfId="0" applyNumberFormat="1" applyFont="1" applyFill="1" applyBorder="1" applyAlignment="1">
      <alignment horizontal="center" vertical="center" wrapText="1"/>
    </xf>
    <xf numFmtId="0" fontId="73" fillId="28" borderId="73" xfId="0" applyNumberFormat="1" applyFont="1" applyFill="1" applyBorder="1" applyAlignment="1">
      <alignment horizontal="center" vertical="center" wrapText="1"/>
    </xf>
    <xf numFmtId="0" fontId="73" fillId="28" borderId="74" xfId="0" applyNumberFormat="1" applyFont="1" applyFill="1" applyBorder="1" applyAlignment="1">
      <alignment horizontal="center" vertical="center" wrapText="1"/>
    </xf>
    <xf numFmtId="49" fontId="73" fillId="28" borderId="67" xfId="0" applyNumberFormat="1" applyFont="1" applyFill="1" applyBorder="1" applyAlignment="1">
      <alignment horizontal="center" vertical="center" wrapText="1"/>
    </xf>
    <xf numFmtId="0" fontId="73" fillId="28" borderId="68" xfId="0" applyNumberFormat="1" applyFont="1" applyFill="1" applyBorder="1" applyAlignment="1">
      <alignment horizontal="center" vertical="center"/>
    </xf>
    <xf numFmtId="0" fontId="73" fillId="28" borderId="69" xfId="0" applyNumberFormat="1" applyFont="1" applyFill="1" applyBorder="1" applyAlignment="1">
      <alignment horizontal="center" vertical="center"/>
    </xf>
    <xf numFmtId="0" fontId="73" fillId="28" borderId="70" xfId="0" applyNumberFormat="1" applyFont="1" applyFill="1" applyBorder="1" applyAlignment="1">
      <alignment horizontal="center" vertical="center"/>
    </xf>
    <xf numFmtId="0" fontId="7" fillId="28" borderId="68" xfId="0" applyNumberFormat="1" applyFont="1" applyFill="1" applyBorder="1" applyAlignment="1">
      <alignment horizontal="center" vertical="center"/>
    </xf>
    <xf numFmtId="0" fontId="7" fillId="28" borderId="70" xfId="0" applyNumberFormat="1" applyFont="1" applyFill="1" applyBorder="1" applyAlignment="1">
      <alignment horizontal="center" vertical="center"/>
    </xf>
    <xf numFmtId="0" fontId="66" fillId="32" borderId="55" xfId="0" applyFont="1" applyFill="1" applyBorder="1" applyAlignment="1">
      <alignment horizontal="center" vertical="center" wrapText="1"/>
    </xf>
    <xf numFmtId="0" fontId="66" fillId="0" borderId="98" xfId="0" applyNumberFormat="1" applyFont="1" applyBorder="1" applyAlignment="1">
      <alignment horizontal="center" vertical="center"/>
    </xf>
    <xf numFmtId="0" fontId="66" fillId="0" borderId="99" xfId="0" applyNumberFormat="1" applyFont="1" applyBorder="1" applyAlignment="1">
      <alignment horizontal="center" vertical="center"/>
    </xf>
    <xf numFmtId="0" fontId="66" fillId="0" borderId="100" xfId="0" applyNumberFormat="1" applyFont="1" applyBorder="1" applyAlignment="1">
      <alignment horizontal="center" vertical="center"/>
    </xf>
    <xf numFmtId="0" fontId="66" fillId="32" borderId="101" xfId="0" applyFont="1" applyFill="1" applyBorder="1" applyAlignment="1">
      <alignment horizontal="center" vertical="center" wrapText="1"/>
    </xf>
    <xf numFmtId="0" fontId="66" fillId="32" borderId="39" xfId="0" applyFont="1" applyFill="1" applyBorder="1" applyAlignment="1">
      <alignment horizontal="center" vertical="center" wrapText="1"/>
    </xf>
    <xf numFmtId="0" fontId="66" fillId="32" borderId="102" xfId="0" applyFont="1" applyFill="1" applyBorder="1" applyAlignment="1">
      <alignment horizontal="center" vertical="center" wrapText="1"/>
    </xf>
    <xf numFmtId="0" fontId="66" fillId="32" borderId="81" xfId="0" applyFont="1" applyFill="1" applyBorder="1" applyAlignment="1">
      <alignment horizontal="center" vertical="center" wrapText="1"/>
    </xf>
    <xf numFmtId="0" fontId="66" fillId="32" borderId="82" xfId="0" applyFont="1" applyFill="1" applyBorder="1" applyAlignment="1">
      <alignment horizontal="center" vertical="center" wrapText="1"/>
    </xf>
    <xf numFmtId="0" fontId="66" fillId="32" borderId="83" xfId="0" applyFont="1" applyFill="1" applyBorder="1" applyAlignment="1">
      <alignment horizontal="center" vertical="center" wrapText="1"/>
    </xf>
    <xf numFmtId="0" fontId="66" fillId="32" borderId="97" xfId="0" applyFont="1" applyFill="1" applyBorder="1" applyAlignment="1">
      <alignment horizontal="center" vertical="center" wrapText="1"/>
    </xf>
    <xf numFmtId="0" fontId="66" fillId="32" borderId="0" xfId="0" applyFont="1" applyFill="1" applyBorder="1" applyAlignment="1">
      <alignment horizontal="center" vertical="center" wrapText="1"/>
    </xf>
    <xf numFmtId="0" fontId="66" fillId="32" borderId="32" xfId="0" applyFont="1" applyFill="1" applyBorder="1" applyAlignment="1">
      <alignment horizontal="center" vertical="center" wrapText="1"/>
    </xf>
    <xf numFmtId="49" fontId="66" fillId="32" borderId="98" xfId="0" applyNumberFormat="1" applyFont="1" applyFill="1" applyBorder="1" applyAlignment="1">
      <alignment horizontal="center" vertical="center" wrapText="1"/>
    </xf>
    <xf numFmtId="0" fontId="66" fillId="32" borderId="99" xfId="0" applyFont="1" applyFill="1" applyBorder="1" applyAlignment="1">
      <alignment horizontal="center" vertical="center" wrapText="1"/>
    </xf>
    <xf numFmtId="0" fontId="66" fillId="32" borderId="100" xfId="0" applyFont="1" applyFill="1" applyBorder="1" applyAlignment="1">
      <alignment horizontal="center" vertical="center" wrapText="1"/>
    </xf>
    <xf numFmtId="0" fontId="66" fillId="32" borderId="99" xfId="0" applyNumberFormat="1" applyFont="1" applyFill="1" applyBorder="1" applyAlignment="1">
      <alignment horizontal="center" vertical="center" wrapText="1"/>
    </xf>
    <xf numFmtId="0" fontId="66" fillId="32" borderId="100" xfId="0" applyNumberFormat="1" applyFont="1" applyFill="1" applyBorder="1" applyAlignment="1">
      <alignment horizontal="center" vertical="center" wrapText="1"/>
    </xf>
    <xf numFmtId="0" fontId="66" fillId="32" borderId="98" xfId="0" applyFont="1" applyFill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/>
    </xf>
    <xf numFmtId="0" fontId="89" fillId="0" borderId="81" xfId="0" applyFont="1" applyBorder="1" applyAlignment="1">
      <alignment horizontal="center" vertical="center"/>
    </xf>
    <xf numFmtId="0" fontId="89" fillId="0" borderId="82" xfId="0" applyFont="1" applyBorder="1" applyAlignment="1">
      <alignment horizontal="center" vertical="center"/>
    </xf>
    <xf numFmtId="0" fontId="89" fillId="0" borderId="83" xfId="0" applyFont="1" applyBorder="1" applyAlignment="1">
      <alignment horizontal="center" vertical="center"/>
    </xf>
    <xf numFmtId="0" fontId="89" fillId="0" borderId="97" xfId="0" applyFont="1" applyBorder="1" applyAlignment="1">
      <alignment horizontal="center" vertical="center"/>
    </xf>
    <xf numFmtId="0" fontId="89" fillId="0" borderId="0" xfId="0" applyFont="1" applyBorder="1" applyAlignment="1">
      <alignment horizontal="center" vertical="center"/>
    </xf>
    <xf numFmtId="0" fontId="89" fillId="0" borderId="32" xfId="0" applyFont="1" applyBorder="1" applyAlignment="1">
      <alignment horizontal="center" vertical="center"/>
    </xf>
    <xf numFmtId="0" fontId="66" fillId="0" borderId="98" xfId="0" applyFont="1" applyBorder="1" applyAlignment="1">
      <alignment horizontal="center" vertical="center"/>
    </xf>
    <xf numFmtId="0" fontId="66" fillId="0" borderId="99" xfId="0" applyFont="1" applyBorder="1" applyAlignment="1">
      <alignment horizontal="center" vertical="center"/>
    </xf>
    <xf numFmtId="0" fontId="66" fillId="0" borderId="100" xfId="0" applyFont="1" applyBorder="1" applyAlignment="1">
      <alignment horizontal="center" vertical="center"/>
    </xf>
    <xf numFmtId="0" fontId="66" fillId="0" borderId="55" xfId="0" applyFont="1" applyBorder="1" applyAlignment="1">
      <alignment horizontal="center" vertical="center"/>
    </xf>
    <xf numFmtId="0" fontId="66" fillId="0" borderId="101" xfId="0" applyFont="1" applyBorder="1" applyAlignment="1">
      <alignment horizontal="center" vertical="center"/>
    </xf>
    <xf numFmtId="0" fontId="66" fillId="0" borderId="39" xfId="0" applyFont="1" applyBorder="1" applyAlignment="1">
      <alignment horizontal="center" vertical="center"/>
    </xf>
    <xf numFmtId="0" fontId="66" fillId="0" borderId="102" xfId="0" applyFont="1" applyBorder="1" applyAlignment="1">
      <alignment horizontal="center" vertical="center"/>
    </xf>
    <xf numFmtId="0" fontId="66" fillId="0" borderId="97" xfId="0" applyFont="1" applyBorder="1" applyAlignment="1">
      <alignment horizontal="center" vertical="center"/>
    </xf>
    <xf numFmtId="0" fontId="66" fillId="0" borderId="0" xfId="0" applyFont="1" applyBorder="1" applyAlignment="1">
      <alignment horizontal="center" vertical="center"/>
    </xf>
    <xf numFmtId="0" fontId="66" fillId="0" borderId="32" xfId="0" applyFont="1" applyBorder="1" applyAlignment="1">
      <alignment horizontal="center" vertical="center"/>
    </xf>
    <xf numFmtId="0" fontId="66" fillId="0" borderId="81" xfId="0" applyFont="1" applyBorder="1" applyAlignment="1">
      <alignment horizontal="center" vertical="center"/>
    </xf>
    <xf numFmtId="0" fontId="66" fillId="0" borderId="82" xfId="0" applyFont="1" applyBorder="1" applyAlignment="1">
      <alignment horizontal="center" vertical="center"/>
    </xf>
    <xf numFmtId="0" fontId="66" fillId="0" borderId="83" xfId="0" applyFont="1" applyBorder="1" applyAlignment="1">
      <alignment horizontal="center" vertical="center"/>
    </xf>
    <xf numFmtId="0" fontId="66" fillId="0" borderId="98" xfId="0" applyFont="1" applyBorder="1">
      <alignment vertical="center"/>
    </xf>
    <xf numFmtId="0" fontId="66" fillId="0" borderId="99" xfId="0" applyFont="1" applyBorder="1">
      <alignment vertical="center"/>
    </xf>
    <xf numFmtId="0" fontId="66" fillId="0" borderId="100" xfId="0" applyFont="1" applyBorder="1">
      <alignment vertical="center"/>
    </xf>
    <xf numFmtId="0" fontId="87" fillId="0" borderId="81" xfId="0" applyFont="1" applyBorder="1" applyAlignment="1">
      <alignment horizontal="center" vertical="center"/>
    </xf>
    <xf numFmtId="0" fontId="87" fillId="0" borderId="82" xfId="0" applyFont="1" applyBorder="1" applyAlignment="1">
      <alignment horizontal="center" vertical="center"/>
    </xf>
    <xf numFmtId="0" fontId="87" fillId="0" borderId="83" xfId="0" applyFont="1" applyBorder="1" applyAlignment="1">
      <alignment horizontal="center" vertical="center"/>
    </xf>
    <xf numFmtId="0" fontId="66" fillId="0" borderId="99" xfId="0" applyFont="1" applyBorder="1" applyAlignment="1">
      <alignment vertical="center"/>
    </xf>
    <xf numFmtId="0" fontId="66" fillId="0" borderId="100" xfId="0" applyFont="1" applyBorder="1" applyAlignment="1">
      <alignment vertical="center"/>
    </xf>
    <xf numFmtId="191" fontId="66" fillId="0" borderId="98" xfId="0" applyNumberFormat="1" applyFont="1" applyBorder="1" applyAlignment="1">
      <alignment vertical="center"/>
    </xf>
    <xf numFmtId="191" fontId="66" fillId="0" borderId="99" xfId="0" applyNumberFormat="1" applyFont="1" applyBorder="1" applyAlignment="1">
      <alignment vertical="center"/>
    </xf>
    <xf numFmtId="0" fontId="87" fillId="0" borderId="98" xfId="0" applyFont="1" applyBorder="1" applyAlignment="1">
      <alignment horizontal="center" vertical="center"/>
    </xf>
    <xf numFmtId="0" fontId="87" fillId="0" borderId="99" xfId="0" applyFont="1" applyBorder="1" applyAlignment="1">
      <alignment horizontal="center" vertical="center"/>
    </xf>
    <xf numFmtId="0" fontId="87" fillId="0" borderId="100" xfId="0" applyFont="1" applyBorder="1" applyAlignment="1">
      <alignment horizontal="center" vertical="center"/>
    </xf>
    <xf numFmtId="0" fontId="66" fillId="0" borderId="98" xfId="0" applyNumberFormat="1" applyFont="1" applyBorder="1" applyAlignment="1">
      <alignment vertical="center"/>
    </xf>
    <xf numFmtId="0" fontId="66" fillId="0" borderId="99" xfId="0" applyNumberFormat="1" applyFont="1" applyBorder="1" applyAlignment="1">
      <alignment vertical="center"/>
    </xf>
    <xf numFmtId="0" fontId="52" fillId="0" borderId="0" xfId="0" applyNumberFormat="1" applyFont="1" applyBorder="1" applyAlignment="1">
      <alignment vertical="center"/>
    </xf>
    <xf numFmtId="0" fontId="66" fillId="0" borderId="82" xfId="0" applyFont="1" applyBorder="1" applyAlignment="1">
      <alignment vertical="center"/>
    </xf>
    <xf numFmtId="0" fontId="66" fillId="0" borderId="83" xfId="0" applyFont="1" applyBorder="1" applyAlignment="1">
      <alignment vertical="center"/>
    </xf>
    <xf numFmtId="205" fontId="66" fillId="0" borderId="0" xfId="0" applyNumberFormat="1" applyFont="1" applyBorder="1" applyAlignment="1">
      <alignment horizontal="left" vertical="center"/>
    </xf>
    <xf numFmtId="205" fontId="52" fillId="0" borderId="0" xfId="0" applyNumberFormat="1" applyFont="1" applyBorder="1" applyAlignment="1">
      <alignment horizontal="center" vertical="center"/>
    </xf>
    <xf numFmtId="0" fontId="52" fillId="0" borderId="0" xfId="0" applyNumberFormat="1" applyFont="1" applyBorder="1" applyAlignment="1">
      <alignment horizontal="center" vertical="center"/>
    </xf>
    <xf numFmtId="0" fontId="52" fillId="0" borderId="0" xfId="0" applyNumberFormat="1" applyFont="1" applyBorder="1" applyAlignment="1">
      <alignment horizontal="right" vertical="center"/>
    </xf>
    <xf numFmtId="203" fontId="52" fillId="0" borderId="0" xfId="0" applyNumberFormat="1" applyFont="1" applyBorder="1" applyAlignment="1">
      <alignment horizontal="center" vertical="center"/>
    </xf>
    <xf numFmtId="0" fontId="89" fillId="0" borderId="0" xfId="0" applyFont="1" applyBorder="1" applyAlignment="1">
      <alignment horizontal="right" vertical="center"/>
    </xf>
    <xf numFmtId="0" fontId="66" fillId="0" borderId="82" xfId="0" applyFont="1" applyBorder="1" applyAlignment="1">
      <alignment horizontal="right" vertical="center"/>
    </xf>
    <xf numFmtId="0" fontId="66" fillId="0" borderId="82" xfId="0" applyNumberFormat="1" applyFont="1" applyBorder="1" applyAlignment="1">
      <alignment horizontal="right" vertical="center"/>
    </xf>
    <xf numFmtId="195" fontId="66" fillId="0" borderId="82" xfId="0" applyNumberFormat="1" applyFont="1" applyBorder="1" applyAlignment="1">
      <alignment horizontal="right" vertical="center"/>
    </xf>
    <xf numFmtId="0" fontId="87" fillId="0" borderId="39" xfId="0" applyFont="1" applyBorder="1" applyAlignment="1">
      <alignment horizontal="center" vertical="center"/>
    </xf>
    <xf numFmtId="0" fontId="66" fillId="0" borderId="0" xfId="0" applyFont="1" applyBorder="1" applyAlignment="1">
      <alignment horizontal="left" vertical="center"/>
    </xf>
    <xf numFmtId="0" fontId="66" fillId="0" borderId="0" xfId="0" applyFont="1" applyBorder="1" applyAlignment="1">
      <alignment vertical="center"/>
    </xf>
    <xf numFmtId="0" fontId="66" fillId="0" borderId="0" xfId="0" applyNumberFormat="1" applyFont="1" applyBorder="1" applyAlignment="1">
      <alignment horizontal="center" vertical="center"/>
    </xf>
    <xf numFmtId="205" fontId="66" fillId="0" borderId="0" xfId="0" applyNumberFormat="1" applyFont="1" applyBorder="1" applyAlignment="1">
      <alignment horizontal="center" vertical="center"/>
    </xf>
    <xf numFmtId="195" fontId="52" fillId="0" borderId="0" xfId="0" applyNumberFormat="1" applyFont="1" applyBorder="1" applyAlignment="1">
      <alignment vertical="center"/>
    </xf>
    <xf numFmtId="0" fontId="87" fillId="0" borderId="0" xfId="0" applyFont="1" applyBorder="1" applyAlignment="1">
      <alignment horizontal="right" vertical="center"/>
    </xf>
    <xf numFmtId="0" fontId="66" fillId="0" borderId="39" xfId="0" applyNumberFormat="1" applyFont="1" applyBorder="1" applyAlignment="1">
      <alignment horizontal="center" vertical="center"/>
    </xf>
    <xf numFmtId="195" fontId="89" fillId="0" borderId="0" xfId="0" applyNumberFormat="1" applyFont="1" applyBorder="1" applyAlignment="1">
      <alignment horizontal="center" vertical="center"/>
    </xf>
    <xf numFmtId="195" fontId="66" fillId="0" borderId="0" xfId="0" applyNumberFormat="1" applyFont="1" applyBorder="1" applyAlignment="1">
      <alignment horizontal="center" vertical="center"/>
    </xf>
    <xf numFmtId="208" fontId="66" fillId="0" borderId="0" xfId="0" applyNumberFormat="1" applyFont="1" applyBorder="1" applyAlignment="1">
      <alignment horizontal="center" vertical="center"/>
    </xf>
    <xf numFmtId="209" fontId="66" fillId="0" borderId="0" xfId="0" applyNumberFormat="1" applyFont="1" applyBorder="1" applyAlignment="1">
      <alignment horizontal="center" vertical="center"/>
    </xf>
    <xf numFmtId="205" fontId="66" fillId="0" borderId="99" xfId="0" applyNumberFormat="1" applyFont="1" applyBorder="1" applyAlignment="1">
      <alignment horizontal="center" vertical="center"/>
    </xf>
    <xf numFmtId="191" fontId="66" fillId="0" borderId="82" xfId="0" applyNumberFormat="1" applyFont="1" applyBorder="1" applyAlignment="1">
      <alignment horizontal="center" vertical="center"/>
    </xf>
    <xf numFmtId="0" fontId="66" fillId="0" borderId="0" xfId="0" applyFont="1" applyAlignment="1">
      <alignment horizontal="left" vertical="center"/>
    </xf>
    <xf numFmtId="2" fontId="66" fillId="0" borderId="98" xfId="0" applyNumberFormat="1" applyFont="1" applyBorder="1" applyAlignment="1">
      <alignment horizontal="center" vertical="center"/>
    </xf>
    <xf numFmtId="2" fontId="66" fillId="0" borderId="99" xfId="0" applyNumberFormat="1" applyFont="1" applyBorder="1" applyAlignment="1">
      <alignment horizontal="center" vertical="center"/>
    </xf>
    <xf numFmtId="2" fontId="66" fillId="0" borderId="100" xfId="0" applyNumberFormat="1" applyFont="1" applyBorder="1" applyAlignment="1">
      <alignment horizontal="center" vertical="center"/>
    </xf>
    <xf numFmtId="191" fontId="66" fillId="0" borderId="98" xfId="0" applyNumberFormat="1" applyFont="1" applyBorder="1" applyAlignment="1">
      <alignment horizontal="center" vertical="center"/>
    </xf>
    <xf numFmtId="191" fontId="66" fillId="0" borderId="99" xfId="0" applyNumberFormat="1" applyFont="1" applyBorder="1" applyAlignment="1">
      <alignment horizontal="center" vertical="center"/>
    </xf>
    <xf numFmtId="191" fontId="66" fillId="0" borderId="100" xfId="0" applyNumberFormat="1" applyFont="1" applyBorder="1" applyAlignment="1">
      <alignment horizontal="center" vertical="center"/>
    </xf>
    <xf numFmtId="0" fontId="66" fillId="0" borderId="101" xfId="0" applyNumberFormat="1" applyFont="1" applyBorder="1" applyAlignment="1">
      <alignment horizontal="center" vertical="center"/>
    </xf>
    <xf numFmtId="0" fontId="66" fillId="0" borderId="102" xfId="0" applyNumberFormat="1" applyFont="1" applyBorder="1" applyAlignment="1">
      <alignment horizontal="center" vertical="center"/>
    </xf>
    <xf numFmtId="0" fontId="66" fillId="0" borderId="81" xfId="0" applyNumberFormat="1" applyFont="1" applyBorder="1" applyAlignment="1">
      <alignment horizontal="center" vertical="center"/>
    </xf>
    <xf numFmtId="0" fontId="66" fillId="0" borderId="82" xfId="0" applyNumberFormat="1" applyFont="1" applyBorder="1" applyAlignment="1">
      <alignment horizontal="center" vertical="center"/>
    </xf>
    <xf numFmtId="0" fontId="66" fillId="0" borderId="83" xfId="0" applyNumberFormat="1" applyFont="1" applyBorder="1" applyAlignment="1">
      <alignment horizontal="center" vertical="center"/>
    </xf>
    <xf numFmtId="0" fontId="66" fillId="0" borderId="98" xfId="0" applyFont="1" applyBorder="1" applyAlignment="1">
      <alignment horizontal="right" vertical="center"/>
    </xf>
    <xf numFmtId="0" fontId="66" fillId="0" borderId="99" xfId="0" applyFont="1" applyBorder="1" applyAlignment="1">
      <alignment horizontal="right" vertical="center"/>
    </xf>
    <xf numFmtId="0" fontId="66" fillId="0" borderId="100" xfId="0" applyFont="1" applyBorder="1" applyAlignment="1">
      <alignment horizontal="right" vertical="center"/>
    </xf>
    <xf numFmtId="0" fontId="66" fillId="0" borderId="98" xfId="0" applyFont="1" applyBorder="1" applyAlignment="1">
      <alignment vertical="center"/>
    </xf>
    <xf numFmtId="0" fontId="87" fillId="0" borderId="98" xfId="0" applyFont="1" applyBorder="1" applyAlignment="1">
      <alignment horizontal="right" vertical="center"/>
    </xf>
    <xf numFmtId="0" fontId="87" fillId="0" borderId="99" xfId="0" applyFont="1" applyBorder="1" applyAlignment="1">
      <alignment horizontal="right" vertical="center"/>
    </xf>
    <xf numFmtId="0" fontId="87" fillId="0" borderId="100" xfId="0" applyFont="1" applyBorder="1" applyAlignment="1">
      <alignment horizontal="right" vertical="center"/>
    </xf>
    <xf numFmtId="2" fontId="66" fillId="0" borderId="98" xfId="0" applyNumberFormat="1" applyFont="1" applyBorder="1" applyAlignment="1">
      <alignment vertical="center"/>
    </xf>
    <xf numFmtId="191" fontId="52" fillId="0" borderId="0" xfId="0" applyNumberFormat="1" applyFont="1" applyBorder="1" applyAlignment="1">
      <alignment vertical="center"/>
    </xf>
    <xf numFmtId="212" fontId="52" fillId="0" borderId="0" xfId="0" applyNumberFormat="1" applyFont="1" applyBorder="1" applyAlignment="1">
      <alignment horizontal="left" vertical="center"/>
    </xf>
    <xf numFmtId="212" fontId="52" fillId="0" borderId="0" xfId="0" applyNumberFormat="1" applyFont="1" applyBorder="1" applyAlignment="1">
      <alignment horizontal="center" vertical="center"/>
    </xf>
    <xf numFmtId="191" fontId="52" fillId="0" borderId="0" xfId="0" applyNumberFormat="1" applyFont="1" applyBorder="1" applyAlignment="1">
      <alignment horizontal="right" vertical="center"/>
    </xf>
    <xf numFmtId="191" fontId="66" fillId="0" borderId="0" xfId="0" applyNumberFormat="1" applyFont="1" applyBorder="1" applyAlignment="1">
      <alignment vertical="center"/>
    </xf>
    <xf numFmtId="0" fontId="104" fillId="0" borderId="0" xfId="0" applyFont="1" applyBorder="1" applyAlignment="1">
      <alignment horizontal="right" vertical="center"/>
    </xf>
    <xf numFmtId="191" fontId="66" fillId="0" borderId="82" xfId="0" applyNumberFormat="1" applyFont="1" applyBorder="1" applyAlignment="1">
      <alignment vertical="center"/>
    </xf>
    <xf numFmtId="0" fontId="102" fillId="0" borderId="0" xfId="0" applyFont="1" applyBorder="1" applyAlignment="1">
      <alignment horizontal="right" vertical="center"/>
    </xf>
    <xf numFmtId="195" fontId="89" fillId="0" borderId="0" xfId="0" applyNumberFormat="1" applyFont="1" applyBorder="1" applyAlignment="1">
      <alignment horizontal="right" vertical="center"/>
    </xf>
    <xf numFmtId="0" fontId="66" fillId="0" borderId="82" xfId="0" applyNumberFormat="1" applyFont="1" applyBorder="1" applyAlignment="1">
      <alignment vertical="center"/>
    </xf>
    <xf numFmtId="195" fontId="66" fillId="0" borderId="0" xfId="0" applyNumberFormat="1" applyFont="1" applyBorder="1" applyAlignment="1">
      <alignment vertical="center"/>
    </xf>
    <xf numFmtId="0" fontId="89" fillId="0" borderId="98" xfId="0" applyFont="1" applyBorder="1" applyAlignment="1">
      <alignment horizontal="right" vertical="center"/>
    </xf>
    <xf numFmtId="191" fontId="52" fillId="0" borderId="0" xfId="0" applyNumberFormat="1" applyFont="1" applyBorder="1" applyAlignment="1">
      <alignment horizontal="center" vertical="center"/>
    </xf>
    <xf numFmtId="0" fontId="52" fillId="0" borderId="0" xfId="0" applyNumberFormat="1" applyFont="1" applyBorder="1" applyAlignment="1">
      <alignment horizontal="left" vertical="center"/>
    </xf>
    <xf numFmtId="0" fontId="73" fillId="28" borderId="90" xfId="0" applyNumberFormat="1" applyFont="1" applyFill="1" applyBorder="1" applyAlignment="1">
      <alignment horizontal="center" vertical="center"/>
    </xf>
    <xf numFmtId="0" fontId="73" fillId="28" borderId="42" xfId="0" applyNumberFormat="1" applyFont="1" applyFill="1" applyBorder="1" applyAlignment="1">
      <alignment horizontal="center" vertical="center"/>
    </xf>
    <xf numFmtId="0" fontId="73" fillId="28" borderId="86" xfId="0" applyNumberFormat="1" applyFont="1" applyFill="1" applyBorder="1" applyAlignment="1">
      <alignment horizontal="center" vertical="center" wrapText="1"/>
    </xf>
    <xf numFmtId="0" fontId="73" fillId="28" borderId="87" xfId="0" applyNumberFormat="1" applyFont="1" applyFill="1" applyBorder="1" applyAlignment="1">
      <alignment horizontal="center" vertical="center" wrapText="1"/>
    </xf>
    <xf numFmtId="0" fontId="73" fillId="28" borderId="88" xfId="0" applyNumberFormat="1" applyFont="1" applyFill="1" applyBorder="1" applyAlignment="1">
      <alignment horizontal="center" vertical="center" wrapText="1"/>
    </xf>
    <xf numFmtId="190" fontId="73" fillId="28" borderId="86" xfId="0" applyNumberFormat="1" applyFont="1" applyFill="1" applyBorder="1" applyAlignment="1">
      <alignment horizontal="center" vertical="center" wrapText="1"/>
    </xf>
    <xf numFmtId="190" fontId="73" fillId="28" borderId="88" xfId="0" applyNumberFormat="1" applyFont="1" applyFill="1" applyBorder="1" applyAlignment="1">
      <alignment horizontal="center" vertical="center" wrapText="1"/>
    </xf>
    <xf numFmtId="0" fontId="73" fillId="28" borderId="76" xfId="0" applyNumberFormat="1" applyFont="1" applyFill="1" applyBorder="1" applyAlignment="1">
      <alignment horizontal="center" vertical="center" wrapText="1"/>
    </xf>
    <xf numFmtId="0" fontId="73" fillId="28" borderId="93" xfId="0" applyNumberFormat="1" applyFont="1" applyFill="1" applyBorder="1" applyAlignment="1">
      <alignment horizontal="center" vertical="center"/>
    </xf>
    <xf numFmtId="0" fontId="73" fillId="28" borderId="94" xfId="0" applyNumberFormat="1" applyFont="1" applyFill="1" applyBorder="1" applyAlignment="1">
      <alignment horizontal="center" vertical="center"/>
    </xf>
    <xf numFmtId="0" fontId="73" fillId="28" borderId="73" xfId="0" applyNumberFormat="1" applyFont="1" applyFill="1" applyBorder="1" applyAlignment="1">
      <alignment horizontal="center" vertical="center"/>
    </xf>
    <xf numFmtId="0" fontId="73" fillId="28" borderId="74" xfId="0" applyNumberFormat="1" applyFont="1" applyFill="1" applyBorder="1" applyAlignment="1">
      <alignment horizontal="center" vertical="center"/>
    </xf>
    <xf numFmtId="0" fontId="73" fillId="28" borderId="54" xfId="0" applyNumberFormat="1" applyFont="1" applyFill="1" applyBorder="1" applyAlignment="1">
      <alignment horizontal="center" vertical="center"/>
    </xf>
    <xf numFmtId="197" fontId="72" fillId="0" borderId="86" xfId="0" applyNumberFormat="1" applyFont="1" applyFill="1" applyBorder="1" applyAlignment="1">
      <alignment horizontal="center" vertical="center"/>
    </xf>
    <xf numFmtId="197" fontId="72" fillId="0" borderId="87" xfId="0" applyNumberFormat="1" applyFont="1" applyFill="1" applyBorder="1" applyAlignment="1">
      <alignment horizontal="center" vertical="center"/>
    </xf>
    <xf numFmtId="197" fontId="72" fillId="0" borderId="88" xfId="0" applyNumberFormat="1" applyFont="1" applyFill="1" applyBorder="1" applyAlignment="1">
      <alignment horizontal="center" vertical="center"/>
    </xf>
    <xf numFmtId="0" fontId="73" fillId="28" borderId="67" xfId="0" applyNumberFormat="1" applyFont="1" applyFill="1" applyBorder="1" applyAlignment="1">
      <alignment horizontal="center" vertical="center" wrapText="1"/>
    </xf>
    <xf numFmtId="0" fontId="73" fillId="28" borderId="93" xfId="0" applyNumberFormat="1" applyFont="1" applyFill="1" applyBorder="1" applyAlignment="1">
      <alignment horizontal="center" vertical="center" wrapText="1"/>
    </xf>
    <xf numFmtId="0" fontId="73" fillId="28" borderId="94" xfId="0" applyNumberFormat="1" applyFont="1" applyFill="1" applyBorder="1" applyAlignment="1">
      <alignment horizontal="center" vertical="center" wrapText="1"/>
    </xf>
    <xf numFmtId="41" fontId="52" fillId="0" borderId="60" xfId="86" applyFont="1" applyBorder="1" applyAlignment="1">
      <alignment horizontal="center" vertical="center" wrapText="1"/>
    </xf>
    <xf numFmtId="41" fontId="52" fillId="0" borderId="66" xfId="86" applyFont="1" applyBorder="1" applyAlignment="1">
      <alignment horizontal="center" vertical="center" wrapText="1"/>
    </xf>
    <xf numFmtId="41" fontId="52" fillId="0" borderId="47" xfId="86" applyFont="1" applyBorder="1" applyAlignment="1">
      <alignment horizontal="center" vertical="center" wrapText="1"/>
    </xf>
    <xf numFmtId="0" fontId="73" fillId="28" borderId="75" xfId="0" applyNumberFormat="1" applyFont="1" applyFill="1" applyBorder="1" applyAlignment="1">
      <alignment horizontal="center" vertical="center" wrapText="1"/>
    </xf>
    <xf numFmtId="0" fontId="73" fillId="28" borderId="68" xfId="0" applyNumberFormat="1" applyFont="1" applyFill="1" applyBorder="1" applyAlignment="1">
      <alignment horizontal="center" vertical="center" wrapText="1"/>
    </xf>
    <xf numFmtId="0" fontId="73" fillId="28" borderId="69" xfId="0" applyNumberFormat="1" applyFont="1" applyFill="1" applyBorder="1" applyAlignment="1">
      <alignment horizontal="center" vertical="center" wrapText="1"/>
    </xf>
    <xf numFmtId="0" fontId="73" fillId="28" borderId="70" xfId="0" applyNumberFormat="1" applyFont="1" applyFill="1" applyBorder="1" applyAlignment="1">
      <alignment horizontal="center" vertical="center" wrapText="1"/>
    </xf>
    <xf numFmtId="197" fontId="72" fillId="0" borderId="68" xfId="0" applyNumberFormat="1" applyFont="1" applyFill="1" applyBorder="1" applyAlignment="1">
      <alignment horizontal="center" vertical="center"/>
    </xf>
    <xf numFmtId="197" fontId="72" fillId="0" borderId="69" xfId="0" applyNumberFormat="1" applyFont="1" applyFill="1" applyBorder="1" applyAlignment="1">
      <alignment horizontal="center" vertical="center"/>
    </xf>
    <xf numFmtId="197" fontId="72" fillId="0" borderId="70" xfId="0" applyNumberFormat="1" applyFont="1" applyFill="1" applyBorder="1" applyAlignment="1">
      <alignment horizontal="center" vertical="center"/>
    </xf>
    <xf numFmtId="0" fontId="73" fillId="28" borderId="67" xfId="0" applyNumberFormat="1" applyFont="1" applyFill="1" applyBorder="1" applyAlignment="1">
      <alignment horizontal="center" vertical="center"/>
    </xf>
    <xf numFmtId="190" fontId="73" fillId="28" borderId="90" xfId="0" applyNumberFormat="1" applyFont="1" applyFill="1" applyBorder="1" applyAlignment="1">
      <alignment horizontal="center" vertical="center" wrapText="1"/>
    </xf>
    <xf numFmtId="190" fontId="73" fillId="28" borderId="42" xfId="0" applyNumberFormat="1" applyFont="1" applyFill="1" applyBorder="1" applyAlignment="1">
      <alignment horizontal="center" vertical="center" wrapText="1"/>
    </xf>
    <xf numFmtId="0" fontId="73" fillId="28" borderId="91" xfId="0" applyNumberFormat="1" applyFont="1" applyFill="1" applyBorder="1" applyAlignment="1">
      <alignment horizontal="center" vertical="center" wrapText="1"/>
    </xf>
    <xf numFmtId="0" fontId="73" fillId="28" borderId="62" xfId="0" applyNumberFormat="1" applyFont="1" applyFill="1" applyBorder="1" applyAlignment="1">
      <alignment horizontal="center" vertical="center" wrapText="1"/>
    </xf>
    <xf numFmtId="0" fontId="73" fillId="28" borderId="68" xfId="0" quotePrefix="1" applyNumberFormat="1" applyFont="1" applyFill="1" applyBorder="1" applyAlignment="1">
      <alignment horizontal="center" vertical="center" wrapText="1"/>
    </xf>
    <xf numFmtId="0" fontId="73" fillId="28" borderId="69" xfId="0" quotePrefix="1" applyNumberFormat="1" applyFont="1" applyFill="1" applyBorder="1" applyAlignment="1">
      <alignment horizontal="center" vertical="center" wrapText="1"/>
    </xf>
    <xf numFmtId="0" fontId="73" fillId="28" borderId="70" xfId="0" quotePrefix="1" applyNumberFormat="1" applyFont="1" applyFill="1" applyBorder="1" applyAlignment="1">
      <alignment horizontal="center" vertical="center" wrapText="1"/>
    </xf>
    <xf numFmtId="190" fontId="73" fillId="28" borderId="87" xfId="0" applyNumberFormat="1" applyFont="1" applyFill="1" applyBorder="1" applyAlignment="1">
      <alignment horizontal="center" vertical="center" wrapText="1"/>
    </xf>
    <xf numFmtId="0" fontId="73" fillId="28" borderId="103" xfId="0" applyNumberFormat="1" applyFont="1" applyFill="1" applyBorder="1" applyAlignment="1">
      <alignment horizontal="center" vertical="center" wrapText="1"/>
    </xf>
    <xf numFmtId="0" fontId="73" fillId="28" borderId="103" xfId="0" applyNumberFormat="1" applyFont="1" applyFill="1" applyBorder="1" applyAlignment="1">
      <alignment horizontal="center" vertical="center"/>
    </xf>
  </cellXfs>
  <cellStyles count="127">
    <cellStyle name="??&amp;O?&amp;H?_x0008__x000f__x0007_?_x0007__x0001__x0001_" xfId="1"/>
    <cellStyle name="??&amp;O?&amp;H?_x0008_??_x0007__x0001__x0001_" xfId="2"/>
    <cellStyle name="æØè [0.00]_PRODUCT DETAIL Q1" xfId="3"/>
    <cellStyle name="æØè_PRODUCT DETAIL Q1" xfId="4"/>
    <cellStyle name="ÊÝ [0.00]_PRODUCT DETAIL Q1" xfId="5"/>
    <cellStyle name="ÊÝ_PRODUCT DETAIL Q1" xfId="6"/>
    <cellStyle name="W?_BOOKSHIP" xfId="7"/>
    <cellStyle name="W_BOOKSHIP" xfId="8"/>
    <cellStyle name="20% - 강조색1" xfId="9" builtinId="30" customBuiltin="1"/>
    <cellStyle name="20% - 강조색2" xfId="10" builtinId="34" customBuiltin="1"/>
    <cellStyle name="20% - 강조색3" xfId="11" builtinId="38" customBuiltin="1"/>
    <cellStyle name="20% - 강조색4" xfId="12" builtinId="42" customBuiltin="1"/>
    <cellStyle name="20% - 강조색5" xfId="13" builtinId="46" customBuiltin="1"/>
    <cellStyle name="20% - 강조색6" xfId="14" builtinId="50" customBuiltin="1"/>
    <cellStyle name="40% - 강조색1" xfId="15" builtinId="31" customBuiltin="1"/>
    <cellStyle name="40% - 강조색2" xfId="16" builtinId="35" customBuiltin="1"/>
    <cellStyle name="40% - 강조색3" xfId="17" builtinId="39" customBuiltin="1"/>
    <cellStyle name="40% - 강조색4" xfId="18" builtinId="43" customBuiltin="1"/>
    <cellStyle name="40% - 강조색5" xfId="19" builtinId="47" customBuiltin="1"/>
    <cellStyle name="40% - 강조색6" xfId="20" builtinId="51" customBuiltin="1"/>
    <cellStyle name="60% - 강조색1" xfId="21" builtinId="32" customBuiltin="1"/>
    <cellStyle name="60% - 강조색2" xfId="22" builtinId="36" customBuiltin="1"/>
    <cellStyle name="60% - 강조색3" xfId="23" builtinId="40" customBuiltin="1"/>
    <cellStyle name="60% - 강조색4" xfId="24" builtinId="44" customBuiltin="1"/>
    <cellStyle name="60% - 강조색5" xfId="25" builtinId="48" customBuiltin="1"/>
    <cellStyle name="60% - 강조색6" xfId="26" builtinId="52" customBuiltin="1"/>
    <cellStyle name="ÅëÈ­ [0]_¸ÅÃâ" xfId="27"/>
    <cellStyle name="ÅëÈ­_¸ÅÃâ" xfId="28"/>
    <cellStyle name="ÄÞ¸¶ [0]_¸ÅÃâ" xfId="29"/>
    <cellStyle name="ÄÞ¸¶_¸ÅÃâ" xfId="30"/>
    <cellStyle name="Ç¥ÁØ_(Á¤º¸ºÎ¹®)¿ùº°ÀÎ¿ø°èÈ¹" xfId="31"/>
    <cellStyle name="Comma [0]_ SG&amp;A Bridge " xfId="32"/>
    <cellStyle name="Comma_ SG&amp;A Bridge " xfId="33"/>
    <cellStyle name="Currency [0]_ SG&amp;A Bridge " xfId="34"/>
    <cellStyle name="Currency_ SG&amp;A Bridge " xfId="35"/>
    <cellStyle name="Grey" xfId="36"/>
    <cellStyle name="Input [yellow]" xfId="37"/>
    <cellStyle name="Input [yellow] 2" xfId="87"/>
    <cellStyle name="Input [yellow] 2 2" xfId="106"/>
    <cellStyle name="Input [yellow] 3" xfId="94"/>
    <cellStyle name="Input [yellow] 4" xfId="118"/>
    <cellStyle name="Normal - Style1" xfId="38"/>
    <cellStyle name="Normal_ SG&amp;A Bridge " xfId="39"/>
    <cellStyle name="Percent [2]" xfId="40"/>
    <cellStyle name="강조색1" xfId="41" builtinId="29" customBuiltin="1"/>
    <cellStyle name="강조색2" xfId="42" builtinId="33" customBuiltin="1"/>
    <cellStyle name="강조색3" xfId="43" builtinId="37" customBuiltin="1"/>
    <cellStyle name="강조색4" xfId="44" builtinId="41" customBuiltin="1"/>
    <cellStyle name="강조색5" xfId="45" builtinId="45" customBuiltin="1"/>
    <cellStyle name="강조색6" xfId="46" builtinId="49" customBuiltin="1"/>
    <cellStyle name="경고문" xfId="47" builtinId="11" customBuiltin="1"/>
    <cellStyle name="계산" xfId="48" builtinId="22" customBuiltin="1"/>
    <cellStyle name="계산 2" xfId="88"/>
    <cellStyle name="계산 2 2" xfId="107"/>
    <cellStyle name="계산 2 3" xfId="120"/>
    <cellStyle name="계산 3" xfId="95"/>
    <cellStyle name="계산 3 2" xfId="113"/>
    <cellStyle name="계산 4" xfId="100"/>
    <cellStyle name="나쁨" xfId="49" builtinId="27" customBuiltin="1"/>
    <cellStyle name="뒤에 오는 하이퍼링크_불확도(OPM)" xfId="50"/>
    <cellStyle name="메모" xfId="51" builtinId="10" customBuiltin="1"/>
    <cellStyle name="메모 2" xfId="89"/>
    <cellStyle name="메모 2 2" xfId="108"/>
    <cellStyle name="메모 2 3" xfId="121"/>
    <cellStyle name="메모 3" xfId="96"/>
    <cellStyle name="메모 3 2" xfId="114"/>
    <cellStyle name="메모 4" xfId="101"/>
    <cellStyle name="백분율 2" xfId="83"/>
    <cellStyle name="보통" xfId="52" builtinId="28" customBuiltin="1"/>
    <cellStyle name="뷭?_BOOKSHIP" xfId="53"/>
    <cellStyle name="설명 텍스트" xfId="54" builtinId="53" customBuiltin="1"/>
    <cellStyle name="셀 확인" xfId="55" builtinId="23" customBuiltin="1"/>
    <cellStyle name="쉼표 [0]" xfId="86" builtinId="6"/>
    <cellStyle name="쉼표 [0] 2" xfId="93"/>
    <cellStyle name="쉼표 [0] 2 2" xfId="112"/>
    <cellStyle name="쉼표 [0] 2 3" xfId="125"/>
    <cellStyle name="쉼표 [0] 3" xfId="105"/>
    <cellStyle name="쉼표 [0] 4" xfId="119"/>
    <cellStyle name="스타일 1" xfId="56"/>
    <cellStyle name="연결된 셀" xfId="57" builtinId="24" customBuiltin="1"/>
    <cellStyle name="요약" xfId="58" builtinId="25" customBuiltin="1"/>
    <cellStyle name="요약 2" xfId="90"/>
    <cellStyle name="요약 2 2" xfId="109"/>
    <cellStyle name="요약 2 3" xfId="122"/>
    <cellStyle name="요약 3" xfId="97"/>
    <cellStyle name="요약 3 2" xfId="115"/>
    <cellStyle name="요약 4" xfId="102"/>
    <cellStyle name="입력" xfId="59" builtinId="20" customBuiltin="1"/>
    <cellStyle name="입력 2" xfId="91"/>
    <cellStyle name="입력 2 2" xfId="110"/>
    <cellStyle name="입력 2 3" xfId="123"/>
    <cellStyle name="입력 3" xfId="98"/>
    <cellStyle name="입력 3 2" xfId="116"/>
    <cellStyle name="입력 4" xfId="103"/>
    <cellStyle name="제목" xfId="60" builtinId="15" customBuiltin="1"/>
    <cellStyle name="제목 1" xfId="61" builtinId="16" customBuiltin="1"/>
    <cellStyle name="제목 2" xfId="62" builtinId="17" customBuiltin="1"/>
    <cellStyle name="제목 3" xfId="63" builtinId="18" customBuiltin="1"/>
    <cellStyle name="제목 4" xfId="64" builtinId="19" customBuiltin="1"/>
    <cellStyle name="좋음" xfId="65" builtinId="26" customBuiltin="1"/>
    <cellStyle name="출력" xfId="66" builtinId="21" customBuiltin="1"/>
    <cellStyle name="출력 2" xfId="92"/>
    <cellStyle name="출력 2 2" xfId="111"/>
    <cellStyle name="출력 2 3" xfId="124"/>
    <cellStyle name="출력 3" xfId="99"/>
    <cellStyle name="출력 3 2" xfId="117"/>
    <cellStyle name="출력 4" xfId="104"/>
    <cellStyle name="콤마 [0]_  갑 지  " xfId="67"/>
    <cellStyle name="콤마_  갑 지  " xfId="68"/>
    <cellStyle name="표준" xfId="0" builtinId="0" customBuiltin="1"/>
    <cellStyle name="표준 2" xfId="69"/>
    <cellStyle name="표준 2 2" xfId="70"/>
    <cellStyle name="표준 2 3" xfId="84"/>
    <cellStyle name="표준 2 3 2" xfId="85"/>
    <cellStyle name="표준 3" xfId="71"/>
    <cellStyle name="표준 3 2" xfId="72"/>
    <cellStyle name="표준 3 3" xfId="73"/>
    <cellStyle name="표준 4" xfId="74"/>
    <cellStyle name="표준 5" xfId="75"/>
    <cellStyle name="표준 6" xfId="76"/>
    <cellStyle name="표준 7" xfId="77"/>
    <cellStyle name="표준_AGLIENT 34401A(12.22)" xfId="78"/>
    <cellStyle name="표준_ESS-2000" xfId="79"/>
    <cellStyle name="표준_Sheet1" xfId="81"/>
    <cellStyle name="표준_교정결과" xfId="126"/>
    <cellStyle name="표준_영문Reg004-X" xfId="82"/>
    <cellStyle name="표준_최신샘플" xfId="8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228600</xdr:colOff>
      <xdr:row>9</xdr:row>
      <xdr:rowOff>76200</xdr:rowOff>
    </xdr:from>
    <xdr:to>
      <xdr:col>7</xdr:col>
      <xdr:colOff>610092</xdr:colOff>
      <xdr:row>16</xdr:row>
      <xdr:rowOff>123825</xdr:rowOff>
    </xdr:to>
    <xdr:pic>
      <xdr:nvPicPr>
        <xdr:cNvPr id="2" name="그림 1" descr="성적서 을지 그림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57325" y="2200275"/>
          <a:ext cx="3734292" cy="1381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238125</xdr:colOff>
      <xdr:row>9</xdr:row>
      <xdr:rowOff>76200</xdr:rowOff>
    </xdr:from>
    <xdr:to>
      <xdr:col>7</xdr:col>
      <xdr:colOff>619125</xdr:colOff>
      <xdr:row>16</xdr:row>
      <xdr:rowOff>123825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850" y="2200275"/>
          <a:ext cx="3733800" cy="138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57</xdr:row>
      <xdr:rowOff>9525</xdr:rowOff>
    </xdr:from>
    <xdr:to>
      <xdr:col>7</xdr:col>
      <xdr:colOff>267929</xdr:colOff>
      <xdr:row>57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733550" y="1146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733550" y="1146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7</xdr:col>
      <xdr:colOff>9525</xdr:colOff>
      <xdr:row>61</xdr:row>
      <xdr:rowOff>9525</xdr:rowOff>
    </xdr:from>
    <xdr:to>
      <xdr:col>7</xdr:col>
      <xdr:colOff>267929</xdr:colOff>
      <xdr:row>61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3162300" y="1137285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3162300" y="1137285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7</xdr:col>
      <xdr:colOff>9525</xdr:colOff>
      <xdr:row>64</xdr:row>
      <xdr:rowOff>9525</xdr:rowOff>
    </xdr:from>
    <xdr:to>
      <xdr:col>7</xdr:col>
      <xdr:colOff>267929</xdr:colOff>
      <xdr:row>64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3162300" y="1213485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3162300" y="1213485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12668</xdr:colOff>
      <xdr:row>62</xdr:row>
      <xdr:rowOff>89376</xdr:rowOff>
    </xdr:from>
    <xdr:ext cx="3445687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2" name="TextBox 61"/>
            <xdr:cNvSpPr txBox="1"/>
          </xdr:nvSpPr>
          <xdr:spPr>
            <a:xfrm>
              <a:off x="165068" y="15015051"/>
              <a:ext cx="3445687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𝑋</m:t>
                    </m:r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𝑌</m:t>
                    </m:r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20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20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𝐸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20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</m:oMath>
                </m:oMathPara>
              </a14:m>
              <a:endParaRPr lang="ko-KR" altLang="en-US" sz="2000"/>
            </a:p>
          </xdr:txBody>
        </xdr:sp>
      </mc:Choice>
      <mc:Fallback xmlns="">
        <xdr:sp macro="" textlink="">
          <xdr:nvSpPr>
            <xdr:cNvPr id="62" name="TextBox 61"/>
            <xdr:cNvSpPr txBox="1"/>
          </xdr:nvSpPr>
          <xdr:spPr>
            <a:xfrm>
              <a:off x="165068" y="15015051"/>
              <a:ext cx="3445687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2000" b="0" i="0">
                  <a:latin typeface="Cambria Math" panose="02040503050406030204" pitchFamily="18" charset="0"/>
                </a:rPr>
                <a:t>𝐵_𝑥=𝑋−𝑌+〖</a:t>
              </a:r>
              <a:r>
                <a:rPr lang="ko-KR" altLang="en-US" sz="20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𝑌〗_𝑑+〖</a:t>
              </a:r>
              <a:r>
                <a:rPr lang="ko-KR" altLang="en-US" sz="20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𝑌〗_𝐸+〖</a:t>
              </a:r>
              <a:r>
                <a:rPr lang="ko-KR" altLang="en-US" sz="20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𝑀〗_𝑐</a:t>
              </a:r>
              <a:endParaRPr lang="ko-KR" altLang="en-US" sz="2000"/>
            </a:p>
          </xdr:txBody>
        </xdr:sp>
      </mc:Fallback>
    </mc:AlternateContent>
    <xdr:clientData/>
  </xdr:oneCellAnchor>
  <xdr:oneCellAnchor>
    <xdr:from>
      <xdr:col>1</xdr:col>
      <xdr:colOff>9525</xdr:colOff>
      <xdr:row>72</xdr:row>
      <xdr:rowOff>33337</xdr:rowOff>
    </xdr:from>
    <xdr:ext cx="5060360" cy="1929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3" name="TextBox 62"/>
            <xdr:cNvSpPr txBox="1"/>
          </xdr:nvSpPr>
          <xdr:spPr>
            <a:xfrm>
              <a:off x="161925" y="17340262"/>
              <a:ext cx="5060360" cy="1929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3" name="TextBox 62"/>
            <xdr:cNvSpPr txBox="1"/>
          </xdr:nvSpPr>
          <xdr:spPr>
            <a:xfrm>
              <a:off x="161925" y="17340262"/>
              <a:ext cx="5060360" cy="1929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𝑢_𝑐^2 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𝐵_𝑥 )=𝑐_𝑋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𝑢^2 (𝑋)+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𝑐_𝑌∙𝑢^2 (𝑌)+𝑐_(〖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𝑌〗_𝑑 )∙𝑢^2 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𝑌〗_𝑑 )+𝑐_(〖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𝑌〗_𝐸 )∙𝑢^2 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𝑌〗_𝐸 )+𝑐_(〖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𝑀〗_𝑐 )∙𝑢^2 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𝑀〗_𝑐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</xdr:col>
      <xdr:colOff>9525</xdr:colOff>
      <xdr:row>74</xdr:row>
      <xdr:rowOff>61912</xdr:rowOff>
    </xdr:from>
    <xdr:ext cx="6032549" cy="35054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4" name="TextBox 63"/>
            <xdr:cNvSpPr txBox="1"/>
          </xdr:nvSpPr>
          <xdr:spPr>
            <a:xfrm>
              <a:off x="314325" y="17845087"/>
              <a:ext cx="6032549" cy="3505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4" name="TextBox 63"/>
            <xdr:cNvSpPr txBox="1"/>
          </xdr:nvSpPr>
          <xdr:spPr>
            <a:xfrm>
              <a:off x="314325" y="17845087"/>
              <a:ext cx="6032549" cy="3505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𝑐_𝑋=(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𝐵_𝑥)/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𝑋=1,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𝑐_𝑌=(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𝑌=−1,  𝑐_(〖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𝑌〗_𝑑 )=(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𝑌〗_𝑑 )=1,  𝑐_(〖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𝑌〗_𝐸 )=(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𝑌〗_𝐸 )=1,  𝑐_(〖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𝑀〗_𝑐 )=(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𝑀〗_𝑐 )=1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28</xdr:col>
      <xdr:colOff>57150</xdr:colOff>
      <xdr:row>90</xdr:row>
      <xdr:rowOff>223837</xdr:rowOff>
    </xdr:from>
    <xdr:ext cx="1542795" cy="2162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5" name="TextBox 64"/>
            <xdr:cNvSpPr txBox="1"/>
          </xdr:nvSpPr>
          <xdr:spPr>
            <a:xfrm>
              <a:off x="4324350" y="21902737"/>
              <a:ext cx="1542795" cy="2162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𝑅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ko-KR" altLang="en-US" sz="1100" b="0" i="1">
                        <a:latin typeface="Cambria Math" panose="02040503050406030204" pitchFamily="18" charset="0"/>
                      </a:rPr>
                      <m:t>˝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5" name="TextBox 64"/>
            <xdr:cNvSpPr txBox="1"/>
          </xdr:nvSpPr>
          <xdr:spPr>
            <a:xfrm>
              <a:off x="4324350" y="21902737"/>
              <a:ext cx="1542795" cy="2162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〗^2+〖              〗^2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×𝑅^2 ) 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˝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16</xdr:col>
      <xdr:colOff>57150</xdr:colOff>
      <xdr:row>93</xdr:row>
      <xdr:rowOff>223837</xdr:rowOff>
    </xdr:from>
    <xdr:ext cx="1820883" cy="2162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" name="TextBox 65"/>
            <xdr:cNvSpPr txBox="1"/>
          </xdr:nvSpPr>
          <xdr:spPr>
            <a:xfrm>
              <a:off x="2495550" y="22617112"/>
              <a:ext cx="1820883" cy="2162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ko-KR" altLang="en-US" sz="1100" b="0" i="1">
                        <a:latin typeface="Cambria Math" panose="02040503050406030204" pitchFamily="18" charset="0"/>
                      </a:rPr>
                      <m:t>˝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6" name="TextBox 65"/>
            <xdr:cNvSpPr txBox="1"/>
          </xdr:nvSpPr>
          <xdr:spPr>
            <a:xfrm>
              <a:off x="2495550" y="22617112"/>
              <a:ext cx="1820883" cy="2162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〗^2+〖              〗^2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              〗^2 ) 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˝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97</xdr:row>
      <xdr:rowOff>61912</xdr:rowOff>
    </xdr:from>
    <xdr:ext cx="847091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7" name="TextBox 66"/>
            <xdr:cNvSpPr txBox="1"/>
          </xdr:nvSpPr>
          <xdr:spPr>
            <a:xfrm>
              <a:off x="1228725" y="23407687"/>
              <a:ext cx="847091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7" name="TextBox 66"/>
            <xdr:cNvSpPr txBox="1"/>
          </xdr:nvSpPr>
          <xdr:spPr>
            <a:xfrm>
              <a:off x="1228725" y="23407687"/>
              <a:ext cx="847091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𝑐_𝑋=(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𝐵_𝑥)/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𝑋=1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110</xdr:row>
      <xdr:rowOff>61912</xdr:rowOff>
    </xdr:from>
    <xdr:ext cx="942759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8" name="TextBox 67"/>
            <xdr:cNvSpPr txBox="1"/>
          </xdr:nvSpPr>
          <xdr:spPr>
            <a:xfrm>
              <a:off x="1228725" y="26503312"/>
              <a:ext cx="942759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8" name="TextBox 67"/>
            <xdr:cNvSpPr txBox="1"/>
          </xdr:nvSpPr>
          <xdr:spPr>
            <a:xfrm>
              <a:off x="1228725" y="26503312"/>
              <a:ext cx="942759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𝑐_𝑌=(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𝑌=−1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57150</xdr:colOff>
      <xdr:row>108</xdr:row>
      <xdr:rowOff>33337</xdr:rowOff>
    </xdr:from>
    <xdr:ext cx="207877" cy="1776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9" name="TextBox 68"/>
            <xdr:cNvSpPr txBox="1"/>
          </xdr:nvSpPr>
          <xdr:spPr>
            <a:xfrm>
              <a:off x="2038350" y="25998487"/>
              <a:ext cx="207877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9" name="TextBox 68"/>
            <xdr:cNvSpPr txBox="1"/>
          </xdr:nvSpPr>
          <xdr:spPr>
            <a:xfrm>
              <a:off x="2038350" y="25998487"/>
              <a:ext cx="207877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√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𝑛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17</xdr:col>
      <xdr:colOff>47625</xdr:colOff>
      <xdr:row>108</xdr:row>
      <xdr:rowOff>33337</xdr:rowOff>
    </xdr:from>
    <xdr:ext cx="202620" cy="1992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0" name="TextBox 69"/>
            <xdr:cNvSpPr txBox="1"/>
          </xdr:nvSpPr>
          <xdr:spPr>
            <a:xfrm>
              <a:off x="2638425" y="25998487"/>
              <a:ext cx="20262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5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0" name="TextBox 69"/>
            <xdr:cNvSpPr txBox="1"/>
          </xdr:nvSpPr>
          <xdr:spPr>
            <a:xfrm>
              <a:off x="2638425" y="25998487"/>
              <a:ext cx="20262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√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121</xdr:row>
      <xdr:rowOff>61912</xdr:rowOff>
    </xdr:from>
    <xdr:ext cx="1027076" cy="35054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1" name="TextBox 70"/>
            <xdr:cNvSpPr txBox="1"/>
          </xdr:nvSpPr>
          <xdr:spPr>
            <a:xfrm>
              <a:off x="1228725" y="29122687"/>
              <a:ext cx="1027076" cy="3505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1" name="TextBox 70"/>
            <xdr:cNvSpPr txBox="1"/>
          </xdr:nvSpPr>
          <xdr:spPr>
            <a:xfrm>
              <a:off x="1228725" y="29122687"/>
              <a:ext cx="1027076" cy="3505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𝑌〗_𝑑 )=(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𝑌〗_𝑑 )=1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20</xdr:col>
      <xdr:colOff>19050</xdr:colOff>
      <xdr:row>119</xdr:row>
      <xdr:rowOff>23812</xdr:rowOff>
    </xdr:from>
    <xdr:ext cx="280718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2" name="TextBox 71"/>
            <xdr:cNvSpPr txBox="1"/>
          </xdr:nvSpPr>
          <xdr:spPr>
            <a:xfrm>
              <a:off x="3067050" y="28608337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2" name="TextBox 71"/>
            <xdr:cNvSpPr txBox="1"/>
          </xdr:nvSpPr>
          <xdr:spPr>
            <a:xfrm>
              <a:off x="3067050" y="28608337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2</a:t>
              </a:r>
              <a:r>
                <a:rPr lang="en-US" altLang="ko-KR" sz="1100" i="0">
                  <a:latin typeface="Cambria Math" panose="02040503050406030204" pitchFamily="18" charset="0"/>
                </a:rPr>
                <a:t>√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9525</xdr:colOff>
      <xdr:row>119</xdr:row>
      <xdr:rowOff>23812</xdr:rowOff>
    </xdr:from>
    <xdr:ext cx="280718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3" name="TextBox 72"/>
            <xdr:cNvSpPr txBox="1"/>
          </xdr:nvSpPr>
          <xdr:spPr>
            <a:xfrm>
              <a:off x="2295525" y="28608337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3" name="TextBox 72"/>
            <xdr:cNvSpPr txBox="1"/>
          </xdr:nvSpPr>
          <xdr:spPr>
            <a:xfrm>
              <a:off x="2295525" y="28608337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2</a:t>
              </a:r>
              <a:r>
                <a:rPr lang="en-US" altLang="ko-KR" sz="1100" i="0">
                  <a:latin typeface="Cambria Math" panose="02040503050406030204" pitchFamily="18" charset="0"/>
                </a:rPr>
                <a:t>√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134</xdr:row>
      <xdr:rowOff>61912</xdr:rowOff>
    </xdr:from>
    <xdr:ext cx="1004506" cy="3495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4" name="TextBox 73"/>
            <xdr:cNvSpPr txBox="1"/>
          </xdr:nvSpPr>
          <xdr:spPr>
            <a:xfrm>
              <a:off x="1228725" y="32218312"/>
              <a:ext cx="1004506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4" name="TextBox 73"/>
            <xdr:cNvSpPr txBox="1"/>
          </xdr:nvSpPr>
          <xdr:spPr>
            <a:xfrm>
              <a:off x="1228725" y="32218312"/>
              <a:ext cx="1004506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𝑌〗_𝐸 )=(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𝑌〗_𝐸 )=1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124</xdr:row>
      <xdr:rowOff>14287</xdr:rowOff>
    </xdr:from>
    <xdr:ext cx="2226379" cy="4181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5" name="TextBox 74"/>
            <xdr:cNvSpPr txBox="1"/>
          </xdr:nvSpPr>
          <xdr:spPr>
            <a:xfrm>
              <a:off x="1076325" y="29789437"/>
              <a:ext cx="2226379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ko-KR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𝜈</m:t>
                    </m:r>
                    <m:d>
                      <m:d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∞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5" name="TextBox 74"/>
            <xdr:cNvSpPr txBox="1"/>
          </xdr:nvSpPr>
          <xdr:spPr>
            <a:xfrm>
              <a:off x="1076325" y="29789437"/>
              <a:ext cx="2226379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𝜈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(〖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𝑌〗_𝑑 )=1/2 (100/𝑅)^2=1/2 (100/0)^2=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∞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47625</xdr:colOff>
      <xdr:row>132</xdr:row>
      <xdr:rowOff>23812</xdr:rowOff>
    </xdr:from>
    <xdr:ext cx="202620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6" name="TextBox 75"/>
            <xdr:cNvSpPr txBox="1"/>
          </xdr:nvSpPr>
          <xdr:spPr>
            <a:xfrm>
              <a:off x="2333625" y="31703962"/>
              <a:ext cx="202620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6" name="TextBox 75"/>
            <xdr:cNvSpPr txBox="1"/>
          </xdr:nvSpPr>
          <xdr:spPr>
            <a:xfrm>
              <a:off x="2333625" y="31703962"/>
              <a:ext cx="202620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√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148</xdr:row>
      <xdr:rowOff>61912</xdr:rowOff>
    </xdr:from>
    <xdr:ext cx="1062150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7" name="TextBox 76"/>
            <xdr:cNvSpPr txBox="1"/>
          </xdr:nvSpPr>
          <xdr:spPr>
            <a:xfrm>
              <a:off x="1228725" y="35552062"/>
              <a:ext cx="1062150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7" name="TextBox 76"/>
            <xdr:cNvSpPr txBox="1"/>
          </xdr:nvSpPr>
          <xdr:spPr>
            <a:xfrm>
              <a:off x="1228725" y="35552062"/>
              <a:ext cx="1062150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𝑀〗_𝑐 )=(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𝑀〗_𝑐 )=1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137</xdr:row>
      <xdr:rowOff>14287</xdr:rowOff>
    </xdr:from>
    <xdr:ext cx="2269467" cy="4181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8" name="TextBox 77"/>
            <xdr:cNvSpPr txBox="1"/>
          </xdr:nvSpPr>
          <xdr:spPr>
            <a:xfrm>
              <a:off x="1076325" y="32885062"/>
              <a:ext cx="2269467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ko-KR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𝜈</m:t>
                    </m:r>
                    <m:d>
                      <m:d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=12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8" name="TextBox 77"/>
            <xdr:cNvSpPr txBox="1"/>
          </xdr:nvSpPr>
          <xdr:spPr>
            <a:xfrm>
              <a:off x="1076325" y="32885062"/>
              <a:ext cx="2269467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𝜈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(〖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𝑌〗_𝐸 )=1/2 (100/𝑅)^2=1/2 (100/20)^2=12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38100</xdr:colOff>
      <xdr:row>146</xdr:row>
      <xdr:rowOff>23812</xdr:rowOff>
    </xdr:from>
    <xdr:ext cx="280718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9" name="TextBox 78"/>
            <xdr:cNvSpPr txBox="1"/>
          </xdr:nvSpPr>
          <xdr:spPr>
            <a:xfrm>
              <a:off x="2324100" y="35037712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9" name="TextBox 78"/>
            <xdr:cNvSpPr txBox="1"/>
          </xdr:nvSpPr>
          <xdr:spPr>
            <a:xfrm>
              <a:off x="2324100" y="35037712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2</a:t>
              </a:r>
              <a:r>
                <a:rPr lang="en-US" altLang="ko-KR" sz="1100" i="0">
                  <a:latin typeface="Cambria Math" panose="02040503050406030204" pitchFamily="18" charset="0"/>
                </a:rPr>
                <a:t>√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151</xdr:row>
      <xdr:rowOff>14287</xdr:rowOff>
    </xdr:from>
    <xdr:ext cx="2346412" cy="4181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0" name="TextBox 79"/>
            <xdr:cNvSpPr txBox="1"/>
          </xdr:nvSpPr>
          <xdr:spPr>
            <a:xfrm>
              <a:off x="1076325" y="36218812"/>
              <a:ext cx="2346412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ko-KR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𝜈</m:t>
                    </m:r>
                    <m:d>
                      <m:d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∞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0" name="TextBox 79"/>
            <xdr:cNvSpPr txBox="1"/>
          </xdr:nvSpPr>
          <xdr:spPr>
            <a:xfrm>
              <a:off x="1076325" y="36218812"/>
              <a:ext cx="2346412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𝜈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(〖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𝑀〗_𝑐 )=1/2 (100/𝑅)^2=1/2 (100/0)^2=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∞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155</xdr:row>
      <xdr:rowOff>28575</xdr:rowOff>
    </xdr:from>
    <xdr:ext cx="3515963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1" name="TextBox 80"/>
            <xdr:cNvSpPr txBox="1"/>
          </xdr:nvSpPr>
          <xdr:spPr>
            <a:xfrm>
              <a:off x="161925" y="37185600"/>
              <a:ext cx="3515963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1" name="TextBox 80"/>
            <xdr:cNvSpPr txBox="1"/>
          </xdr:nvSpPr>
          <xdr:spPr>
            <a:xfrm>
              <a:off x="161925" y="37185600"/>
              <a:ext cx="3515963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𝑢_𝑐^2 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𝐵_𝑥 )=𝑢^2 (𝑋)+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(𝑌)+𝑢^2 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𝑌〗_𝑑 )+𝑢^2 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𝑌〗_𝐸 )+𝑢^2 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𝑀〗_𝑐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5</xdr:col>
      <xdr:colOff>95250</xdr:colOff>
      <xdr:row>156</xdr:row>
      <xdr:rowOff>28575</xdr:rowOff>
    </xdr:from>
    <xdr:ext cx="67986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2" name="TextBox 81"/>
            <xdr:cNvSpPr txBox="1"/>
          </xdr:nvSpPr>
          <xdr:spPr>
            <a:xfrm>
              <a:off x="857250" y="37423725"/>
              <a:ext cx="67986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2" name="TextBox 81"/>
            <xdr:cNvSpPr txBox="1"/>
          </xdr:nvSpPr>
          <xdr:spPr>
            <a:xfrm>
              <a:off x="857250" y="37423725"/>
              <a:ext cx="67986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95250</xdr:colOff>
      <xdr:row>156</xdr:row>
      <xdr:rowOff>28575</xdr:rowOff>
    </xdr:from>
    <xdr:ext cx="67986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3" name="TextBox 82"/>
            <xdr:cNvSpPr txBox="1"/>
          </xdr:nvSpPr>
          <xdr:spPr>
            <a:xfrm>
              <a:off x="1771650" y="37423725"/>
              <a:ext cx="67986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3" name="TextBox 82"/>
            <xdr:cNvSpPr txBox="1"/>
          </xdr:nvSpPr>
          <xdr:spPr>
            <a:xfrm>
              <a:off x="1771650" y="37423725"/>
              <a:ext cx="67986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17</xdr:col>
      <xdr:colOff>104775</xdr:colOff>
      <xdr:row>156</xdr:row>
      <xdr:rowOff>28575</xdr:rowOff>
    </xdr:from>
    <xdr:ext cx="67986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4" name="TextBox 83"/>
            <xdr:cNvSpPr txBox="1"/>
          </xdr:nvSpPr>
          <xdr:spPr>
            <a:xfrm>
              <a:off x="2695575" y="37423725"/>
              <a:ext cx="67986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4" name="TextBox 83"/>
            <xdr:cNvSpPr txBox="1"/>
          </xdr:nvSpPr>
          <xdr:spPr>
            <a:xfrm>
              <a:off x="2695575" y="37423725"/>
              <a:ext cx="67986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23</xdr:col>
      <xdr:colOff>95250</xdr:colOff>
      <xdr:row>156</xdr:row>
      <xdr:rowOff>28575</xdr:rowOff>
    </xdr:from>
    <xdr:ext cx="67986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5" name="TextBox 84"/>
            <xdr:cNvSpPr txBox="1"/>
          </xdr:nvSpPr>
          <xdr:spPr>
            <a:xfrm>
              <a:off x="3600450" y="37423725"/>
              <a:ext cx="67986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5" name="TextBox 84"/>
            <xdr:cNvSpPr txBox="1"/>
          </xdr:nvSpPr>
          <xdr:spPr>
            <a:xfrm>
              <a:off x="3600450" y="37423725"/>
              <a:ext cx="67986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29</xdr:col>
      <xdr:colOff>95250</xdr:colOff>
      <xdr:row>156</xdr:row>
      <xdr:rowOff>28575</xdr:rowOff>
    </xdr:from>
    <xdr:ext cx="67986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6" name="TextBox 85"/>
            <xdr:cNvSpPr txBox="1"/>
          </xdr:nvSpPr>
          <xdr:spPr>
            <a:xfrm>
              <a:off x="4514850" y="37423725"/>
              <a:ext cx="67986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6" name="TextBox 85"/>
            <xdr:cNvSpPr txBox="1"/>
          </xdr:nvSpPr>
          <xdr:spPr>
            <a:xfrm>
              <a:off x="4514850" y="37423725"/>
              <a:ext cx="67986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5</xdr:col>
      <xdr:colOff>95250</xdr:colOff>
      <xdr:row>157</xdr:row>
      <xdr:rowOff>38100</xdr:rowOff>
    </xdr:from>
    <xdr:ext cx="67986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7" name="TextBox 86"/>
            <xdr:cNvSpPr txBox="1"/>
          </xdr:nvSpPr>
          <xdr:spPr>
            <a:xfrm>
              <a:off x="857250" y="37671375"/>
              <a:ext cx="67986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7" name="TextBox 86"/>
            <xdr:cNvSpPr txBox="1"/>
          </xdr:nvSpPr>
          <xdr:spPr>
            <a:xfrm>
              <a:off x="857250" y="37671375"/>
              <a:ext cx="67986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23</xdr:col>
      <xdr:colOff>95250</xdr:colOff>
      <xdr:row>162</xdr:row>
      <xdr:rowOff>28575</xdr:rowOff>
    </xdr:from>
    <xdr:ext cx="679866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8" name="TextBox 87"/>
            <xdr:cNvSpPr txBox="1"/>
          </xdr:nvSpPr>
          <xdr:spPr>
            <a:xfrm>
              <a:off x="3600450" y="38852475"/>
              <a:ext cx="679866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8" name="TextBox 87"/>
            <xdr:cNvSpPr txBox="1"/>
          </xdr:nvSpPr>
          <xdr:spPr>
            <a:xfrm>
              <a:off x="3600450" y="38852475"/>
              <a:ext cx="679866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95250</xdr:colOff>
      <xdr:row>163</xdr:row>
      <xdr:rowOff>38100</xdr:rowOff>
    </xdr:from>
    <xdr:ext cx="679866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9" name="TextBox 88"/>
            <xdr:cNvSpPr txBox="1"/>
          </xdr:nvSpPr>
          <xdr:spPr>
            <a:xfrm>
              <a:off x="1771650" y="39100125"/>
              <a:ext cx="679866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9" name="TextBox 88"/>
            <xdr:cNvSpPr txBox="1"/>
          </xdr:nvSpPr>
          <xdr:spPr>
            <a:xfrm>
              <a:off x="1771650" y="39100125"/>
              <a:ext cx="679866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17</xdr:col>
      <xdr:colOff>104775</xdr:colOff>
      <xdr:row>163</xdr:row>
      <xdr:rowOff>38100</xdr:rowOff>
    </xdr:from>
    <xdr:ext cx="679866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0" name="TextBox 89"/>
            <xdr:cNvSpPr txBox="1"/>
          </xdr:nvSpPr>
          <xdr:spPr>
            <a:xfrm>
              <a:off x="2695575" y="39100125"/>
              <a:ext cx="679866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0" name="TextBox 89"/>
            <xdr:cNvSpPr txBox="1"/>
          </xdr:nvSpPr>
          <xdr:spPr>
            <a:xfrm>
              <a:off x="2695575" y="39100125"/>
              <a:ext cx="679866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23</xdr:col>
      <xdr:colOff>104775</xdr:colOff>
      <xdr:row>163</xdr:row>
      <xdr:rowOff>38100</xdr:rowOff>
    </xdr:from>
    <xdr:ext cx="679866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1" name="TextBox 90"/>
            <xdr:cNvSpPr txBox="1"/>
          </xdr:nvSpPr>
          <xdr:spPr>
            <a:xfrm>
              <a:off x="3609975" y="39100125"/>
              <a:ext cx="679866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1" name="TextBox 90"/>
            <xdr:cNvSpPr txBox="1"/>
          </xdr:nvSpPr>
          <xdr:spPr>
            <a:xfrm>
              <a:off x="3609975" y="39100125"/>
              <a:ext cx="679866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29</xdr:col>
      <xdr:colOff>104775</xdr:colOff>
      <xdr:row>163</xdr:row>
      <xdr:rowOff>38100</xdr:rowOff>
    </xdr:from>
    <xdr:ext cx="679866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2" name="TextBox 91"/>
            <xdr:cNvSpPr txBox="1"/>
          </xdr:nvSpPr>
          <xdr:spPr>
            <a:xfrm>
              <a:off x="4524375" y="39100125"/>
              <a:ext cx="679866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2" name="TextBox 91"/>
            <xdr:cNvSpPr txBox="1"/>
          </xdr:nvSpPr>
          <xdr:spPr>
            <a:xfrm>
              <a:off x="4524375" y="39100125"/>
              <a:ext cx="679866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35</xdr:col>
      <xdr:colOff>104775</xdr:colOff>
      <xdr:row>163</xdr:row>
      <xdr:rowOff>38100</xdr:rowOff>
    </xdr:from>
    <xdr:ext cx="679866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3" name="TextBox 92"/>
            <xdr:cNvSpPr txBox="1"/>
          </xdr:nvSpPr>
          <xdr:spPr>
            <a:xfrm>
              <a:off x="5438775" y="39100125"/>
              <a:ext cx="679866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3" name="TextBox 92"/>
            <xdr:cNvSpPr txBox="1"/>
          </xdr:nvSpPr>
          <xdr:spPr>
            <a:xfrm>
              <a:off x="5438775" y="39100125"/>
              <a:ext cx="679866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38100</xdr:colOff>
      <xdr:row>162</xdr:row>
      <xdr:rowOff>47625</xdr:rowOff>
    </xdr:from>
    <xdr:ext cx="1476375" cy="6572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4" name="TextBox 93"/>
            <xdr:cNvSpPr txBox="1"/>
          </xdr:nvSpPr>
          <xdr:spPr>
            <a:xfrm>
              <a:off x="190500" y="38871525"/>
              <a:ext cx="1476375" cy="6572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ko-KR" sz="1100" i="1">
                            <a:latin typeface="Cambria Math" panose="02040503050406030204" pitchFamily="18" charset="0"/>
                          </a:rPr>
                          <m:t>ν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𝑒𝑓𝑓</m:t>
                        </m:r>
                      </m:sub>
                    </m:sSub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sup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begChr m:val="["/>
                                        <m:endChr m:val="]"/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𝑢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)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4" name="TextBox 93"/>
            <xdr:cNvSpPr txBox="1"/>
          </xdr:nvSpPr>
          <xdr:spPr>
            <a:xfrm>
              <a:off x="190500" y="38871525"/>
              <a:ext cx="1476375" cy="6572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ν_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𝑒𝑓𝑓</a:t>
              </a:r>
              <a:r>
                <a:rPr lang="en-US" altLang="ko-KR" sz="1100" i="0">
                  <a:latin typeface="Cambria Math" panose="02040503050406030204" pitchFamily="18" charset="0"/>
                </a:rPr>
                <a:t>=(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𝑢_𝑐^4 (𝑦))/(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1)^𝑁▒[𝑐_𝑖 〖𝑢(𝑥〗_𝑖)]^4/ν_𝑖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12668</xdr:colOff>
      <xdr:row>189</xdr:row>
      <xdr:rowOff>32226</xdr:rowOff>
    </xdr:from>
    <xdr:ext cx="2429255" cy="5781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5" name="TextBox 94"/>
            <xdr:cNvSpPr txBox="1"/>
          </xdr:nvSpPr>
          <xdr:spPr>
            <a:xfrm>
              <a:off x="165068" y="45285501"/>
              <a:ext cx="2429255" cy="578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den>
                    </m:f>
                    <m:r>
                      <a:rPr lang="en-US" altLang="ko-K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d>
                      <m:dPr>
                        <m:ctrlP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𝑇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</m:t>
                        </m:r>
                      </m:e>
                    </m:d>
                  </m:oMath>
                </m:oMathPara>
              </a14:m>
              <a:endParaRPr lang="ko-KR" altLang="en-US" sz="2000"/>
            </a:p>
          </xdr:txBody>
        </xdr:sp>
      </mc:Choice>
      <mc:Fallback xmlns="">
        <xdr:sp macro="" textlink="">
          <xdr:nvSpPr>
            <xdr:cNvPr id="95" name="TextBox 94"/>
            <xdr:cNvSpPr txBox="1"/>
          </xdr:nvSpPr>
          <xdr:spPr>
            <a:xfrm>
              <a:off x="165068" y="45285501"/>
              <a:ext cx="2429255" cy="578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2000" b="0" i="0">
                  <a:latin typeface="Cambria Math" panose="02040503050406030204" pitchFamily="18" charset="0"/>
                </a:rPr>
                <a:t>𝑆=1/𝑙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×(∆𝑑−𝑇+𝑃)</a:t>
              </a:r>
              <a:endParaRPr lang="ko-KR" altLang="en-US" sz="2000"/>
            </a:p>
          </xdr:txBody>
        </xdr:sp>
      </mc:Fallback>
    </mc:AlternateContent>
    <xdr:clientData/>
  </xdr:oneCellAnchor>
  <xdr:oneCellAnchor>
    <xdr:from>
      <xdr:col>1</xdr:col>
      <xdr:colOff>9525</xdr:colOff>
      <xdr:row>199</xdr:row>
      <xdr:rowOff>33337</xdr:rowOff>
    </xdr:from>
    <xdr:ext cx="282558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6" name="TextBox 95"/>
            <xdr:cNvSpPr txBox="1"/>
          </xdr:nvSpPr>
          <xdr:spPr>
            <a:xfrm>
              <a:off x="161925" y="47667862"/>
              <a:ext cx="282558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e>
                    </m: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6" name="TextBox 95"/>
            <xdr:cNvSpPr txBox="1"/>
          </xdr:nvSpPr>
          <xdr:spPr>
            <a:xfrm>
              <a:off x="161925" y="47667862"/>
              <a:ext cx="282558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𝑢_𝑐^2 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𝑆)=𝑐_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∆𝑑∙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∆𝑑)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𝑐_𝑇∙𝑢^2 (𝑇)+𝑐_𝑃∙𝑢^2 (𝑃)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</xdr:col>
      <xdr:colOff>9525</xdr:colOff>
      <xdr:row>201</xdr:row>
      <xdr:rowOff>61912</xdr:rowOff>
    </xdr:from>
    <xdr:ext cx="3328283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7" name="TextBox 96"/>
            <xdr:cNvSpPr txBox="1"/>
          </xdr:nvSpPr>
          <xdr:spPr>
            <a:xfrm>
              <a:off x="314325" y="48172687"/>
              <a:ext cx="3328283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num>
                      <m:den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∆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</m:t>
                        </m:r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</m:t>
                        </m:r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den>
                    </m:f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7" name="TextBox 96"/>
            <xdr:cNvSpPr txBox="1"/>
          </xdr:nvSpPr>
          <xdr:spPr>
            <a:xfrm>
              <a:off x="314325" y="48172687"/>
              <a:ext cx="3328283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𝑐_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∆𝑑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𝑆/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𝜕∆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𝑑=1/𝑙,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𝑐_𝑇=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𝑆/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𝑇=−1/𝑙,  𝑐_𝑃=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𝑆/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𝑃=1/𝑙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19050</xdr:colOff>
      <xdr:row>217</xdr:row>
      <xdr:rowOff>185737</xdr:rowOff>
    </xdr:from>
    <xdr:ext cx="3399392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8" name="TextBox 97"/>
            <xdr:cNvSpPr txBox="1"/>
          </xdr:nvSpPr>
          <xdr:spPr>
            <a:xfrm>
              <a:off x="2000250" y="52192237"/>
              <a:ext cx="3399392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∆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우</m:t>
                            </m:r>
                          </m:sub>
                        </m:sSub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∆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전</m:t>
                            </m:r>
                          </m:sub>
                        </m:sSub>
                        <m:sSup>
                          <m:s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(             </m:t>
                        </m:r>
                        <m:sSup>
                          <m:s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+(              </m:t>
                        </m:r>
                        <m:sSup>
                          <m:s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98" name="TextBox 97"/>
            <xdr:cNvSpPr txBox="1"/>
          </xdr:nvSpPr>
          <xdr:spPr>
            <a:xfrm>
              <a:off x="2000250" y="52192237"/>
              <a:ext cx="3399392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√(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𝑢^2 (〖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𝑑〗_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우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)^2+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𝑢^2 (〖∆𝑑〗_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전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)^2 )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√(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             )^2+(              )^2 )=</a:t>
              </a:r>
              <a:endParaRPr lang="ko-KR" altLang="en-US" sz="1100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9525</xdr:colOff>
      <xdr:row>220</xdr:row>
      <xdr:rowOff>61912</xdr:rowOff>
    </xdr:from>
    <xdr:ext cx="1752467" cy="3952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9" name="TextBox 98"/>
            <xdr:cNvSpPr txBox="1"/>
          </xdr:nvSpPr>
          <xdr:spPr>
            <a:xfrm>
              <a:off x="1228725" y="52782787"/>
              <a:ext cx="1752467" cy="3952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num>
                      <m:den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∆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              </m:t>
                        </m:r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9" name="TextBox 98"/>
            <xdr:cNvSpPr txBox="1"/>
          </xdr:nvSpPr>
          <xdr:spPr>
            <a:xfrm>
              <a:off x="1228725" y="52782787"/>
              <a:ext cx="1752467" cy="3952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𝑐_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∆𝑑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𝑆/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𝜕∆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𝑑=1/𝑙=1/(              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57150</xdr:colOff>
      <xdr:row>233</xdr:row>
      <xdr:rowOff>33337</xdr:rowOff>
    </xdr:from>
    <xdr:ext cx="207877" cy="1776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0" name="TextBox 99"/>
            <xdr:cNvSpPr txBox="1"/>
          </xdr:nvSpPr>
          <xdr:spPr>
            <a:xfrm>
              <a:off x="2190750" y="55849837"/>
              <a:ext cx="207877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0" name="TextBox 99"/>
            <xdr:cNvSpPr txBox="1"/>
          </xdr:nvSpPr>
          <xdr:spPr>
            <a:xfrm>
              <a:off x="2190750" y="55849837"/>
              <a:ext cx="207877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√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𝑛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18</xdr:col>
      <xdr:colOff>47625</xdr:colOff>
      <xdr:row>233</xdr:row>
      <xdr:rowOff>33337</xdr:rowOff>
    </xdr:from>
    <xdr:ext cx="202620" cy="1992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1" name="TextBox 100"/>
            <xdr:cNvSpPr txBox="1"/>
          </xdr:nvSpPr>
          <xdr:spPr>
            <a:xfrm>
              <a:off x="2790825" y="55849837"/>
              <a:ext cx="20262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5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1" name="TextBox 100"/>
            <xdr:cNvSpPr txBox="1"/>
          </xdr:nvSpPr>
          <xdr:spPr>
            <a:xfrm>
              <a:off x="2790825" y="55849837"/>
              <a:ext cx="20262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√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38100</xdr:colOff>
      <xdr:row>267</xdr:row>
      <xdr:rowOff>23812</xdr:rowOff>
    </xdr:from>
    <xdr:ext cx="280718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2" name="TextBox 101"/>
            <xdr:cNvSpPr txBox="1"/>
          </xdr:nvSpPr>
          <xdr:spPr>
            <a:xfrm>
              <a:off x="2324100" y="63936562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5</m:t>
                    </m:r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2" name="TextBox 101"/>
            <xdr:cNvSpPr txBox="1"/>
          </xdr:nvSpPr>
          <xdr:spPr>
            <a:xfrm>
              <a:off x="2324100" y="63936562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5</a:t>
              </a:r>
              <a:r>
                <a:rPr lang="en-US" altLang="ko-KR" sz="1100" i="0">
                  <a:latin typeface="Cambria Math" panose="02040503050406030204" pitchFamily="18" charset="0"/>
                </a:rPr>
                <a:t>√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272</xdr:row>
      <xdr:rowOff>14287</xdr:rowOff>
    </xdr:from>
    <xdr:ext cx="2113335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3" name="TextBox 102"/>
            <xdr:cNvSpPr txBox="1"/>
          </xdr:nvSpPr>
          <xdr:spPr>
            <a:xfrm>
              <a:off x="1076325" y="65117662"/>
              <a:ext cx="2113335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ko-KR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𝜈</m:t>
                    </m:r>
                    <m:d>
                      <m:d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∞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3" name="TextBox 102"/>
            <xdr:cNvSpPr txBox="1"/>
          </xdr:nvSpPr>
          <xdr:spPr>
            <a:xfrm>
              <a:off x="1076325" y="65117662"/>
              <a:ext cx="2113335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𝜈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𝑃)=1/2 (100/𝑅)^2=1/2 (100/0)^2=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∞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276</xdr:row>
      <xdr:rowOff>28575</xdr:rowOff>
    </xdr:from>
    <xdr:ext cx="204549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4" name="TextBox 103"/>
            <xdr:cNvSpPr txBox="1"/>
          </xdr:nvSpPr>
          <xdr:spPr>
            <a:xfrm>
              <a:off x="161925" y="66084450"/>
              <a:ext cx="204549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e>
                    </m: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4" name="TextBox 103"/>
            <xdr:cNvSpPr txBox="1"/>
          </xdr:nvSpPr>
          <xdr:spPr>
            <a:xfrm>
              <a:off x="161925" y="66084450"/>
              <a:ext cx="204549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𝑢_𝑐^2 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𝑆)=𝑢^2 (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∆𝑑)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(𝑇)+𝑢^2 (𝑃)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5</xdr:col>
      <xdr:colOff>9525</xdr:colOff>
      <xdr:row>277</xdr:row>
      <xdr:rowOff>28575</xdr:rowOff>
    </xdr:from>
    <xdr:ext cx="102124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5" name="TextBox 104"/>
            <xdr:cNvSpPr txBox="1"/>
          </xdr:nvSpPr>
          <xdr:spPr>
            <a:xfrm>
              <a:off x="771525" y="66322575"/>
              <a:ext cx="102124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5" name="TextBox 104"/>
            <xdr:cNvSpPr txBox="1"/>
          </xdr:nvSpPr>
          <xdr:spPr>
            <a:xfrm>
              <a:off x="771525" y="66322575"/>
              <a:ext cx="102124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17</xdr:col>
      <xdr:colOff>85725</xdr:colOff>
      <xdr:row>283</xdr:row>
      <xdr:rowOff>28575</xdr:rowOff>
    </xdr:from>
    <xdr:ext cx="679866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6" name="TextBox 105"/>
            <xdr:cNvSpPr txBox="1"/>
          </xdr:nvSpPr>
          <xdr:spPr>
            <a:xfrm>
              <a:off x="2676525" y="67751325"/>
              <a:ext cx="679866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6" name="TextBox 105"/>
            <xdr:cNvSpPr txBox="1"/>
          </xdr:nvSpPr>
          <xdr:spPr>
            <a:xfrm>
              <a:off x="2676525" y="67751325"/>
              <a:ext cx="679866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95250</xdr:colOff>
      <xdr:row>284</xdr:row>
      <xdr:rowOff>38100</xdr:rowOff>
    </xdr:from>
    <xdr:ext cx="679866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7" name="TextBox 106"/>
            <xdr:cNvSpPr txBox="1"/>
          </xdr:nvSpPr>
          <xdr:spPr>
            <a:xfrm>
              <a:off x="1771650" y="67998975"/>
              <a:ext cx="679866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7" name="TextBox 106"/>
            <xdr:cNvSpPr txBox="1"/>
          </xdr:nvSpPr>
          <xdr:spPr>
            <a:xfrm>
              <a:off x="1771650" y="67998975"/>
              <a:ext cx="679866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17</xdr:col>
      <xdr:colOff>104775</xdr:colOff>
      <xdr:row>284</xdr:row>
      <xdr:rowOff>38100</xdr:rowOff>
    </xdr:from>
    <xdr:ext cx="679866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8" name="TextBox 107"/>
            <xdr:cNvSpPr txBox="1"/>
          </xdr:nvSpPr>
          <xdr:spPr>
            <a:xfrm>
              <a:off x="2695575" y="67998975"/>
              <a:ext cx="679866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8" name="TextBox 107"/>
            <xdr:cNvSpPr txBox="1"/>
          </xdr:nvSpPr>
          <xdr:spPr>
            <a:xfrm>
              <a:off x="2695575" y="67998975"/>
              <a:ext cx="679866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23</xdr:col>
      <xdr:colOff>104775</xdr:colOff>
      <xdr:row>284</xdr:row>
      <xdr:rowOff>38100</xdr:rowOff>
    </xdr:from>
    <xdr:ext cx="679866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9" name="TextBox 108"/>
            <xdr:cNvSpPr txBox="1"/>
          </xdr:nvSpPr>
          <xdr:spPr>
            <a:xfrm>
              <a:off x="3609975" y="67998975"/>
              <a:ext cx="679866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9" name="TextBox 108"/>
            <xdr:cNvSpPr txBox="1"/>
          </xdr:nvSpPr>
          <xdr:spPr>
            <a:xfrm>
              <a:off x="3609975" y="67998975"/>
              <a:ext cx="679866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38100</xdr:colOff>
      <xdr:row>283</xdr:row>
      <xdr:rowOff>47625</xdr:rowOff>
    </xdr:from>
    <xdr:ext cx="1476375" cy="6572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0" name="TextBox 109"/>
            <xdr:cNvSpPr txBox="1"/>
          </xdr:nvSpPr>
          <xdr:spPr>
            <a:xfrm>
              <a:off x="190500" y="67770375"/>
              <a:ext cx="1476375" cy="6572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ko-KR" sz="1100" i="1">
                            <a:latin typeface="Cambria Math" panose="02040503050406030204" pitchFamily="18" charset="0"/>
                          </a:rPr>
                          <m:t>ν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𝑒𝑓𝑓</m:t>
                        </m:r>
                      </m:sub>
                    </m:sSub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sup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begChr m:val="["/>
                                        <m:endChr m:val="]"/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𝑢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)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0" name="TextBox 109"/>
            <xdr:cNvSpPr txBox="1"/>
          </xdr:nvSpPr>
          <xdr:spPr>
            <a:xfrm>
              <a:off x="190500" y="67770375"/>
              <a:ext cx="1476375" cy="6572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ν_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𝑒𝑓𝑓</a:t>
              </a:r>
              <a:r>
                <a:rPr lang="en-US" altLang="ko-KR" sz="1100" i="0">
                  <a:latin typeface="Cambria Math" panose="02040503050406030204" pitchFamily="18" charset="0"/>
                </a:rPr>
                <a:t>=(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𝑢_𝑐^4 (𝑦))/(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1)^𝑁▒[𝑐_𝑖 〖𝑢(𝑥〗_𝑖)]^4/ν_𝑖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21</xdr:col>
      <xdr:colOff>95250</xdr:colOff>
      <xdr:row>223</xdr:row>
      <xdr:rowOff>28575</xdr:rowOff>
    </xdr:from>
    <xdr:ext cx="679866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1" name="TextBox 110"/>
            <xdr:cNvSpPr txBox="1"/>
          </xdr:nvSpPr>
          <xdr:spPr>
            <a:xfrm>
              <a:off x="3295650" y="53463825"/>
              <a:ext cx="679866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1" name="TextBox 110"/>
            <xdr:cNvSpPr txBox="1"/>
          </xdr:nvSpPr>
          <xdr:spPr>
            <a:xfrm>
              <a:off x="3295650" y="53463825"/>
              <a:ext cx="679866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18</xdr:col>
      <xdr:colOff>95250</xdr:colOff>
      <xdr:row>224</xdr:row>
      <xdr:rowOff>38100</xdr:rowOff>
    </xdr:from>
    <xdr:ext cx="679866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2" name="TextBox 111"/>
            <xdr:cNvSpPr txBox="1"/>
          </xdr:nvSpPr>
          <xdr:spPr>
            <a:xfrm>
              <a:off x="2838450" y="53711475"/>
              <a:ext cx="679866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2" name="TextBox 111"/>
            <xdr:cNvSpPr txBox="1"/>
          </xdr:nvSpPr>
          <xdr:spPr>
            <a:xfrm>
              <a:off x="2838450" y="53711475"/>
              <a:ext cx="679866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24</xdr:col>
      <xdr:colOff>104775</xdr:colOff>
      <xdr:row>224</xdr:row>
      <xdr:rowOff>38100</xdr:rowOff>
    </xdr:from>
    <xdr:ext cx="679866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3" name="TextBox 112"/>
            <xdr:cNvSpPr txBox="1"/>
          </xdr:nvSpPr>
          <xdr:spPr>
            <a:xfrm>
              <a:off x="3762375" y="53711475"/>
              <a:ext cx="679866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3" name="TextBox 112"/>
            <xdr:cNvSpPr txBox="1"/>
          </xdr:nvSpPr>
          <xdr:spPr>
            <a:xfrm>
              <a:off x="3762375" y="53711475"/>
              <a:ext cx="679866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223</xdr:row>
      <xdr:rowOff>47626</xdr:rowOff>
    </xdr:from>
    <xdr:ext cx="1581150" cy="6096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4" name="TextBox 113"/>
            <xdr:cNvSpPr txBox="1"/>
          </xdr:nvSpPr>
          <xdr:spPr>
            <a:xfrm>
              <a:off x="1076325" y="53482876"/>
              <a:ext cx="1581150" cy="609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ν</m:t>
                    </m:r>
                    <m:d>
                      <m:d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e>
                    </m:d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sup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begChr m:val="["/>
                                        <m:endChr m:val="]"/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𝑢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)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4" name="TextBox 113"/>
            <xdr:cNvSpPr txBox="1"/>
          </xdr:nvSpPr>
          <xdr:spPr>
            <a:xfrm>
              <a:off x="1076325" y="53482876"/>
              <a:ext cx="1581150" cy="609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ν(∆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𝑑)</a:t>
              </a:r>
              <a:r>
                <a:rPr lang="en-US" altLang="ko-KR" sz="1100" i="0">
                  <a:latin typeface="Cambria Math" panose="02040503050406030204" pitchFamily="18" charset="0"/>
                </a:rPr>
                <a:t>=(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𝑢^4 (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∆𝑑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))/(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1)^𝑁▒[𝑐_𝑖 〖𝑢(𝑥〗_𝑖)]^4/ν_𝑖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257</xdr:row>
      <xdr:rowOff>57150</xdr:rowOff>
    </xdr:from>
    <xdr:ext cx="1685925" cy="3952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5" name="TextBox 114"/>
            <xdr:cNvSpPr txBox="1"/>
          </xdr:nvSpPr>
          <xdr:spPr>
            <a:xfrm>
              <a:off x="1228725" y="61588650"/>
              <a:ext cx="1685925" cy="3952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num>
                      <m:den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=−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              </m:t>
                        </m:r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5" name="TextBox 114"/>
            <xdr:cNvSpPr txBox="1"/>
          </xdr:nvSpPr>
          <xdr:spPr>
            <a:xfrm>
              <a:off x="1228725" y="61588650"/>
              <a:ext cx="1685925" cy="3952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𝑐_𝑇=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𝑆/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𝑇=−1/𝑙=1/(              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269</xdr:row>
      <xdr:rowOff>57150</xdr:rowOff>
    </xdr:from>
    <xdr:ext cx="1552575" cy="3952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6" name="TextBox 115"/>
            <xdr:cNvSpPr txBox="1"/>
          </xdr:nvSpPr>
          <xdr:spPr>
            <a:xfrm>
              <a:off x="1228725" y="64446150"/>
              <a:ext cx="1552575" cy="3952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num>
                      <m:den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              </m:t>
                        </m:r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6" name="TextBox 115"/>
            <xdr:cNvSpPr txBox="1"/>
          </xdr:nvSpPr>
          <xdr:spPr>
            <a:xfrm>
              <a:off x="1228725" y="64446150"/>
              <a:ext cx="1552575" cy="3952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𝑐_𝑃=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𝑆/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𝑃=1/𝑙=1/(              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9525</xdr:colOff>
      <xdr:row>277</xdr:row>
      <xdr:rowOff>28575</xdr:rowOff>
    </xdr:from>
    <xdr:ext cx="102124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7" name="TextBox 116"/>
            <xdr:cNvSpPr txBox="1"/>
          </xdr:nvSpPr>
          <xdr:spPr>
            <a:xfrm>
              <a:off x="1990725" y="66322575"/>
              <a:ext cx="102124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7" name="TextBox 116"/>
            <xdr:cNvSpPr txBox="1"/>
          </xdr:nvSpPr>
          <xdr:spPr>
            <a:xfrm>
              <a:off x="1990725" y="66322575"/>
              <a:ext cx="102124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21</xdr:col>
      <xdr:colOff>9525</xdr:colOff>
      <xdr:row>277</xdr:row>
      <xdr:rowOff>28575</xdr:rowOff>
    </xdr:from>
    <xdr:ext cx="102124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8" name="TextBox 117"/>
            <xdr:cNvSpPr txBox="1"/>
          </xdr:nvSpPr>
          <xdr:spPr>
            <a:xfrm>
              <a:off x="3209925" y="66322575"/>
              <a:ext cx="102124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8" name="TextBox 117"/>
            <xdr:cNvSpPr txBox="1"/>
          </xdr:nvSpPr>
          <xdr:spPr>
            <a:xfrm>
              <a:off x="3209925" y="66322575"/>
              <a:ext cx="102124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5</xdr:col>
      <xdr:colOff>9525</xdr:colOff>
      <xdr:row>278</xdr:row>
      <xdr:rowOff>28575</xdr:rowOff>
    </xdr:from>
    <xdr:ext cx="102124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9" name="TextBox 118"/>
            <xdr:cNvSpPr txBox="1"/>
          </xdr:nvSpPr>
          <xdr:spPr>
            <a:xfrm>
              <a:off x="771525" y="66560700"/>
              <a:ext cx="102124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9" name="TextBox 118"/>
            <xdr:cNvSpPr txBox="1"/>
          </xdr:nvSpPr>
          <xdr:spPr>
            <a:xfrm>
              <a:off x="771525" y="66560700"/>
              <a:ext cx="102124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12668</xdr:colOff>
      <xdr:row>306</xdr:row>
      <xdr:rowOff>79851</xdr:rowOff>
    </xdr:from>
    <xdr:ext cx="852221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0" name="TextBox 119"/>
            <xdr:cNvSpPr txBox="1"/>
          </xdr:nvSpPr>
          <xdr:spPr>
            <a:xfrm>
              <a:off x="165068" y="73279476"/>
              <a:ext cx="852221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=∆</m:t>
                    </m:r>
                    <m:r>
                      <a:rPr lang="en-US" altLang="ko-K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𝑆</m:t>
                    </m:r>
                  </m:oMath>
                </m:oMathPara>
              </a14:m>
              <a:endParaRPr lang="ko-KR" altLang="en-US" sz="2000"/>
            </a:p>
          </xdr:txBody>
        </xdr:sp>
      </mc:Choice>
      <mc:Fallback xmlns="">
        <xdr:sp macro="" textlink="">
          <xdr:nvSpPr>
            <xdr:cNvPr id="120" name="TextBox 119"/>
            <xdr:cNvSpPr txBox="1"/>
          </xdr:nvSpPr>
          <xdr:spPr>
            <a:xfrm>
              <a:off x="165068" y="73279476"/>
              <a:ext cx="852221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2000" b="0" i="0">
                  <a:latin typeface="Cambria Math" panose="02040503050406030204" pitchFamily="18" charset="0"/>
                </a:rPr>
                <a:t>𝐹=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∆𝑆</a:t>
              </a:r>
              <a:endParaRPr lang="ko-KR" altLang="en-US" sz="2000"/>
            </a:p>
          </xdr:txBody>
        </xdr:sp>
      </mc:Fallback>
    </mc:AlternateContent>
    <xdr:clientData/>
  </xdr:oneCellAnchor>
  <xdr:oneCellAnchor>
    <xdr:from>
      <xdr:col>1</xdr:col>
      <xdr:colOff>9525</xdr:colOff>
      <xdr:row>312</xdr:row>
      <xdr:rowOff>33337</xdr:rowOff>
    </xdr:from>
    <xdr:ext cx="129285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1" name="TextBox 120"/>
            <xdr:cNvSpPr txBox="1"/>
          </xdr:nvSpPr>
          <xdr:spPr>
            <a:xfrm>
              <a:off x="161925" y="74661712"/>
              <a:ext cx="129285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𝑆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𝑆</m:t>
                        </m:r>
                      </m:e>
                    </m: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1" name="TextBox 120"/>
            <xdr:cNvSpPr txBox="1"/>
          </xdr:nvSpPr>
          <xdr:spPr>
            <a:xfrm>
              <a:off x="161925" y="74661712"/>
              <a:ext cx="129285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𝑢_𝑐^2 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𝐹)=𝑐_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∆𝑆∙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∆𝑆)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</xdr:col>
      <xdr:colOff>9525</xdr:colOff>
      <xdr:row>314</xdr:row>
      <xdr:rowOff>61912</xdr:rowOff>
    </xdr:from>
    <xdr:ext cx="908582" cy="32201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2" name="TextBox 121"/>
            <xdr:cNvSpPr txBox="1"/>
          </xdr:nvSpPr>
          <xdr:spPr>
            <a:xfrm>
              <a:off x="314325" y="75166537"/>
              <a:ext cx="908582" cy="3220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𝑆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num>
                      <m:den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∆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2" name="TextBox 121"/>
            <xdr:cNvSpPr txBox="1"/>
          </xdr:nvSpPr>
          <xdr:spPr>
            <a:xfrm>
              <a:off x="314325" y="75166537"/>
              <a:ext cx="908582" cy="3220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𝑐_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∆𝑆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𝐹/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𝜕∆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𝑆=1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19050</xdr:colOff>
      <xdr:row>330</xdr:row>
      <xdr:rowOff>185737</xdr:rowOff>
    </xdr:from>
    <xdr:ext cx="3224281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3" name="TextBox 122"/>
            <xdr:cNvSpPr txBox="1"/>
          </xdr:nvSpPr>
          <xdr:spPr>
            <a:xfrm>
              <a:off x="2000250" y="79186087"/>
              <a:ext cx="3224281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∆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𝑆</m:t>
                            </m:r>
                          </m:e>
                          <m:sub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우</m:t>
                            </m:r>
                          </m:sub>
                        </m:sSub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(∆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𝑆</m:t>
                            </m:r>
                          </m:e>
                          <m:sub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전</m:t>
                            </m:r>
                          </m:sub>
                        </m:sSub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(∆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𝑆</m:t>
                            </m:r>
                          </m:e>
                          <m:sub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게</m:t>
                            </m:r>
                          </m:sub>
                        </m:sSub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(∆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𝑆</m:t>
                            </m:r>
                          </m:e>
                          <m:sub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정</m:t>
                            </m:r>
                          </m:sub>
                        </m:sSub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</m:oMath>
                </m:oMathPara>
              </a14:m>
              <a:endParaRPr lang="ko-KR" altLang="en-US" sz="1100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23" name="TextBox 122"/>
            <xdr:cNvSpPr txBox="1"/>
          </xdr:nvSpPr>
          <xdr:spPr>
            <a:xfrm>
              <a:off x="2000250" y="79186087"/>
              <a:ext cx="3224281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√(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𝑢^2 (〖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∆𝑆〗_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우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)^2+𝑢^2 (∆𝑆_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전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)^2+𝑢^2 (∆𝑆_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게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)^2+𝑢^2 (∆𝑆_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정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)^2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)  </a:t>
              </a:r>
              <a:endParaRPr lang="ko-KR" altLang="en-US" sz="1100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9526</xdr:colOff>
      <xdr:row>334</xdr:row>
      <xdr:rowOff>61912</xdr:rowOff>
    </xdr:from>
    <xdr:ext cx="895350" cy="3952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4" name="TextBox 123"/>
            <xdr:cNvSpPr txBox="1"/>
          </xdr:nvSpPr>
          <xdr:spPr>
            <a:xfrm>
              <a:off x="1228726" y="80014762"/>
              <a:ext cx="895350" cy="3952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𝑆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num>
                      <m:den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∆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4" name="TextBox 123"/>
            <xdr:cNvSpPr txBox="1"/>
          </xdr:nvSpPr>
          <xdr:spPr>
            <a:xfrm>
              <a:off x="1228726" y="80014762"/>
              <a:ext cx="895350" cy="3952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𝑐_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∆𝑆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𝐹/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𝜕∆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𝑆=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57150</xdr:colOff>
      <xdr:row>347</xdr:row>
      <xdr:rowOff>33337</xdr:rowOff>
    </xdr:from>
    <xdr:ext cx="207877" cy="1776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5" name="TextBox 124"/>
            <xdr:cNvSpPr txBox="1"/>
          </xdr:nvSpPr>
          <xdr:spPr>
            <a:xfrm>
              <a:off x="2190750" y="83081812"/>
              <a:ext cx="207877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5" name="TextBox 124"/>
            <xdr:cNvSpPr txBox="1"/>
          </xdr:nvSpPr>
          <xdr:spPr>
            <a:xfrm>
              <a:off x="2190750" y="83081812"/>
              <a:ext cx="207877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√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𝑛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18</xdr:col>
      <xdr:colOff>47625</xdr:colOff>
      <xdr:row>347</xdr:row>
      <xdr:rowOff>33337</xdr:rowOff>
    </xdr:from>
    <xdr:ext cx="202620" cy="1992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6" name="TextBox 125"/>
            <xdr:cNvSpPr txBox="1"/>
          </xdr:nvSpPr>
          <xdr:spPr>
            <a:xfrm>
              <a:off x="2790825" y="83081812"/>
              <a:ext cx="20262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5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6" name="TextBox 125"/>
            <xdr:cNvSpPr txBox="1"/>
          </xdr:nvSpPr>
          <xdr:spPr>
            <a:xfrm>
              <a:off x="2790825" y="83081812"/>
              <a:ext cx="20262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√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38100</xdr:colOff>
      <xdr:row>380</xdr:row>
      <xdr:rowOff>23812</xdr:rowOff>
    </xdr:from>
    <xdr:ext cx="280718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7" name="TextBox 126"/>
            <xdr:cNvSpPr txBox="1"/>
          </xdr:nvSpPr>
          <xdr:spPr>
            <a:xfrm>
              <a:off x="2324100" y="90930412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5</m:t>
                    </m:r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7" name="TextBox 126"/>
            <xdr:cNvSpPr txBox="1"/>
          </xdr:nvSpPr>
          <xdr:spPr>
            <a:xfrm>
              <a:off x="2324100" y="90930412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5</a:t>
              </a:r>
              <a:r>
                <a:rPr lang="en-US" altLang="ko-KR" sz="1100" i="0">
                  <a:latin typeface="Cambria Math" panose="02040503050406030204" pitchFamily="18" charset="0"/>
                </a:rPr>
                <a:t>√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385</xdr:row>
      <xdr:rowOff>14287</xdr:rowOff>
    </xdr:from>
    <xdr:ext cx="2372829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8" name="TextBox 127"/>
            <xdr:cNvSpPr txBox="1"/>
          </xdr:nvSpPr>
          <xdr:spPr>
            <a:xfrm>
              <a:off x="1076325" y="92111512"/>
              <a:ext cx="2372829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ko-KR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𝜈</m:t>
                    </m:r>
                    <m:d>
                      <m:d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∆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𝑆</m:t>
                            </m:r>
                          </m:e>
                          <m:sub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정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∞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8" name="TextBox 127"/>
            <xdr:cNvSpPr txBox="1"/>
          </xdr:nvSpPr>
          <xdr:spPr>
            <a:xfrm>
              <a:off x="1076325" y="92111512"/>
              <a:ext cx="2372829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𝜈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(〖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)=1/2 (100/𝑅)^2=1/2 (100/0)^2=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∞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389</xdr:row>
      <xdr:rowOff>28575</xdr:rowOff>
    </xdr:from>
    <xdr:ext cx="1002775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9" name="TextBox 128"/>
            <xdr:cNvSpPr txBox="1"/>
          </xdr:nvSpPr>
          <xdr:spPr>
            <a:xfrm>
              <a:off x="161925" y="93078300"/>
              <a:ext cx="100277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𝑆</m:t>
                        </m:r>
                      </m:e>
                    </m: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9" name="TextBox 128"/>
            <xdr:cNvSpPr txBox="1"/>
          </xdr:nvSpPr>
          <xdr:spPr>
            <a:xfrm>
              <a:off x="161925" y="93078300"/>
              <a:ext cx="100277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𝑢_𝑐^2 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𝐹)=𝑢^2 (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∆𝑆)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9</xdr:col>
      <xdr:colOff>9525</xdr:colOff>
      <xdr:row>389</xdr:row>
      <xdr:rowOff>28575</xdr:rowOff>
    </xdr:from>
    <xdr:ext cx="897105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0" name="TextBox 129"/>
            <xdr:cNvSpPr txBox="1"/>
          </xdr:nvSpPr>
          <xdr:spPr>
            <a:xfrm>
              <a:off x="1381125" y="93078300"/>
              <a:ext cx="89710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0" name="TextBox 129"/>
            <xdr:cNvSpPr txBox="1"/>
          </xdr:nvSpPr>
          <xdr:spPr>
            <a:xfrm>
              <a:off x="1381125" y="93078300"/>
              <a:ext cx="89710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95250</xdr:colOff>
      <xdr:row>394</xdr:row>
      <xdr:rowOff>28575</xdr:rowOff>
    </xdr:from>
    <xdr:ext cx="679866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1" name="TextBox 130"/>
            <xdr:cNvSpPr txBox="1"/>
          </xdr:nvSpPr>
          <xdr:spPr>
            <a:xfrm>
              <a:off x="1771650" y="94268925"/>
              <a:ext cx="679866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1" name="TextBox 130"/>
            <xdr:cNvSpPr txBox="1"/>
          </xdr:nvSpPr>
          <xdr:spPr>
            <a:xfrm>
              <a:off x="1771650" y="94268925"/>
              <a:ext cx="679866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95250</xdr:colOff>
      <xdr:row>395</xdr:row>
      <xdr:rowOff>38100</xdr:rowOff>
    </xdr:from>
    <xdr:ext cx="679866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2" name="TextBox 131"/>
            <xdr:cNvSpPr txBox="1"/>
          </xdr:nvSpPr>
          <xdr:spPr>
            <a:xfrm>
              <a:off x="1771650" y="94516575"/>
              <a:ext cx="679866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2" name="TextBox 131"/>
            <xdr:cNvSpPr txBox="1"/>
          </xdr:nvSpPr>
          <xdr:spPr>
            <a:xfrm>
              <a:off x="1771650" y="94516575"/>
              <a:ext cx="679866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38100</xdr:colOff>
      <xdr:row>394</xdr:row>
      <xdr:rowOff>47625</xdr:rowOff>
    </xdr:from>
    <xdr:ext cx="1476375" cy="6572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3" name="TextBox 132"/>
            <xdr:cNvSpPr txBox="1"/>
          </xdr:nvSpPr>
          <xdr:spPr>
            <a:xfrm>
              <a:off x="190500" y="94287975"/>
              <a:ext cx="1476375" cy="6572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ko-KR" sz="1100" i="1">
                            <a:latin typeface="Cambria Math" panose="02040503050406030204" pitchFamily="18" charset="0"/>
                          </a:rPr>
                          <m:t>ν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𝑒𝑓𝑓</m:t>
                        </m:r>
                      </m:sub>
                    </m:sSub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sup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begChr m:val="["/>
                                        <m:endChr m:val="]"/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𝑢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)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3" name="TextBox 132"/>
            <xdr:cNvSpPr txBox="1"/>
          </xdr:nvSpPr>
          <xdr:spPr>
            <a:xfrm>
              <a:off x="190500" y="94287975"/>
              <a:ext cx="1476375" cy="6572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ν_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𝑒𝑓𝑓</a:t>
              </a:r>
              <a:r>
                <a:rPr lang="en-US" altLang="ko-KR" sz="1100" i="0">
                  <a:latin typeface="Cambria Math" panose="02040503050406030204" pitchFamily="18" charset="0"/>
                </a:rPr>
                <a:t>=(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𝑢_𝑐^4 (𝑦))/(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1)^𝑁▒[𝑐_𝑖 〖𝑢(𝑥〗_𝑖)]^4/ν_𝑖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27</xdr:col>
      <xdr:colOff>85725</xdr:colOff>
      <xdr:row>337</xdr:row>
      <xdr:rowOff>28575</xdr:rowOff>
    </xdr:from>
    <xdr:ext cx="679866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4" name="TextBox 133"/>
            <xdr:cNvSpPr txBox="1"/>
          </xdr:nvSpPr>
          <xdr:spPr>
            <a:xfrm>
              <a:off x="4200525" y="80695800"/>
              <a:ext cx="679866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4" name="TextBox 133"/>
            <xdr:cNvSpPr txBox="1"/>
          </xdr:nvSpPr>
          <xdr:spPr>
            <a:xfrm>
              <a:off x="4200525" y="80695800"/>
              <a:ext cx="679866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18</xdr:col>
      <xdr:colOff>95250</xdr:colOff>
      <xdr:row>338</xdr:row>
      <xdr:rowOff>38100</xdr:rowOff>
    </xdr:from>
    <xdr:ext cx="679866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5" name="TextBox 134"/>
            <xdr:cNvSpPr txBox="1"/>
          </xdr:nvSpPr>
          <xdr:spPr>
            <a:xfrm>
              <a:off x="2838450" y="80943450"/>
              <a:ext cx="679866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5" name="TextBox 134"/>
            <xdr:cNvSpPr txBox="1"/>
          </xdr:nvSpPr>
          <xdr:spPr>
            <a:xfrm>
              <a:off x="2838450" y="80943450"/>
              <a:ext cx="679866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24</xdr:col>
      <xdr:colOff>104775</xdr:colOff>
      <xdr:row>338</xdr:row>
      <xdr:rowOff>38100</xdr:rowOff>
    </xdr:from>
    <xdr:ext cx="679866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6" name="TextBox 135"/>
            <xdr:cNvSpPr txBox="1"/>
          </xdr:nvSpPr>
          <xdr:spPr>
            <a:xfrm>
              <a:off x="3762375" y="80943450"/>
              <a:ext cx="679866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6" name="TextBox 135"/>
            <xdr:cNvSpPr txBox="1"/>
          </xdr:nvSpPr>
          <xdr:spPr>
            <a:xfrm>
              <a:off x="3762375" y="80943450"/>
              <a:ext cx="679866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337</xdr:row>
      <xdr:rowOff>47626</xdr:rowOff>
    </xdr:from>
    <xdr:ext cx="1581150" cy="6096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7" name="TextBox 136"/>
            <xdr:cNvSpPr txBox="1"/>
          </xdr:nvSpPr>
          <xdr:spPr>
            <a:xfrm>
              <a:off x="1076325" y="80714851"/>
              <a:ext cx="1581150" cy="609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ν</m:t>
                    </m:r>
                    <m:d>
                      <m:d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</m:t>
                        </m:r>
                      </m:e>
                    </m:d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𝑆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sup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begChr m:val="["/>
                                        <m:endChr m:val="]"/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𝑢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)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7" name="TextBox 136"/>
            <xdr:cNvSpPr txBox="1"/>
          </xdr:nvSpPr>
          <xdr:spPr>
            <a:xfrm>
              <a:off x="1076325" y="80714851"/>
              <a:ext cx="1581150" cy="609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ν(∆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𝑆)</a:t>
              </a:r>
              <a:r>
                <a:rPr lang="en-US" altLang="ko-KR" sz="1100" i="0">
                  <a:latin typeface="Cambria Math" panose="02040503050406030204" pitchFamily="18" charset="0"/>
                </a:rPr>
                <a:t>=(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𝑢^4 (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∆𝑆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))/(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1)^𝑁▒[𝑐_𝑖 〖𝑢(𝑥〗_𝑖)]^4/ν_𝑖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19050</xdr:colOff>
      <xdr:row>331</xdr:row>
      <xdr:rowOff>223837</xdr:rowOff>
    </xdr:from>
    <xdr:ext cx="3221588" cy="2049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8" name="TextBox 137"/>
            <xdr:cNvSpPr txBox="1"/>
          </xdr:nvSpPr>
          <xdr:spPr>
            <a:xfrm>
              <a:off x="2000250" y="79462312"/>
              <a:ext cx="3221588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             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             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              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               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38" name="TextBox 137"/>
            <xdr:cNvSpPr txBox="1"/>
          </xdr:nvSpPr>
          <xdr:spPr>
            <a:xfrm>
              <a:off x="2000250" y="79462312"/>
              <a:ext cx="3221588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√((             )^2+(             )^2+(              )^2+(               )^2 )=</a:t>
              </a:r>
              <a:endParaRPr lang="ko-KR" altLang="en-US" sz="1100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30</xdr:col>
      <xdr:colOff>104775</xdr:colOff>
      <xdr:row>338</xdr:row>
      <xdr:rowOff>38100</xdr:rowOff>
    </xdr:from>
    <xdr:ext cx="679866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9" name="TextBox 138"/>
            <xdr:cNvSpPr txBox="1"/>
          </xdr:nvSpPr>
          <xdr:spPr>
            <a:xfrm>
              <a:off x="4676775" y="80943450"/>
              <a:ext cx="679866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9" name="TextBox 138"/>
            <xdr:cNvSpPr txBox="1"/>
          </xdr:nvSpPr>
          <xdr:spPr>
            <a:xfrm>
              <a:off x="4676775" y="80943450"/>
              <a:ext cx="679866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36</xdr:col>
      <xdr:colOff>104775</xdr:colOff>
      <xdr:row>338</xdr:row>
      <xdr:rowOff>38100</xdr:rowOff>
    </xdr:from>
    <xdr:ext cx="679866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0" name="TextBox 139"/>
            <xdr:cNvSpPr txBox="1"/>
          </xdr:nvSpPr>
          <xdr:spPr>
            <a:xfrm>
              <a:off x="5591175" y="80943450"/>
              <a:ext cx="679866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0" name="TextBox 139"/>
            <xdr:cNvSpPr txBox="1"/>
          </xdr:nvSpPr>
          <xdr:spPr>
            <a:xfrm>
              <a:off x="5591175" y="80943450"/>
              <a:ext cx="679866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349</xdr:row>
      <xdr:rowOff>61912</xdr:rowOff>
    </xdr:from>
    <xdr:ext cx="935449" cy="3992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1" name="TextBox 140"/>
            <xdr:cNvSpPr txBox="1"/>
          </xdr:nvSpPr>
          <xdr:spPr>
            <a:xfrm>
              <a:off x="1228725" y="83586637"/>
              <a:ext cx="935449" cy="3992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𝑆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∆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num>
                      <m:den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𝜕</m:t>
                            </m:r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  <m:sub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우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1" name="TextBox 140"/>
            <xdr:cNvSpPr txBox="1"/>
          </xdr:nvSpPr>
          <xdr:spPr>
            <a:xfrm>
              <a:off x="1228725" y="83586637"/>
              <a:ext cx="935449" cy="3992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𝑐_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𝑆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𝜕∆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𝑆/〖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𝜕∆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𝑆〗_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우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235</xdr:row>
      <xdr:rowOff>61912</xdr:rowOff>
    </xdr:from>
    <xdr:ext cx="952697" cy="3992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2" name="TextBox 141"/>
            <xdr:cNvSpPr txBox="1"/>
          </xdr:nvSpPr>
          <xdr:spPr>
            <a:xfrm>
              <a:off x="1228725" y="56354662"/>
              <a:ext cx="952697" cy="3992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∆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num>
                      <m:den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𝜕</m:t>
                            </m:r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우</m:t>
                            </m:r>
                          </m:sub>
                        </m:sSub>
                      </m:den>
                    </m:f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2" name="TextBox 141"/>
            <xdr:cNvSpPr txBox="1"/>
          </xdr:nvSpPr>
          <xdr:spPr>
            <a:xfrm>
              <a:off x="1228725" y="56354662"/>
              <a:ext cx="952697" cy="3992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𝑐_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𝑑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𝜕∆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𝑑/〖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𝜕∆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𝑑〗_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우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</a:t>
              </a:r>
              <a:r>
                <a:rPr lang="en-US" altLang="ko-KR" sz="110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246</xdr:row>
      <xdr:rowOff>61912</xdr:rowOff>
    </xdr:from>
    <xdr:ext cx="952697" cy="3969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3" name="TextBox 142"/>
            <xdr:cNvSpPr txBox="1"/>
          </xdr:nvSpPr>
          <xdr:spPr>
            <a:xfrm>
              <a:off x="1228725" y="58974037"/>
              <a:ext cx="952697" cy="396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∆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num>
                      <m:den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𝜕</m:t>
                            </m:r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전</m:t>
                            </m:r>
                          </m:sub>
                        </m:sSub>
                      </m:den>
                    </m:f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3" name="TextBox 142"/>
            <xdr:cNvSpPr txBox="1"/>
          </xdr:nvSpPr>
          <xdr:spPr>
            <a:xfrm>
              <a:off x="1228725" y="58974037"/>
              <a:ext cx="952697" cy="396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𝑐_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𝑑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𝜕∆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𝑑/〖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𝜕∆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𝑑〗_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전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</a:t>
              </a:r>
              <a:r>
                <a:rPr lang="en-US" altLang="ko-KR" sz="110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360</xdr:row>
      <xdr:rowOff>61912</xdr:rowOff>
    </xdr:from>
    <xdr:ext cx="935449" cy="3969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4" name="TextBox 143"/>
            <xdr:cNvSpPr txBox="1"/>
          </xdr:nvSpPr>
          <xdr:spPr>
            <a:xfrm>
              <a:off x="1228725" y="86206012"/>
              <a:ext cx="935449" cy="396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𝑆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∆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num>
                      <m:den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𝜕</m:t>
                            </m:r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  <m:sub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전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4" name="TextBox 143"/>
            <xdr:cNvSpPr txBox="1"/>
          </xdr:nvSpPr>
          <xdr:spPr>
            <a:xfrm>
              <a:off x="1228725" y="86206012"/>
              <a:ext cx="935449" cy="396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𝑐_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𝑆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𝜕∆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𝑆/〖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𝜕∆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𝑆〗_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전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28575</xdr:colOff>
      <xdr:row>367</xdr:row>
      <xdr:rowOff>233362</xdr:rowOff>
    </xdr:from>
    <xdr:ext cx="1475789" cy="2049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5" name="TextBox 144"/>
            <xdr:cNvSpPr txBox="1"/>
          </xdr:nvSpPr>
          <xdr:spPr>
            <a:xfrm>
              <a:off x="2162175" y="88044337"/>
              <a:ext cx="1475789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             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             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45" name="TextBox 144"/>
            <xdr:cNvSpPr txBox="1"/>
          </xdr:nvSpPr>
          <xdr:spPr>
            <a:xfrm>
              <a:off x="2162175" y="88044337"/>
              <a:ext cx="1475789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√((             )^2+(             )^2 )</a:t>
              </a:r>
              <a:endParaRPr lang="ko-KR" altLang="en-US" sz="1100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9525</xdr:colOff>
      <xdr:row>370</xdr:row>
      <xdr:rowOff>61912</xdr:rowOff>
    </xdr:from>
    <xdr:ext cx="935449" cy="4013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6" name="TextBox 145"/>
            <xdr:cNvSpPr txBox="1"/>
          </xdr:nvSpPr>
          <xdr:spPr>
            <a:xfrm>
              <a:off x="1228725" y="88587262"/>
              <a:ext cx="935449" cy="4013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𝑆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∆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num>
                      <m:den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𝜕</m:t>
                            </m:r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  <m:sub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게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6" name="TextBox 145"/>
            <xdr:cNvSpPr txBox="1"/>
          </xdr:nvSpPr>
          <xdr:spPr>
            <a:xfrm>
              <a:off x="1228725" y="88587262"/>
              <a:ext cx="935449" cy="4013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𝑐_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𝑆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𝜕∆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𝑆/〖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𝜕∆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𝑆〗_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게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382</xdr:row>
      <xdr:rowOff>61912</xdr:rowOff>
    </xdr:from>
    <xdr:ext cx="935449" cy="3994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7" name="TextBox 146"/>
            <xdr:cNvSpPr txBox="1"/>
          </xdr:nvSpPr>
          <xdr:spPr>
            <a:xfrm>
              <a:off x="1228725" y="91444762"/>
              <a:ext cx="935449" cy="3994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𝑆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∆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num>
                      <m:den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𝜕</m:t>
                            </m:r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  <m:sub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정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7" name="TextBox 146"/>
            <xdr:cNvSpPr txBox="1"/>
          </xdr:nvSpPr>
          <xdr:spPr>
            <a:xfrm>
              <a:off x="1228725" y="91444762"/>
              <a:ext cx="935449" cy="3994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𝑐_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𝑆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𝜕∆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𝑆/〖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𝜕∆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𝑆〗_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=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52"/>
  <sheetViews>
    <sheetView showGridLines="0" tabSelected="1" zoomScaleNormal="100" zoomScaleSheetLayoutView="115" workbookViewId="0">
      <selection sqref="A1:J1"/>
    </sheetView>
  </sheetViews>
  <sheetFormatPr defaultColWidth="8.109375" defaultRowHeight="12.95" customHeight="1"/>
  <cols>
    <col min="1" max="11" width="8.109375" style="1" customWidth="1"/>
    <col min="12" max="16384" width="8.109375" style="1"/>
  </cols>
  <sheetData>
    <row r="1" spans="1:13" ht="51.95" customHeight="1">
      <c r="A1" s="341" t="s">
        <v>0</v>
      </c>
      <c r="B1" s="342"/>
      <c r="C1" s="342"/>
      <c r="D1" s="342"/>
      <c r="E1" s="342"/>
      <c r="F1" s="342"/>
      <c r="G1" s="342"/>
      <c r="H1" s="343"/>
      <c r="I1" s="344"/>
      <c r="J1" s="345"/>
    </row>
    <row r="2" spans="1:13" ht="12.95" customHeight="1">
      <c r="A2" s="346" t="s">
        <v>1</v>
      </c>
      <c r="B2" s="346"/>
      <c r="C2" s="346"/>
      <c r="D2" s="346"/>
      <c r="E2" s="346"/>
      <c r="F2" s="346"/>
      <c r="G2" s="346"/>
      <c r="H2" s="346"/>
      <c r="I2" s="346"/>
      <c r="J2" s="346"/>
    </row>
    <row r="3" spans="1:13" ht="12.95" customHeight="1">
      <c r="A3" s="338" t="s">
        <v>2</v>
      </c>
      <c r="B3" s="335"/>
      <c r="C3" s="347"/>
      <c r="D3" s="347"/>
      <c r="E3" s="347"/>
      <c r="F3" s="335" t="s">
        <v>3</v>
      </c>
      <c r="G3" s="335"/>
      <c r="H3" s="348"/>
      <c r="I3" s="337"/>
      <c r="J3" s="337"/>
    </row>
    <row r="4" spans="1:13" ht="12.95" customHeight="1">
      <c r="A4" s="335" t="s">
        <v>4</v>
      </c>
      <c r="B4" s="335"/>
      <c r="C4" s="336"/>
      <c r="D4" s="335"/>
      <c r="E4" s="335"/>
      <c r="F4" s="335" t="s">
        <v>5</v>
      </c>
      <c r="G4" s="335"/>
      <c r="H4" s="335"/>
      <c r="I4" s="337"/>
      <c r="J4" s="337"/>
    </row>
    <row r="5" spans="1:13" ht="12.95" customHeight="1">
      <c r="A5" s="335" t="s">
        <v>6</v>
      </c>
      <c r="B5" s="335"/>
      <c r="C5" s="335"/>
      <c r="D5" s="337"/>
      <c r="E5" s="337"/>
      <c r="F5" s="338" t="s">
        <v>7</v>
      </c>
      <c r="G5" s="335"/>
      <c r="H5" s="339"/>
      <c r="I5" s="340"/>
      <c r="J5" s="340"/>
    </row>
    <row r="6" spans="1:13" ht="12.95" customHeight="1">
      <c r="A6" s="335" t="s">
        <v>8</v>
      </c>
      <c r="B6" s="335"/>
      <c r="C6" s="335"/>
      <c r="D6" s="337"/>
      <c r="E6" s="337"/>
      <c r="F6" s="338" t="s">
        <v>9</v>
      </c>
      <c r="G6" s="335"/>
      <c r="H6" s="339"/>
      <c r="I6" s="340"/>
      <c r="J6" s="340"/>
    </row>
    <row r="7" spans="1:13" ht="12.95" customHeight="1">
      <c r="A7" s="335" t="s">
        <v>10</v>
      </c>
      <c r="B7" s="335"/>
      <c r="C7" s="350"/>
      <c r="D7" s="337"/>
      <c r="E7" s="337"/>
      <c r="F7" s="338" t="s">
        <v>11</v>
      </c>
      <c r="G7" s="335"/>
      <c r="H7" s="335"/>
      <c r="I7" s="337"/>
      <c r="J7" s="337"/>
    </row>
    <row r="8" spans="1:13" ht="12.95" customHeight="1">
      <c r="A8" s="335" t="s">
        <v>12</v>
      </c>
      <c r="B8" s="335"/>
      <c r="C8" s="348"/>
      <c r="D8" s="349"/>
      <c r="E8" s="349"/>
      <c r="F8" s="338" t="s">
        <v>13</v>
      </c>
      <c r="G8" s="335"/>
      <c r="H8" s="335"/>
      <c r="I8" s="337"/>
      <c r="J8" s="337"/>
    </row>
    <row r="9" spans="1:13" ht="12.95" customHeight="1">
      <c r="A9" s="338" t="s">
        <v>35</v>
      </c>
      <c r="B9" s="335"/>
      <c r="C9" s="339"/>
      <c r="D9" s="340"/>
      <c r="E9" s="340"/>
      <c r="F9" s="351" t="s">
        <v>14</v>
      </c>
      <c r="G9" s="351"/>
      <c r="H9" s="339"/>
      <c r="I9" s="340"/>
      <c r="J9" s="340"/>
    </row>
    <row r="10" spans="1:13" ht="23.25" customHeight="1">
      <c r="A10" s="335" t="s">
        <v>15</v>
      </c>
      <c r="B10" s="335"/>
      <c r="C10" s="339"/>
      <c r="D10" s="340"/>
      <c r="E10" s="340"/>
      <c r="F10" s="335" t="s">
        <v>16</v>
      </c>
      <c r="G10" s="335"/>
      <c r="H10" s="34"/>
      <c r="I10" s="359" t="s">
        <v>17</v>
      </c>
      <c r="J10" s="360"/>
      <c r="K10" s="4"/>
    </row>
    <row r="11" spans="1:13" ht="12.95" customHeight="1">
      <c r="A11" s="346" t="s">
        <v>18</v>
      </c>
      <c r="B11" s="346"/>
      <c r="C11" s="346"/>
      <c r="D11" s="346"/>
      <c r="E11" s="346"/>
      <c r="F11" s="346"/>
      <c r="G11" s="346"/>
      <c r="H11" s="346"/>
      <c r="I11" s="346"/>
      <c r="J11" s="346"/>
      <c r="K11" s="5"/>
    </row>
    <row r="12" spans="1:13" ht="17.25" customHeight="1">
      <c r="A12" s="3" t="s">
        <v>19</v>
      </c>
      <c r="B12" s="73"/>
      <c r="C12" s="6" t="s">
        <v>20</v>
      </c>
      <c r="D12" s="74"/>
      <c r="E12" s="6" t="s">
        <v>21</v>
      </c>
      <c r="F12" s="75"/>
      <c r="G12" s="361" t="s">
        <v>22</v>
      </c>
      <c r="H12" s="357"/>
      <c r="I12" s="363" t="s">
        <v>23</v>
      </c>
      <c r="J12" s="364"/>
      <c r="K12" s="4"/>
      <c r="L12" s="7"/>
      <c r="M12" s="7"/>
    </row>
    <row r="13" spans="1:13" ht="17.25" customHeight="1">
      <c r="A13" s="8" t="s">
        <v>24</v>
      </c>
      <c r="B13" s="73"/>
      <c r="C13" s="8" t="s">
        <v>25</v>
      </c>
      <c r="D13" s="74"/>
      <c r="E13" s="6" t="s">
        <v>26</v>
      </c>
      <c r="F13" s="75"/>
      <c r="G13" s="362"/>
      <c r="H13" s="358"/>
      <c r="I13" s="365"/>
      <c r="J13" s="366"/>
      <c r="K13" s="5"/>
    </row>
    <row r="14" spans="1:13" ht="12.95" customHeight="1">
      <c r="A14" s="346" t="s">
        <v>27</v>
      </c>
      <c r="B14" s="346"/>
      <c r="C14" s="346"/>
      <c r="D14" s="346"/>
      <c r="E14" s="346"/>
      <c r="F14" s="346"/>
      <c r="G14" s="346"/>
      <c r="H14" s="346"/>
      <c r="I14" s="346"/>
      <c r="J14" s="346"/>
      <c r="K14" s="5"/>
    </row>
    <row r="15" spans="1:13" ht="39" customHeight="1">
      <c r="A15" s="354"/>
      <c r="B15" s="355"/>
      <c r="C15" s="355"/>
      <c r="D15" s="355"/>
      <c r="E15" s="355"/>
      <c r="F15" s="355"/>
      <c r="G15" s="355"/>
      <c r="H15" s="355"/>
      <c r="I15" s="355"/>
      <c r="J15" s="356"/>
    </row>
    <row r="16" spans="1:13" ht="12.95" customHeight="1">
      <c r="A16" s="346" t="s">
        <v>28</v>
      </c>
      <c r="B16" s="346"/>
      <c r="C16" s="346"/>
      <c r="D16" s="346"/>
      <c r="E16" s="346"/>
      <c r="F16" s="346"/>
      <c r="G16" s="346"/>
      <c r="H16" s="346"/>
      <c r="I16" s="346"/>
      <c r="J16" s="346"/>
    </row>
    <row r="17" spans="1:12" ht="12.95" customHeight="1">
      <c r="A17" s="3" t="s">
        <v>29</v>
      </c>
      <c r="B17" s="338" t="s">
        <v>30</v>
      </c>
      <c r="C17" s="335"/>
      <c r="D17" s="335"/>
      <c r="E17" s="335"/>
      <c r="F17" s="338" t="s">
        <v>31</v>
      </c>
      <c r="G17" s="335"/>
      <c r="H17" s="3" t="s">
        <v>10</v>
      </c>
      <c r="I17" s="2" t="s">
        <v>32</v>
      </c>
      <c r="J17" s="2" t="s">
        <v>33</v>
      </c>
      <c r="L17" s="5"/>
    </row>
    <row r="18" spans="1:12" ht="12.95" customHeight="1">
      <c r="A18" s="35"/>
      <c r="B18" s="352"/>
      <c r="C18" s="353"/>
      <c r="D18" s="353"/>
      <c r="E18" s="353"/>
      <c r="F18" s="352"/>
      <c r="G18" s="353"/>
      <c r="H18" s="40"/>
      <c r="I18" s="18"/>
      <c r="J18" s="72"/>
      <c r="L18" s="5"/>
    </row>
    <row r="19" spans="1:12" ht="12.95" customHeight="1">
      <c r="A19" s="35"/>
      <c r="B19" s="352"/>
      <c r="C19" s="353"/>
      <c r="D19" s="353"/>
      <c r="E19" s="353"/>
      <c r="F19" s="352"/>
      <c r="G19" s="353"/>
      <c r="H19" s="21"/>
      <c r="I19" s="21"/>
      <c r="J19" s="72"/>
      <c r="L19" s="5"/>
    </row>
    <row r="20" spans="1:12" ht="12.95" customHeight="1">
      <c r="A20" s="35"/>
      <c r="B20" s="352"/>
      <c r="C20" s="353"/>
      <c r="D20" s="353"/>
      <c r="E20" s="353"/>
      <c r="F20" s="352"/>
      <c r="G20" s="353"/>
      <c r="H20" s="32"/>
      <c r="I20" s="32"/>
      <c r="J20" s="72"/>
      <c r="L20" s="5"/>
    </row>
    <row r="21" spans="1:12" ht="12.95" customHeight="1">
      <c r="A21" s="35"/>
      <c r="B21" s="352"/>
      <c r="C21" s="353"/>
      <c r="D21" s="353"/>
      <c r="E21" s="353"/>
      <c r="F21" s="352"/>
      <c r="G21" s="353"/>
      <c r="H21" s="32"/>
      <c r="I21" s="9"/>
      <c r="J21" s="72"/>
      <c r="L21" s="5"/>
    </row>
    <row r="22" spans="1:12" ht="12.95" customHeight="1">
      <c r="A22" s="35"/>
      <c r="B22" s="352"/>
      <c r="C22" s="353"/>
      <c r="D22" s="353"/>
      <c r="E22" s="353"/>
      <c r="F22" s="352"/>
      <c r="G22" s="353"/>
      <c r="H22" s="20"/>
      <c r="I22" s="11"/>
      <c r="J22" s="72"/>
      <c r="L22" s="5"/>
    </row>
    <row r="23" spans="1:12" ht="12.95" customHeight="1">
      <c r="A23" s="35"/>
      <c r="B23" s="352"/>
      <c r="C23" s="353"/>
      <c r="D23" s="353"/>
      <c r="E23" s="353"/>
      <c r="F23" s="352"/>
      <c r="G23" s="353"/>
      <c r="H23" s="11"/>
      <c r="I23" s="9"/>
      <c r="J23" s="72"/>
      <c r="L23" s="5"/>
    </row>
    <row r="24" spans="1:12" ht="12.95" customHeight="1">
      <c r="A24" s="35"/>
      <c r="B24" s="352"/>
      <c r="C24" s="353"/>
      <c r="D24" s="353"/>
      <c r="E24" s="353"/>
      <c r="F24" s="352"/>
      <c r="G24" s="353"/>
      <c r="H24" s="16"/>
      <c r="I24" s="9"/>
      <c r="J24" s="72"/>
      <c r="L24" s="5"/>
    </row>
    <row r="25" spans="1:12" ht="12.95" customHeight="1">
      <c r="A25" s="35"/>
      <c r="B25" s="352"/>
      <c r="C25" s="353"/>
      <c r="D25" s="353"/>
      <c r="E25" s="353"/>
      <c r="F25" s="352"/>
      <c r="G25" s="353"/>
      <c r="H25" s="16"/>
      <c r="I25" s="9"/>
      <c r="J25" s="72"/>
      <c r="L25" s="5"/>
    </row>
    <row r="26" spans="1:12" ht="12.95" customHeight="1">
      <c r="A26" s="35"/>
      <c r="B26" s="352"/>
      <c r="C26" s="353"/>
      <c r="D26" s="353"/>
      <c r="E26" s="353"/>
      <c r="F26" s="352"/>
      <c r="G26" s="353"/>
      <c r="H26" s="16"/>
      <c r="I26" s="9"/>
      <c r="J26" s="72"/>
      <c r="L26" s="5"/>
    </row>
    <row r="27" spans="1:12" ht="12.95" customHeight="1">
      <c r="A27" s="35"/>
      <c r="B27" s="352"/>
      <c r="C27" s="353"/>
      <c r="D27" s="353"/>
      <c r="E27" s="353"/>
      <c r="F27" s="352"/>
      <c r="G27" s="353"/>
      <c r="H27" s="9"/>
      <c r="I27" s="9"/>
      <c r="J27" s="72"/>
    </row>
    <row r="28" spans="1:12" ht="12.95" customHeight="1">
      <c r="A28" s="35"/>
      <c r="B28" s="352"/>
      <c r="C28" s="353"/>
      <c r="D28" s="353"/>
      <c r="E28" s="353"/>
      <c r="F28" s="352"/>
      <c r="G28" s="353"/>
      <c r="H28" s="9"/>
      <c r="I28" s="9"/>
      <c r="J28" s="72"/>
    </row>
    <row r="29" spans="1:12" ht="12.95" customHeight="1">
      <c r="A29" s="35"/>
      <c r="B29" s="352"/>
      <c r="C29" s="353"/>
      <c r="D29" s="353"/>
      <c r="E29" s="353"/>
      <c r="F29" s="352"/>
      <c r="G29" s="353"/>
      <c r="H29" s="9"/>
      <c r="I29" s="9"/>
      <c r="J29" s="72"/>
    </row>
    <row r="30" spans="1:12" ht="12.95" customHeight="1">
      <c r="A30" s="35"/>
      <c r="B30" s="352"/>
      <c r="C30" s="353"/>
      <c r="D30" s="353"/>
      <c r="E30" s="353"/>
      <c r="F30" s="352"/>
      <c r="G30" s="353"/>
      <c r="H30" s="9"/>
      <c r="I30" s="9"/>
      <c r="J30" s="72"/>
    </row>
    <row r="31" spans="1:12" ht="12.95" customHeight="1">
      <c r="A31" s="35"/>
      <c r="B31" s="352"/>
      <c r="C31" s="353"/>
      <c r="D31" s="353"/>
      <c r="E31" s="353"/>
      <c r="F31" s="352"/>
      <c r="G31" s="353"/>
      <c r="H31" s="9"/>
      <c r="I31" s="9"/>
      <c r="J31" s="72"/>
    </row>
    <row r="32" spans="1:12" ht="12.95" customHeight="1">
      <c r="A32" s="35"/>
      <c r="B32" s="352"/>
      <c r="C32" s="353"/>
      <c r="D32" s="353"/>
      <c r="E32" s="353"/>
      <c r="F32" s="352"/>
      <c r="G32" s="353"/>
      <c r="H32" s="9"/>
      <c r="I32" s="9"/>
      <c r="J32" s="72"/>
    </row>
    <row r="33" spans="1:10" ht="12.95" customHeight="1">
      <c r="A33" s="35"/>
      <c r="B33" s="352"/>
      <c r="C33" s="353"/>
      <c r="D33" s="353"/>
      <c r="E33" s="353"/>
      <c r="F33" s="352"/>
      <c r="G33" s="353"/>
      <c r="H33" s="9"/>
      <c r="I33" s="9"/>
      <c r="J33" s="72"/>
    </row>
    <row r="34" spans="1:10" ht="12.95" customHeight="1">
      <c r="A34" s="35"/>
      <c r="B34" s="352"/>
      <c r="C34" s="353"/>
      <c r="D34" s="353"/>
      <c r="E34" s="353"/>
      <c r="F34" s="352"/>
      <c r="G34" s="353"/>
      <c r="H34" s="9"/>
      <c r="I34" s="9"/>
      <c r="J34" s="72"/>
    </row>
    <row r="35" spans="1:10" ht="12.95" customHeight="1">
      <c r="A35" s="35"/>
      <c r="B35" s="352"/>
      <c r="C35" s="353"/>
      <c r="D35" s="353"/>
      <c r="E35" s="353"/>
      <c r="F35" s="352"/>
      <c r="G35" s="353"/>
      <c r="H35" s="9"/>
      <c r="I35" s="9"/>
      <c r="J35" s="72"/>
    </row>
    <row r="36" spans="1:10" ht="12.95" customHeight="1">
      <c r="A36" s="35"/>
      <c r="B36" s="352"/>
      <c r="C36" s="353"/>
      <c r="D36" s="353"/>
      <c r="E36" s="353"/>
      <c r="F36" s="352"/>
      <c r="G36" s="353"/>
      <c r="H36" s="9"/>
      <c r="I36" s="9"/>
      <c r="J36" s="72"/>
    </row>
    <row r="37" spans="1:10" ht="12.95" customHeight="1">
      <c r="A37" s="35"/>
      <c r="B37" s="352"/>
      <c r="C37" s="353"/>
      <c r="D37" s="353"/>
      <c r="E37" s="353"/>
      <c r="F37" s="352"/>
      <c r="G37" s="353"/>
      <c r="H37" s="9"/>
      <c r="I37" s="9"/>
      <c r="J37" s="72"/>
    </row>
    <row r="38" spans="1:10" ht="12.95" customHeight="1">
      <c r="A38" s="39" t="s">
        <v>36</v>
      </c>
      <c r="B38" s="5"/>
      <c r="C38" s="5"/>
      <c r="D38" s="5"/>
      <c r="E38" s="5"/>
      <c r="J38" s="10"/>
    </row>
    <row r="39" spans="1:10" ht="12.95" customHeight="1">
      <c r="A39" s="376" t="s">
        <v>37</v>
      </c>
      <c r="B39" s="376"/>
      <c r="C39" s="376"/>
      <c r="D39" s="376"/>
      <c r="E39" s="376"/>
      <c r="F39" s="379" t="s">
        <v>38</v>
      </c>
      <c r="G39" s="367"/>
      <c r="H39" s="368"/>
      <c r="I39" s="368"/>
      <c r="J39" s="369"/>
    </row>
    <row r="40" spans="1:10" ht="12.95" customHeight="1">
      <c r="A40" s="376" t="s">
        <v>39</v>
      </c>
      <c r="B40" s="376"/>
      <c r="C40" s="376"/>
      <c r="D40" s="376"/>
      <c r="E40" s="376"/>
      <c r="F40" s="380"/>
      <c r="G40" s="370"/>
      <c r="H40" s="371"/>
      <c r="I40" s="371"/>
      <c r="J40" s="372"/>
    </row>
    <row r="41" spans="1:10" ht="12.95" customHeight="1">
      <c r="A41" s="376" t="s">
        <v>40</v>
      </c>
      <c r="B41" s="376"/>
      <c r="C41" s="376"/>
      <c r="D41" s="376"/>
      <c r="E41" s="376"/>
      <c r="F41" s="380"/>
      <c r="G41" s="370"/>
      <c r="H41" s="371"/>
      <c r="I41" s="371"/>
      <c r="J41" s="372"/>
    </row>
    <row r="42" spans="1:10" ht="12.95" customHeight="1">
      <c r="A42" s="376" t="s">
        <v>41</v>
      </c>
      <c r="B42" s="376"/>
      <c r="C42" s="377" t="s">
        <v>42</v>
      </c>
      <c r="D42" s="377"/>
      <c r="E42" s="377"/>
      <c r="F42" s="381"/>
      <c r="G42" s="373"/>
      <c r="H42" s="374"/>
      <c r="I42" s="374"/>
      <c r="J42" s="375"/>
    </row>
    <row r="43" spans="1:10" ht="12.95" customHeight="1">
      <c r="A43" s="378" t="s">
        <v>51</v>
      </c>
      <c r="B43" s="378"/>
      <c r="C43" s="378" t="str">
        <f ca="1">Calcu!I4</f>
        <v/>
      </c>
      <c r="D43" s="378"/>
      <c r="E43" s="378"/>
    </row>
    <row r="46" spans="1:10" ht="12.95" customHeight="1">
      <c r="B46" s="1" t="s">
        <v>261</v>
      </c>
    </row>
    <row r="47" spans="1:10" ht="12.95" customHeight="1">
      <c r="B47" s="1" t="s">
        <v>262</v>
      </c>
    </row>
    <row r="48" spans="1:10" ht="12.95" customHeight="1">
      <c r="A48" s="1">
        <f>Calcu!M158</f>
        <v>36200</v>
      </c>
      <c r="B48" s="1" t="s">
        <v>263</v>
      </c>
    </row>
    <row r="49" spans="1:2" ht="12.95" customHeight="1">
      <c r="A49" s="89"/>
    </row>
    <row r="50" spans="1:2" ht="12.95" customHeight="1">
      <c r="A50" s="1" t="str">
        <f>Calcu!J4</f>
        <v>PASS</v>
      </c>
      <c r="B50" s="1" t="s">
        <v>264</v>
      </c>
    </row>
    <row r="52" spans="1:2" ht="12.95" customHeight="1">
      <c r="B52" s="1" t="s">
        <v>291</v>
      </c>
    </row>
  </sheetData>
  <sheetProtection selectLockedCells="1"/>
  <mergeCells count="95">
    <mergeCell ref="A43:B43"/>
    <mergeCell ref="C43:E43"/>
    <mergeCell ref="A39:B39"/>
    <mergeCell ref="C39:E39"/>
    <mergeCell ref="F39:F42"/>
    <mergeCell ref="G39:J42"/>
    <mergeCell ref="A40:B40"/>
    <mergeCell ref="C40:E40"/>
    <mergeCell ref="A41:B41"/>
    <mergeCell ref="C41:E41"/>
    <mergeCell ref="A42:B42"/>
    <mergeCell ref="C42:E42"/>
    <mergeCell ref="B23:E23"/>
    <mergeCell ref="F23:G23"/>
    <mergeCell ref="F26:G26"/>
    <mergeCell ref="B37:E37"/>
    <mergeCell ref="F37:G37"/>
    <mergeCell ref="B34:E34"/>
    <mergeCell ref="F34:G34"/>
    <mergeCell ref="B35:E35"/>
    <mergeCell ref="B36:E36"/>
    <mergeCell ref="F35:G35"/>
    <mergeCell ref="F36:G36"/>
    <mergeCell ref="B33:E33"/>
    <mergeCell ref="F33:G33"/>
    <mergeCell ref="B28:E28"/>
    <mergeCell ref="F28:G28"/>
    <mergeCell ref="F31:G31"/>
    <mergeCell ref="B32:E32"/>
    <mergeCell ref="F32:G32"/>
    <mergeCell ref="B31:E31"/>
    <mergeCell ref="F24:G24"/>
    <mergeCell ref="B25:E25"/>
    <mergeCell ref="F25:G25"/>
    <mergeCell ref="B26:E26"/>
    <mergeCell ref="B27:E27"/>
    <mergeCell ref="F27:G27"/>
    <mergeCell ref="B29:E29"/>
    <mergeCell ref="F29:G29"/>
    <mergeCell ref="B30:E30"/>
    <mergeCell ref="B24:E24"/>
    <mergeCell ref="F30:G30"/>
    <mergeCell ref="A15:J15"/>
    <mergeCell ref="A16:J16"/>
    <mergeCell ref="B17:E17"/>
    <mergeCell ref="H9:J9"/>
    <mergeCell ref="F17:G17"/>
    <mergeCell ref="C10:E10"/>
    <mergeCell ref="A10:B10"/>
    <mergeCell ref="H12:H13"/>
    <mergeCell ref="A14:J14"/>
    <mergeCell ref="I10:J10"/>
    <mergeCell ref="A11:J11"/>
    <mergeCell ref="G12:G13"/>
    <mergeCell ref="I12:J13"/>
    <mergeCell ref="B22:E22"/>
    <mergeCell ref="F22:G22"/>
    <mergeCell ref="B20:E20"/>
    <mergeCell ref="F18:G18"/>
    <mergeCell ref="F19:G19"/>
    <mergeCell ref="B18:E18"/>
    <mergeCell ref="B19:E19"/>
    <mergeCell ref="F20:G20"/>
    <mergeCell ref="B21:E21"/>
    <mergeCell ref="F21:G21"/>
    <mergeCell ref="A6:B6"/>
    <mergeCell ref="C6:E6"/>
    <mergeCell ref="F6:G6"/>
    <mergeCell ref="H6:J6"/>
    <mergeCell ref="F10:G10"/>
    <mergeCell ref="A8:B8"/>
    <mergeCell ref="C8:E8"/>
    <mergeCell ref="F8:G8"/>
    <mergeCell ref="H8:J8"/>
    <mergeCell ref="A9:B9"/>
    <mergeCell ref="A7:B7"/>
    <mergeCell ref="C7:E7"/>
    <mergeCell ref="F7:G7"/>
    <mergeCell ref="H7:J7"/>
    <mergeCell ref="C9:E9"/>
    <mergeCell ref="F9:G9"/>
    <mergeCell ref="A1:J1"/>
    <mergeCell ref="A2:J2"/>
    <mergeCell ref="A3:B3"/>
    <mergeCell ref="C3:E3"/>
    <mergeCell ref="F3:G3"/>
    <mergeCell ref="H3:J3"/>
    <mergeCell ref="A4:B4"/>
    <mergeCell ref="C4:E4"/>
    <mergeCell ref="F4:G4"/>
    <mergeCell ref="H4:J4"/>
    <mergeCell ref="A5:B5"/>
    <mergeCell ref="C5:E5"/>
    <mergeCell ref="F5:G5"/>
    <mergeCell ref="H5:J5"/>
  </mergeCells>
  <phoneticPr fontId="4" type="noConversion"/>
  <dataValidations disablePrompts="1" count="1">
    <dataValidation type="list" allowBlank="1" showInputMessage="1" showErrorMessage="1" sqref="C42:E42">
      <formula1>"확인전,확인완료,수정"</formula1>
    </dataValidation>
  </dataValidations>
  <pageMargins left="0.39370078740157483" right="0.35433070866141736" top="0.39370078740157483" bottom="0.59055118110236227" header="0" footer="0.31496062992125984"/>
  <pageSetup paperSize="9" orientation="portrait" r:id="rId1"/>
  <headerFooter alignWithMargins="0">
    <oddFooter>&amp;R&amp;"휴먼엑스포,보통"&amp;9(주)에이치시티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J1"/>
  <sheetViews>
    <sheetView workbookViewId="0"/>
  </sheetViews>
  <sheetFormatPr defaultColWidth="8.88671875" defaultRowHeight="12"/>
  <cols>
    <col min="1" max="1" width="4.44140625" style="81" bestFit="1" customWidth="1"/>
    <col min="2" max="2" width="6.6640625" style="81" bestFit="1" customWidth="1"/>
    <col min="3" max="3" width="14.21875" style="81" bestFit="1" customWidth="1"/>
    <col min="4" max="4" width="4.88671875" style="81" bestFit="1" customWidth="1"/>
    <col min="5" max="13" width="1.77734375" style="81" customWidth="1"/>
    <col min="14" max="15" width="5.33203125" style="81" bestFit="1" customWidth="1"/>
    <col min="16" max="16" width="6" style="81" bestFit="1" customWidth="1"/>
    <col min="17" max="17" width="4" style="81" bestFit="1" customWidth="1"/>
    <col min="18" max="18" width="5.33203125" style="81" bestFit="1" customWidth="1"/>
    <col min="19" max="19" width="4" style="81" bestFit="1" customWidth="1"/>
    <col min="20" max="21" width="6.5546875" style="81" bestFit="1" customWidth="1"/>
    <col min="22" max="22" width="8.44140625" style="81" bestFit="1" customWidth="1"/>
    <col min="23" max="23" width="6.6640625" style="81" bestFit="1" customWidth="1"/>
    <col min="24" max="24" width="4" style="81" bestFit="1" customWidth="1"/>
    <col min="25" max="34" width="1.77734375" style="81" customWidth="1"/>
    <col min="35" max="35" width="7.5546875" style="81" bestFit="1" customWidth="1"/>
    <col min="36" max="36" width="7.21875" style="81" bestFit="1" customWidth="1"/>
    <col min="37" max="16384" width="8.88671875" style="81"/>
  </cols>
  <sheetData>
    <row r="1" spans="1:36">
      <c r="A1" s="148" t="s">
        <v>84</v>
      </c>
      <c r="B1" s="148" t="s">
        <v>62</v>
      </c>
      <c r="C1" s="148" t="s">
        <v>63</v>
      </c>
      <c r="D1" s="148" t="s">
        <v>172</v>
      </c>
      <c r="E1" s="148"/>
      <c r="F1" s="148"/>
      <c r="G1" s="148"/>
      <c r="H1" s="148"/>
      <c r="I1" s="148"/>
      <c r="J1" s="148"/>
      <c r="K1" s="148"/>
      <c r="L1" s="148"/>
      <c r="M1" s="148"/>
      <c r="N1" s="148" t="s">
        <v>85</v>
      </c>
      <c r="O1" s="148" t="s">
        <v>86</v>
      </c>
      <c r="P1" s="148" t="s">
        <v>64</v>
      </c>
      <c r="Q1" s="148" t="s">
        <v>65</v>
      </c>
      <c r="R1" s="148" t="s">
        <v>66</v>
      </c>
      <c r="S1" s="148" t="s">
        <v>65</v>
      </c>
      <c r="T1" s="148" t="s">
        <v>67</v>
      </c>
      <c r="U1" s="148" t="s">
        <v>87</v>
      </c>
      <c r="V1" s="148" t="s">
        <v>68</v>
      </c>
      <c r="W1" s="148" t="s">
        <v>69</v>
      </c>
      <c r="X1" s="148" t="s">
        <v>88</v>
      </c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 t="s">
        <v>89</v>
      </c>
      <c r="AJ1" s="148" t="s">
        <v>143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7"/>
  <sheetViews>
    <sheetView zoomScaleNormal="100" workbookViewId="0"/>
  </sheetViews>
  <sheetFormatPr defaultColWidth="9" defaultRowHeight="17.100000000000001" customHeight="1"/>
  <cols>
    <col min="1" max="36" width="10.44140625" style="33" customWidth="1"/>
    <col min="37" max="16384" width="9" style="33"/>
  </cols>
  <sheetData>
    <row r="1" spans="1:36" s="12" customFormat="1" ht="33" customHeight="1">
      <c r="A1" s="15" t="s">
        <v>142</v>
      </c>
    </row>
    <row r="2" spans="1:36" s="12" customFormat="1" ht="17.100000000000001" customHeight="1">
      <c r="A2" s="17" t="s">
        <v>43</v>
      </c>
      <c r="B2" s="17"/>
      <c r="C2" s="17"/>
      <c r="D2" s="17"/>
      <c r="E2" s="17"/>
      <c r="G2" s="82" t="s">
        <v>61</v>
      </c>
      <c r="J2" s="82" t="s">
        <v>71</v>
      </c>
      <c r="N2" s="17" t="s">
        <v>44</v>
      </c>
      <c r="Q2" s="17" t="s">
        <v>237</v>
      </c>
      <c r="V2" s="17"/>
      <c r="AA2" s="17" t="s">
        <v>238</v>
      </c>
      <c r="AF2" s="17"/>
    </row>
    <row r="3" spans="1:36" s="12" customFormat="1" ht="13.5">
      <c r="A3" s="14" t="s">
        <v>173</v>
      </c>
      <c r="B3" s="14" t="s">
        <v>150</v>
      </c>
      <c r="C3" s="14" t="s">
        <v>82</v>
      </c>
      <c r="D3" s="14" t="s">
        <v>151</v>
      </c>
      <c r="E3" s="14" t="s">
        <v>152</v>
      </c>
      <c r="F3" s="14" t="s">
        <v>153</v>
      </c>
      <c r="G3" s="14" t="s">
        <v>54</v>
      </c>
      <c r="H3" s="14" t="s">
        <v>55</v>
      </c>
      <c r="I3" s="14" t="s">
        <v>50</v>
      </c>
      <c r="J3" s="13" t="s">
        <v>45</v>
      </c>
      <c r="K3" s="14" t="s">
        <v>60</v>
      </c>
      <c r="L3" s="14" t="s">
        <v>72</v>
      </c>
      <c r="M3" s="14" t="s">
        <v>46</v>
      </c>
      <c r="N3" s="14" t="s">
        <v>47</v>
      </c>
      <c r="O3" s="41" t="s">
        <v>48</v>
      </c>
      <c r="P3" s="41" t="s">
        <v>49</v>
      </c>
      <c r="Q3" s="41" t="s">
        <v>154</v>
      </c>
      <c r="R3" s="41" t="s">
        <v>155</v>
      </c>
      <c r="S3" s="41" t="s">
        <v>156</v>
      </c>
      <c r="T3" s="41" t="s">
        <v>157</v>
      </c>
      <c r="U3" s="41" t="s">
        <v>158</v>
      </c>
      <c r="V3" s="41" t="s">
        <v>159</v>
      </c>
      <c r="W3" s="41" t="s">
        <v>160</v>
      </c>
      <c r="X3" s="41" t="s">
        <v>161</v>
      </c>
      <c r="Y3" s="41" t="s">
        <v>162</v>
      </c>
      <c r="Z3" s="41" t="s">
        <v>163</v>
      </c>
      <c r="AA3" s="41" t="s">
        <v>154</v>
      </c>
      <c r="AB3" s="41" t="s">
        <v>155</v>
      </c>
      <c r="AC3" s="41" t="s">
        <v>156</v>
      </c>
      <c r="AD3" s="41" t="s">
        <v>157</v>
      </c>
      <c r="AE3" s="41" t="s">
        <v>158</v>
      </c>
      <c r="AF3" s="41" t="s">
        <v>159</v>
      </c>
      <c r="AG3" s="41" t="s">
        <v>160</v>
      </c>
      <c r="AH3" s="41" t="s">
        <v>161</v>
      </c>
      <c r="AI3" s="41" t="s">
        <v>162</v>
      </c>
      <c r="AJ3" s="41" t="s">
        <v>163</v>
      </c>
    </row>
    <row r="4" spans="1:36" s="12" customFormat="1" ht="16.5" customHeight="1">
      <c r="A4" s="143"/>
      <c r="B4" s="144"/>
      <c r="C4" s="144"/>
      <c r="D4" s="144"/>
      <c r="E4" s="144"/>
      <c r="F4" s="145"/>
      <c r="G4" s="23"/>
      <c r="H4" s="53"/>
      <c r="I4" s="42"/>
      <c r="J4" s="23"/>
      <c r="K4" s="23"/>
      <c r="L4" s="83"/>
      <c r="M4" s="42"/>
      <c r="N4" s="23"/>
      <c r="O4" s="23"/>
      <c r="P4" s="23"/>
      <c r="Q4" s="23"/>
      <c r="R4" s="23"/>
      <c r="S4" s="90"/>
      <c r="T4" s="90"/>
      <c r="U4" s="146"/>
      <c r="V4" s="146"/>
      <c r="W4" s="146"/>
      <c r="X4" s="146"/>
      <c r="Y4" s="146"/>
      <c r="Z4" s="23"/>
      <c r="AA4" s="23"/>
      <c r="AB4" s="23"/>
      <c r="AC4" s="90"/>
      <c r="AD4" s="90"/>
      <c r="AE4" s="146"/>
      <c r="AF4" s="146"/>
      <c r="AG4" s="146"/>
      <c r="AH4" s="146"/>
      <c r="AI4" s="146"/>
      <c r="AJ4" s="23"/>
    </row>
    <row r="5" spans="1:36" s="12" customFormat="1" ht="16.5" customHeight="1">
      <c r="A5" s="143"/>
      <c r="B5" s="144"/>
      <c r="C5" s="144"/>
      <c r="D5" s="144"/>
      <c r="E5" s="144"/>
      <c r="F5" s="145"/>
      <c r="G5" s="23"/>
      <c r="H5" s="53"/>
      <c r="I5" s="42"/>
      <c r="J5" s="23"/>
      <c r="K5" s="23"/>
      <c r="L5" s="83"/>
      <c r="M5" s="42"/>
      <c r="N5" s="23"/>
      <c r="O5" s="24"/>
      <c r="P5" s="24"/>
      <c r="Q5" s="24"/>
      <c r="R5" s="24"/>
      <c r="S5" s="91"/>
      <c r="T5" s="91"/>
      <c r="U5" s="147"/>
      <c r="V5" s="147"/>
      <c r="W5" s="147"/>
      <c r="X5" s="147"/>
      <c r="Y5" s="147"/>
      <c r="Z5" s="24"/>
      <c r="AA5" s="24"/>
      <c r="AB5" s="24"/>
      <c r="AC5" s="91"/>
      <c r="AD5" s="91"/>
      <c r="AE5" s="147"/>
      <c r="AF5" s="147"/>
      <c r="AG5" s="147"/>
      <c r="AH5" s="147"/>
      <c r="AI5" s="147"/>
      <c r="AJ5" s="24"/>
    </row>
    <row r="6" spans="1:36" s="12" customFormat="1" ht="16.5" customHeight="1">
      <c r="A6" s="143"/>
      <c r="B6" s="144"/>
      <c r="C6" s="144"/>
      <c r="D6" s="144"/>
      <c r="E6" s="144"/>
      <c r="F6" s="145"/>
      <c r="G6" s="23"/>
      <c r="H6" s="53"/>
      <c r="I6" s="42"/>
      <c r="J6" s="23"/>
      <c r="K6" s="23"/>
      <c r="L6" s="83"/>
      <c r="M6" s="42"/>
      <c r="N6" s="23"/>
      <c r="O6" s="24"/>
      <c r="P6" s="24"/>
      <c r="Q6" s="24"/>
      <c r="R6" s="24"/>
      <c r="S6" s="91"/>
      <c r="T6" s="91"/>
      <c r="U6" s="147"/>
      <c r="V6" s="147"/>
      <c r="W6" s="147"/>
      <c r="X6" s="147"/>
      <c r="Y6" s="147"/>
      <c r="Z6" s="24"/>
      <c r="AA6" s="24"/>
      <c r="AB6" s="24"/>
      <c r="AC6" s="91"/>
      <c r="AD6" s="91"/>
      <c r="AE6" s="147"/>
      <c r="AF6" s="147"/>
      <c r="AG6" s="147"/>
      <c r="AH6" s="147"/>
      <c r="AI6" s="147"/>
      <c r="AJ6" s="24"/>
    </row>
    <row r="7" spans="1:36" s="12" customFormat="1" ht="16.5" customHeight="1">
      <c r="A7" s="143"/>
      <c r="B7" s="144"/>
      <c r="C7" s="144"/>
      <c r="D7" s="144"/>
      <c r="E7" s="144"/>
      <c r="F7" s="145"/>
      <c r="G7" s="23"/>
      <c r="H7" s="53"/>
      <c r="I7" s="42"/>
      <c r="J7" s="23"/>
      <c r="K7" s="23"/>
      <c r="L7" s="83"/>
      <c r="M7" s="42"/>
      <c r="N7" s="23"/>
      <c r="O7" s="24"/>
      <c r="P7" s="24"/>
      <c r="Q7" s="24"/>
      <c r="R7" s="24"/>
      <c r="S7" s="91"/>
      <c r="T7" s="91"/>
      <c r="U7" s="147"/>
      <c r="V7" s="147"/>
      <c r="W7" s="147"/>
      <c r="X7" s="147"/>
      <c r="Y7" s="147"/>
      <c r="Z7" s="24"/>
      <c r="AA7" s="24"/>
      <c r="AB7" s="24"/>
      <c r="AC7" s="91"/>
      <c r="AD7" s="91"/>
      <c r="AE7" s="147"/>
      <c r="AF7" s="147"/>
      <c r="AG7" s="147"/>
      <c r="AH7" s="147"/>
      <c r="AI7" s="147"/>
      <c r="AJ7" s="24"/>
    </row>
    <row r="8" spans="1:36" s="12" customFormat="1" ht="16.5" customHeight="1">
      <c r="A8" s="143"/>
      <c r="B8" s="144"/>
      <c r="C8" s="144"/>
      <c r="D8" s="144"/>
      <c r="E8" s="144"/>
      <c r="F8" s="145"/>
      <c r="G8" s="23"/>
      <c r="H8" s="53"/>
      <c r="I8" s="42"/>
      <c r="J8" s="23"/>
      <c r="K8" s="23"/>
      <c r="L8" s="83"/>
      <c r="M8" s="42"/>
      <c r="N8" s="23"/>
      <c r="O8" s="24"/>
      <c r="P8" s="24"/>
      <c r="Q8" s="24"/>
      <c r="R8" s="24"/>
      <c r="S8" s="91"/>
      <c r="T8" s="91"/>
      <c r="U8" s="147"/>
      <c r="V8" s="147"/>
      <c r="W8" s="147"/>
      <c r="X8" s="147"/>
      <c r="Y8" s="147"/>
      <c r="Z8" s="24"/>
      <c r="AA8" s="24"/>
      <c r="AB8" s="24"/>
      <c r="AC8" s="91"/>
      <c r="AD8" s="91"/>
      <c r="AE8" s="147"/>
      <c r="AF8" s="147"/>
      <c r="AG8" s="147"/>
      <c r="AH8" s="147"/>
      <c r="AI8" s="147"/>
      <c r="AJ8" s="24"/>
    </row>
    <row r="9" spans="1:36" s="12" customFormat="1" ht="16.5" customHeight="1">
      <c r="A9" s="143"/>
      <c r="B9" s="144"/>
      <c r="C9" s="144"/>
      <c r="D9" s="144"/>
      <c r="E9" s="144"/>
      <c r="F9" s="145"/>
      <c r="G9" s="23"/>
      <c r="H9" s="53"/>
      <c r="I9" s="42"/>
      <c r="J9" s="23"/>
      <c r="K9" s="23"/>
      <c r="L9" s="83"/>
      <c r="M9" s="42"/>
      <c r="N9" s="23"/>
      <c r="O9" s="24"/>
      <c r="P9" s="24"/>
      <c r="Q9" s="24"/>
      <c r="R9" s="24"/>
      <c r="S9" s="91"/>
      <c r="T9" s="91"/>
      <c r="U9" s="147"/>
      <c r="V9" s="147"/>
      <c r="W9" s="147"/>
      <c r="X9" s="147"/>
      <c r="Y9" s="147"/>
      <c r="Z9" s="24"/>
      <c r="AA9" s="24"/>
      <c r="AB9" s="24"/>
      <c r="AC9" s="91"/>
      <c r="AD9" s="91"/>
      <c r="AE9" s="147"/>
      <c r="AF9" s="147"/>
      <c r="AG9" s="147"/>
      <c r="AH9" s="147"/>
      <c r="AI9" s="147"/>
      <c r="AJ9" s="24"/>
    </row>
    <row r="10" spans="1:36" s="12" customFormat="1" ht="16.5" customHeight="1">
      <c r="A10" s="143"/>
      <c r="B10" s="144"/>
      <c r="C10" s="144"/>
      <c r="D10" s="144"/>
      <c r="E10" s="144"/>
      <c r="F10" s="145"/>
      <c r="G10" s="23"/>
      <c r="H10" s="53"/>
      <c r="I10" s="42"/>
      <c r="J10" s="23"/>
      <c r="K10" s="23"/>
      <c r="L10" s="83"/>
      <c r="M10" s="42"/>
      <c r="N10" s="23"/>
      <c r="O10" s="24"/>
      <c r="P10" s="24"/>
      <c r="Q10" s="24"/>
      <c r="R10" s="24"/>
      <c r="S10" s="91"/>
      <c r="T10" s="91"/>
      <c r="U10" s="147"/>
      <c r="V10" s="147"/>
      <c r="W10" s="147"/>
      <c r="X10" s="147"/>
      <c r="Y10" s="147"/>
      <c r="Z10" s="24"/>
      <c r="AA10" s="24"/>
      <c r="AB10" s="24"/>
      <c r="AC10" s="91"/>
      <c r="AD10" s="91"/>
      <c r="AE10" s="147"/>
      <c r="AF10" s="147"/>
      <c r="AG10" s="147"/>
      <c r="AH10" s="147"/>
      <c r="AI10" s="147"/>
      <c r="AJ10" s="24"/>
    </row>
    <row r="11" spans="1:36" s="12" customFormat="1" ht="16.5" customHeight="1">
      <c r="A11" s="143"/>
      <c r="B11" s="144"/>
      <c r="C11" s="144"/>
      <c r="D11" s="144"/>
      <c r="E11" s="144"/>
      <c r="F11" s="145"/>
      <c r="G11" s="23"/>
      <c r="H11" s="53"/>
      <c r="I11" s="42"/>
      <c r="J11" s="23"/>
      <c r="K11" s="23"/>
      <c r="L11" s="83"/>
      <c r="M11" s="42"/>
      <c r="N11" s="23"/>
      <c r="O11" s="24"/>
      <c r="P11" s="24"/>
      <c r="Q11" s="24"/>
      <c r="R11" s="24"/>
      <c r="S11" s="91"/>
      <c r="T11" s="91"/>
      <c r="U11" s="147"/>
      <c r="V11" s="147"/>
      <c r="W11" s="147"/>
      <c r="X11" s="147"/>
      <c r="Y11" s="147"/>
      <c r="Z11" s="24"/>
      <c r="AA11" s="24"/>
      <c r="AB11" s="24"/>
      <c r="AC11" s="91"/>
      <c r="AD11" s="91"/>
      <c r="AE11" s="147"/>
      <c r="AF11" s="147"/>
      <c r="AG11" s="147"/>
      <c r="AH11" s="147"/>
      <c r="AI11" s="147"/>
      <c r="AJ11" s="24"/>
    </row>
    <row r="12" spans="1:36" s="12" customFormat="1" ht="16.5" customHeight="1">
      <c r="A12" s="143"/>
      <c r="B12" s="144"/>
      <c r="C12" s="144"/>
      <c r="D12" s="144"/>
      <c r="E12" s="144"/>
      <c r="F12" s="145"/>
      <c r="G12" s="23"/>
      <c r="H12" s="53"/>
      <c r="I12" s="42"/>
      <c r="J12" s="23"/>
      <c r="K12" s="23"/>
      <c r="L12" s="83"/>
      <c r="M12" s="42"/>
      <c r="N12" s="23"/>
      <c r="O12" s="24"/>
      <c r="P12" s="24"/>
      <c r="Q12" s="24"/>
      <c r="R12" s="24"/>
      <c r="S12" s="91"/>
      <c r="T12" s="91"/>
      <c r="U12" s="147"/>
      <c r="V12" s="147"/>
      <c r="W12" s="147"/>
      <c r="X12" s="147"/>
      <c r="Y12" s="147"/>
      <c r="Z12" s="24"/>
      <c r="AA12" s="24"/>
      <c r="AB12" s="24"/>
      <c r="AC12" s="91"/>
      <c r="AD12" s="91"/>
      <c r="AE12" s="147"/>
      <c r="AF12" s="147"/>
      <c r="AG12" s="147"/>
      <c r="AH12" s="147"/>
      <c r="AI12" s="147"/>
      <c r="AJ12" s="24"/>
    </row>
    <row r="13" spans="1:36" s="12" customFormat="1" ht="16.5" customHeight="1">
      <c r="A13" s="143"/>
      <c r="B13" s="144"/>
      <c r="C13" s="144"/>
      <c r="D13" s="144"/>
      <c r="E13" s="144"/>
      <c r="F13" s="145"/>
      <c r="G13" s="23"/>
      <c r="H13" s="53"/>
      <c r="I13" s="42"/>
      <c r="J13" s="23"/>
      <c r="K13" s="23"/>
      <c r="L13" s="83"/>
      <c r="M13" s="42"/>
      <c r="N13" s="23"/>
      <c r="O13" s="24"/>
      <c r="P13" s="24"/>
      <c r="Q13" s="24"/>
      <c r="R13" s="24"/>
      <c r="S13" s="91"/>
      <c r="T13" s="91"/>
      <c r="U13" s="147"/>
      <c r="V13" s="147"/>
      <c r="W13" s="147"/>
      <c r="X13" s="147"/>
      <c r="Y13" s="147"/>
      <c r="Z13" s="24"/>
      <c r="AA13" s="24"/>
      <c r="AB13" s="24"/>
      <c r="AC13" s="91"/>
      <c r="AD13" s="91"/>
      <c r="AE13" s="147"/>
      <c r="AF13" s="147"/>
      <c r="AG13" s="147"/>
      <c r="AH13" s="147"/>
      <c r="AI13" s="147"/>
      <c r="AJ13" s="24"/>
    </row>
    <row r="14" spans="1:36" s="12" customFormat="1" ht="17.100000000000001" customHeight="1"/>
    <row r="15" spans="1:36" s="12" customFormat="1" ht="17.100000000000001" customHeight="1">
      <c r="A15" s="17" t="s">
        <v>83</v>
      </c>
    </row>
    <row r="16" spans="1:36" s="19" customFormat="1" ht="18" customHeight="1">
      <c r="A16" s="140" t="s">
        <v>164</v>
      </c>
      <c r="B16" s="141" t="s">
        <v>165</v>
      </c>
      <c r="C16" s="141" t="s">
        <v>94</v>
      </c>
      <c r="D16" s="142" t="s">
        <v>165</v>
      </c>
      <c r="E16" s="142" t="s">
        <v>166</v>
      </c>
      <c r="F16" s="142" t="s">
        <v>167</v>
      </c>
      <c r="G16" s="139" t="s">
        <v>168</v>
      </c>
      <c r="H16" s="139" t="s">
        <v>169</v>
      </c>
      <c r="I16" s="139" t="s">
        <v>170</v>
      </c>
      <c r="J16" s="139" t="s">
        <v>171</v>
      </c>
      <c r="L16" s="139" t="s">
        <v>227</v>
      </c>
    </row>
    <row r="17" spans="1:36" ht="17.100000000000001" customHeight="1">
      <c r="A17" s="92"/>
      <c r="B17" s="92"/>
      <c r="C17" s="117"/>
      <c r="D17" s="117"/>
      <c r="E17" s="92"/>
      <c r="F17" s="92"/>
      <c r="G17" s="92"/>
      <c r="H17" s="92"/>
      <c r="I17" s="92"/>
      <c r="J17" s="92"/>
      <c r="L17" s="92"/>
    </row>
    <row r="18" spans="1:36" ht="17.100000000000001" customHeight="1">
      <c r="A18" s="92"/>
      <c r="B18" s="92"/>
      <c r="C18" s="117"/>
      <c r="D18" s="117"/>
      <c r="E18" s="92"/>
      <c r="F18" s="92"/>
      <c r="G18" s="92"/>
      <c r="H18" s="92"/>
      <c r="I18" s="92"/>
      <c r="J18" s="92"/>
    </row>
    <row r="19" spans="1:36" ht="17.100000000000001" customHeight="1">
      <c r="A19" s="92"/>
      <c r="B19" s="92"/>
      <c r="C19" s="117"/>
      <c r="D19" s="117"/>
      <c r="E19" s="92"/>
      <c r="F19" s="92"/>
      <c r="G19" s="92"/>
      <c r="H19" s="92"/>
      <c r="I19" s="92"/>
      <c r="J19" s="92"/>
    </row>
    <row r="20" spans="1:36" ht="17.100000000000001" customHeight="1">
      <c r="A20" s="92"/>
      <c r="B20" s="92"/>
      <c r="C20" s="117"/>
      <c r="D20" s="117"/>
      <c r="E20" s="92"/>
      <c r="F20" s="92"/>
      <c r="G20" s="92"/>
      <c r="H20" s="92"/>
      <c r="I20" s="92"/>
      <c r="J20" s="92"/>
    </row>
    <row r="21" spans="1:36" ht="17.100000000000001" customHeight="1">
      <c r="A21" s="92"/>
      <c r="B21" s="92"/>
      <c r="C21" s="117"/>
      <c r="D21" s="117"/>
      <c r="E21" s="92"/>
      <c r="F21" s="92"/>
      <c r="G21" s="92"/>
      <c r="H21" s="92"/>
      <c r="I21" s="92"/>
      <c r="J21" s="92"/>
    </row>
    <row r="22" spans="1:36" ht="17.100000000000001" customHeight="1">
      <c r="A22" s="92"/>
      <c r="B22" s="92"/>
      <c r="C22" s="117"/>
      <c r="D22" s="117"/>
      <c r="E22" s="92"/>
      <c r="F22" s="92"/>
      <c r="G22" s="92"/>
      <c r="H22" s="92"/>
      <c r="I22" s="92"/>
      <c r="J22" s="92"/>
    </row>
    <row r="23" spans="1:36" ht="17.100000000000001" customHeight="1">
      <c r="A23" s="92"/>
      <c r="B23" s="92"/>
      <c r="C23" s="117"/>
      <c r="D23" s="117"/>
      <c r="E23" s="92"/>
      <c r="F23" s="92"/>
      <c r="G23" s="92"/>
      <c r="H23" s="92"/>
      <c r="I23" s="92"/>
      <c r="J23" s="92"/>
    </row>
    <row r="24" spans="1:36" ht="17.100000000000001" customHeight="1">
      <c r="A24" s="92"/>
      <c r="B24" s="92"/>
      <c r="C24" s="117"/>
      <c r="D24" s="117"/>
      <c r="E24" s="92"/>
      <c r="F24" s="92"/>
      <c r="G24" s="92"/>
      <c r="H24" s="92"/>
      <c r="I24" s="92"/>
      <c r="J24" s="92"/>
    </row>
    <row r="25" spans="1:36" ht="17.100000000000001" customHeight="1">
      <c r="A25" s="92"/>
      <c r="B25" s="92"/>
      <c r="C25" s="117"/>
      <c r="D25" s="117"/>
      <c r="E25" s="92"/>
      <c r="F25" s="92"/>
      <c r="G25" s="92"/>
      <c r="H25" s="92"/>
      <c r="I25" s="92"/>
      <c r="J25" s="92"/>
    </row>
    <row r="26" spans="1:36" ht="17.100000000000001" customHeight="1">
      <c r="A26" s="92"/>
      <c r="B26" s="92"/>
      <c r="C26" s="117"/>
      <c r="D26" s="117"/>
      <c r="E26" s="92"/>
      <c r="F26" s="92"/>
      <c r="G26" s="92"/>
      <c r="H26" s="92"/>
      <c r="I26" s="92"/>
      <c r="J26" s="92"/>
    </row>
    <row r="27" spans="1:36" ht="17.100000000000001" customHeight="1">
      <c r="AE27" s="12"/>
      <c r="AF27" s="12"/>
      <c r="AG27" s="12"/>
      <c r="AH27" s="12"/>
      <c r="AI27" s="12"/>
      <c r="AJ27" s="12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0"/>
  <sheetViews>
    <sheetView zoomScaleNormal="100" workbookViewId="0"/>
  </sheetViews>
  <sheetFormatPr defaultColWidth="9" defaultRowHeight="17.100000000000001" customHeight="1"/>
  <cols>
    <col min="1" max="17" width="10.44140625" style="213" customWidth="1"/>
    <col min="18" max="16384" width="9" style="213"/>
  </cols>
  <sheetData>
    <row r="1" spans="1:36" s="12" customFormat="1" ht="33" customHeight="1">
      <c r="A1" s="15" t="s">
        <v>327</v>
      </c>
    </row>
    <row r="2" spans="1:36" s="12" customFormat="1" ht="17.100000000000001" customHeight="1">
      <c r="A2" s="17" t="s">
        <v>43</v>
      </c>
      <c r="C2" s="17"/>
      <c r="D2" s="82" t="s">
        <v>61</v>
      </c>
      <c r="G2" s="82" t="s">
        <v>71</v>
      </c>
      <c r="K2" s="17" t="s">
        <v>44</v>
      </c>
      <c r="N2" s="17" t="s">
        <v>237</v>
      </c>
    </row>
    <row r="3" spans="1:36" s="12" customFormat="1" ht="13.5">
      <c r="A3" s="14" t="s">
        <v>533</v>
      </c>
      <c r="B3" s="14" t="s">
        <v>82</v>
      </c>
      <c r="C3" s="14" t="s">
        <v>151</v>
      </c>
      <c r="D3" s="14" t="s">
        <v>54</v>
      </c>
      <c r="E3" s="14" t="s">
        <v>55</v>
      </c>
      <c r="F3" s="14" t="s">
        <v>50</v>
      </c>
      <c r="G3" s="13" t="s">
        <v>45</v>
      </c>
      <c r="H3" s="14" t="s">
        <v>60</v>
      </c>
      <c r="I3" s="14" t="s">
        <v>72</v>
      </c>
      <c r="J3" s="14" t="s">
        <v>46</v>
      </c>
      <c r="K3" s="14" t="s">
        <v>47</v>
      </c>
      <c r="L3" s="41" t="s">
        <v>48</v>
      </c>
      <c r="M3" s="41" t="s">
        <v>49</v>
      </c>
      <c r="N3" s="41" t="s">
        <v>328</v>
      </c>
      <c r="O3" s="41" t="s">
        <v>176</v>
      </c>
      <c r="P3" s="41" t="s">
        <v>177</v>
      </c>
      <c r="Q3" s="41" t="s">
        <v>178</v>
      </c>
      <c r="R3" s="41" t="s">
        <v>179</v>
      </c>
    </row>
    <row r="4" spans="1:36" s="12" customFormat="1" ht="16.5" customHeight="1">
      <c r="A4" s="144"/>
      <c r="B4" s="144"/>
      <c r="C4" s="144"/>
      <c r="D4" s="23"/>
      <c r="E4" s="53"/>
      <c r="F4" s="42"/>
      <c r="G4" s="23"/>
      <c r="H4" s="23"/>
      <c r="I4" s="83"/>
      <c r="J4" s="42"/>
      <c r="K4" s="23"/>
      <c r="L4" s="23"/>
      <c r="M4" s="23"/>
      <c r="N4" s="23"/>
      <c r="O4" s="23"/>
      <c r="P4" s="90"/>
      <c r="Q4" s="90"/>
      <c r="R4" s="146"/>
    </row>
    <row r="5" spans="1:36" s="12" customFormat="1" ht="16.5" customHeight="1">
      <c r="A5" s="144"/>
      <c r="B5" s="144"/>
      <c r="C5" s="144"/>
      <c r="D5" s="23"/>
      <c r="E5" s="53"/>
      <c r="F5" s="42"/>
      <c r="G5" s="23"/>
      <c r="H5" s="23"/>
      <c r="I5" s="83"/>
      <c r="J5" s="42"/>
      <c r="K5" s="23"/>
      <c r="L5" s="24"/>
      <c r="M5" s="24"/>
      <c r="N5" s="24"/>
      <c r="O5" s="24"/>
      <c r="P5" s="91"/>
      <c r="Q5" s="91"/>
      <c r="R5" s="147"/>
    </row>
    <row r="6" spans="1:36" s="12" customFormat="1" ht="16.5" customHeight="1">
      <c r="A6" s="144"/>
      <c r="B6" s="144"/>
      <c r="C6" s="144"/>
      <c r="D6" s="23"/>
      <c r="E6" s="53"/>
      <c r="F6" s="42"/>
      <c r="G6" s="23"/>
      <c r="H6" s="23"/>
      <c r="I6" s="83"/>
      <c r="J6" s="42"/>
      <c r="K6" s="23"/>
      <c r="L6" s="24"/>
      <c r="M6" s="24"/>
      <c r="N6" s="24"/>
      <c r="O6" s="24"/>
      <c r="P6" s="91"/>
      <c r="Q6" s="91"/>
      <c r="R6" s="147"/>
    </row>
    <row r="7" spans="1:36" s="12" customFormat="1" ht="16.5" customHeight="1">
      <c r="A7" s="144"/>
      <c r="B7" s="144"/>
      <c r="C7" s="144"/>
      <c r="D7" s="23"/>
      <c r="E7" s="53"/>
      <c r="F7" s="42"/>
      <c r="G7" s="23"/>
      <c r="H7" s="23"/>
      <c r="I7" s="83"/>
      <c r="J7" s="42"/>
      <c r="K7" s="23"/>
      <c r="L7" s="24"/>
      <c r="M7" s="24"/>
      <c r="N7" s="24"/>
      <c r="O7" s="24"/>
      <c r="P7" s="91"/>
      <c r="Q7" s="91"/>
      <c r="R7" s="147"/>
    </row>
    <row r="8" spans="1:36" s="12" customFormat="1" ht="17.100000000000001" customHeight="1"/>
    <row r="9" spans="1:36" s="12" customFormat="1" ht="17.100000000000001" customHeight="1">
      <c r="A9" s="17" t="s">
        <v>83</v>
      </c>
    </row>
    <row r="10" spans="1:36" s="19" customFormat="1" ht="18" customHeight="1">
      <c r="A10" s="140" t="s">
        <v>329</v>
      </c>
      <c r="B10" s="140" t="s">
        <v>94</v>
      </c>
      <c r="C10" s="141" t="s">
        <v>330</v>
      </c>
      <c r="D10" s="141" t="s">
        <v>331</v>
      </c>
      <c r="E10" s="142" t="s">
        <v>59</v>
      </c>
      <c r="F10" s="142" t="s">
        <v>332</v>
      </c>
      <c r="G10" s="142" t="s">
        <v>333</v>
      </c>
      <c r="H10" s="139" t="s">
        <v>106</v>
      </c>
    </row>
    <row r="11" spans="1:36" ht="17.100000000000001" customHeight="1">
      <c r="A11" s="92"/>
      <c r="B11" s="92"/>
      <c r="C11" s="117"/>
      <c r="D11" s="117"/>
      <c r="E11" s="92"/>
      <c r="F11" s="92"/>
      <c r="G11" s="92"/>
      <c r="H11" s="92"/>
    </row>
    <row r="12" spans="1:36" ht="17.100000000000001" customHeight="1">
      <c r="A12" s="92"/>
      <c r="B12" s="92"/>
      <c r="C12" s="117"/>
      <c r="D12" s="117"/>
      <c r="E12" s="92"/>
      <c r="F12" s="92"/>
      <c r="G12" s="92"/>
      <c r="H12" s="92"/>
    </row>
    <row r="13" spans="1:36" s="220" customFormat="1" ht="17.100000000000001" customHeight="1">
      <c r="A13" s="92"/>
      <c r="B13" s="92"/>
      <c r="C13" s="117"/>
      <c r="D13" s="117"/>
      <c r="E13" s="92"/>
      <c r="F13" s="92"/>
      <c r="G13" s="92"/>
      <c r="H13" s="92"/>
    </row>
    <row r="14" spans="1:36" s="220" customFormat="1" ht="17.100000000000001" customHeight="1">
      <c r="A14" s="92"/>
      <c r="B14" s="92"/>
      <c r="C14" s="117"/>
      <c r="D14" s="117"/>
      <c r="E14" s="92"/>
      <c r="F14" s="92"/>
      <c r="G14" s="92"/>
      <c r="H14" s="92"/>
    </row>
    <row r="16" spans="1:36" ht="17.100000000000001" customHeight="1">
      <c r="A16" s="216" t="s">
        <v>335</v>
      </c>
      <c r="B16" s="217" t="s">
        <v>336</v>
      </c>
      <c r="C16" s="217" t="s">
        <v>329</v>
      </c>
      <c r="D16" s="218" t="s">
        <v>337</v>
      </c>
      <c r="E16" s="218" t="s">
        <v>338</v>
      </c>
      <c r="F16" s="218" t="s">
        <v>334</v>
      </c>
      <c r="G16" s="219"/>
      <c r="H16" s="219"/>
      <c r="I16" s="219"/>
      <c r="J16" s="219"/>
      <c r="K16" s="219"/>
      <c r="L16" s="219"/>
      <c r="M16" s="219"/>
      <c r="N16" s="219" t="s">
        <v>339</v>
      </c>
      <c r="O16" s="219" t="s">
        <v>340</v>
      </c>
      <c r="P16" s="219" t="s">
        <v>341</v>
      </c>
      <c r="Q16" s="219" t="s">
        <v>343</v>
      </c>
      <c r="R16" s="219" t="s">
        <v>344</v>
      </c>
      <c r="S16" s="219" t="s">
        <v>345</v>
      </c>
      <c r="T16" s="219" t="s">
        <v>346</v>
      </c>
      <c r="U16" s="219"/>
      <c r="V16" s="219" t="s">
        <v>347</v>
      </c>
      <c r="W16" s="219" t="s">
        <v>348</v>
      </c>
      <c r="X16" s="219"/>
      <c r="Y16" s="219" t="s">
        <v>349</v>
      </c>
      <c r="Z16" s="219"/>
      <c r="AA16" s="219"/>
      <c r="AB16" s="219"/>
      <c r="AC16" s="219"/>
      <c r="AD16" s="219"/>
      <c r="AE16" s="219"/>
      <c r="AF16" s="219"/>
      <c r="AG16" s="219"/>
      <c r="AH16" s="219"/>
      <c r="AI16" s="219" t="s">
        <v>350</v>
      </c>
      <c r="AJ16" s="219" t="s">
        <v>352</v>
      </c>
    </row>
    <row r="17" spans="1:36" ht="17.100000000000001" customHeight="1">
      <c r="A17" s="92"/>
      <c r="B17" s="92"/>
      <c r="C17" s="117"/>
      <c r="D17" s="117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92"/>
      <c r="AI17" s="92"/>
      <c r="AJ17" s="92"/>
    </row>
    <row r="18" spans="1:36" ht="17.100000000000001" customHeight="1">
      <c r="A18" s="92"/>
      <c r="B18" s="92"/>
      <c r="C18" s="117"/>
      <c r="D18" s="117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</row>
    <row r="19" spans="1:36" s="215" customFormat="1" ht="17.100000000000001" customHeight="1">
      <c r="A19" s="92"/>
      <c r="B19" s="92"/>
      <c r="C19" s="117"/>
      <c r="D19" s="117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</row>
    <row r="20" spans="1:36" s="215" customFormat="1" ht="17.100000000000001" customHeight="1">
      <c r="A20" s="92"/>
      <c r="B20" s="92"/>
      <c r="C20" s="117"/>
      <c r="D20" s="117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</row>
    <row r="21" spans="1:36" s="215" customFormat="1" ht="17.100000000000001" customHeight="1">
      <c r="A21" s="92"/>
      <c r="B21" s="92"/>
      <c r="C21" s="117"/>
      <c r="D21" s="117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</row>
    <row r="22" spans="1:36" s="215" customFormat="1" ht="17.100000000000001" customHeight="1">
      <c r="A22" s="92"/>
      <c r="B22" s="92"/>
      <c r="C22" s="117"/>
      <c r="D22" s="117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</row>
    <row r="23" spans="1:36" s="215" customFormat="1" ht="17.100000000000001" customHeight="1">
      <c r="A23" s="92"/>
      <c r="B23" s="92"/>
      <c r="C23" s="117"/>
      <c r="D23" s="117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</row>
    <row r="24" spans="1:36" s="215" customFormat="1" ht="17.100000000000001" customHeight="1">
      <c r="A24" s="92"/>
      <c r="B24" s="92"/>
      <c r="C24" s="117"/>
      <c r="D24" s="117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</row>
    <row r="25" spans="1:36" s="215" customFormat="1" ht="17.100000000000001" customHeight="1">
      <c r="A25" s="92"/>
      <c r="B25" s="92"/>
      <c r="C25" s="117"/>
      <c r="D25" s="117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</row>
    <row r="26" spans="1:36" s="215" customFormat="1" ht="17.100000000000001" customHeight="1">
      <c r="A26" s="92"/>
      <c r="B26" s="92"/>
      <c r="C26" s="117"/>
      <c r="D26" s="117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</row>
    <row r="27" spans="1:36" s="215" customFormat="1" ht="17.100000000000001" customHeight="1">
      <c r="A27" s="92"/>
      <c r="B27" s="92"/>
      <c r="C27" s="117"/>
      <c r="D27" s="117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</row>
    <row r="28" spans="1:36" s="215" customFormat="1" ht="17.100000000000001" customHeight="1">
      <c r="A28" s="92"/>
      <c r="B28" s="92"/>
      <c r="C28" s="117"/>
      <c r="D28" s="117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</row>
    <row r="29" spans="1:36" s="215" customFormat="1" ht="17.100000000000001" customHeight="1">
      <c r="A29" s="92"/>
      <c r="B29" s="92"/>
      <c r="C29" s="117"/>
      <c r="D29" s="117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2"/>
      <c r="AI29" s="92"/>
      <c r="AJ29" s="92"/>
    </row>
    <row r="30" spans="1:36" s="215" customFormat="1" ht="17.100000000000001" customHeight="1">
      <c r="A30" s="92"/>
      <c r="B30" s="92"/>
      <c r="C30" s="117"/>
      <c r="D30" s="117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2"/>
      <c r="AF30" s="92"/>
      <c r="AG30" s="92"/>
      <c r="AH30" s="92"/>
      <c r="AI30" s="92"/>
      <c r="AJ30" s="92"/>
    </row>
    <row r="31" spans="1:36" s="215" customFormat="1" ht="17.100000000000001" customHeight="1">
      <c r="A31" s="92"/>
      <c r="B31" s="92"/>
      <c r="C31" s="117"/>
      <c r="D31" s="117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2"/>
      <c r="AI31" s="92"/>
      <c r="AJ31" s="92"/>
    </row>
    <row r="32" spans="1:36" s="215" customFormat="1" ht="17.100000000000001" customHeight="1">
      <c r="A32" s="92"/>
      <c r="B32" s="92"/>
      <c r="C32" s="117"/>
      <c r="D32" s="117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</row>
    <row r="33" spans="1:36" s="215" customFormat="1" ht="17.100000000000001" customHeight="1">
      <c r="A33" s="92"/>
      <c r="B33" s="92"/>
      <c r="C33" s="117"/>
      <c r="D33" s="117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</row>
    <row r="34" spans="1:36" s="215" customFormat="1" ht="17.100000000000001" customHeight="1">
      <c r="A34" s="92"/>
      <c r="B34" s="92"/>
      <c r="C34" s="117"/>
      <c r="D34" s="117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2"/>
      <c r="AJ34" s="92"/>
    </row>
    <row r="35" spans="1:36" s="215" customFormat="1" ht="17.100000000000001" customHeight="1">
      <c r="A35" s="92"/>
      <c r="B35" s="92"/>
      <c r="C35" s="117"/>
      <c r="D35" s="117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</row>
    <row r="36" spans="1:36" s="215" customFormat="1" ht="17.100000000000001" customHeight="1">
      <c r="A36" s="92"/>
      <c r="B36" s="92"/>
      <c r="C36" s="117"/>
      <c r="D36" s="117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92"/>
      <c r="AI36" s="92"/>
      <c r="AJ36" s="92"/>
    </row>
    <row r="38" spans="1:36" ht="17.100000000000001" customHeight="1">
      <c r="A38" s="216" t="s">
        <v>353</v>
      </c>
      <c r="B38" s="217" t="s">
        <v>354</v>
      </c>
      <c r="C38" s="217" t="s">
        <v>355</v>
      </c>
      <c r="D38" s="218" t="s">
        <v>365</v>
      </c>
      <c r="E38" s="218" t="s">
        <v>366</v>
      </c>
      <c r="F38" s="218"/>
      <c r="G38" s="219"/>
      <c r="H38" s="219"/>
      <c r="I38" s="219"/>
      <c r="J38" s="219"/>
      <c r="K38" s="219"/>
      <c r="L38" s="219"/>
      <c r="M38" s="219"/>
      <c r="N38" s="219" t="s">
        <v>356</v>
      </c>
      <c r="O38" s="219" t="s">
        <v>357</v>
      </c>
      <c r="P38" s="219" t="s">
        <v>358</v>
      </c>
      <c r="Q38" s="219" t="s">
        <v>359</v>
      </c>
      <c r="R38" s="219" t="s">
        <v>360</v>
      </c>
      <c r="S38" s="219" t="s">
        <v>342</v>
      </c>
      <c r="T38" s="219" t="s">
        <v>361</v>
      </c>
      <c r="U38" s="219"/>
      <c r="V38" s="219" t="s">
        <v>362</v>
      </c>
      <c r="W38" s="219" t="s">
        <v>363</v>
      </c>
      <c r="X38" s="219"/>
      <c r="Y38" s="219"/>
      <c r="Z38" s="219"/>
      <c r="AA38" s="219"/>
      <c r="AB38" s="219"/>
      <c r="AC38" s="219"/>
      <c r="AD38" s="219"/>
      <c r="AE38" s="219"/>
      <c r="AF38" s="219"/>
      <c r="AG38" s="219"/>
      <c r="AH38" s="219"/>
      <c r="AI38" s="219" t="s">
        <v>364</v>
      </c>
      <c r="AJ38" s="219" t="s">
        <v>351</v>
      </c>
    </row>
    <row r="39" spans="1:36" ht="17.100000000000001" customHeight="1">
      <c r="A39" s="92"/>
      <c r="B39" s="92"/>
      <c r="C39" s="117"/>
      <c r="D39" s="117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  <c r="Z39" s="92"/>
      <c r="AA39" s="92"/>
      <c r="AB39" s="92"/>
      <c r="AC39" s="92"/>
      <c r="AD39" s="92"/>
      <c r="AE39" s="92"/>
      <c r="AF39" s="92"/>
      <c r="AG39" s="92"/>
      <c r="AH39" s="92"/>
      <c r="AI39" s="92"/>
      <c r="AJ39" s="92"/>
    </row>
    <row r="40" spans="1:36" ht="17.100000000000001" customHeight="1">
      <c r="A40" s="92"/>
      <c r="B40" s="92"/>
      <c r="C40" s="117"/>
      <c r="D40" s="117"/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8"/>
  <sheetViews>
    <sheetView zoomScaleNormal="100" workbookViewId="0"/>
  </sheetViews>
  <sheetFormatPr defaultColWidth="9" defaultRowHeight="17.100000000000001" customHeight="1"/>
  <cols>
    <col min="1" max="17" width="10.44140625" style="267" customWidth="1"/>
    <col min="18" max="16384" width="9" style="267"/>
  </cols>
  <sheetData>
    <row r="1" spans="1:36" s="12" customFormat="1" ht="33" customHeight="1">
      <c r="A1" s="15" t="s">
        <v>532</v>
      </c>
    </row>
    <row r="2" spans="1:36" s="12" customFormat="1" ht="17.100000000000001" customHeight="1">
      <c r="A2" s="17" t="s">
        <v>43</v>
      </c>
      <c r="C2" s="17"/>
      <c r="D2" s="82" t="s">
        <v>61</v>
      </c>
      <c r="G2" s="82" t="s">
        <v>71</v>
      </c>
      <c r="K2" s="17" t="s">
        <v>44</v>
      </c>
      <c r="N2" s="17" t="s">
        <v>237</v>
      </c>
    </row>
    <row r="3" spans="1:36" s="12" customFormat="1" ht="13.5">
      <c r="A3" s="14" t="s">
        <v>534</v>
      </c>
      <c r="B3" s="14" t="s">
        <v>82</v>
      </c>
      <c r="C3" s="14" t="s">
        <v>59</v>
      </c>
      <c r="D3" s="14" t="s">
        <v>54</v>
      </c>
      <c r="E3" s="14" t="s">
        <v>55</v>
      </c>
      <c r="F3" s="14" t="s">
        <v>50</v>
      </c>
      <c r="G3" s="13" t="s">
        <v>45</v>
      </c>
      <c r="H3" s="14" t="s">
        <v>60</v>
      </c>
      <c r="I3" s="14" t="s">
        <v>72</v>
      </c>
      <c r="J3" s="14" t="s">
        <v>46</v>
      </c>
      <c r="K3" s="14" t="s">
        <v>47</v>
      </c>
      <c r="L3" s="41" t="s">
        <v>48</v>
      </c>
      <c r="M3" s="41" t="s">
        <v>49</v>
      </c>
      <c r="N3" s="41" t="s">
        <v>75</v>
      </c>
      <c r="O3" s="41" t="s">
        <v>176</v>
      </c>
      <c r="P3" s="41" t="s">
        <v>177</v>
      </c>
      <c r="Q3" s="41" t="s">
        <v>178</v>
      </c>
      <c r="R3" s="41" t="s">
        <v>179</v>
      </c>
    </row>
    <row r="4" spans="1:36" s="12" customFormat="1" ht="16.5" customHeight="1">
      <c r="A4" s="144"/>
      <c r="B4" s="144"/>
      <c r="C4" s="144"/>
      <c r="D4" s="23"/>
      <c r="E4" s="53"/>
      <c r="F4" s="42"/>
      <c r="G4" s="23"/>
      <c r="H4" s="23"/>
      <c r="I4" s="83"/>
      <c r="J4" s="42"/>
      <c r="K4" s="23"/>
      <c r="L4" s="23"/>
      <c r="M4" s="23"/>
      <c r="N4" s="23"/>
      <c r="O4" s="23"/>
      <c r="P4" s="90"/>
      <c r="Q4" s="90"/>
      <c r="R4" s="146"/>
    </row>
    <row r="5" spans="1:36" s="12" customFormat="1" ht="16.5" customHeight="1">
      <c r="A5" s="144"/>
      <c r="B5" s="144"/>
      <c r="C5" s="144"/>
      <c r="D5" s="23"/>
      <c r="E5" s="53"/>
      <c r="F5" s="42"/>
      <c r="G5" s="23"/>
      <c r="H5" s="23"/>
      <c r="I5" s="83"/>
      <c r="J5" s="42"/>
      <c r="K5" s="23"/>
      <c r="L5" s="24"/>
      <c r="M5" s="24"/>
      <c r="N5" s="24"/>
      <c r="O5" s="24"/>
      <c r="P5" s="91"/>
      <c r="Q5" s="91"/>
      <c r="R5" s="147"/>
    </row>
    <row r="6" spans="1:36" s="12" customFormat="1" ht="17.100000000000001" customHeight="1"/>
    <row r="7" spans="1:36" s="12" customFormat="1" ht="17.100000000000001" customHeight="1">
      <c r="A7" s="17" t="s">
        <v>83</v>
      </c>
    </row>
    <row r="8" spans="1:36" s="300" customFormat="1" ht="17.100000000000001" customHeight="1">
      <c r="A8" s="216" t="s">
        <v>150</v>
      </c>
      <c r="B8" s="217" t="s">
        <v>2</v>
      </c>
      <c r="C8" s="217" t="s">
        <v>329</v>
      </c>
      <c r="D8" s="218" t="s">
        <v>337</v>
      </c>
      <c r="E8" s="218" t="s">
        <v>338</v>
      </c>
      <c r="F8" s="218" t="s">
        <v>279</v>
      </c>
      <c r="G8" s="219"/>
      <c r="H8" s="219"/>
      <c r="I8" s="219"/>
      <c r="J8" s="219"/>
      <c r="K8" s="219"/>
      <c r="L8" s="219"/>
      <c r="M8" s="219"/>
      <c r="N8" s="219" t="s">
        <v>82</v>
      </c>
      <c r="O8" s="219" t="s">
        <v>94</v>
      </c>
      <c r="P8" s="219" t="s">
        <v>80</v>
      </c>
      <c r="Q8" s="219" t="s">
        <v>59</v>
      </c>
      <c r="R8" s="219" t="s">
        <v>95</v>
      </c>
      <c r="S8" s="219" t="s">
        <v>59</v>
      </c>
      <c r="T8" s="219" t="s">
        <v>297</v>
      </c>
      <c r="U8" s="219"/>
      <c r="V8" s="219" t="s">
        <v>170</v>
      </c>
      <c r="W8" s="219" t="s">
        <v>106</v>
      </c>
      <c r="X8" s="219"/>
      <c r="Y8" s="219" t="s">
        <v>60</v>
      </c>
      <c r="Z8" s="219"/>
      <c r="AA8" s="219"/>
      <c r="AB8" s="219"/>
      <c r="AC8" s="219"/>
      <c r="AD8" s="219"/>
      <c r="AE8" s="219"/>
      <c r="AF8" s="219"/>
      <c r="AG8" s="219"/>
      <c r="AH8" s="219"/>
      <c r="AI8" s="219" t="s">
        <v>350</v>
      </c>
      <c r="AJ8" s="219" t="s">
        <v>351</v>
      </c>
    </row>
    <row r="9" spans="1:36" ht="17.100000000000001" customHeight="1">
      <c r="A9" s="92"/>
      <c r="B9" s="92"/>
      <c r="C9" s="117"/>
      <c r="D9" s="117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</row>
    <row r="10" spans="1:36" ht="17.100000000000001" customHeight="1">
      <c r="A10" s="92"/>
      <c r="B10" s="92"/>
      <c r="C10" s="117"/>
      <c r="D10" s="117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</row>
    <row r="11" spans="1:36" ht="17.100000000000001" customHeight="1">
      <c r="A11" s="92"/>
      <c r="B11" s="92"/>
      <c r="C11" s="117"/>
      <c r="D11" s="117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</row>
    <row r="12" spans="1:36" ht="17.100000000000001" customHeight="1">
      <c r="A12" s="92"/>
      <c r="B12" s="92"/>
      <c r="C12" s="117"/>
      <c r="D12" s="117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</row>
    <row r="13" spans="1:36" s="300" customFormat="1" ht="17.100000000000001" customHeight="1">
      <c r="A13" s="92"/>
      <c r="B13" s="92"/>
      <c r="C13" s="117"/>
      <c r="D13" s="117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</row>
    <row r="14" spans="1:36" s="300" customFormat="1" ht="17.100000000000001" customHeight="1">
      <c r="A14" s="92"/>
      <c r="B14" s="92"/>
      <c r="C14" s="117"/>
      <c r="D14" s="117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</row>
    <row r="15" spans="1:36" s="300" customFormat="1" ht="17.100000000000001" customHeight="1">
      <c r="A15" s="92"/>
      <c r="B15" s="92"/>
      <c r="C15" s="117"/>
      <c r="D15" s="117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</row>
    <row r="16" spans="1:36" s="300" customFormat="1" ht="17.100000000000001" customHeight="1">
      <c r="A16" s="92"/>
      <c r="B16" s="92"/>
      <c r="C16" s="117"/>
      <c r="D16" s="117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</row>
    <row r="17" spans="1:36" s="300" customFormat="1" ht="17.100000000000001" customHeight="1">
      <c r="A17" s="92"/>
      <c r="B17" s="92"/>
      <c r="C17" s="117"/>
      <c r="D17" s="117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92"/>
      <c r="AI17" s="92"/>
      <c r="AJ17" s="92"/>
    </row>
    <row r="18" spans="1:36" s="300" customFormat="1" ht="17.100000000000001" customHeight="1">
      <c r="A18" s="92"/>
      <c r="B18" s="92"/>
      <c r="C18" s="117"/>
      <c r="D18" s="117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</row>
    <row r="19" spans="1:36" s="300" customFormat="1" ht="17.100000000000001" customHeight="1">
      <c r="A19" s="92"/>
      <c r="B19" s="92"/>
      <c r="C19" s="117"/>
      <c r="D19" s="117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</row>
    <row r="20" spans="1:36" s="300" customFormat="1" ht="17.100000000000001" customHeight="1">
      <c r="A20" s="92"/>
      <c r="B20" s="92"/>
      <c r="C20" s="117"/>
      <c r="D20" s="117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</row>
    <row r="21" spans="1:36" s="300" customFormat="1" ht="17.100000000000001" customHeight="1">
      <c r="A21" s="92"/>
      <c r="B21" s="92"/>
      <c r="C21" s="117"/>
      <c r="D21" s="117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</row>
    <row r="22" spans="1:36" s="300" customFormat="1" ht="17.100000000000001" customHeight="1">
      <c r="A22" s="92"/>
      <c r="B22" s="92"/>
      <c r="C22" s="117"/>
      <c r="D22" s="117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</row>
    <row r="23" spans="1:36" s="300" customFormat="1" ht="17.100000000000001" customHeight="1">
      <c r="A23" s="92"/>
      <c r="B23" s="92"/>
      <c r="C23" s="117"/>
      <c r="D23" s="117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</row>
    <row r="24" spans="1:36" s="300" customFormat="1" ht="17.100000000000001" customHeight="1">
      <c r="A24" s="92"/>
      <c r="B24" s="92"/>
      <c r="C24" s="117"/>
      <c r="D24" s="117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</row>
    <row r="25" spans="1:36" s="300" customFormat="1" ht="17.100000000000001" customHeight="1">
      <c r="A25" s="92"/>
      <c r="B25" s="92"/>
      <c r="C25" s="117"/>
      <c r="D25" s="117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</row>
    <row r="26" spans="1:36" s="300" customFormat="1" ht="17.100000000000001" customHeight="1">
      <c r="A26" s="92"/>
      <c r="B26" s="92"/>
      <c r="C26" s="117"/>
      <c r="D26" s="117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</row>
    <row r="27" spans="1:36" s="300" customFormat="1" ht="17.100000000000001" customHeight="1">
      <c r="A27" s="92"/>
      <c r="B27" s="92"/>
      <c r="C27" s="117"/>
      <c r="D27" s="117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</row>
    <row r="28" spans="1:36" s="300" customFormat="1" ht="17.100000000000001" customHeight="1">
      <c r="A28" s="92"/>
      <c r="B28" s="92"/>
      <c r="C28" s="117"/>
      <c r="D28" s="117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</row>
    <row r="30" spans="1:36" ht="17.100000000000001" customHeight="1">
      <c r="A30" s="216" t="s">
        <v>150</v>
      </c>
      <c r="B30" s="217" t="s">
        <v>2</v>
      </c>
      <c r="C30" s="217" t="s">
        <v>329</v>
      </c>
      <c r="D30" s="218" t="s">
        <v>365</v>
      </c>
      <c r="E30" s="218" t="s">
        <v>366</v>
      </c>
      <c r="F30" s="218"/>
      <c r="G30" s="219"/>
      <c r="H30" s="219"/>
      <c r="I30" s="219"/>
      <c r="J30" s="219"/>
      <c r="K30" s="219"/>
      <c r="L30" s="219"/>
      <c r="M30" s="219"/>
      <c r="N30" s="219" t="s">
        <v>82</v>
      </c>
      <c r="O30" s="219" t="s">
        <v>94</v>
      </c>
      <c r="P30" s="219" t="s">
        <v>80</v>
      </c>
      <c r="Q30" s="219" t="s">
        <v>59</v>
      </c>
      <c r="R30" s="219" t="s">
        <v>95</v>
      </c>
      <c r="S30" s="219" t="s">
        <v>59</v>
      </c>
      <c r="T30" s="219" t="s">
        <v>297</v>
      </c>
      <c r="U30" s="219"/>
      <c r="V30" s="219" t="s">
        <v>170</v>
      </c>
      <c r="W30" s="219" t="s">
        <v>106</v>
      </c>
      <c r="X30" s="219"/>
      <c r="Y30" s="219" t="s">
        <v>60</v>
      </c>
      <c r="Z30" s="219"/>
      <c r="AA30" s="219"/>
      <c r="AB30" s="219"/>
      <c r="AC30" s="219"/>
      <c r="AD30" s="219"/>
      <c r="AE30" s="219"/>
      <c r="AF30" s="219"/>
      <c r="AG30" s="219"/>
      <c r="AH30" s="219"/>
      <c r="AI30" s="219" t="s">
        <v>350</v>
      </c>
      <c r="AJ30" s="219" t="s">
        <v>351</v>
      </c>
    </row>
    <row r="31" spans="1:36" ht="17.100000000000001" customHeight="1">
      <c r="A31" s="92"/>
      <c r="B31" s="92"/>
      <c r="C31" s="117"/>
      <c r="D31" s="117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2"/>
      <c r="AI31" s="92"/>
      <c r="AJ31" s="92"/>
    </row>
    <row r="32" spans="1:36" ht="17.100000000000001" customHeight="1">
      <c r="A32" s="92"/>
      <c r="B32" s="92"/>
      <c r="C32" s="117"/>
      <c r="D32" s="117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</row>
    <row r="34" spans="1:36" ht="17.100000000000001" customHeight="1">
      <c r="A34" s="216" t="s">
        <v>150</v>
      </c>
      <c r="B34" s="217" t="s">
        <v>2</v>
      </c>
      <c r="C34" s="217" t="s">
        <v>329</v>
      </c>
      <c r="D34" s="218"/>
      <c r="E34" s="218"/>
      <c r="F34" s="218"/>
      <c r="G34" s="219"/>
      <c r="H34" s="219"/>
      <c r="I34" s="219"/>
      <c r="J34" s="219"/>
      <c r="K34" s="219"/>
      <c r="L34" s="219"/>
      <c r="M34" s="219"/>
      <c r="N34" s="219" t="s">
        <v>82</v>
      </c>
      <c r="O34" s="219" t="s">
        <v>94</v>
      </c>
      <c r="P34" s="219" t="s">
        <v>80</v>
      </c>
      <c r="Q34" s="219" t="s">
        <v>59</v>
      </c>
      <c r="R34" s="219" t="s">
        <v>95</v>
      </c>
      <c r="S34" s="219" t="s">
        <v>59</v>
      </c>
      <c r="T34" s="219" t="s">
        <v>535</v>
      </c>
      <c r="U34" s="219" t="s">
        <v>536</v>
      </c>
      <c r="V34" s="219" t="s">
        <v>170</v>
      </c>
      <c r="W34" s="219" t="s">
        <v>106</v>
      </c>
      <c r="X34" s="219"/>
      <c r="Y34" s="219"/>
      <c r="Z34" s="219"/>
      <c r="AA34" s="219"/>
      <c r="AB34" s="219"/>
      <c r="AC34" s="219"/>
      <c r="AD34" s="219"/>
      <c r="AE34" s="219"/>
      <c r="AF34" s="219"/>
      <c r="AG34" s="219"/>
      <c r="AH34" s="219"/>
      <c r="AI34" s="219" t="s">
        <v>350</v>
      </c>
      <c r="AJ34" s="219" t="s">
        <v>351</v>
      </c>
    </row>
    <row r="35" spans="1:36" ht="17.100000000000001" customHeight="1">
      <c r="A35" s="92"/>
      <c r="B35" s="92"/>
      <c r="C35" s="117"/>
      <c r="D35" s="117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</row>
    <row r="36" spans="1:36" ht="17.100000000000001" customHeight="1">
      <c r="A36" s="92"/>
      <c r="B36" s="92"/>
      <c r="C36" s="117"/>
      <c r="D36" s="117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92"/>
      <c r="AI36" s="92"/>
      <c r="AJ36" s="92"/>
    </row>
    <row r="37" spans="1:36" s="301" customFormat="1" ht="17.100000000000001" customHeight="1">
      <c r="A37" s="92"/>
      <c r="B37" s="92"/>
      <c r="C37" s="117"/>
      <c r="D37" s="117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  <c r="AA37" s="92"/>
      <c r="AB37" s="92"/>
      <c r="AC37" s="92"/>
      <c r="AD37" s="92"/>
      <c r="AE37" s="92"/>
      <c r="AF37" s="92"/>
      <c r="AG37" s="92"/>
      <c r="AH37" s="92"/>
      <c r="AI37" s="92"/>
      <c r="AJ37" s="92"/>
    </row>
    <row r="38" spans="1:36" s="301" customFormat="1" ht="17.100000000000001" customHeight="1">
      <c r="A38" s="92"/>
      <c r="B38" s="92"/>
      <c r="C38" s="117"/>
      <c r="D38" s="117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  <c r="AB38" s="92"/>
      <c r="AC38" s="92"/>
      <c r="AD38" s="92"/>
      <c r="AE38" s="92"/>
      <c r="AF38" s="92"/>
      <c r="AG38" s="92"/>
      <c r="AH38" s="92"/>
      <c r="AI38" s="92"/>
      <c r="AJ38" s="92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45"/>
  <sheetViews>
    <sheetView showGridLines="0" showWhiteSpace="0" zoomScaleNormal="100" zoomScaleSheetLayoutView="100" workbookViewId="0">
      <selection sqref="A1:K2"/>
    </sheetView>
  </sheetViews>
  <sheetFormatPr defaultColWidth="10.77734375" defaultRowHeight="15" customHeight="1"/>
  <cols>
    <col min="1" max="3" width="4.77734375" style="37" customWidth="1"/>
    <col min="4" max="8" width="9.77734375" style="37" customWidth="1"/>
    <col min="9" max="11" width="4.77734375" style="37" customWidth="1"/>
    <col min="12" max="16384" width="10.77734375" style="37"/>
  </cols>
  <sheetData>
    <row r="1" spans="1:11" s="46" customFormat="1" ht="33" customHeight="1">
      <c r="A1" s="382" t="s">
        <v>34</v>
      </c>
      <c r="B1" s="382"/>
      <c r="C1" s="382"/>
      <c r="D1" s="382"/>
      <c r="E1" s="382"/>
      <c r="F1" s="382"/>
      <c r="G1" s="382"/>
      <c r="H1" s="382"/>
      <c r="I1" s="382"/>
      <c r="J1" s="382"/>
      <c r="K1" s="382"/>
    </row>
    <row r="2" spans="1:11" s="46" customFormat="1" ht="33" customHeight="1">
      <c r="A2" s="382"/>
      <c r="B2" s="382"/>
      <c r="C2" s="382"/>
      <c r="D2" s="382"/>
      <c r="E2" s="382"/>
      <c r="F2" s="382"/>
      <c r="G2" s="382"/>
      <c r="H2" s="382"/>
      <c r="I2" s="382"/>
      <c r="J2" s="382"/>
      <c r="K2" s="382"/>
    </row>
    <row r="3" spans="1:11" s="46" customFormat="1" ht="12.75" customHeight="1">
      <c r="A3" s="47" t="s">
        <v>76</v>
      </c>
      <c r="B3" s="47"/>
      <c r="C3" s="47"/>
      <c r="D3" s="22"/>
      <c r="E3" s="22"/>
      <c r="F3" s="22"/>
      <c r="G3" s="22"/>
      <c r="H3" s="22"/>
      <c r="I3" s="22"/>
      <c r="J3" s="22"/>
      <c r="K3" s="22"/>
    </row>
    <row r="4" spans="1:11" s="48" customFormat="1" ht="13.5" customHeight="1">
      <c r="A4" s="76" t="str">
        <f>" 교   정   번   호(Calibration No) : "&amp;기본정보!H3</f>
        <v xml:space="preserve"> 교   정   번   호(Calibration No) : </v>
      </c>
      <c r="B4" s="76"/>
      <c r="C4" s="76"/>
      <c r="D4" s="77"/>
      <c r="E4" s="77"/>
      <c r="F4" s="77"/>
      <c r="G4" s="84"/>
      <c r="H4" s="77"/>
      <c r="I4" s="85"/>
      <c r="J4" s="78"/>
      <c r="K4" s="84"/>
    </row>
    <row r="5" spans="1:11" s="36" customFormat="1" ht="15" customHeight="1"/>
    <row r="6" spans="1:11" ht="15" customHeight="1">
      <c r="A6" s="136"/>
      <c r="D6" s="52" t="str">
        <f>"○ 품명 : "&amp;기본정보!C$5</f>
        <v xml:space="preserve">○ 품명 : </v>
      </c>
    </row>
    <row r="7" spans="1:11" ht="15" customHeight="1">
      <c r="A7" s="80"/>
      <c r="D7" s="52" t="str">
        <f>"○ 제작회사 : "&amp;기본정보!C$6</f>
        <v xml:space="preserve">○ 제작회사 : </v>
      </c>
    </row>
    <row r="8" spans="1:11" ht="15" customHeight="1">
      <c r="A8" s="80"/>
      <c r="D8" s="52" t="str">
        <f>"○ 형식 : "&amp;기본정보!C$7</f>
        <v xml:space="preserve">○ 형식 : </v>
      </c>
    </row>
    <row r="9" spans="1:11" ht="15" customHeight="1">
      <c r="A9" s="80"/>
      <c r="D9" s="52" t="str">
        <f>"○ 기기번호 : "&amp;기본정보!C$8</f>
        <v xml:space="preserve">○ 기기번호 : </v>
      </c>
    </row>
    <row r="10" spans="1:11" ht="15" customHeight="1">
      <c r="A10" s="80"/>
    </row>
    <row r="11" spans="1:11" s="109" customFormat="1" ht="15" customHeight="1">
      <c r="A11" s="80"/>
    </row>
    <row r="12" spans="1:11" s="109" customFormat="1" ht="15" customHeight="1">
      <c r="A12" s="80"/>
    </row>
    <row r="13" spans="1:11" s="109" customFormat="1" ht="15" customHeight="1">
      <c r="A13" s="80"/>
    </row>
    <row r="14" spans="1:11" s="109" customFormat="1" ht="15" customHeight="1">
      <c r="A14" s="80"/>
    </row>
    <row r="15" spans="1:11" s="109" customFormat="1" ht="15" customHeight="1">
      <c r="A15" s="80"/>
    </row>
    <row r="16" spans="1:11" s="109" customFormat="1" ht="15" customHeight="1">
      <c r="A16" s="80"/>
    </row>
    <row r="17" spans="1:8" s="109" customFormat="1" ht="15" customHeight="1">
      <c r="A17" s="80"/>
    </row>
    <row r="18" spans="1:8" s="109" customFormat="1" ht="15" customHeight="1">
      <c r="A18" s="80"/>
      <c r="D18" s="38" t="s">
        <v>234</v>
      </c>
    </row>
    <row r="19" spans="1:8" s="109" customFormat="1" ht="15" customHeight="1">
      <c r="A19" s="80"/>
      <c r="D19" s="383" t="s">
        <v>231</v>
      </c>
      <c r="E19" s="383" t="s">
        <v>232</v>
      </c>
      <c r="F19" s="383"/>
      <c r="G19" s="383" t="s">
        <v>233</v>
      </c>
      <c r="H19" s="383"/>
    </row>
    <row r="20" spans="1:8" s="109" customFormat="1" ht="15" customHeight="1">
      <c r="A20" s="80"/>
      <c r="B20" s="44"/>
      <c r="C20" s="44"/>
      <c r="D20" s="383"/>
      <c r="E20" s="174" t="s">
        <v>181</v>
      </c>
      <c r="F20" s="177" t="s">
        <v>182</v>
      </c>
      <c r="G20" s="177" t="s">
        <v>181</v>
      </c>
      <c r="H20" s="177" t="s">
        <v>182</v>
      </c>
    </row>
    <row r="21" spans="1:8" s="109" customFormat="1" ht="15" customHeight="1">
      <c r="A21" s="80" t="str">
        <f>IF(Calcu!B10=TRUE,"","삭제")</f>
        <v>삭제</v>
      </c>
      <c r="B21" s="44"/>
      <c r="C21" s="44"/>
      <c r="D21" s="174" t="str">
        <f>RAWDATA!D15</f>
        <v/>
      </c>
      <c r="E21" s="174" t="e">
        <f ca="1">Calcu!S53</f>
        <v>#N/A</v>
      </c>
      <c r="F21" s="174" t="e">
        <f ca="1">Calcu!T53</f>
        <v>#N/A</v>
      </c>
      <c r="G21" s="174" t="e">
        <f ca="1">Calcu!S39</f>
        <v>#N/A</v>
      </c>
      <c r="H21" s="174" t="e">
        <f ca="1">Calcu!T39</f>
        <v>#N/A</v>
      </c>
    </row>
    <row r="22" spans="1:8" s="109" customFormat="1" ht="15" customHeight="1">
      <c r="A22" s="80" t="str">
        <f>IF(Calcu!B11=TRUE,"","삭제")</f>
        <v>삭제</v>
      </c>
      <c r="B22" s="44"/>
      <c r="C22" s="44"/>
      <c r="D22" s="174" t="str">
        <f>RAWDATA!D16</f>
        <v/>
      </c>
      <c r="E22" s="174" t="e">
        <f ca="1">Calcu!S54</f>
        <v>#N/A</v>
      </c>
      <c r="F22" s="174" t="e">
        <f ca="1">Calcu!T54</f>
        <v>#N/A</v>
      </c>
      <c r="G22" s="174" t="e">
        <f ca="1">Calcu!S40</f>
        <v>#N/A</v>
      </c>
      <c r="H22" s="174" t="e">
        <f ca="1">Calcu!T40</f>
        <v>#N/A</v>
      </c>
    </row>
    <row r="23" spans="1:8" s="109" customFormat="1" ht="15" customHeight="1">
      <c r="A23" s="80" t="str">
        <f>IF(Calcu!B12=TRUE,"","삭제")</f>
        <v>삭제</v>
      </c>
      <c r="B23" s="44"/>
      <c r="C23" s="44"/>
      <c r="D23" s="174" t="str">
        <f>RAWDATA!D17</f>
        <v/>
      </c>
      <c r="E23" s="174" t="e">
        <f ca="1">Calcu!S55</f>
        <v>#N/A</v>
      </c>
      <c r="F23" s="174" t="e">
        <f ca="1">Calcu!T55</f>
        <v>#N/A</v>
      </c>
      <c r="G23" s="174" t="e">
        <f ca="1">Calcu!S41</f>
        <v>#N/A</v>
      </c>
      <c r="H23" s="174" t="e">
        <f ca="1">Calcu!T41</f>
        <v>#N/A</v>
      </c>
    </row>
    <row r="24" spans="1:8" s="109" customFormat="1" ht="15" customHeight="1">
      <c r="A24" s="80" t="str">
        <f>IF(Calcu!B13=TRUE,"","삭제")</f>
        <v>삭제</v>
      </c>
      <c r="B24" s="44"/>
      <c r="C24" s="44"/>
      <c r="D24" s="174" t="str">
        <f>RAWDATA!D18</f>
        <v/>
      </c>
      <c r="E24" s="174" t="e">
        <f ca="1">Calcu!S56</f>
        <v>#N/A</v>
      </c>
      <c r="F24" s="174" t="e">
        <f ca="1">Calcu!T56</f>
        <v>#N/A</v>
      </c>
      <c r="G24" s="174" t="e">
        <f ca="1">Calcu!S42</f>
        <v>#N/A</v>
      </c>
      <c r="H24" s="174" t="e">
        <f ca="1">Calcu!T42</f>
        <v>#N/A</v>
      </c>
    </row>
    <row r="25" spans="1:8" s="109" customFormat="1" ht="15" customHeight="1">
      <c r="A25" s="80" t="str">
        <f>IF(Calcu!B14=TRUE,"","삭제")</f>
        <v>삭제</v>
      </c>
      <c r="B25" s="44"/>
      <c r="C25" s="44"/>
      <c r="D25" s="174" t="str">
        <f>RAWDATA!D19</f>
        <v/>
      </c>
      <c r="E25" s="174" t="e">
        <f ca="1">Calcu!S57</f>
        <v>#N/A</v>
      </c>
      <c r="F25" s="174" t="e">
        <f ca="1">Calcu!T57</f>
        <v>#N/A</v>
      </c>
      <c r="G25" s="174" t="e">
        <f ca="1">Calcu!S43</f>
        <v>#N/A</v>
      </c>
      <c r="H25" s="174" t="e">
        <f ca="1">Calcu!T43</f>
        <v>#N/A</v>
      </c>
    </row>
    <row r="26" spans="1:8" s="109" customFormat="1" ht="15" customHeight="1">
      <c r="A26" s="80" t="str">
        <f>IF(Calcu!B15=TRUE,"","삭제")</f>
        <v>삭제</v>
      </c>
      <c r="B26" s="44"/>
      <c r="C26" s="44"/>
      <c r="D26" s="174" t="str">
        <f>RAWDATA!D20</f>
        <v/>
      </c>
      <c r="E26" s="174" t="e">
        <f ca="1">Calcu!S58</f>
        <v>#N/A</v>
      </c>
      <c r="F26" s="174" t="e">
        <f ca="1">Calcu!T58</f>
        <v>#N/A</v>
      </c>
      <c r="G26" s="174" t="e">
        <f ca="1">Calcu!S44</f>
        <v>#N/A</v>
      </c>
      <c r="H26" s="174" t="e">
        <f ca="1">Calcu!T44</f>
        <v>#N/A</v>
      </c>
    </row>
    <row r="27" spans="1:8" s="109" customFormat="1" ht="15" customHeight="1">
      <c r="A27" s="80" t="str">
        <f>IF(Calcu!B16=TRUE,"","삭제")</f>
        <v>삭제</v>
      </c>
      <c r="B27" s="44"/>
      <c r="C27" s="44"/>
      <c r="D27" s="174" t="str">
        <f>RAWDATA!D21</f>
        <v/>
      </c>
      <c r="E27" s="174" t="e">
        <f ca="1">Calcu!S59</f>
        <v>#N/A</v>
      </c>
      <c r="F27" s="174" t="e">
        <f ca="1">Calcu!T59</f>
        <v>#N/A</v>
      </c>
      <c r="G27" s="174" t="e">
        <f ca="1">Calcu!S45</f>
        <v>#N/A</v>
      </c>
      <c r="H27" s="174" t="e">
        <f ca="1">Calcu!T45</f>
        <v>#N/A</v>
      </c>
    </row>
    <row r="28" spans="1:8" s="109" customFormat="1" ht="15" customHeight="1">
      <c r="A28" s="80" t="str">
        <f>IF(Calcu!B17=TRUE,"","삭제")</f>
        <v>삭제</v>
      </c>
      <c r="B28" s="44"/>
      <c r="C28" s="44"/>
      <c r="D28" s="174" t="str">
        <f>RAWDATA!D22</f>
        <v/>
      </c>
      <c r="E28" s="174" t="e">
        <f ca="1">Calcu!S60</f>
        <v>#N/A</v>
      </c>
      <c r="F28" s="174" t="e">
        <f ca="1">Calcu!T60</f>
        <v>#N/A</v>
      </c>
      <c r="G28" s="174" t="e">
        <f ca="1">Calcu!S46</f>
        <v>#N/A</v>
      </c>
      <c r="H28" s="174" t="e">
        <f ca="1">Calcu!T46</f>
        <v>#N/A</v>
      </c>
    </row>
    <row r="29" spans="1:8" s="109" customFormat="1" ht="15" customHeight="1">
      <c r="A29" s="80" t="str">
        <f>IF(Calcu!B18=TRUE,"","삭제")</f>
        <v>삭제</v>
      </c>
      <c r="B29" s="44"/>
      <c r="C29" s="44"/>
      <c r="D29" s="174" t="str">
        <f>RAWDATA!D23</f>
        <v/>
      </c>
      <c r="E29" s="174" t="e">
        <f ca="1">Calcu!S61</f>
        <v>#N/A</v>
      </c>
      <c r="F29" s="174" t="e">
        <f ca="1">Calcu!T61</f>
        <v>#N/A</v>
      </c>
      <c r="G29" s="174" t="e">
        <f ca="1">Calcu!S47</f>
        <v>#N/A</v>
      </c>
      <c r="H29" s="174" t="e">
        <f ca="1">Calcu!T47</f>
        <v>#N/A</v>
      </c>
    </row>
    <row r="30" spans="1:8" s="109" customFormat="1" ht="15" customHeight="1">
      <c r="A30" s="80" t="str">
        <f>IF(Calcu!B19=TRUE,"","삭제")</f>
        <v>삭제</v>
      </c>
      <c r="B30" s="44"/>
      <c r="C30" s="44"/>
      <c r="D30" s="174" t="str">
        <f>RAWDATA!D24</f>
        <v/>
      </c>
      <c r="E30" s="174" t="e">
        <f ca="1">Calcu!S62</f>
        <v>#N/A</v>
      </c>
      <c r="F30" s="174" t="e">
        <f ca="1">Calcu!T62</f>
        <v>#N/A</v>
      </c>
      <c r="G30" s="174" t="e">
        <f ca="1">Calcu!S48</f>
        <v>#N/A</v>
      </c>
      <c r="H30" s="174" t="e">
        <f ca="1">Calcu!T48</f>
        <v>#N/A</v>
      </c>
    </row>
    <row r="31" spans="1:8" s="109" customFormat="1" ht="15" customHeight="1">
      <c r="A31" s="80"/>
      <c r="B31" s="44"/>
      <c r="C31" s="44"/>
      <c r="D31" s="181" t="e">
        <f ca="1">"● 측정불확도 : "&amp;Calcu!T76</f>
        <v>#N/A</v>
      </c>
      <c r="G31" s="51" t="s">
        <v>77</v>
      </c>
      <c r="H31" s="49" t="str">
        <f ca="1">Calcu!C78&amp;")"</f>
        <v>2)</v>
      </c>
    </row>
    <row r="32" spans="1:8" s="109" customFormat="1" ht="15" customHeight="1">
      <c r="A32" s="80"/>
      <c r="B32" s="44"/>
      <c r="C32" s="44"/>
      <c r="D32" s="36"/>
      <c r="E32" s="175"/>
      <c r="F32" s="50"/>
      <c r="G32" s="50"/>
      <c r="H32" s="50"/>
    </row>
    <row r="33" spans="1:9" s="109" customFormat="1" ht="15" customHeight="1">
      <c r="A33" s="80" t="str">
        <f>IF(Calcu!B89=TRUE,"","삭제")</f>
        <v>삭제</v>
      </c>
      <c r="B33" s="44"/>
      <c r="C33" s="44"/>
      <c r="D33" s="36" t="s">
        <v>473</v>
      </c>
      <c r="E33" s="175"/>
      <c r="F33" s="50"/>
      <c r="G33" s="50"/>
      <c r="H33" s="50"/>
    </row>
    <row r="34" spans="1:9" s="109" customFormat="1" ht="15" customHeight="1">
      <c r="A34" s="80" t="str">
        <f>A33</f>
        <v>삭제</v>
      </c>
      <c r="B34" s="44"/>
      <c r="C34" s="44"/>
      <c r="D34" s="246" t="str">
        <f>Calcu!T89&amp;" :"</f>
        <v xml:space="preserve"> :</v>
      </c>
      <c r="E34" s="175" t="e">
        <f ca="1">Calcu!W89&amp;" μm/m"</f>
        <v>#VALUE!</v>
      </c>
      <c r="F34" s="50"/>
      <c r="G34" s="246"/>
      <c r="H34" s="50"/>
    </row>
    <row r="35" spans="1:9" s="109" customFormat="1" ht="15" customHeight="1">
      <c r="A35" s="80" t="str">
        <f>A34</f>
        <v>삭제</v>
      </c>
      <c r="B35" s="44"/>
      <c r="C35" s="44"/>
      <c r="D35" s="246" t="str">
        <f>Calcu!T90&amp;" :"</f>
        <v xml:space="preserve"> :</v>
      </c>
      <c r="E35" s="175" t="e">
        <f ca="1">Calcu!W90&amp;" μm/m"</f>
        <v>#VALUE!</v>
      </c>
      <c r="F35" s="50"/>
      <c r="G35" s="246"/>
      <c r="H35" s="50"/>
    </row>
    <row r="36" spans="1:9" s="109" customFormat="1" ht="15" customHeight="1">
      <c r="A36" s="80" t="str">
        <f>A35</f>
        <v>삭제</v>
      </c>
      <c r="B36" s="44"/>
      <c r="C36" s="44"/>
      <c r="D36" s="181" t="e">
        <f ca="1">"● 측정불확도 : "&amp;Calcu!T110</f>
        <v>#DIV/0!</v>
      </c>
      <c r="E36" s="175"/>
      <c r="F36" s="50"/>
      <c r="G36" s="51" t="s">
        <v>77</v>
      </c>
      <c r="H36" s="49" t="e">
        <f ca="1">Calcu!C112&amp;")"</f>
        <v>#DIV/0!</v>
      </c>
    </row>
    <row r="37" spans="1:9" s="109" customFormat="1" ht="15" customHeight="1">
      <c r="A37" s="80" t="str">
        <f>A36</f>
        <v>삭제</v>
      </c>
      <c r="B37" s="44"/>
      <c r="C37" s="44"/>
      <c r="D37" s="181" t="s">
        <v>475</v>
      </c>
      <c r="E37" s="175"/>
      <c r="F37" s="50"/>
      <c r="G37" s="246"/>
      <c r="H37" s="50"/>
    </row>
    <row r="38" spans="1:9" s="109" customFormat="1" ht="15" customHeight="1">
      <c r="A38" s="80" t="str">
        <f>A37</f>
        <v>삭제</v>
      </c>
      <c r="B38" s="44"/>
      <c r="C38" s="44"/>
      <c r="D38" s="38"/>
      <c r="E38" s="175"/>
      <c r="F38" s="50"/>
      <c r="G38" s="246"/>
      <c r="H38" s="50"/>
    </row>
    <row r="39" spans="1:9" s="109" customFormat="1" ht="15" customHeight="1">
      <c r="A39" s="80" t="str">
        <f>IF(Calcu!B123=TRUE,"","삭제")</f>
        <v>삭제</v>
      </c>
      <c r="B39" s="44"/>
      <c r="C39" s="44"/>
      <c r="D39" s="36" t="str">
        <f>IF(Calcu!B89=TRUE,"3","2")&amp;". 밑면의 평면도"</f>
        <v>2. 밑면의 평면도</v>
      </c>
      <c r="E39" s="175"/>
      <c r="F39" s="50"/>
      <c r="G39" s="50"/>
      <c r="H39" s="50"/>
    </row>
    <row r="40" spans="1:9" s="109" customFormat="1" ht="15" customHeight="1">
      <c r="A40" s="80" t="str">
        <f>A39</f>
        <v>삭제</v>
      </c>
      <c r="B40" s="44"/>
      <c r="C40" s="44"/>
      <c r="D40" s="314" t="e">
        <f ca="1">CONCATENATE(Calcu!Q123," ",Calcu!Q122,"±"&amp;Calcu!T139)</f>
        <v>#VALUE!</v>
      </c>
      <c r="E40" s="175"/>
      <c r="F40" s="50"/>
      <c r="G40" s="51" t="s">
        <v>77</v>
      </c>
      <c r="H40" s="49" t="e">
        <f ca="1">Calcu!C141&amp;")"</f>
        <v>#VALUE!</v>
      </c>
    </row>
    <row r="41" spans="1:9" s="109" customFormat="1" ht="15" customHeight="1">
      <c r="A41" s="80" t="str">
        <f>A40</f>
        <v>삭제</v>
      </c>
      <c r="B41" s="44"/>
      <c r="C41" s="44"/>
      <c r="D41" s="38"/>
      <c r="E41" s="175"/>
      <c r="F41" s="50"/>
      <c r="G41" s="246"/>
      <c r="H41" s="50"/>
    </row>
    <row r="42" spans="1:9" s="109" customFormat="1" ht="15" customHeight="1">
      <c r="A42" s="80"/>
      <c r="B42" s="44"/>
      <c r="C42" s="44"/>
      <c r="D42" s="176" t="s">
        <v>235</v>
      </c>
      <c r="E42" s="175"/>
      <c r="F42" s="50"/>
      <c r="G42" s="50"/>
      <c r="H42" s="50"/>
    </row>
    <row r="43" spans="1:9" s="109" customFormat="1" ht="15" customHeight="1">
      <c r="A43" s="80"/>
      <c r="B43" s="44"/>
      <c r="C43" s="44"/>
      <c r="D43" s="176" t="s">
        <v>236</v>
      </c>
      <c r="E43" s="175"/>
      <c r="F43" s="50"/>
      <c r="G43" s="50"/>
      <c r="H43" s="50"/>
    </row>
    <row r="44" spans="1:9" s="109" customFormat="1" ht="15" customHeight="1">
      <c r="A44" s="80"/>
      <c r="B44" s="44"/>
      <c r="C44" s="44"/>
      <c r="D44" s="176" t="e">
        <f>"○ 주기포관 교정 결과는 부 기포관이 "&amp;RAWDATA!E8&amp;"에 있음."</f>
        <v>#N/A</v>
      </c>
      <c r="E44" s="175"/>
      <c r="F44" s="50"/>
      <c r="G44" s="50"/>
      <c r="H44" s="50"/>
    </row>
    <row r="45" spans="1:9" ht="15" customHeight="1">
      <c r="C45" s="60"/>
      <c r="D45" s="60"/>
      <c r="E45" s="60"/>
      <c r="F45" s="60"/>
      <c r="G45" s="60"/>
      <c r="H45" s="60"/>
      <c r="I45" s="61"/>
    </row>
  </sheetData>
  <mergeCells count="4">
    <mergeCell ref="A1:K2"/>
    <mergeCell ref="G19:H19"/>
    <mergeCell ref="E19:F19"/>
    <mergeCell ref="D19:D20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51"/>
  <sheetViews>
    <sheetView showGridLines="0" showWhiteSpace="0" zoomScaleNormal="100" zoomScaleSheetLayoutView="100" workbookViewId="0">
      <selection sqref="A1:K2"/>
    </sheetView>
  </sheetViews>
  <sheetFormatPr defaultColWidth="10.77734375" defaultRowHeight="15" customHeight="1"/>
  <cols>
    <col min="1" max="3" width="4.77734375" style="109" customWidth="1"/>
    <col min="4" max="8" width="9.77734375" style="109" customWidth="1"/>
    <col min="9" max="11" width="4.77734375" style="109" customWidth="1"/>
    <col min="12" max="13" width="4.77734375" style="37" customWidth="1"/>
    <col min="14" max="16384" width="10.77734375" style="37"/>
  </cols>
  <sheetData>
    <row r="1" spans="1:11" s="66" customFormat="1" ht="33" customHeight="1">
      <c r="A1" s="389" t="s">
        <v>57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</row>
    <row r="2" spans="1:11" s="66" customFormat="1" ht="33" customHeight="1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</row>
    <row r="3" spans="1:11" s="46" customFormat="1" ht="12.75" customHeight="1">
      <c r="A3" s="47" t="s">
        <v>56</v>
      </c>
      <c r="B3" s="47"/>
      <c r="C3" s="47"/>
      <c r="D3" s="47"/>
      <c r="E3" s="22"/>
      <c r="F3" s="22"/>
      <c r="G3" s="22"/>
      <c r="H3" s="22"/>
      <c r="I3" s="22"/>
      <c r="J3" s="22"/>
      <c r="K3" s="22"/>
    </row>
    <row r="4" spans="1:11" s="48" customFormat="1" ht="13.5" customHeight="1">
      <c r="A4" s="65" t="str">
        <f>" 교   정   번   호(Calibration No) : "&amp;기본정보!H3</f>
        <v xml:space="preserve"> 교   정   번   호(Calibration No) : </v>
      </c>
      <c r="B4" s="65"/>
      <c r="C4" s="76"/>
      <c r="D4" s="76"/>
      <c r="E4" s="64"/>
      <c r="F4" s="62"/>
      <c r="G4" s="64"/>
      <c r="H4" s="64"/>
      <c r="I4" s="63"/>
      <c r="J4" s="78"/>
      <c r="K4" s="62"/>
    </row>
    <row r="5" spans="1:11" s="36" customFormat="1" ht="15" customHeight="1"/>
    <row r="6" spans="1:11" ht="15" customHeight="1">
      <c r="A6" s="136"/>
      <c r="D6" s="52" t="str">
        <f>"○ Description : "&amp;기본정보!C$5</f>
        <v xml:space="preserve">○ Description : </v>
      </c>
    </row>
    <row r="7" spans="1:11" ht="15" customHeight="1">
      <c r="A7" s="80"/>
      <c r="D7" s="52" t="str">
        <f>"○ Manufacturer : "&amp;기본정보!C$6</f>
        <v xml:space="preserve">○ Manufacturer : </v>
      </c>
    </row>
    <row r="8" spans="1:11" ht="15" customHeight="1">
      <c r="A8" s="80"/>
      <c r="D8" s="52" t="str">
        <f>"○ Model Name : "&amp;기본정보!C$7</f>
        <v xml:space="preserve">○ Model Name : </v>
      </c>
    </row>
    <row r="9" spans="1:11" ht="15" customHeight="1">
      <c r="A9" s="80"/>
      <c r="D9" s="52" t="str">
        <f>"○ Serial Number : "&amp;기본정보!C$8</f>
        <v xml:space="preserve">○ Serial Number : </v>
      </c>
      <c r="E9" s="37"/>
    </row>
    <row r="10" spans="1:11" s="109" customFormat="1" ht="15" customHeight="1">
      <c r="A10" s="80"/>
      <c r="E10" s="52"/>
    </row>
    <row r="11" spans="1:11" s="109" customFormat="1" ht="15" customHeight="1">
      <c r="A11" s="80"/>
      <c r="E11" s="52"/>
    </row>
    <row r="12" spans="1:11" s="109" customFormat="1" ht="15" customHeight="1">
      <c r="A12" s="80"/>
      <c r="E12" s="52"/>
    </row>
    <row r="13" spans="1:11" s="109" customFormat="1" ht="15" customHeight="1">
      <c r="A13" s="80"/>
      <c r="E13" s="52"/>
    </row>
    <row r="14" spans="1:11" s="109" customFormat="1" ht="15" customHeight="1">
      <c r="A14" s="80"/>
      <c r="E14" s="52"/>
    </row>
    <row r="15" spans="1:11" s="109" customFormat="1" ht="15" customHeight="1">
      <c r="A15" s="80"/>
      <c r="E15" s="52"/>
    </row>
    <row r="16" spans="1:11" s="109" customFormat="1" ht="15" customHeight="1">
      <c r="A16" s="80"/>
      <c r="E16" s="52"/>
    </row>
    <row r="17" spans="1:8" s="109" customFormat="1" ht="15" customHeight="1">
      <c r="A17" s="80"/>
      <c r="E17" s="52"/>
    </row>
    <row r="18" spans="1:8" s="109" customFormat="1" ht="15" customHeight="1">
      <c r="A18" s="80"/>
      <c r="D18" s="38" t="s">
        <v>242</v>
      </c>
    </row>
    <row r="19" spans="1:8" s="109" customFormat="1" ht="15" customHeight="1">
      <c r="A19" s="80"/>
      <c r="D19" s="384" t="s">
        <v>243</v>
      </c>
      <c r="E19" s="385" t="s">
        <v>244</v>
      </c>
      <c r="F19" s="386"/>
      <c r="G19" s="385" t="s">
        <v>245</v>
      </c>
      <c r="H19" s="386"/>
    </row>
    <row r="20" spans="1:8" s="109" customFormat="1" ht="15" customHeight="1">
      <c r="A20" s="80"/>
      <c r="D20" s="384"/>
      <c r="E20" s="387"/>
      <c r="F20" s="388"/>
      <c r="G20" s="387"/>
      <c r="H20" s="388"/>
    </row>
    <row r="21" spans="1:8" s="109" customFormat="1" ht="15" customHeight="1">
      <c r="A21" s="80"/>
      <c r="B21" s="44"/>
      <c r="C21" s="44"/>
      <c r="D21" s="384"/>
      <c r="E21" s="174" t="s">
        <v>246</v>
      </c>
      <c r="F21" s="179" t="s">
        <v>247</v>
      </c>
      <c r="G21" s="174" t="s">
        <v>246</v>
      </c>
      <c r="H21" s="179" t="s">
        <v>247</v>
      </c>
    </row>
    <row r="22" spans="1:8" s="109" customFormat="1" ht="15" customHeight="1">
      <c r="A22" s="80" t="str">
        <f>IF(Calcu!B10=TRUE,"","삭제")</f>
        <v>삭제</v>
      </c>
      <c r="B22" s="44"/>
      <c r="C22" s="44"/>
      <c r="D22" s="174" t="str">
        <f>RAWDATA!D15</f>
        <v/>
      </c>
      <c r="E22" s="174" t="e">
        <f ca="1">Calcu!S53</f>
        <v>#N/A</v>
      </c>
      <c r="F22" s="174" t="e">
        <f ca="1">Calcu!T53</f>
        <v>#N/A</v>
      </c>
      <c r="G22" s="174" t="e">
        <f ca="1">Calcu!S39</f>
        <v>#N/A</v>
      </c>
      <c r="H22" s="174" t="e">
        <f ca="1">Calcu!T39</f>
        <v>#N/A</v>
      </c>
    </row>
    <row r="23" spans="1:8" s="109" customFormat="1" ht="15" customHeight="1">
      <c r="A23" s="80" t="str">
        <f>IF(Calcu!B11=TRUE,"","삭제")</f>
        <v>삭제</v>
      </c>
      <c r="B23" s="44"/>
      <c r="C23" s="44"/>
      <c r="D23" s="174" t="str">
        <f>RAWDATA!D16</f>
        <v/>
      </c>
      <c r="E23" s="174" t="e">
        <f ca="1">Calcu!S54</f>
        <v>#N/A</v>
      </c>
      <c r="F23" s="174" t="e">
        <f ca="1">Calcu!T54</f>
        <v>#N/A</v>
      </c>
      <c r="G23" s="174" t="e">
        <f ca="1">Calcu!S40</f>
        <v>#N/A</v>
      </c>
      <c r="H23" s="174" t="e">
        <f ca="1">Calcu!T40</f>
        <v>#N/A</v>
      </c>
    </row>
    <row r="24" spans="1:8" s="109" customFormat="1" ht="15" customHeight="1">
      <c r="A24" s="80" t="str">
        <f>IF(Calcu!B12=TRUE,"","삭제")</f>
        <v>삭제</v>
      </c>
      <c r="B24" s="44"/>
      <c r="C24" s="44"/>
      <c r="D24" s="174" t="str">
        <f>RAWDATA!D17</f>
        <v/>
      </c>
      <c r="E24" s="174" t="e">
        <f ca="1">Calcu!S55</f>
        <v>#N/A</v>
      </c>
      <c r="F24" s="174" t="e">
        <f ca="1">Calcu!T55</f>
        <v>#N/A</v>
      </c>
      <c r="G24" s="174" t="e">
        <f ca="1">Calcu!S41</f>
        <v>#N/A</v>
      </c>
      <c r="H24" s="174" t="e">
        <f ca="1">Calcu!T41</f>
        <v>#N/A</v>
      </c>
    </row>
    <row r="25" spans="1:8" s="109" customFormat="1" ht="15" customHeight="1">
      <c r="A25" s="80" t="str">
        <f>IF(Calcu!B13=TRUE,"","삭제")</f>
        <v>삭제</v>
      </c>
      <c r="B25" s="44"/>
      <c r="C25" s="44"/>
      <c r="D25" s="174" t="str">
        <f>RAWDATA!D18</f>
        <v/>
      </c>
      <c r="E25" s="174" t="e">
        <f ca="1">Calcu!S56</f>
        <v>#N/A</v>
      </c>
      <c r="F25" s="174" t="e">
        <f ca="1">Calcu!T56</f>
        <v>#N/A</v>
      </c>
      <c r="G25" s="174" t="e">
        <f ca="1">Calcu!S42</f>
        <v>#N/A</v>
      </c>
      <c r="H25" s="174" t="e">
        <f ca="1">Calcu!T42</f>
        <v>#N/A</v>
      </c>
    </row>
    <row r="26" spans="1:8" s="109" customFormat="1" ht="15" customHeight="1">
      <c r="A26" s="80" t="str">
        <f>IF(Calcu!B14=TRUE,"","삭제")</f>
        <v>삭제</v>
      </c>
      <c r="B26" s="44"/>
      <c r="C26" s="44"/>
      <c r="D26" s="174" t="str">
        <f>RAWDATA!D19</f>
        <v/>
      </c>
      <c r="E26" s="174" t="e">
        <f ca="1">Calcu!S57</f>
        <v>#N/A</v>
      </c>
      <c r="F26" s="174" t="e">
        <f ca="1">Calcu!T57</f>
        <v>#N/A</v>
      </c>
      <c r="G26" s="174" t="e">
        <f ca="1">Calcu!S43</f>
        <v>#N/A</v>
      </c>
      <c r="H26" s="174" t="e">
        <f ca="1">Calcu!T43</f>
        <v>#N/A</v>
      </c>
    </row>
    <row r="27" spans="1:8" s="109" customFormat="1" ht="15" customHeight="1">
      <c r="A27" s="80" t="str">
        <f>IF(Calcu!B15=TRUE,"","삭제")</f>
        <v>삭제</v>
      </c>
      <c r="B27" s="44"/>
      <c r="C27" s="44"/>
      <c r="D27" s="174" t="str">
        <f>RAWDATA!D20</f>
        <v/>
      </c>
      <c r="E27" s="174" t="e">
        <f ca="1">Calcu!S58</f>
        <v>#N/A</v>
      </c>
      <c r="F27" s="174" t="e">
        <f ca="1">Calcu!T58</f>
        <v>#N/A</v>
      </c>
      <c r="G27" s="174" t="e">
        <f ca="1">Calcu!S44</f>
        <v>#N/A</v>
      </c>
      <c r="H27" s="174" t="e">
        <f ca="1">Calcu!T44</f>
        <v>#N/A</v>
      </c>
    </row>
    <row r="28" spans="1:8" s="109" customFormat="1" ht="15" customHeight="1">
      <c r="A28" s="80" t="str">
        <f>IF(Calcu!B16=TRUE,"","삭제")</f>
        <v>삭제</v>
      </c>
      <c r="B28" s="44"/>
      <c r="C28" s="44"/>
      <c r="D28" s="174" t="str">
        <f>RAWDATA!D21</f>
        <v/>
      </c>
      <c r="E28" s="174" t="e">
        <f ca="1">Calcu!S59</f>
        <v>#N/A</v>
      </c>
      <c r="F28" s="174" t="e">
        <f ca="1">Calcu!T59</f>
        <v>#N/A</v>
      </c>
      <c r="G28" s="174" t="e">
        <f ca="1">Calcu!S45</f>
        <v>#N/A</v>
      </c>
      <c r="H28" s="174" t="e">
        <f ca="1">Calcu!T45</f>
        <v>#N/A</v>
      </c>
    </row>
    <row r="29" spans="1:8" s="109" customFormat="1" ht="15" customHeight="1">
      <c r="A29" s="80" t="str">
        <f>IF(Calcu!B17=TRUE,"","삭제")</f>
        <v>삭제</v>
      </c>
      <c r="B29" s="44"/>
      <c r="C29" s="44"/>
      <c r="D29" s="174" t="str">
        <f>RAWDATA!D22</f>
        <v/>
      </c>
      <c r="E29" s="174" t="e">
        <f ca="1">Calcu!S60</f>
        <v>#N/A</v>
      </c>
      <c r="F29" s="174" t="e">
        <f ca="1">Calcu!T60</f>
        <v>#N/A</v>
      </c>
      <c r="G29" s="174" t="e">
        <f ca="1">Calcu!S46</f>
        <v>#N/A</v>
      </c>
      <c r="H29" s="174" t="e">
        <f ca="1">Calcu!T46</f>
        <v>#N/A</v>
      </c>
    </row>
    <row r="30" spans="1:8" s="109" customFormat="1" ht="15" customHeight="1">
      <c r="A30" s="80" t="str">
        <f>IF(Calcu!B18=TRUE,"","삭제")</f>
        <v>삭제</v>
      </c>
      <c r="B30" s="44"/>
      <c r="C30" s="44"/>
      <c r="D30" s="174" t="str">
        <f>RAWDATA!D23</f>
        <v/>
      </c>
      <c r="E30" s="174" t="e">
        <f ca="1">Calcu!S61</f>
        <v>#N/A</v>
      </c>
      <c r="F30" s="174" t="e">
        <f ca="1">Calcu!T61</f>
        <v>#N/A</v>
      </c>
      <c r="G30" s="174" t="e">
        <f ca="1">Calcu!S47</f>
        <v>#N/A</v>
      </c>
      <c r="H30" s="174" t="e">
        <f ca="1">Calcu!T47</f>
        <v>#N/A</v>
      </c>
    </row>
    <row r="31" spans="1:8" s="109" customFormat="1" ht="15" customHeight="1">
      <c r="A31" s="80" t="str">
        <f>IF(Calcu!B19=TRUE,"","삭제")</f>
        <v>삭제</v>
      </c>
      <c r="B31" s="44"/>
      <c r="C31" s="44"/>
      <c r="D31" s="174" t="str">
        <f>RAWDATA!D24</f>
        <v/>
      </c>
      <c r="E31" s="174" t="e">
        <f ca="1">Calcu!S62</f>
        <v>#N/A</v>
      </c>
      <c r="F31" s="174" t="e">
        <f ca="1">Calcu!T62</f>
        <v>#N/A</v>
      </c>
      <c r="G31" s="174" t="e">
        <f ca="1">Calcu!S48</f>
        <v>#N/A</v>
      </c>
      <c r="H31" s="174" t="e">
        <f ca="1">Calcu!T48</f>
        <v>#N/A</v>
      </c>
    </row>
    <row r="32" spans="1:8" s="109" customFormat="1" ht="15" customHeight="1">
      <c r="A32" s="80"/>
      <c r="B32" s="44"/>
      <c r="C32" s="44"/>
      <c r="D32" s="181" t="e">
        <f ca="1">"● Measurement uncertainty : "&amp;Calcu!T76</f>
        <v>#N/A</v>
      </c>
    </row>
    <row r="33" spans="1:8" s="109" customFormat="1" ht="15" customHeight="1">
      <c r="A33" s="80"/>
      <c r="B33" s="44"/>
      <c r="C33" s="44"/>
      <c r="D33" s="38"/>
      <c r="F33" s="51" t="s">
        <v>78</v>
      </c>
      <c r="G33" s="49" t="str">
        <f ca="1">Calcu!C78&amp;")"</f>
        <v>2)</v>
      </c>
      <c r="H33" s="49"/>
    </row>
    <row r="34" spans="1:8" s="109" customFormat="1" ht="15" customHeight="1">
      <c r="A34" s="80"/>
      <c r="B34" s="44"/>
      <c r="C34" s="44"/>
      <c r="D34" s="36"/>
      <c r="E34" s="175"/>
      <c r="F34" s="50"/>
      <c r="G34" s="50"/>
      <c r="H34" s="50"/>
    </row>
    <row r="35" spans="1:8" s="109" customFormat="1" ht="15" customHeight="1">
      <c r="A35" s="80" t="str">
        <f>IF(Calcu!B89=TRUE,"","삭제")</f>
        <v>삭제</v>
      </c>
      <c r="B35" s="44"/>
      <c r="C35" s="44"/>
      <c r="D35" s="36" t="s">
        <v>474</v>
      </c>
      <c r="E35" s="175"/>
      <c r="F35" s="50"/>
      <c r="G35" s="50"/>
      <c r="H35" s="50"/>
    </row>
    <row r="36" spans="1:8" s="109" customFormat="1" ht="15" customHeight="1">
      <c r="A36" s="80" t="str">
        <f t="shared" ref="A36:A41" si="0">A35</f>
        <v>삭제</v>
      </c>
      <c r="B36" s="44"/>
      <c r="C36" s="44"/>
      <c r="D36" s="246" t="str">
        <f>IF(Calcu!T89="좌측면","left side","right side")&amp;" :"</f>
        <v>right side :</v>
      </c>
      <c r="E36" s="175" t="e">
        <f ca="1">Calcu!W89&amp;" μm/m"</f>
        <v>#VALUE!</v>
      </c>
      <c r="F36" s="50"/>
      <c r="G36" s="50"/>
      <c r="H36" s="50"/>
    </row>
    <row r="37" spans="1:8" s="109" customFormat="1" ht="15" customHeight="1">
      <c r="A37" s="80" t="str">
        <f t="shared" si="0"/>
        <v>삭제</v>
      </c>
      <c r="B37" s="44"/>
      <c r="C37" s="44"/>
      <c r="D37" s="246" t="str">
        <f>IF(Calcu!T90="좌측면","left side","right side")&amp;" :"</f>
        <v>right side :</v>
      </c>
      <c r="E37" s="175" t="e">
        <f ca="1">Calcu!W90&amp;" μm/m"</f>
        <v>#VALUE!</v>
      </c>
      <c r="F37" s="50"/>
      <c r="G37" s="50"/>
      <c r="H37" s="50"/>
    </row>
    <row r="38" spans="1:8" s="109" customFormat="1" ht="15" customHeight="1">
      <c r="A38" s="80" t="str">
        <f t="shared" si="0"/>
        <v>삭제</v>
      </c>
      <c r="B38" s="44"/>
      <c r="C38" s="44"/>
      <c r="D38" s="181" t="e">
        <f ca="1">"● Measurement uncertainty : "&amp;Calcu!T110</f>
        <v>#DIV/0!</v>
      </c>
      <c r="E38" s="175"/>
      <c r="F38" s="50"/>
    </row>
    <row r="39" spans="1:8" s="109" customFormat="1" ht="15" customHeight="1">
      <c r="A39" s="80" t="str">
        <f t="shared" si="0"/>
        <v>삭제</v>
      </c>
      <c r="B39" s="44"/>
      <c r="C39" s="44"/>
      <c r="D39" s="36"/>
      <c r="F39" s="51" t="s">
        <v>78</v>
      </c>
      <c r="G39" s="49" t="e">
        <f ca="1">Calcu!C112&amp;")"</f>
        <v>#DIV/0!</v>
      </c>
      <c r="H39" s="50"/>
    </row>
    <row r="40" spans="1:8" s="109" customFormat="1" ht="15" customHeight="1">
      <c r="A40" s="80" t="str">
        <f t="shared" si="0"/>
        <v>삭제</v>
      </c>
      <c r="B40" s="44"/>
      <c r="C40" s="44"/>
      <c r="D40" s="248" t="s">
        <v>476</v>
      </c>
      <c r="E40" s="175"/>
      <c r="F40" s="50"/>
      <c r="G40" s="50"/>
      <c r="H40" s="50"/>
    </row>
    <row r="41" spans="1:8" s="109" customFormat="1" ht="15" customHeight="1">
      <c r="A41" s="80" t="str">
        <f t="shared" si="0"/>
        <v>삭제</v>
      </c>
      <c r="B41" s="44"/>
      <c r="C41" s="44"/>
      <c r="D41" s="248"/>
      <c r="E41" s="175"/>
      <c r="F41" s="50"/>
      <c r="G41" s="50"/>
      <c r="H41" s="50"/>
    </row>
    <row r="42" spans="1:8" s="109" customFormat="1" ht="15" customHeight="1">
      <c r="A42" s="80" t="str">
        <f>IF(Calcu!B123=TRUE,"","삭제")</f>
        <v>삭제</v>
      </c>
      <c r="B42" s="44"/>
      <c r="C42" s="44"/>
      <c r="D42" s="36" t="str">
        <f>IF(Calcu!B89=TRUE,"3","2")&amp;". Flatness of bottom surface"</f>
        <v>2. Flatness of bottom surface</v>
      </c>
      <c r="E42" s="175"/>
      <c r="F42" s="50"/>
      <c r="G42" s="50"/>
      <c r="H42" s="50"/>
    </row>
    <row r="43" spans="1:8" s="109" customFormat="1" ht="15" customHeight="1">
      <c r="A43" s="80" t="str">
        <f>A42</f>
        <v>삭제</v>
      </c>
      <c r="B43" s="44"/>
      <c r="C43" s="44"/>
      <c r="D43" s="314" t="e">
        <f ca="1">CONCATENATE(Calcu!Q123," ",Calcu!Q122,"±"&amp;Calcu!T139)</f>
        <v>#VALUE!</v>
      </c>
      <c r="E43" s="175"/>
      <c r="F43" s="50"/>
    </row>
    <row r="44" spans="1:8" s="109" customFormat="1" ht="15" customHeight="1">
      <c r="A44" s="80" t="str">
        <f>A43</f>
        <v>삭제</v>
      </c>
      <c r="B44" s="44"/>
      <c r="C44" s="44"/>
      <c r="D44" s="38"/>
      <c r="E44" s="175"/>
      <c r="F44" s="51" t="s">
        <v>78</v>
      </c>
      <c r="G44" s="49" t="e">
        <f ca="1">Calcu!C141&amp;")"</f>
        <v>#VALUE!</v>
      </c>
      <c r="H44" s="50"/>
    </row>
    <row r="45" spans="1:8" s="109" customFormat="1" ht="15" customHeight="1">
      <c r="A45" s="80" t="str">
        <f>A44</f>
        <v>삭제</v>
      </c>
      <c r="B45" s="44"/>
      <c r="C45" s="44"/>
      <c r="D45" s="38"/>
      <c r="E45" s="175"/>
      <c r="F45" s="50"/>
      <c r="G45" s="246"/>
      <c r="H45" s="50"/>
    </row>
    <row r="46" spans="1:8" s="109" customFormat="1" ht="15" customHeight="1">
      <c r="A46" s="80"/>
      <c r="B46" s="44"/>
      <c r="C46" s="44"/>
      <c r="D46" s="176" t="s">
        <v>248</v>
      </c>
      <c r="E46" s="175"/>
      <c r="F46" s="50"/>
      <c r="G46" s="50"/>
      <c r="H46" s="50"/>
    </row>
    <row r="47" spans="1:8" s="109" customFormat="1" ht="15" customHeight="1">
      <c r="A47" s="80"/>
      <c r="B47" s="44"/>
      <c r="C47" s="44"/>
      <c r="D47" s="176" t="s">
        <v>249</v>
      </c>
      <c r="E47" s="175"/>
      <c r="F47" s="50"/>
      <c r="G47" s="50"/>
      <c r="H47" s="50"/>
    </row>
    <row r="48" spans="1:8" s="109" customFormat="1" ht="15" customHeight="1">
      <c r="A48" s="80"/>
      <c r="B48" s="44"/>
      <c r="C48" s="44"/>
      <c r="D48" s="180" t="s">
        <v>250</v>
      </c>
      <c r="E48" s="175"/>
      <c r="F48" s="50"/>
      <c r="G48" s="50"/>
      <c r="H48" s="50"/>
    </row>
    <row r="49" spans="1:9" s="109" customFormat="1" ht="15" customHeight="1">
      <c r="A49" s="80"/>
      <c r="B49" s="44"/>
      <c r="C49" s="44"/>
      <c r="D49" s="176" t="s">
        <v>251</v>
      </c>
      <c r="E49" s="175"/>
      <c r="F49" s="50"/>
      <c r="G49" s="50"/>
      <c r="H49" s="50"/>
    </row>
    <row r="50" spans="1:9" ht="15" customHeight="1">
      <c r="B50" s="37"/>
      <c r="D50" s="181" t="str">
        <f>"on the "&amp;IF(RAWDATA!E9="좌측","left","right")&amp;"."</f>
        <v>on the right.</v>
      </c>
    </row>
    <row r="51" spans="1:9" ht="15" customHeight="1">
      <c r="C51" s="60"/>
      <c r="D51" s="60"/>
      <c r="E51" s="60"/>
      <c r="F51" s="60"/>
      <c r="G51" s="60"/>
      <c r="H51" s="60"/>
      <c r="I51" s="61"/>
    </row>
  </sheetData>
  <mergeCells count="4">
    <mergeCell ref="D19:D21"/>
    <mergeCell ref="E19:F20"/>
    <mergeCell ref="G19:H20"/>
    <mergeCell ref="A1:K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6"/>
  <sheetViews>
    <sheetView showGridLines="0" showWhiteSpace="0" zoomScaleNormal="100" zoomScaleSheetLayoutView="100" workbookViewId="0">
      <selection sqref="A1:Q2"/>
    </sheetView>
  </sheetViews>
  <sheetFormatPr defaultColWidth="8.77734375" defaultRowHeight="15" customHeight="1"/>
  <cols>
    <col min="1" max="1" width="3.77734375" style="109" customWidth="1"/>
    <col min="2" max="2" width="1.33203125" style="109" hidden="1" customWidth="1"/>
    <col min="3" max="3" width="10" style="109" bestFit="1" customWidth="1"/>
    <col min="4" max="4" width="5.33203125" style="109" bestFit="1" customWidth="1"/>
    <col min="5" max="5" width="4" style="109" bestFit="1" customWidth="1"/>
    <col min="6" max="6" width="9.21875" style="109" customWidth="1"/>
    <col min="7" max="7" width="4.44140625" style="109" bestFit="1" customWidth="1"/>
    <col min="8" max="8" width="9.33203125" style="109" bestFit="1" customWidth="1"/>
    <col min="9" max="9" width="1.77734375" style="109" customWidth="1"/>
    <col min="10" max="10" width="7.5546875" style="109" bestFit="1" customWidth="1"/>
    <col min="11" max="11" width="9.109375" style="109" bestFit="1" customWidth="1"/>
    <col min="12" max="12" width="6" style="109" bestFit="1" customWidth="1"/>
    <col min="13" max="13" width="7.5546875" style="109" bestFit="1" customWidth="1"/>
    <col min="14" max="14" width="9.109375" style="109" bestFit="1" customWidth="1"/>
    <col min="15" max="15" width="5.21875" style="109" bestFit="1" customWidth="1"/>
    <col min="16" max="16" width="1.77734375" style="109" customWidth="1"/>
    <col min="17" max="17" width="10.33203125" style="109" customWidth="1"/>
    <col min="18" max="16384" width="8.77734375" style="109"/>
  </cols>
  <sheetData>
    <row r="1" spans="1:17" s="46" customFormat="1" ht="33" customHeight="1">
      <c r="A1" s="382" t="s">
        <v>267</v>
      </c>
      <c r="B1" s="382"/>
      <c r="C1" s="382"/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2"/>
      <c r="P1" s="382"/>
      <c r="Q1" s="382"/>
    </row>
    <row r="2" spans="1:17" s="46" customFormat="1" ht="33" customHeight="1">
      <c r="A2" s="382"/>
      <c r="B2" s="382"/>
      <c r="C2" s="382"/>
      <c r="D2" s="382"/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382"/>
      <c r="Q2" s="382"/>
    </row>
    <row r="3" spans="1:17" s="46" customFormat="1" ht="12.75" customHeight="1">
      <c r="A3" s="47" t="s">
        <v>268</v>
      </c>
      <c r="B3" s="47"/>
      <c r="C3" s="47"/>
      <c r="D3" s="47"/>
      <c r="E3" s="47"/>
      <c r="F3" s="22"/>
      <c r="G3" s="22"/>
      <c r="H3" s="22"/>
      <c r="I3" s="22"/>
      <c r="J3" s="22"/>
      <c r="K3" s="22"/>
      <c r="L3" s="22"/>
      <c r="M3" s="22"/>
    </row>
    <row r="4" spans="1:17" s="48" customFormat="1" ht="13.5" customHeight="1">
      <c r="A4" s="186" t="str">
        <f>" 교   정   번   호(Calibration No) : "&amp;기본정보!H3</f>
        <v xml:space="preserve"> 교   정   번   호(Calibration No) : </v>
      </c>
      <c r="B4" s="186"/>
      <c r="C4" s="186"/>
      <c r="D4" s="186"/>
      <c r="E4" s="186"/>
      <c r="F4" s="187"/>
      <c r="G4" s="187"/>
      <c r="H4" s="187"/>
      <c r="I4" s="187"/>
      <c r="J4" s="187"/>
      <c r="K4" s="188"/>
      <c r="L4" s="189"/>
      <c r="M4" s="190"/>
      <c r="N4" s="190"/>
      <c r="O4" s="190"/>
      <c r="P4" s="190"/>
      <c r="Q4" s="190"/>
    </row>
    <row r="5" spans="1:17" s="36" customFormat="1" ht="15" customHeight="1"/>
    <row r="6" spans="1:17" ht="15" customHeight="1">
      <c r="C6" s="52" t="str">
        <f>"○ 품명 : "&amp;기본정보!C$5</f>
        <v xml:space="preserve">○ 품명 : </v>
      </c>
      <c r="F6" s="52"/>
      <c r="G6" s="52"/>
    </row>
    <row r="7" spans="1:17" ht="15" customHeight="1">
      <c r="C7" s="52" t="str">
        <f>"○ 제작회사 : "&amp;기본정보!C$6</f>
        <v xml:space="preserve">○ 제작회사 : </v>
      </c>
      <c r="F7" s="52"/>
      <c r="G7" s="52"/>
    </row>
    <row r="8" spans="1:17" ht="15" customHeight="1">
      <c r="C8" s="52" t="str">
        <f>"○ 형식 : "&amp;기본정보!C$7</f>
        <v xml:space="preserve">○ 형식 : </v>
      </c>
      <c r="F8" s="52"/>
      <c r="G8" s="52"/>
    </row>
    <row r="9" spans="1:17" ht="15" customHeight="1">
      <c r="C9" s="52" t="str">
        <f>"○ 기기번호 : "&amp;기본정보!C$8</f>
        <v xml:space="preserve">○ 기기번호 : </v>
      </c>
      <c r="F9" s="52"/>
      <c r="G9" s="52"/>
    </row>
    <row r="11" spans="1:17" ht="15" customHeight="1">
      <c r="C11" s="38" t="s">
        <v>269</v>
      </c>
      <c r="G11" s="38"/>
    </row>
    <row r="12" spans="1:17" ht="15" customHeight="1">
      <c r="A12" s="44"/>
      <c r="B12" s="44"/>
      <c r="C12" s="44"/>
      <c r="D12" s="44"/>
      <c r="E12" s="44"/>
    </row>
    <row r="13" spans="1:17" s="191" customFormat="1" ht="15" customHeight="1">
      <c r="B13" s="395"/>
      <c r="C13" s="397" t="s">
        <v>480</v>
      </c>
      <c r="D13" s="397" t="s">
        <v>279</v>
      </c>
      <c r="E13" s="397" t="s">
        <v>280</v>
      </c>
      <c r="F13" s="399" t="s">
        <v>281</v>
      </c>
      <c r="G13" s="401" t="s">
        <v>270</v>
      </c>
      <c r="H13" s="403" t="s">
        <v>271</v>
      </c>
      <c r="I13" s="405"/>
      <c r="J13" s="407" t="s">
        <v>272</v>
      </c>
      <c r="K13" s="407"/>
      <c r="L13" s="407"/>
      <c r="M13" s="390" t="s">
        <v>273</v>
      </c>
      <c r="N13" s="390"/>
      <c r="O13" s="390"/>
      <c r="P13" s="391"/>
      <c r="Q13" s="393" t="s">
        <v>274</v>
      </c>
    </row>
    <row r="14" spans="1:17" s="192" customFormat="1" ht="22.5">
      <c r="B14" s="396"/>
      <c r="C14" s="398"/>
      <c r="D14" s="398"/>
      <c r="E14" s="398"/>
      <c r="F14" s="400"/>
      <c r="G14" s="402"/>
      <c r="H14" s="404"/>
      <c r="I14" s="406"/>
      <c r="J14" s="194" t="s">
        <v>287</v>
      </c>
      <c r="K14" s="195" t="s">
        <v>289</v>
      </c>
      <c r="L14" s="195" t="s">
        <v>290</v>
      </c>
      <c r="M14" s="194" t="s">
        <v>287</v>
      </c>
      <c r="N14" s="195" t="s">
        <v>288</v>
      </c>
      <c r="O14" s="195" t="s">
        <v>290</v>
      </c>
      <c r="P14" s="392"/>
      <c r="Q14" s="394"/>
    </row>
    <row r="15" spans="1:17" ht="15" customHeight="1">
      <c r="A15" s="44" t="str">
        <f>IF(Calcu!B10=TRUE,"","삭제")</f>
        <v>삭제</v>
      </c>
      <c r="B15" s="43"/>
      <c r="C15" s="49" t="s">
        <v>481</v>
      </c>
      <c r="D15" s="109" t="s">
        <v>283</v>
      </c>
      <c r="E15" s="109" t="s">
        <v>282</v>
      </c>
      <c r="F15" s="50" t="e">
        <f ca="1">Calcu!R39</f>
        <v>#N/A</v>
      </c>
      <c r="G15" s="50" t="s">
        <v>209</v>
      </c>
      <c r="H15" s="50" t="e">
        <f ca="1">Calcu!AC39</f>
        <v>#VALUE!</v>
      </c>
      <c r="J15" s="109" t="e">
        <f ca="1">Calcu!S39</f>
        <v>#N/A</v>
      </c>
      <c r="K15" s="109" t="e">
        <f ca="1">Calcu!U39</f>
        <v>#N/A</v>
      </c>
      <c r="L15" s="109" t="str">
        <f>LEFT(Calcu!AD39)</f>
        <v/>
      </c>
      <c r="M15" s="109" t="s">
        <v>275</v>
      </c>
      <c r="N15" s="109" t="s">
        <v>276</v>
      </c>
      <c r="O15" s="109" t="s">
        <v>275</v>
      </c>
      <c r="Q15" s="109" t="e">
        <f ca="1">Calcu!W39</f>
        <v>#N/A</v>
      </c>
    </row>
    <row r="16" spans="1:17" ht="15" customHeight="1">
      <c r="A16" s="44" t="str">
        <f>IF(Calcu!B11=TRUE,"","삭제")</f>
        <v>삭제</v>
      </c>
      <c r="B16" s="43"/>
      <c r="C16" s="49" t="s">
        <v>481</v>
      </c>
      <c r="D16" s="109" t="s">
        <v>283</v>
      </c>
      <c r="E16" s="109" t="s">
        <v>282</v>
      </c>
      <c r="F16" s="50" t="e">
        <f ca="1">Calcu!R40</f>
        <v>#N/A</v>
      </c>
      <c r="G16" s="50" t="s">
        <v>209</v>
      </c>
      <c r="H16" s="50" t="e">
        <f ca="1">Calcu!AC40</f>
        <v>#VALUE!</v>
      </c>
      <c r="J16" s="109" t="e">
        <f ca="1">Calcu!S40</f>
        <v>#N/A</v>
      </c>
      <c r="K16" s="109" t="e">
        <f ca="1">Calcu!U40</f>
        <v>#N/A</v>
      </c>
      <c r="L16" s="109" t="str">
        <f>LEFT(Calcu!AD40)</f>
        <v/>
      </c>
      <c r="M16" s="109" t="s">
        <v>277</v>
      </c>
      <c r="N16" s="109" t="s">
        <v>275</v>
      </c>
      <c r="O16" s="109" t="s">
        <v>275</v>
      </c>
      <c r="Q16" s="109" t="e">
        <f ca="1">Calcu!W40</f>
        <v>#N/A</v>
      </c>
    </row>
    <row r="17" spans="1:17" ht="15" customHeight="1">
      <c r="A17" s="44" t="str">
        <f>IF(Calcu!B12=TRUE,"","삭제")</f>
        <v>삭제</v>
      </c>
      <c r="B17" s="43"/>
      <c r="C17" s="49" t="s">
        <v>481</v>
      </c>
      <c r="D17" s="109" t="s">
        <v>283</v>
      </c>
      <c r="E17" s="109" t="s">
        <v>282</v>
      </c>
      <c r="F17" s="50" t="e">
        <f ca="1">Calcu!R41</f>
        <v>#N/A</v>
      </c>
      <c r="G17" s="50" t="s">
        <v>209</v>
      </c>
      <c r="H17" s="50" t="e">
        <f ca="1">Calcu!AC41</f>
        <v>#VALUE!</v>
      </c>
      <c r="J17" s="109" t="e">
        <f ca="1">Calcu!S41</f>
        <v>#N/A</v>
      </c>
      <c r="K17" s="109" t="e">
        <f ca="1">Calcu!U41</f>
        <v>#N/A</v>
      </c>
      <c r="L17" s="109" t="str">
        <f>LEFT(Calcu!AD41)</f>
        <v/>
      </c>
      <c r="M17" s="109" t="s">
        <v>276</v>
      </c>
      <c r="N17" s="109" t="s">
        <v>276</v>
      </c>
      <c r="O17" s="109" t="s">
        <v>275</v>
      </c>
      <c r="Q17" s="109" t="e">
        <f ca="1">Calcu!W41</f>
        <v>#N/A</v>
      </c>
    </row>
    <row r="18" spans="1:17" ht="15" customHeight="1">
      <c r="A18" s="44" t="str">
        <f>IF(Calcu!B13=TRUE,"","삭제")</f>
        <v>삭제</v>
      </c>
      <c r="B18" s="43"/>
      <c r="C18" s="49" t="s">
        <v>481</v>
      </c>
      <c r="D18" s="109" t="s">
        <v>283</v>
      </c>
      <c r="E18" s="109" t="s">
        <v>282</v>
      </c>
      <c r="F18" s="50" t="e">
        <f ca="1">Calcu!R42</f>
        <v>#N/A</v>
      </c>
      <c r="G18" s="50" t="s">
        <v>209</v>
      </c>
      <c r="H18" s="50" t="e">
        <f ca="1">Calcu!AC42</f>
        <v>#VALUE!</v>
      </c>
      <c r="J18" s="109" t="e">
        <f ca="1">Calcu!S42</f>
        <v>#N/A</v>
      </c>
      <c r="K18" s="109" t="e">
        <f ca="1">Calcu!U42</f>
        <v>#N/A</v>
      </c>
      <c r="L18" s="109" t="str">
        <f>LEFT(Calcu!AD42)</f>
        <v/>
      </c>
      <c r="M18" s="109" t="s">
        <v>275</v>
      </c>
      <c r="N18" s="109" t="s">
        <v>278</v>
      </c>
      <c r="O18" s="109" t="s">
        <v>275</v>
      </c>
      <c r="Q18" s="109" t="e">
        <f ca="1">Calcu!W42</f>
        <v>#N/A</v>
      </c>
    </row>
    <row r="19" spans="1:17" ht="15" customHeight="1">
      <c r="A19" s="44" t="str">
        <f>IF(Calcu!B14=TRUE,"","삭제")</f>
        <v>삭제</v>
      </c>
      <c r="B19" s="43"/>
      <c r="C19" s="49" t="s">
        <v>481</v>
      </c>
      <c r="D19" s="109" t="s">
        <v>283</v>
      </c>
      <c r="E19" s="109" t="s">
        <v>282</v>
      </c>
      <c r="F19" s="50" t="e">
        <f ca="1">Calcu!R43</f>
        <v>#N/A</v>
      </c>
      <c r="G19" s="50" t="s">
        <v>209</v>
      </c>
      <c r="H19" s="50" t="e">
        <f ca="1">Calcu!AC43</f>
        <v>#VALUE!</v>
      </c>
      <c r="J19" s="109" t="e">
        <f ca="1">Calcu!S43</f>
        <v>#N/A</v>
      </c>
      <c r="K19" s="109" t="e">
        <f ca="1">Calcu!U43</f>
        <v>#N/A</v>
      </c>
      <c r="L19" s="109" t="str">
        <f>LEFT(Calcu!AD43)</f>
        <v/>
      </c>
      <c r="M19" s="109" t="s">
        <v>276</v>
      </c>
      <c r="N19" s="109" t="s">
        <v>275</v>
      </c>
      <c r="O19" s="109" t="s">
        <v>275</v>
      </c>
      <c r="Q19" s="109" t="e">
        <f ca="1">Calcu!W43</f>
        <v>#N/A</v>
      </c>
    </row>
    <row r="20" spans="1:17" ht="15" customHeight="1">
      <c r="A20" s="44" t="str">
        <f>IF(Calcu!B15=TRUE,"","삭제")</f>
        <v>삭제</v>
      </c>
      <c r="B20" s="43"/>
      <c r="C20" s="49" t="s">
        <v>481</v>
      </c>
      <c r="D20" s="109" t="s">
        <v>283</v>
      </c>
      <c r="E20" s="109" t="s">
        <v>282</v>
      </c>
      <c r="F20" s="50" t="e">
        <f ca="1">Calcu!R44</f>
        <v>#N/A</v>
      </c>
      <c r="G20" s="50" t="s">
        <v>209</v>
      </c>
      <c r="H20" s="50" t="e">
        <f ca="1">Calcu!AC44</f>
        <v>#VALUE!</v>
      </c>
      <c r="J20" s="109" t="e">
        <f ca="1">Calcu!S44</f>
        <v>#N/A</v>
      </c>
      <c r="K20" s="109" t="e">
        <f ca="1">Calcu!U44</f>
        <v>#N/A</v>
      </c>
      <c r="L20" s="109" t="str">
        <f>LEFT(Calcu!AD44)</f>
        <v/>
      </c>
      <c r="M20" s="109" t="s">
        <v>275</v>
      </c>
      <c r="N20" s="109" t="s">
        <v>275</v>
      </c>
      <c r="O20" s="109" t="s">
        <v>276</v>
      </c>
      <c r="Q20" s="109" t="e">
        <f ca="1">Calcu!W44</f>
        <v>#N/A</v>
      </c>
    </row>
    <row r="21" spans="1:17" ht="15" customHeight="1">
      <c r="A21" s="44" t="str">
        <f>IF(Calcu!B16=TRUE,"","삭제")</f>
        <v>삭제</v>
      </c>
      <c r="B21" s="43"/>
      <c r="C21" s="49" t="s">
        <v>481</v>
      </c>
      <c r="D21" s="109" t="s">
        <v>283</v>
      </c>
      <c r="E21" s="109" t="s">
        <v>282</v>
      </c>
      <c r="F21" s="50" t="e">
        <f ca="1">Calcu!R45</f>
        <v>#N/A</v>
      </c>
      <c r="G21" s="50" t="s">
        <v>209</v>
      </c>
      <c r="H21" s="50" t="e">
        <f ca="1">Calcu!AC45</f>
        <v>#VALUE!</v>
      </c>
      <c r="J21" s="109" t="e">
        <f ca="1">Calcu!S45</f>
        <v>#N/A</v>
      </c>
      <c r="K21" s="109" t="e">
        <f ca="1">Calcu!U45</f>
        <v>#N/A</v>
      </c>
      <c r="L21" s="109" t="str">
        <f>LEFT(Calcu!AD45)</f>
        <v/>
      </c>
      <c r="M21" s="109" t="s">
        <v>276</v>
      </c>
      <c r="N21" s="109" t="s">
        <v>277</v>
      </c>
      <c r="O21" s="109" t="s">
        <v>276</v>
      </c>
      <c r="Q21" s="109" t="e">
        <f ca="1">Calcu!W45</f>
        <v>#N/A</v>
      </c>
    </row>
    <row r="22" spans="1:17" ht="15" customHeight="1">
      <c r="A22" s="44" t="str">
        <f>IF(Calcu!B17=TRUE,"","삭제")</f>
        <v>삭제</v>
      </c>
      <c r="B22" s="43"/>
      <c r="C22" s="49" t="s">
        <v>481</v>
      </c>
      <c r="D22" s="109" t="s">
        <v>283</v>
      </c>
      <c r="E22" s="109" t="s">
        <v>282</v>
      </c>
      <c r="F22" s="50" t="e">
        <f ca="1">Calcu!R46</f>
        <v>#N/A</v>
      </c>
      <c r="G22" s="50" t="s">
        <v>209</v>
      </c>
      <c r="H22" s="50" t="e">
        <f ca="1">Calcu!AC46</f>
        <v>#VALUE!</v>
      </c>
      <c r="J22" s="109" t="e">
        <f ca="1">Calcu!S46</f>
        <v>#N/A</v>
      </c>
      <c r="K22" s="109" t="e">
        <f ca="1">Calcu!U46</f>
        <v>#N/A</v>
      </c>
      <c r="L22" s="109" t="str">
        <f>LEFT(Calcu!AD46)</f>
        <v/>
      </c>
      <c r="M22" s="109" t="s">
        <v>276</v>
      </c>
      <c r="N22" s="109" t="s">
        <v>276</v>
      </c>
      <c r="O22" s="109" t="s">
        <v>275</v>
      </c>
      <c r="Q22" s="109" t="e">
        <f ca="1">Calcu!W46</f>
        <v>#N/A</v>
      </c>
    </row>
    <row r="23" spans="1:17" ht="15" customHeight="1">
      <c r="A23" s="44" t="str">
        <f>IF(Calcu!B18=TRUE,"","삭제")</f>
        <v>삭제</v>
      </c>
      <c r="B23" s="43"/>
      <c r="C23" s="49" t="s">
        <v>481</v>
      </c>
      <c r="D23" s="109" t="s">
        <v>283</v>
      </c>
      <c r="E23" s="109" t="s">
        <v>282</v>
      </c>
      <c r="F23" s="50" t="e">
        <f ca="1">Calcu!R47</f>
        <v>#N/A</v>
      </c>
      <c r="G23" s="50" t="s">
        <v>209</v>
      </c>
      <c r="H23" s="50" t="e">
        <f ca="1">Calcu!AC47</f>
        <v>#VALUE!</v>
      </c>
      <c r="J23" s="109" t="e">
        <f ca="1">Calcu!S47</f>
        <v>#N/A</v>
      </c>
      <c r="K23" s="109" t="e">
        <f ca="1">Calcu!U47</f>
        <v>#N/A</v>
      </c>
      <c r="L23" s="109" t="str">
        <f>LEFT(Calcu!AD47)</f>
        <v/>
      </c>
      <c r="M23" s="109" t="s">
        <v>275</v>
      </c>
      <c r="N23" s="109" t="s">
        <v>275</v>
      </c>
      <c r="O23" s="109" t="s">
        <v>275</v>
      </c>
      <c r="Q23" s="109" t="e">
        <f ca="1">Calcu!W47</f>
        <v>#N/A</v>
      </c>
    </row>
    <row r="24" spans="1:17" ht="15" customHeight="1">
      <c r="A24" s="44" t="str">
        <f>IF(Calcu!B19=TRUE,"","삭제")</f>
        <v>삭제</v>
      </c>
      <c r="B24" s="43"/>
      <c r="C24" s="49" t="s">
        <v>481</v>
      </c>
      <c r="D24" s="109" t="s">
        <v>283</v>
      </c>
      <c r="E24" s="109" t="s">
        <v>282</v>
      </c>
      <c r="F24" s="50" t="e">
        <f ca="1">Calcu!R48</f>
        <v>#N/A</v>
      </c>
      <c r="G24" s="50" t="s">
        <v>209</v>
      </c>
      <c r="H24" s="50" t="e">
        <f ca="1">Calcu!AC48</f>
        <v>#VALUE!</v>
      </c>
      <c r="J24" s="109" t="e">
        <f ca="1">Calcu!S48</f>
        <v>#N/A</v>
      </c>
      <c r="K24" s="109" t="e">
        <f ca="1">Calcu!U48</f>
        <v>#N/A</v>
      </c>
      <c r="L24" s="109" t="str">
        <f>LEFT(Calcu!AD48)</f>
        <v/>
      </c>
      <c r="M24" s="109" t="s">
        <v>275</v>
      </c>
      <c r="N24" s="109" t="s">
        <v>275</v>
      </c>
      <c r="O24" s="109" t="s">
        <v>275</v>
      </c>
      <c r="Q24" s="109" t="e">
        <f ca="1">Calcu!W48</f>
        <v>#N/A</v>
      </c>
    </row>
    <row r="25" spans="1:17" ht="15" customHeight="1">
      <c r="A25" s="44"/>
      <c r="B25" s="43"/>
      <c r="C25" s="43"/>
      <c r="F25" s="50"/>
      <c r="G25" s="50"/>
      <c r="H25" s="50"/>
    </row>
    <row r="26" spans="1:17" ht="15" customHeight="1">
      <c r="A26" s="44" t="str">
        <f>IF(Calcu!B10=TRUE,"","삭제")</f>
        <v>삭제</v>
      </c>
      <c r="B26" s="43"/>
      <c r="C26" s="49" t="s">
        <v>481</v>
      </c>
      <c r="D26" s="109" t="s">
        <v>283</v>
      </c>
      <c r="E26" s="109" t="s">
        <v>285</v>
      </c>
      <c r="F26" s="50" t="e">
        <f ca="1">Calcu!R39</f>
        <v>#N/A</v>
      </c>
      <c r="G26" s="50" t="s">
        <v>209</v>
      </c>
      <c r="H26" s="50" t="e">
        <f ca="1">Calcu!AC39</f>
        <v>#VALUE!</v>
      </c>
      <c r="J26" s="109" t="e">
        <f ca="1">Calcu!T39</f>
        <v>#N/A</v>
      </c>
      <c r="K26" s="109" t="e">
        <f ca="1">Calcu!V39</f>
        <v>#N/A</v>
      </c>
      <c r="L26" s="109" t="str">
        <f>LEFT(Calcu!AE39)</f>
        <v/>
      </c>
      <c r="M26" s="109" t="s">
        <v>275</v>
      </c>
      <c r="N26" s="109" t="s">
        <v>275</v>
      </c>
      <c r="O26" s="109" t="s">
        <v>275</v>
      </c>
      <c r="Q26" s="109" t="e">
        <f ca="1">Calcu!W39</f>
        <v>#N/A</v>
      </c>
    </row>
    <row r="27" spans="1:17" ht="15" customHeight="1">
      <c r="A27" s="44" t="str">
        <f>IF(Calcu!B11=TRUE,"","삭제")</f>
        <v>삭제</v>
      </c>
      <c r="B27" s="43"/>
      <c r="C27" s="49" t="s">
        <v>481</v>
      </c>
      <c r="D27" s="109" t="s">
        <v>283</v>
      </c>
      <c r="E27" s="109" t="s">
        <v>285</v>
      </c>
      <c r="F27" s="50" t="e">
        <f ca="1">Calcu!R40</f>
        <v>#N/A</v>
      </c>
      <c r="G27" s="50" t="s">
        <v>209</v>
      </c>
      <c r="H27" s="50" t="e">
        <f ca="1">Calcu!AC40</f>
        <v>#VALUE!</v>
      </c>
      <c r="J27" s="109" t="e">
        <f ca="1">Calcu!T40</f>
        <v>#N/A</v>
      </c>
      <c r="K27" s="109" t="e">
        <f ca="1">Calcu!V40</f>
        <v>#N/A</v>
      </c>
      <c r="L27" s="109" t="str">
        <f>LEFT(Calcu!AE40)</f>
        <v/>
      </c>
      <c r="M27" s="109" t="s">
        <v>275</v>
      </c>
      <c r="N27" s="109" t="s">
        <v>275</v>
      </c>
      <c r="O27" s="109" t="s">
        <v>275</v>
      </c>
      <c r="Q27" s="109" t="e">
        <f ca="1">Calcu!W40</f>
        <v>#N/A</v>
      </c>
    </row>
    <row r="28" spans="1:17" ht="15" customHeight="1">
      <c r="A28" s="44" t="str">
        <f>IF(Calcu!B12=TRUE,"","삭제")</f>
        <v>삭제</v>
      </c>
      <c r="B28" s="43"/>
      <c r="C28" s="49" t="s">
        <v>481</v>
      </c>
      <c r="D28" s="109" t="s">
        <v>283</v>
      </c>
      <c r="E28" s="109" t="s">
        <v>285</v>
      </c>
      <c r="F28" s="50" t="e">
        <f ca="1">Calcu!R41</f>
        <v>#N/A</v>
      </c>
      <c r="G28" s="50" t="s">
        <v>209</v>
      </c>
      <c r="H28" s="50" t="e">
        <f ca="1">Calcu!AC41</f>
        <v>#VALUE!</v>
      </c>
      <c r="J28" s="109" t="e">
        <f ca="1">Calcu!T41</f>
        <v>#N/A</v>
      </c>
      <c r="K28" s="109" t="e">
        <f ca="1">Calcu!V41</f>
        <v>#N/A</v>
      </c>
      <c r="L28" s="109" t="str">
        <f>LEFT(Calcu!AE41)</f>
        <v/>
      </c>
      <c r="M28" s="109" t="s">
        <v>275</v>
      </c>
      <c r="N28" s="109" t="s">
        <v>275</v>
      </c>
      <c r="O28" s="109" t="s">
        <v>275</v>
      </c>
      <c r="Q28" s="109" t="e">
        <f ca="1">Calcu!W41</f>
        <v>#N/A</v>
      </c>
    </row>
    <row r="29" spans="1:17" ht="15" customHeight="1">
      <c r="A29" s="44" t="str">
        <f>IF(Calcu!B13=TRUE,"","삭제")</f>
        <v>삭제</v>
      </c>
      <c r="B29" s="43"/>
      <c r="C29" s="49" t="s">
        <v>481</v>
      </c>
      <c r="D29" s="109" t="s">
        <v>283</v>
      </c>
      <c r="E29" s="109" t="s">
        <v>285</v>
      </c>
      <c r="F29" s="50" t="e">
        <f ca="1">Calcu!R42</f>
        <v>#N/A</v>
      </c>
      <c r="G29" s="50" t="s">
        <v>209</v>
      </c>
      <c r="H29" s="50" t="e">
        <f ca="1">Calcu!AC42</f>
        <v>#VALUE!</v>
      </c>
      <c r="J29" s="109" t="e">
        <f ca="1">Calcu!T42</f>
        <v>#N/A</v>
      </c>
      <c r="K29" s="109" t="e">
        <f ca="1">Calcu!V42</f>
        <v>#N/A</v>
      </c>
      <c r="L29" s="109" t="str">
        <f>LEFT(Calcu!AE42)</f>
        <v/>
      </c>
      <c r="M29" s="109" t="s">
        <v>277</v>
      </c>
      <c r="N29" s="109" t="s">
        <v>275</v>
      </c>
      <c r="O29" s="109" t="s">
        <v>275</v>
      </c>
      <c r="Q29" s="109" t="e">
        <f ca="1">Calcu!W42</f>
        <v>#N/A</v>
      </c>
    </row>
    <row r="30" spans="1:17" ht="15" customHeight="1">
      <c r="A30" s="44" t="str">
        <f>IF(Calcu!B14=TRUE,"","삭제")</f>
        <v>삭제</v>
      </c>
      <c r="B30" s="43"/>
      <c r="C30" s="49" t="s">
        <v>481</v>
      </c>
      <c r="D30" s="109" t="s">
        <v>283</v>
      </c>
      <c r="E30" s="109" t="s">
        <v>285</v>
      </c>
      <c r="F30" s="50" t="e">
        <f ca="1">Calcu!R43</f>
        <v>#N/A</v>
      </c>
      <c r="G30" s="50" t="s">
        <v>209</v>
      </c>
      <c r="H30" s="50" t="e">
        <f ca="1">Calcu!AC43</f>
        <v>#VALUE!</v>
      </c>
      <c r="J30" s="109" t="e">
        <f ca="1">Calcu!T43</f>
        <v>#N/A</v>
      </c>
      <c r="K30" s="109" t="e">
        <f ca="1">Calcu!V43</f>
        <v>#N/A</v>
      </c>
      <c r="L30" s="109" t="str">
        <f>LEFT(Calcu!AE43)</f>
        <v/>
      </c>
      <c r="M30" s="109" t="s">
        <v>275</v>
      </c>
      <c r="N30" s="109" t="s">
        <v>275</v>
      </c>
      <c r="O30" s="109" t="s">
        <v>277</v>
      </c>
      <c r="Q30" s="109" t="e">
        <f ca="1">Calcu!W43</f>
        <v>#N/A</v>
      </c>
    </row>
    <row r="31" spans="1:17" ht="15" customHeight="1">
      <c r="A31" s="44" t="str">
        <f>IF(Calcu!B15=TRUE,"","삭제")</f>
        <v>삭제</v>
      </c>
      <c r="B31" s="43"/>
      <c r="C31" s="49" t="s">
        <v>481</v>
      </c>
      <c r="D31" s="109" t="s">
        <v>283</v>
      </c>
      <c r="E31" s="109" t="s">
        <v>285</v>
      </c>
      <c r="F31" s="50" t="e">
        <f ca="1">Calcu!R44</f>
        <v>#N/A</v>
      </c>
      <c r="G31" s="50" t="s">
        <v>209</v>
      </c>
      <c r="H31" s="50" t="e">
        <f ca="1">Calcu!AC44</f>
        <v>#VALUE!</v>
      </c>
      <c r="J31" s="109" t="e">
        <f ca="1">Calcu!T44</f>
        <v>#N/A</v>
      </c>
      <c r="K31" s="109" t="e">
        <f ca="1">Calcu!V44</f>
        <v>#N/A</v>
      </c>
      <c r="L31" s="109" t="str">
        <f>LEFT(Calcu!AE44)</f>
        <v/>
      </c>
      <c r="M31" s="109" t="s">
        <v>275</v>
      </c>
      <c r="N31" s="109" t="s">
        <v>277</v>
      </c>
      <c r="O31" s="109" t="s">
        <v>277</v>
      </c>
      <c r="Q31" s="109" t="e">
        <f ca="1">Calcu!W44</f>
        <v>#N/A</v>
      </c>
    </row>
    <row r="32" spans="1:17" ht="15" customHeight="1">
      <c r="A32" s="44" t="str">
        <f>IF(Calcu!B16=TRUE,"","삭제")</f>
        <v>삭제</v>
      </c>
      <c r="B32" s="43"/>
      <c r="C32" s="49" t="s">
        <v>481</v>
      </c>
      <c r="D32" s="109" t="s">
        <v>283</v>
      </c>
      <c r="E32" s="109" t="s">
        <v>285</v>
      </c>
      <c r="F32" s="50" t="e">
        <f ca="1">Calcu!R45</f>
        <v>#N/A</v>
      </c>
      <c r="G32" s="50" t="s">
        <v>209</v>
      </c>
      <c r="H32" s="50" t="e">
        <f ca="1">Calcu!AC45</f>
        <v>#VALUE!</v>
      </c>
      <c r="J32" s="109" t="e">
        <f ca="1">Calcu!T45</f>
        <v>#N/A</v>
      </c>
      <c r="K32" s="109" t="e">
        <f ca="1">Calcu!V45</f>
        <v>#N/A</v>
      </c>
      <c r="L32" s="109" t="str">
        <f>LEFT(Calcu!AE45)</f>
        <v/>
      </c>
      <c r="M32" s="109" t="s">
        <v>277</v>
      </c>
      <c r="N32" s="109" t="s">
        <v>275</v>
      </c>
      <c r="O32" s="109" t="s">
        <v>277</v>
      </c>
      <c r="Q32" s="109" t="e">
        <f ca="1">Calcu!W45</f>
        <v>#N/A</v>
      </c>
    </row>
    <row r="33" spans="1:17" ht="15" customHeight="1">
      <c r="A33" s="44" t="str">
        <f>IF(Calcu!B17=TRUE,"","삭제")</f>
        <v>삭제</v>
      </c>
      <c r="B33" s="43"/>
      <c r="C33" s="49" t="s">
        <v>481</v>
      </c>
      <c r="D33" s="109" t="s">
        <v>283</v>
      </c>
      <c r="E33" s="109" t="s">
        <v>285</v>
      </c>
      <c r="F33" s="50" t="e">
        <f ca="1">Calcu!R46</f>
        <v>#N/A</v>
      </c>
      <c r="G33" s="50" t="s">
        <v>209</v>
      </c>
      <c r="H33" s="50" t="e">
        <f ca="1">Calcu!AC46</f>
        <v>#VALUE!</v>
      </c>
      <c r="J33" s="109" t="e">
        <f ca="1">Calcu!T46</f>
        <v>#N/A</v>
      </c>
      <c r="K33" s="109" t="e">
        <f ca="1">Calcu!V46</f>
        <v>#N/A</v>
      </c>
      <c r="L33" s="109" t="str">
        <f>LEFT(Calcu!AE46)</f>
        <v/>
      </c>
      <c r="M33" s="109" t="s">
        <v>275</v>
      </c>
      <c r="N33" s="109" t="s">
        <v>277</v>
      </c>
      <c r="O33" s="109" t="s">
        <v>275</v>
      </c>
      <c r="Q33" s="109" t="e">
        <f ca="1">Calcu!W46</f>
        <v>#N/A</v>
      </c>
    </row>
    <row r="34" spans="1:17" ht="15" customHeight="1">
      <c r="A34" s="44" t="str">
        <f>IF(Calcu!B18=TRUE,"","삭제")</f>
        <v>삭제</v>
      </c>
      <c r="B34" s="43"/>
      <c r="C34" s="49" t="s">
        <v>481</v>
      </c>
      <c r="D34" s="109" t="s">
        <v>283</v>
      </c>
      <c r="E34" s="109" t="s">
        <v>285</v>
      </c>
      <c r="F34" s="50" t="e">
        <f ca="1">Calcu!R47</f>
        <v>#N/A</v>
      </c>
      <c r="G34" s="50" t="s">
        <v>209</v>
      </c>
      <c r="H34" s="50" t="e">
        <f ca="1">Calcu!AC47</f>
        <v>#VALUE!</v>
      </c>
      <c r="J34" s="109" t="e">
        <f ca="1">Calcu!T47</f>
        <v>#N/A</v>
      </c>
      <c r="K34" s="109" t="e">
        <f ca="1">Calcu!V47</f>
        <v>#N/A</v>
      </c>
      <c r="L34" s="109" t="str">
        <f>LEFT(Calcu!AE47)</f>
        <v/>
      </c>
      <c r="M34" s="109" t="s">
        <v>275</v>
      </c>
      <c r="N34" s="109" t="s">
        <v>275</v>
      </c>
      <c r="O34" s="109" t="s">
        <v>275</v>
      </c>
      <c r="Q34" s="109" t="e">
        <f ca="1">Calcu!W47</f>
        <v>#N/A</v>
      </c>
    </row>
    <row r="35" spans="1:17" ht="15" customHeight="1">
      <c r="A35" s="44" t="str">
        <f>IF(Calcu!B19=TRUE,"","삭제")</f>
        <v>삭제</v>
      </c>
      <c r="B35" s="43"/>
      <c r="C35" s="49" t="s">
        <v>481</v>
      </c>
      <c r="D35" s="109" t="s">
        <v>283</v>
      </c>
      <c r="E35" s="109" t="s">
        <v>285</v>
      </c>
      <c r="F35" s="50" t="e">
        <f ca="1">Calcu!R48</f>
        <v>#N/A</v>
      </c>
      <c r="G35" s="50" t="s">
        <v>209</v>
      </c>
      <c r="H35" s="50" t="e">
        <f ca="1">Calcu!AC48</f>
        <v>#VALUE!</v>
      </c>
      <c r="J35" s="109" t="e">
        <f ca="1">Calcu!T48</f>
        <v>#N/A</v>
      </c>
      <c r="K35" s="109" t="e">
        <f ca="1">Calcu!V48</f>
        <v>#N/A</v>
      </c>
      <c r="L35" s="109" t="str">
        <f>LEFT(Calcu!AE48)</f>
        <v/>
      </c>
      <c r="M35" s="109" t="s">
        <v>275</v>
      </c>
      <c r="N35" s="109" t="s">
        <v>275</v>
      </c>
      <c r="O35" s="109" t="s">
        <v>275</v>
      </c>
      <c r="Q35" s="109" t="e">
        <f ca="1">Calcu!W48</f>
        <v>#N/A</v>
      </c>
    </row>
    <row r="36" spans="1:17" ht="15" customHeight="1">
      <c r="A36" s="44"/>
      <c r="B36" s="43"/>
      <c r="C36" s="43"/>
      <c r="F36" s="50"/>
      <c r="G36" s="50"/>
      <c r="H36" s="50"/>
    </row>
    <row r="37" spans="1:17" ht="15" customHeight="1">
      <c r="A37" s="44" t="str">
        <f>IF(Calcu!B10=TRUE,"","삭제")</f>
        <v>삭제</v>
      </c>
      <c r="B37" s="43"/>
      <c r="C37" s="49" t="s">
        <v>481</v>
      </c>
      <c r="D37" s="109" t="s">
        <v>284</v>
      </c>
      <c r="E37" s="109" t="s">
        <v>282</v>
      </c>
      <c r="F37" s="50" t="e">
        <f ca="1">Calcu!R53</f>
        <v>#N/A</v>
      </c>
      <c r="G37" s="50" t="s">
        <v>209</v>
      </c>
      <c r="H37" s="50" t="e">
        <f ca="1">Calcu!AC53</f>
        <v>#VALUE!</v>
      </c>
      <c r="J37" s="109" t="e">
        <f ca="1">Calcu!S53</f>
        <v>#N/A</v>
      </c>
      <c r="K37" s="109" t="e">
        <f ca="1">Calcu!U53</f>
        <v>#N/A</v>
      </c>
      <c r="L37" s="109" t="str">
        <f>LEFT(Calcu!AD53)</f>
        <v/>
      </c>
      <c r="M37" s="109" t="s">
        <v>275</v>
      </c>
      <c r="N37" s="109" t="s">
        <v>275</v>
      </c>
      <c r="O37" s="109" t="s">
        <v>275</v>
      </c>
      <c r="Q37" s="109" t="e">
        <f ca="1">Calcu!W53</f>
        <v>#N/A</v>
      </c>
    </row>
    <row r="38" spans="1:17" ht="15" customHeight="1">
      <c r="A38" s="44" t="str">
        <f>IF(Calcu!B11=TRUE,"","삭제")</f>
        <v>삭제</v>
      </c>
      <c r="B38" s="43"/>
      <c r="C38" s="49" t="s">
        <v>481</v>
      </c>
      <c r="D38" s="109" t="s">
        <v>284</v>
      </c>
      <c r="E38" s="109" t="s">
        <v>282</v>
      </c>
      <c r="F38" s="50" t="e">
        <f ca="1">Calcu!R54</f>
        <v>#N/A</v>
      </c>
      <c r="G38" s="50" t="s">
        <v>209</v>
      </c>
      <c r="H38" s="50" t="e">
        <f ca="1">Calcu!AC54</f>
        <v>#VALUE!</v>
      </c>
      <c r="J38" s="109" t="e">
        <f ca="1">Calcu!S54</f>
        <v>#N/A</v>
      </c>
      <c r="K38" s="109" t="e">
        <f ca="1">Calcu!U54</f>
        <v>#N/A</v>
      </c>
      <c r="L38" s="109" t="str">
        <f>LEFT(Calcu!AD54)</f>
        <v/>
      </c>
      <c r="M38" s="109" t="s">
        <v>275</v>
      </c>
      <c r="N38" s="109" t="s">
        <v>277</v>
      </c>
      <c r="O38" s="109" t="s">
        <v>275</v>
      </c>
      <c r="Q38" s="109" t="e">
        <f ca="1">Calcu!W54</f>
        <v>#N/A</v>
      </c>
    </row>
    <row r="39" spans="1:17" ht="15" customHeight="1">
      <c r="A39" s="44" t="str">
        <f>IF(Calcu!B12=TRUE,"","삭제")</f>
        <v>삭제</v>
      </c>
      <c r="B39" s="43"/>
      <c r="C39" s="49" t="s">
        <v>481</v>
      </c>
      <c r="D39" s="109" t="s">
        <v>284</v>
      </c>
      <c r="E39" s="109" t="s">
        <v>282</v>
      </c>
      <c r="F39" s="50" t="e">
        <f ca="1">Calcu!R55</f>
        <v>#N/A</v>
      </c>
      <c r="G39" s="50" t="s">
        <v>209</v>
      </c>
      <c r="H39" s="50" t="e">
        <f ca="1">Calcu!AC55</f>
        <v>#VALUE!</v>
      </c>
      <c r="J39" s="109" t="e">
        <f ca="1">Calcu!S55</f>
        <v>#N/A</v>
      </c>
      <c r="K39" s="109" t="e">
        <f ca="1">Calcu!U55</f>
        <v>#N/A</v>
      </c>
      <c r="L39" s="109" t="str">
        <f>LEFT(Calcu!AD55)</f>
        <v/>
      </c>
      <c r="M39" s="109" t="s">
        <v>275</v>
      </c>
      <c r="N39" s="109" t="s">
        <v>275</v>
      </c>
      <c r="O39" s="109" t="s">
        <v>275</v>
      </c>
      <c r="Q39" s="109" t="e">
        <f ca="1">Calcu!W55</f>
        <v>#N/A</v>
      </c>
    </row>
    <row r="40" spans="1:17" ht="15" customHeight="1">
      <c r="A40" s="44" t="str">
        <f>IF(Calcu!B13=TRUE,"","삭제")</f>
        <v>삭제</v>
      </c>
      <c r="B40" s="43"/>
      <c r="C40" s="49" t="s">
        <v>481</v>
      </c>
      <c r="D40" s="109" t="s">
        <v>284</v>
      </c>
      <c r="E40" s="109" t="s">
        <v>282</v>
      </c>
      <c r="F40" s="50" t="e">
        <f ca="1">Calcu!R56</f>
        <v>#N/A</v>
      </c>
      <c r="G40" s="50" t="s">
        <v>209</v>
      </c>
      <c r="H40" s="50" t="e">
        <f ca="1">Calcu!AC56</f>
        <v>#VALUE!</v>
      </c>
      <c r="J40" s="109" t="e">
        <f ca="1">Calcu!S56</f>
        <v>#N/A</v>
      </c>
      <c r="K40" s="109" t="e">
        <f ca="1">Calcu!U56</f>
        <v>#N/A</v>
      </c>
      <c r="L40" s="109" t="str">
        <f>LEFT(Calcu!AD56)</f>
        <v/>
      </c>
      <c r="M40" s="109" t="s">
        <v>275</v>
      </c>
      <c r="N40" s="109" t="s">
        <v>275</v>
      </c>
      <c r="O40" s="109" t="s">
        <v>275</v>
      </c>
      <c r="Q40" s="109" t="e">
        <f ca="1">Calcu!W56</f>
        <v>#N/A</v>
      </c>
    </row>
    <row r="41" spans="1:17" ht="15" customHeight="1">
      <c r="A41" s="44" t="str">
        <f>IF(Calcu!B14=TRUE,"","삭제")</f>
        <v>삭제</v>
      </c>
      <c r="B41" s="43"/>
      <c r="C41" s="49" t="s">
        <v>481</v>
      </c>
      <c r="D41" s="109" t="s">
        <v>284</v>
      </c>
      <c r="E41" s="109" t="s">
        <v>282</v>
      </c>
      <c r="F41" s="50" t="e">
        <f ca="1">Calcu!R57</f>
        <v>#N/A</v>
      </c>
      <c r="G41" s="50" t="s">
        <v>209</v>
      </c>
      <c r="H41" s="50" t="e">
        <f ca="1">Calcu!AC57</f>
        <v>#VALUE!</v>
      </c>
      <c r="J41" s="109" t="e">
        <f ca="1">Calcu!S57</f>
        <v>#N/A</v>
      </c>
      <c r="K41" s="109" t="e">
        <f ca="1">Calcu!U57</f>
        <v>#N/A</v>
      </c>
      <c r="L41" s="109" t="str">
        <f>LEFT(Calcu!AD57)</f>
        <v/>
      </c>
      <c r="M41" s="109" t="s">
        <v>275</v>
      </c>
      <c r="N41" s="109" t="s">
        <v>275</v>
      </c>
      <c r="O41" s="109" t="s">
        <v>275</v>
      </c>
      <c r="Q41" s="109" t="e">
        <f ca="1">Calcu!W57</f>
        <v>#N/A</v>
      </c>
    </row>
    <row r="42" spans="1:17" ht="15" customHeight="1">
      <c r="A42" s="44" t="str">
        <f>IF(Calcu!B15=TRUE,"","삭제")</f>
        <v>삭제</v>
      </c>
      <c r="B42" s="43"/>
      <c r="C42" s="49" t="s">
        <v>481</v>
      </c>
      <c r="D42" s="109" t="s">
        <v>284</v>
      </c>
      <c r="E42" s="109" t="s">
        <v>282</v>
      </c>
      <c r="F42" s="50" t="e">
        <f ca="1">Calcu!R58</f>
        <v>#N/A</v>
      </c>
      <c r="G42" s="50" t="s">
        <v>209</v>
      </c>
      <c r="H42" s="50" t="e">
        <f ca="1">Calcu!AC58</f>
        <v>#VALUE!</v>
      </c>
      <c r="J42" s="109" t="e">
        <f ca="1">Calcu!S58</f>
        <v>#N/A</v>
      </c>
      <c r="K42" s="109" t="e">
        <f ca="1">Calcu!U58</f>
        <v>#N/A</v>
      </c>
      <c r="L42" s="109" t="str">
        <f>LEFT(Calcu!AD58)</f>
        <v/>
      </c>
      <c r="M42" s="109" t="s">
        <v>277</v>
      </c>
      <c r="N42" s="109" t="s">
        <v>275</v>
      </c>
      <c r="O42" s="109" t="s">
        <v>277</v>
      </c>
      <c r="Q42" s="109" t="e">
        <f ca="1">Calcu!W58</f>
        <v>#N/A</v>
      </c>
    </row>
    <row r="43" spans="1:17" ht="15" customHeight="1">
      <c r="A43" s="44" t="str">
        <f>IF(Calcu!B16=TRUE,"","삭제")</f>
        <v>삭제</v>
      </c>
      <c r="B43" s="43"/>
      <c r="C43" s="49" t="s">
        <v>481</v>
      </c>
      <c r="D43" s="109" t="s">
        <v>284</v>
      </c>
      <c r="E43" s="109" t="s">
        <v>282</v>
      </c>
      <c r="F43" s="50" t="e">
        <f ca="1">Calcu!R59</f>
        <v>#N/A</v>
      </c>
      <c r="G43" s="50" t="s">
        <v>209</v>
      </c>
      <c r="H43" s="50" t="e">
        <f ca="1">Calcu!AC59</f>
        <v>#VALUE!</v>
      </c>
      <c r="J43" s="109" t="e">
        <f ca="1">Calcu!S59</f>
        <v>#N/A</v>
      </c>
      <c r="K43" s="109" t="e">
        <f ca="1">Calcu!U59</f>
        <v>#N/A</v>
      </c>
      <c r="L43" s="109" t="str">
        <f>LEFT(Calcu!AD59)</f>
        <v/>
      </c>
      <c r="M43" s="109" t="s">
        <v>275</v>
      </c>
      <c r="N43" s="109" t="s">
        <v>277</v>
      </c>
      <c r="O43" s="109" t="s">
        <v>275</v>
      </c>
      <c r="Q43" s="109" t="e">
        <f ca="1">Calcu!W59</f>
        <v>#N/A</v>
      </c>
    </row>
    <row r="44" spans="1:17" ht="15" customHeight="1">
      <c r="A44" s="44" t="str">
        <f>IF(Calcu!B17=TRUE,"","삭제")</f>
        <v>삭제</v>
      </c>
      <c r="B44" s="43"/>
      <c r="C44" s="49" t="s">
        <v>481</v>
      </c>
      <c r="D44" s="109" t="s">
        <v>284</v>
      </c>
      <c r="E44" s="109" t="s">
        <v>282</v>
      </c>
      <c r="F44" s="50" t="e">
        <f ca="1">Calcu!R60</f>
        <v>#N/A</v>
      </c>
      <c r="G44" s="50" t="s">
        <v>209</v>
      </c>
      <c r="H44" s="50" t="e">
        <f ca="1">Calcu!AC60</f>
        <v>#VALUE!</v>
      </c>
      <c r="J44" s="109" t="e">
        <f ca="1">Calcu!S60</f>
        <v>#N/A</v>
      </c>
      <c r="K44" s="109" t="e">
        <f ca="1">Calcu!U60</f>
        <v>#N/A</v>
      </c>
      <c r="L44" s="109" t="str">
        <f>LEFT(Calcu!AD60)</f>
        <v/>
      </c>
      <c r="M44" s="109" t="s">
        <v>277</v>
      </c>
      <c r="N44" s="109" t="s">
        <v>275</v>
      </c>
      <c r="O44" s="109" t="s">
        <v>277</v>
      </c>
      <c r="Q44" s="109" t="e">
        <f ca="1">Calcu!W60</f>
        <v>#N/A</v>
      </c>
    </row>
    <row r="45" spans="1:17" ht="15" customHeight="1">
      <c r="A45" s="44" t="str">
        <f>IF(Calcu!B18=TRUE,"","삭제")</f>
        <v>삭제</v>
      </c>
      <c r="B45" s="43"/>
      <c r="C45" s="49" t="s">
        <v>481</v>
      </c>
      <c r="D45" s="109" t="s">
        <v>284</v>
      </c>
      <c r="E45" s="109" t="s">
        <v>282</v>
      </c>
      <c r="F45" s="50" t="e">
        <f ca="1">Calcu!R61</f>
        <v>#N/A</v>
      </c>
      <c r="G45" s="50" t="s">
        <v>209</v>
      </c>
      <c r="H45" s="50" t="e">
        <f ca="1">Calcu!AC61</f>
        <v>#VALUE!</v>
      </c>
      <c r="J45" s="109" t="e">
        <f ca="1">Calcu!S61</f>
        <v>#N/A</v>
      </c>
      <c r="K45" s="109" t="e">
        <f ca="1">Calcu!U61</f>
        <v>#N/A</v>
      </c>
      <c r="L45" s="109" t="str">
        <f>LEFT(Calcu!AD61)</f>
        <v/>
      </c>
      <c r="M45" s="109" t="s">
        <v>277</v>
      </c>
      <c r="N45" s="109" t="s">
        <v>277</v>
      </c>
      <c r="O45" s="109" t="s">
        <v>277</v>
      </c>
      <c r="Q45" s="109" t="e">
        <f ca="1">Calcu!W61</f>
        <v>#N/A</v>
      </c>
    </row>
    <row r="46" spans="1:17" ht="15" customHeight="1">
      <c r="A46" s="44" t="str">
        <f>IF(Calcu!B19=TRUE,"","삭제")</f>
        <v>삭제</v>
      </c>
      <c r="B46" s="43"/>
      <c r="C46" s="49" t="s">
        <v>481</v>
      </c>
      <c r="D46" s="109" t="s">
        <v>284</v>
      </c>
      <c r="E46" s="109" t="s">
        <v>282</v>
      </c>
      <c r="F46" s="50" t="e">
        <f ca="1">Calcu!R62</f>
        <v>#N/A</v>
      </c>
      <c r="G46" s="50" t="s">
        <v>209</v>
      </c>
      <c r="H46" s="50" t="e">
        <f ca="1">Calcu!AC62</f>
        <v>#VALUE!</v>
      </c>
      <c r="J46" s="109" t="e">
        <f ca="1">Calcu!S62</f>
        <v>#N/A</v>
      </c>
      <c r="K46" s="109" t="e">
        <f ca="1">Calcu!U62</f>
        <v>#N/A</v>
      </c>
      <c r="L46" s="109" t="str">
        <f>LEFT(Calcu!AD62)</f>
        <v/>
      </c>
      <c r="M46" s="109" t="s">
        <v>275</v>
      </c>
      <c r="N46" s="109" t="s">
        <v>275</v>
      </c>
      <c r="O46" s="109" t="s">
        <v>275</v>
      </c>
      <c r="Q46" s="109" t="e">
        <f ca="1">Calcu!W62</f>
        <v>#N/A</v>
      </c>
    </row>
    <row r="47" spans="1:17" ht="15" customHeight="1">
      <c r="A47" s="44"/>
      <c r="B47" s="43"/>
      <c r="C47" s="43"/>
      <c r="F47" s="50"/>
      <c r="G47" s="50"/>
      <c r="H47" s="50"/>
    </row>
    <row r="48" spans="1:17" ht="15" customHeight="1">
      <c r="A48" s="44" t="str">
        <f>IF(Calcu!B10=TRUE,"","삭제")</f>
        <v>삭제</v>
      </c>
      <c r="B48" s="43"/>
      <c r="C48" s="49" t="s">
        <v>481</v>
      </c>
      <c r="D48" s="109" t="s">
        <v>284</v>
      </c>
      <c r="E48" s="109" t="s">
        <v>285</v>
      </c>
      <c r="F48" s="50" t="e">
        <f ca="1">Calcu!R53</f>
        <v>#N/A</v>
      </c>
      <c r="G48" s="50" t="s">
        <v>209</v>
      </c>
      <c r="H48" s="50" t="e">
        <f ca="1">Calcu!AC53</f>
        <v>#VALUE!</v>
      </c>
      <c r="J48" s="109" t="e">
        <f ca="1">Calcu!T53</f>
        <v>#N/A</v>
      </c>
      <c r="K48" s="109" t="e">
        <f ca="1">Calcu!V53</f>
        <v>#N/A</v>
      </c>
      <c r="L48" s="109" t="str">
        <f>LEFT(Calcu!AE53)</f>
        <v/>
      </c>
      <c r="M48" s="109" t="s">
        <v>277</v>
      </c>
      <c r="N48" s="109" t="s">
        <v>275</v>
      </c>
      <c r="O48" s="109" t="s">
        <v>275</v>
      </c>
      <c r="Q48" s="109" t="e">
        <f ca="1">Calcu!W53</f>
        <v>#N/A</v>
      </c>
    </row>
    <row r="49" spans="1:17" ht="15" customHeight="1">
      <c r="A49" s="44" t="str">
        <f>IF(Calcu!B11=TRUE,"","삭제")</f>
        <v>삭제</v>
      </c>
      <c r="B49" s="43"/>
      <c r="C49" s="49" t="s">
        <v>481</v>
      </c>
      <c r="D49" s="109" t="s">
        <v>284</v>
      </c>
      <c r="E49" s="109" t="s">
        <v>285</v>
      </c>
      <c r="F49" s="50" t="e">
        <f ca="1">Calcu!R54</f>
        <v>#N/A</v>
      </c>
      <c r="G49" s="50" t="s">
        <v>209</v>
      </c>
      <c r="H49" s="50" t="e">
        <f ca="1">Calcu!AC54</f>
        <v>#VALUE!</v>
      </c>
      <c r="J49" s="109" t="e">
        <f ca="1">Calcu!T54</f>
        <v>#N/A</v>
      </c>
      <c r="K49" s="109" t="e">
        <f ca="1">Calcu!V54</f>
        <v>#N/A</v>
      </c>
      <c r="L49" s="109" t="str">
        <f>LEFT(Calcu!AE54)</f>
        <v/>
      </c>
      <c r="M49" s="109" t="s">
        <v>275</v>
      </c>
      <c r="N49" s="109" t="s">
        <v>275</v>
      </c>
      <c r="O49" s="109" t="s">
        <v>277</v>
      </c>
      <c r="Q49" s="109" t="e">
        <f ca="1">Calcu!W54</f>
        <v>#N/A</v>
      </c>
    </row>
    <row r="50" spans="1:17" ht="15" customHeight="1">
      <c r="A50" s="44" t="str">
        <f>IF(Calcu!B12=TRUE,"","삭제")</f>
        <v>삭제</v>
      </c>
      <c r="B50" s="43"/>
      <c r="C50" s="49" t="s">
        <v>481</v>
      </c>
      <c r="D50" s="109" t="s">
        <v>284</v>
      </c>
      <c r="E50" s="109" t="s">
        <v>285</v>
      </c>
      <c r="F50" s="50" t="e">
        <f ca="1">Calcu!R55</f>
        <v>#N/A</v>
      </c>
      <c r="G50" s="50" t="s">
        <v>209</v>
      </c>
      <c r="H50" s="50" t="e">
        <f ca="1">Calcu!AC55</f>
        <v>#VALUE!</v>
      </c>
      <c r="J50" s="109" t="e">
        <f ca="1">Calcu!T55</f>
        <v>#N/A</v>
      </c>
      <c r="K50" s="109" t="e">
        <f ca="1">Calcu!V55</f>
        <v>#N/A</v>
      </c>
      <c r="L50" s="109" t="str">
        <f>LEFT(Calcu!AE55)</f>
        <v/>
      </c>
      <c r="M50" s="109" t="s">
        <v>277</v>
      </c>
      <c r="N50" s="109" t="s">
        <v>275</v>
      </c>
      <c r="O50" s="109" t="s">
        <v>275</v>
      </c>
      <c r="Q50" s="109" t="e">
        <f ca="1">Calcu!W55</f>
        <v>#N/A</v>
      </c>
    </row>
    <row r="51" spans="1:17" ht="15" customHeight="1">
      <c r="A51" s="44" t="str">
        <f>IF(Calcu!B13=TRUE,"","삭제")</f>
        <v>삭제</v>
      </c>
      <c r="B51" s="43"/>
      <c r="C51" s="49" t="s">
        <v>481</v>
      </c>
      <c r="D51" s="109" t="s">
        <v>284</v>
      </c>
      <c r="E51" s="109" t="s">
        <v>285</v>
      </c>
      <c r="F51" s="50" t="e">
        <f ca="1">Calcu!R56</f>
        <v>#N/A</v>
      </c>
      <c r="G51" s="50" t="s">
        <v>209</v>
      </c>
      <c r="H51" s="50" t="e">
        <f ca="1">Calcu!AC56</f>
        <v>#VALUE!</v>
      </c>
      <c r="J51" s="109" t="e">
        <f ca="1">Calcu!T56</f>
        <v>#N/A</v>
      </c>
      <c r="K51" s="109" t="e">
        <f ca="1">Calcu!V56</f>
        <v>#N/A</v>
      </c>
      <c r="L51" s="109" t="str">
        <f>LEFT(Calcu!AE56)</f>
        <v/>
      </c>
      <c r="M51" s="109" t="s">
        <v>277</v>
      </c>
      <c r="N51" s="109" t="s">
        <v>277</v>
      </c>
      <c r="O51" s="109" t="s">
        <v>275</v>
      </c>
      <c r="Q51" s="109" t="e">
        <f ca="1">Calcu!W56</f>
        <v>#N/A</v>
      </c>
    </row>
    <row r="52" spans="1:17" ht="15" customHeight="1">
      <c r="A52" s="44" t="str">
        <f>IF(Calcu!B14=TRUE,"","삭제")</f>
        <v>삭제</v>
      </c>
      <c r="B52" s="43"/>
      <c r="C52" s="49" t="s">
        <v>481</v>
      </c>
      <c r="D52" s="109" t="s">
        <v>284</v>
      </c>
      <c r="E52" s="109" t="s">
        <v>285</v>
      </c>
      <c r="F52" s="50" t="e">
        <f ca="1">Calcu!R57</f>
        <v>#N/A</v>
      </c>
      <c r="G52" s="50" t="s">
        <v>209</v>
      </c>
      <c r="H52" s="50" t="e">
        <f ca="1">Calcu!AC57</f>
        <v>#VALUE!</v>
      </c>
      <c r="J52" s="109" t="e">
        <f ca="1">Calcu!T57</f>
        <v>#N/A</v>
      </c>
      <c r="K52" s="109" t="e">
        <f ca="1">Calcu!V57</f>
        <v>#N/A</v>
      </c>
      <c r="L52" s="109" t="str">
        <f>LEFT(Calcu!AE57)</f>
        <v/>
      </c>
      <c r="M52" s="109" t="s">
        <v>275</v>
      </c>
      <c r="N52" s="109" t="s">
        <v>275</v>
      </c>
      <c r="O52" s="109" t="s">
        <v>275</v>
      </c>
      <c r="Q52" s="109" t="e">
        <f ca="1">Calcu!W57</f>
        <v>#N/A</v>
      </c>
    </row>
    <row r="53" spans="1:17" ht="15" customHeight="1">
      <c r="A53" s="44" t="str">
        <f>IF(Calcu!B15=TRUE,"","삭제")</f>
        <v>삭제</v>
      </c>
      <c r="B53" s="43"/>
      <c r="C53" s="49" t="s">
        <v>481</v>
      </c>
      <c r="D53" s="109" t="s">
        <v>284</v>
      </c>
      <c r="E53" s="109" t="s">
        <v>285</v>
      </c>
      <c r="F53" s="50" t="e">
        <f ca="1">Calcu!R58</f>
        <v>#N/A</v>
      </c>
      <c r="G53" s="50" t="s">
        <v>209</v>
      </c>
      <c r="H53" s="50" t="e">
        <f ca="1">Calcu!AC58</f>
        <v>#VALUE!</v>
      </c>
      <c r="J53" s="109" t="e">
        <f ca="1">Calcu!T58</f>
        <v>#N/A</v>
      </c>
      <c r="K53" s="109" t="e">
        <f ca="1">Calcu!V58</f>
        <v>#N/A</v>
      </c>
      <c r="L53" s="109" t="str">
        <f>LEFT(Calcu!AE58)</f>
        <v/>
      </c>
      <c r="M53" s="109" t="s">
        <v>275</v>
      </c>
      <c r="N53" s="109" t="s">
        <v>275</v>
      </c>
      <c r="O53" s="109" t="s">
        <v>277</v>
      </c>
      <c r="Q53" s="109" t="e">
        <f ca="1">Calcu!W58</f>
        <v>#N/A</v>
      </c>
    </row>
    <row r="54" spans="1:17" ht="15" customHeight="1">
      <c r="A54" s="44" t="str">
        <f>IF(Calcu!B16=TRUE,"","삭제")</f>
        <v>삭제</v>
      </c>
      <c r="B54" s="43"/>
      <c r="C54" s="49" t="s">
        <v>481</v>
      </c>
      <c r="D54" s="109" t="s">
        <v>284</v>
      </c>
      <c r="E54" s="109" t="s">
        <v>285</v>
      </c>
      <c r="F54" s="50" t="e">
        <f ca="1">Calcu!R59</f>
        <v>#N/A</v>
      </c>
      <c r="G54" s="50" t="s">
        <v>209</v>
      </c>
      <c r="H54" s="50" t="e">
        <f ca="1">Calcu!AC59</f>
        <v>#VALUE!</v>
      </c>
      <c r="J54" s="109" t="e">
        <f ca="1">Calcu!T59</f>
        <v>#N/A</v>
      </c>
      <c r="K54" s="109" t="e">
        <f ca="1">Calcu!V59</f>
        <v>#N/A</v>
      </c>
      <c r="L54" s="109" t="str">
        <f>LEFT(Calcu!AE59)</f>
        <v/>
      </c>
      <c r="M54" s="109" t="s">
        <v>277</v>
      </c>
      <c r="N54" s="109" t="s">
        <v>275</v>
      </c>
      <c r="O54" s="109" t="s">
        <v>275</v>
      </c>
      <c r="Q54" s="109" t="e">
        <f ca="1">Calcu!W59</f>
        <v>#N/A</v>
      </c>
    </row>
    <row r="55" spans="1:17" ht="15" customHeight="1">
      <c r="A55" s="44" t="str">
        <f>IF(Calcu!B17=TRUE,"","삭제")</f>
        <v>삭제</v>
      </c>
      <c r="B55" s="43"/>
      <c r="C55" s="49" t="s">
        <v>481</v>
      </c>
      <c r="D55" s="109" t="s">
        <v>284</v>
      </c>
      <c r="E55" s="109" t="s">
        <v>285</v>
      </c>
      <c r="F55" s="50" t="e">
        <f ca="1">Calcu!R60</f>
        <v>#N/A</v>
      </c>
      <c r="G55" s="50" t="s">
        <v>209</v>
      </c>
      <c r="H55" s="50" t="e">
        <f ca="1">Calcu!AC60</f>
        <v>#VALUE!</v>
      </c>
      <c r="J55" s="109" t="e">
        <f ca="1">Calcu!T60</f>
        <v>#N/A</v>
      </c>
      <c r="K55" s="109" t="e">
        <f ca="1">Calcu!V60</f>
        <v>#N/A</v>
      </c>
      <c r="L55" s="109" t="str">
        <f>LEFT(Calcu!AE60)</f>
        <v/>
      </c>
      <c r="M55" s="109" t="s">
        <v>275</v>
      </c>
      <c r="N55" s="109" t="s">
        <v>275</v>
      </c>
      <c r="O55" s="109" t="s">
        <v>275</v>
      </c>
      <c r="Q55" s="109" t="e">
        <f ca="1">Calcu!W60</f>
        <v>#N/A</v>
      </c>
    </row>
    <row r="56" spans="1:17" ht="15" customHeight="1">
      <c r="A56" s="44" t="str">
        <f>IF(Calcu!B18=TRUE,"","삭제")</f>
        <v>삭제</v>
      </c>
      <c r="B56" s="43"/>
      <c r="C56" s="49" t="s">
        <v>481</v>
      </c>
      <c r="D56" s="109" t="s">
        <v>284</v>
      </c>
      <c r="E56" s="109" t="s">
        <v>285</v>
      </c>
      <c r="F56" s="50" t="e">
        <f ca="1">Calcu!R61</f>
        <v>#N/A</v>
      </c>
      <c r="G56" s="50" t="s">
        <v>209</v>
      </c>
      <c r="H56" s="50" t="e">
        <f ca="1">Calcu!AC61</f>
        <v>#VALUE!</v>
      </c>
      <c r="J56" s="109" t="e">
        <f ca="1">Calcu!T61</f>
        <v>#N/A</v>
      </c>
      <c r="K56" s="109" t="e">
        <f ca="1">Calcu!V61</f>
        <v>#N/A</v>
      </c>
      <c r="L56" s="109" t="str">
        <f>LEFT(Calcu!AE61)</f>
        <v/>
      </c>
      <c r="M56" s="109" t="s">
        <v>275</v>
      </c>
      <c r="N56" s="109" t="s">
        <v>275</v>
      </c>
      <c r="O56" s="109" t="s">
        <v>275</v>
      </c>
      <c r="Q56" s="109" t="e">
        <f ca="1">Calcu!W61</f>
        <v>#N/A</v>
      </c>
    </row>
    <row r="57" spans="1:17" ht="15" customHeight="1">
      <c r="A57" s="44" t="str">
        <f>IF(Calcu!B19=TRUE,"","삭제")</f>
        <v>삭제</v>
      </c>
      <c r="B57" s="43"/>
      <c r="C57" s="49" t="s">
        <v>481</v>
      </c>
      <c r="D57" s="109" t="s">
        <v>284</v>
      </c>
      <c r="E57" s="109" t="s">
        <v>285</v>
      </c>
      <c r="F57" s="50" t="e">
        <f ca="1">Calcu!R62</f>
        <v>#N/A</v>
      </c>
      <c r="G57" s="50" t="s">
        <v>209</v>
      </c>
      <c r="H57" s="50" t="e">
        <f ca="1">Calcu!AC62</f>
        <v>#VALUE!</v>
      </c>
      <c r="J57" s="109" t="e">
        <f ca="1">Calcu!T62</f>
        <v>#N/A</v>
      </c>
      <c r="K57" s="109" t="e">
        <f ca="1">Calcu!V62</f>
        <v>#N/A</v>
      </c>
      <c r="L57" s="109" t="str">
        <f>LEFT(Calcu!AE62)</f>
        <v/>
      </c>
      <c r="M57" s="109" t="s">
        <v>275</v>
      </c>
      <c r="N57" s="109" t="s">
        <v>275</v>
      </c>
      <c r="O57" s="109" t="s">
        <v>275</v>
      </c>
      <c r="Q57" s="109" t="e">
        <f ca="1">Calcu!W62</f>
        <v>#N/A</v>
      </c>
    </row>
    <row r="58" spans="1:17" ht="15" customHeight="1">
      <c r="A58" s="44"/>
      <c r="G58" s="51" t="s">
        <v>286</v>
      </c>
      <c r="H58" s="193">
        <f ca="1">Calcu!C78</f>
        <v>2</v>
      </c>
      <c r="K58" s="49"/>
      <c r="Q58" s="51"/>
    </row>
    <row r="59" spans="1:17" ht="15" customHeight="1">
      <c r="A59" s="44" t="str">
        <f>IF(Calcu!B89=TRUE,"","삭제")</f>
        <v>삭제</v>
      </c>
      <c r="G59" s="51"/>
      <c r="H59" s="193"/>
      <c r="K59" s="49"/>
      <c r="Q59" s="51"/>
    </row>
    <row r="60" spans="1:17" ht="15" customHeight="1">
      <c r="A60" s="44" t="str">
        <f>A59</f>
        <v>삭제</v>
      </c>
      <c r="C60" s="109" t="s">
        <v>482</v>
      </c>
      <c r="D60" s="109" t="s">
        <v>483</v>
      </c>
      <c r="F60" s="109">
        <f>Calcu!U89</f>
        <v>0</v>
      </c>
      <c r="G60" s="109" t="s">
        <v>485</v>
      </c>
      <c r="H60" s="109" t="e">
        <f ca="1">Calcu!X89</f>
        <v>#VALUE!</v>
      </c>
      <c r="J60" s="109" t="e">
        <f ca="1">Calcu!W89</f>
        <v>#VALUE!</v>
      </c>
      <c r="K60" s="109" t="e">
        <f ca="1">Calcu!V89</f>
        <v>#VALUE!</v>
      </c>
      <c r="L60" s="109" t="str">
        <f>LEFT(Calcu!Y89)</f>
        <v/>
      </c>
      <c r="M60" s="109" t="s">
        <v>486</v>
      </c>
      <c r="N60" s="109" t="s">
        <v>487</v>
      </c>
      <c r="O60" s="109" t="s">
        <v>487</v>
      </c>
      <c r="Q60" s="109" t="e">
        <f ca="1">Calcu!Z89</f>
        <v>#DIV/0!</v>
      </c>
    </row>
    <row r="61" spans="1:17" ht="15" customHeight="1">
      <c r="A61" s="44" t="str">
        <f>A60</f>
        <v>삭제</v>
      </c>
      <c r="C61" s="109" t="s">
        <v>482</v>
      </c>
      <c r="D61" s="109" t="s">
        <v>484</v>
      </c>
      <c r="F61" s="109">
        <f>Calcu!U90</f>
        <v>0</v>
      </c>
      <c r="G61" s="109" t="s">
        <v>485</v>
      </c>
      <c r="H61" s="109" t="e">
        <f ca="1">Calcu!X90</f>
        <v>#VALUE!</v>
      </c>
      <c r="J61" s="109" t="e">
        <f ca="1">Calcu!W90</f>
        <v>#VALUE!</v>
      </c>
      <c r="K61" s="109" t="e">
        <f ca="1">Calcu!V90</f>
        <v>#VALUE!</v>
      </c>
      <c r="L61" s="109" t="str">
        <f>LEFT(Calcu!Y90)</f>
        <v/>
      </c>
      <c r="M61" s="109" t="s">
        <v>486</v>
      </c>
      <c r="N61" s="109" t="s">
        <v>487</v>
      </c>
      <c r="O61" s="109" t="s">
        <v>487</v>
      </c>
      <c r="Q61" s="109" t="e">
        <f ca="1">Calcu!Z90</f>
        <v>#DIV/0!</v>
      </c>
    </row>
    <row r="62" spans="1:17" ht="15" customHeight="1">
      <c r="A62" s="44"/>
      <c r="G62" s="51" t="s">
        <v>286</v>
      </c>
      <c r="H62" s="193" t="e">
        <f ca="1">Calcu!C112</f>
        <v>#DIV/0!</v>
      </c>
    </row>
    <row r="63" spans="1:17" ht="15" customHeight="1">
      <c r="A63" s="44" t="str">
        <f>IF(Calcu!B123=TRUE,"","삭제")</f>
        <v>삭제</v>
      </c>
      <c r="G63" s="51"/>
      <c r="H63" s="193"/>
      <c r="K63" s="49"/>
      <c r="Q63" s="51"/>
    </row>
    <row r="64" spans="1:17" ht="15" customHeight="1">
      <c r="A64" s="44" t="str">
        <f>A63</f>
        <v>삭제</v>
      </c>
      <c r="C64" s="109" t="s">
        <v>630</v>
      </c>
      <c r="F64" s="109">
        <f>Calcu!O123</f>
        <v>0</v>
      </c>
      <c r="G64" s="109" t="s">
        <v>631</v>
      </c>
      <c r="H64" s="109" t="e">
        <f ca="1">Calcu!R123</f>
        <v>#VALUE!</v>
      </c>
      <c r="J64" s="109" t="e">
        <f ca="1">Calcu!Q123</f>
        <v>#VALUE!</v>
      </c>
      <c r="K64" s="109" t="e">
        <f ca="1">Calcu!P123</f>
        <v>#VALUE!</v>
      </c>
      <c r="L64" s="109" t="str">
        <f>LEFT(Calcu!S123)</f>
        <v/>
      </c>
      <c r="M64" s="109" t="s">
        <v>486</v>
      </c>
      <c r="N64" s="109" t="s">
        <v>487</v>
      </c>
      <c r="O64" s="109" t="s">
        <v>487</v>
      </c>
      <c r="Q64" s="109" t="e">
        <f ca="1">Calcu!T123</f>
        <v>#VALUE!</v>
      </c>
    </row>
    <row r="65" spans="1:17" ht="15" customHeight="1">
      <c r="A65" s="44"/>
      <c r="G65" s="51" t="s">
        <v>286</v>
      </c>
      <c r="H65" s="193" t="e">
        <f ca="1">Calcu!C141</f>
        <v>#VALUE!</v>
      </c>
    </row>
    <row r="66" spans="1:17" ht="15" customHeight="1"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1"/>
    </row>
  </sheetData>
  <mergeCells count="13">
    <mergeCell ref="M13:O13"/>
    <mergeCell ref="P13:P14"/>
    <mergeCell ref="Q13:Q14"/>
    <mergeCell ref="A1:Q2"/>
    <mergeCell ref="B13:B14"/>
    <mergeCell ref="C13:C14"/>
    <mergeCell ref="D13:D14"/>
    <mergeCell ref="E13:E14"/>
    <mergeCell ref="F13:F14"/>
    <mergeCell ref="G13:G14"/>
    <mergeCell ref="H13:H14"/>
    <mergeCell ref="I13:I14"/>
    <mergeCell ref="J13:L13"/>
  </mergeCells>
  <phoneticPr fontId="4" type="noConversion"/>
  <printOptions horizontalCentered="1"/>
  <pageMargins left="0" right="0" top="0.35433070866141736" bottom="0.59055118110236227" header="0" footer="0"/>
  <pageSetup paperSize="9" scale="84" fitToHeight="0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L44"/>
  <sheetViews>
    <sheetView showGridLines="0" showWhiteSpace="0" zoomScaleNormal="100" zoomScaleSheetLayoutView="100" workbookViewId="0">
      <selection sqref="A1:L2"/>
    </sheetView>
  </sheetViews>
  <sheetFormatPr defaultColWidth="10.77734375" defaultRowHeight="15" customHeight="1"/>
  <cols>
    <col min="1" max="3" width="3.77734375" style="109" customWidth="1"/>
    <col min="4" max="9" width="9.77734375" style="109" customWidth="1"/>
    <col min="10" max="12" width="3.77734375" style="109" customWidth="1"/>
    <col min="13" max="16384" width="10.77734375" style="79"/>
  </cols>
  <sheetData>
    <row r="1" spans="1:12" s="66" customFormat="1" ht="33" customHeight="1">
      <c r="A1" s="408" t="s">
        <v>70</v>
      </c>
      <c r="B1" s="408"/>
      <c r="C1" s="408"/>
      <c r="D1" s="408"/>
      <c r="E1" s="408"/>
      <c r="F1" s="408"/>
      <c r="G1" s="408"/>
      <c r="H1" s="408"/>
      <c r="I1" s="408"/>
      <c r="J1" s="408"/>
      <c r="K1" s="408"/>
      <c r="L1" s="408"/>
    </row>
    <row r="2" spans="1:12" s="66" customFormat="1" ht="33" customHeight="1">
      <c r="A2" s="408"/>
      <c r="B2" s="408"/>
      <c r="C2" s="408"/>
      <c r="D2" s="408"/>
      <c r="E2" s="408"/>
      <c r="F2" s="408"/>
      <c r="G2" s="408"/>
      <c r="H2" s="408"/>
      <c r="I2" s="408"/>
      <c r="J2" s="408"/>
      <c r="K2" s="408"/>
      <c r="L2" s="408"/>
    </row>
    <row r="3" spans="1:12" s="66" customFormat="1" ht="12.75" customHeight="1">
      <c r="A3" s="47"/>
      <c r="B3" s="47"/>
      <c r="C3" s="22"/>
      <c r="D3" s="22"/>
      <c r="E3" s="22"/>
      <c r="F3" s="22"/>
      <c r="G3" s="22"/>
      <c r="H3" s="22"/>
      <c r="I3" s="22"/>
      <c r="J3" s="22"/>
      <c r="K3" s="22"/>
      <c r="L3" s="67"/>
    </row>
    <row r="4" spans="1:12" s="68" customFormat="1" ht="13.5" customHeight="1">
      <c r="A4" s="76"/>
      <c r="B4" s="76"/>
      <c r="C4" s="77"/>
      <c r="D4" s="77"/>
      <c r="E4" s="84"/>
      <c r="F4" s="77"/>
      <c r="G4" s="77"/>
      <c r="H4" s="85"/>
      <c r="I4" s="78"/>
      <c r="J4" s="84"/>
      <c r="K4" s="84"/>
      <c r="L4" s="76"/>
    </row>
    <row r="5" spans="1:12" s="69" customFormat="1" ht="1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</row>
    <row r="6" spans="1:12" s="109" customFormat="1" ht="15" customHeight="1">
      <c r="A6" s="136"/>
      <c r="D6" s="52" t="s">
        <v>252</v>
      </c>
      <c r="E6" s="50"/>
      <c r="F6" s="50"/>
      <c r="G6" s="50"/>
      <c r="H6" s="50"/>
    </row>
    <row r="7" spans="1:12" s="109" customFormat="1" ht="15" customHeight="1">
      <c r="A7" s="80"/>
      <c r="B7" s="43"/>
      <c r="C7" s="43"/>
      <c r="D7" s="138" t="s">
        <v>94</v>
      </c>
      <c r="E7" s="409" t="s">
        <v>253</v>
      </c>
      <c r="F7" s="410"/>
      <c r="G7" s="138" t="s">
        <v>79</v>
      </c>
      <c r="H7" s="409" t="s">
        <v>81</v>
      </c>
      <c r="I7" s="410"/>
      <c r="J7" s="50"/>
    </row>
    <row r="8" spans="1:12" s="109" customFormat="1" ht="15" customHeight="1">
      <c r="A8" s="80"/>
      <c r="B8" s="43"/>
      <c r="C8" s="43"/>
      <c r="D8" s="183" t="s">
        <v>254</v>
      </c>
      <c r="E8" s="183" t="s">
        <v>255</v>
      </c>
      <c r="F8" s="183" t="s">
        <v>256</v>
      </c>
      <c r="G8" s="183" t="s">
        <v>254</v>
      </c>
      <c r="H8" s="183" t="s">
        <v>255</v>
      </c>
      <c r="I8" s="183" t="s">
        <v>256</v>
      </c>
      <c r="J8" s="50"/>
    </row>
    <row r="9" spans="1:12" s="109" customFormat="1" ht="15" customHeight="1">
      <c r="A9" s="80" t="str">
        <f>IF(Calcu!B10=TRUE,"","삭제")</f>
        <v>삭제</v>
      </c>
      <c r="B9" s="43"/>
      <c r="C9" s="43"/>
      <c r="D9" s="182" t="e">
        <f ca="1">Calcu!R39</f>
        <v>#N/A</v>
      </c>
      <c r="E9" s="182" t="e">
        <f ca="1">Calcu!S39</f>
        <v>#N/A</v>
      </c>
      <c r="F9" s="182" t="e">
        <f ca="1">Calcu!T39</f>
        <v>#N/A</v>
      </c>
      <c r="G9" s="182" t="e">
        <f ca="1">Calcu!AC39</f>
        <v>#VALUE!</v>
      </c>
      <c r="H9" s="182" t="str">
        <f>Calcu!AD39</f>
        <v/>
      </c>
      <c r="I9" s="182" t="str">
        <f>Calcu!AE39</f>
        <v/>
      </c>
      <c r="J9" s="50"/>
    </row>
    <row r="10" spans="1:12" s="109" customFormat="1" ht="15" customHeight="1">
      <c r="A10" s="80" t="str">
        <f>IF(Calcu!B11=TRUE,"","삭제")</f>
        <v>삭제</v>
      </c>
      <c r="B10" s="43"/>
      <c r="C10" s="43"/>
      <c r="D10" s="182" t="e">
        <f ca="1">Calcu!R40</f>
        <v>#N/A</v>
      </c>
      <c r="E10" s="182" t="e">
        <f ca="1">Calcu!S40</f>
        <v>#N/A</v>
      </c>
      <c r="F10" s="182" t="e">
        <f ca="1">Calcu!T40</f>
        <v>#N/A</v>
      </c>
      <c r="G10" s="182" t="e">
        <f ca="1">Calcu!AC40</f>
        <v>#VALUE!</v>
      </c>
      <c r="H10" s="182" t="str">
        <f>Calcu!AD40</f>
        <v/>
      </c>
      <c r="I10" s="182" t="str">
        <f>Calcu!AE40</f>
        <v/>
      </c>
      <c r="J10" s="50"/>
    </row>
    <row r="11" spans="1:12" s="109" customFormat="1" ht="15" customHeight="1">
      <c r="A11" s="80" t="str">
        <f>IF(Calcu!B12=TRUE,"","삭제")</f>
        <v>삭제</v>
      </c>
      <c r="B11" s="43"/>
      <c r="C11" s="43"/>
      <c r="D11" s="182" t="e">
        <f ca="1">Calcu!R41</f>
        <v>#N/A</v>
      </c>
      <c r="E11" s="182" t="e">
        <f ca="1">Calcu!S41</f>
        <v>#N/A</v>
      </c>
      <c r="F11" s="182" t="e">
        <f ca="1">Calcu!T41</f>
        <v>#N/A</v>
      </c>
      <c r="G11" s="182" t="e">
        <f ca="1">Calcu!AC41</f>
        <v>#VALUE!</v>
      </c>
      <c r="H11" s="182" t="str">
        <f>Calcu!AD41</f>
        <v/>
      </c>
      <c r="I11" s="182" t="str">
        <f>Calcu!AE41</f>
        <v/>
      </c>
      <c r="J11" s="50"/>
    </row>
    <row r="12" spans="1:12" s="109" customFormat="1" ht="15" customHeight="1">
      <c r="A12" s="80" t="str">
        <f>IF(Calcu!B13=TRUE,"","삭제")</f>
        <v>삭제</v>
      </c>
      <c r="B12" s="43"/>
      <c r="C12" s="43"/>
      <c r="D12" s="182" t="e">
        <f ca="1">Calcu!R42</f>
        <v>#N/A</v>
      </c>
      <c r="E12" s="182" t="e">
        <f ca="1">Calcu!S42</f>
        <v>#N/A</v>
      </c>
      <c r="F12" s="182" t="e">
        <f ca="1">Calcu!T42</f>
        <v>#N/A</v>
      </c>
      <c r="G12" s="182" t="e">
        <f ca="1">Calcu!AC42</f>
        <v>#VALUE!</v>
      </c>
      <c r="H12" s="182" t="str">
        <f>Calcu!AD42</f>
        <v/>
      </c>
      <c r="I12" s="182" t="str">
        <f>Calcu!AE42</f>
        <v/>
      </c>
      <c r="J12" s="50"/>
    </row>
    <row r="13" spans="1:12" s="109" customFormat="1" ht="15" customHeight="1">
      <c r="A13" s="80" t="str">
        <f>IF(Calcu!B14=TRUE,"","삭제")</f>
        <v>삭제</v>
      </c>
      <c r="B13" s="43"/>
      <c r="C13" s="43"/>
      <c r="D13" s="182" t="e">
        <f ca="1">Calcu!R43</f>
        <v>#N/A</v>
      </c>
      <c r="E13" s="182" t="e">
        <f ca="1">Calcu!S43</f>
        <v>#N/A</v>
      </c>
      <c r="F13" s="182" t="e">
        <f ca="1">Calcu!T43</f>
        <v>#N/A</v>
      </c>
      <c r="G13" s="182" t="e">
        <f ca="1">Calcu!AC43</f>
        <v>#VALUE!</v>
      </c>
      <c r="H13" s="182" t="str">
        <f>Calcu!AD43</f>
        <v/>
      </c>
      <c r="I13" s="182" t="str">
        <f>Calcu!AE43</f>
        <v/>
      </c>
      <c r="J13" s="50"/>
    </row>
    <row r="14" spans="1:12" s="109" customFormat="1" ht="15" customHeight="1">
      <c r="A14" s="80" t="str">
        <f>IF(Calcu!B15=TRUE,"","삭제")</f>
        <v>삭제</v>
      </c>
      <c r="B14" s="43"/>
      <c r="C14" s="43"/>
      <c r="D14" s="182" t="e">
        <f ca="1">Calcu!R44</f>
        <v>#N/A</v>
      </c>
      <c r="E14" s="182" t="e">
        <f ca="1">Calcu!S44</f>
        <v>#N/A</v>
      </c>
      <c r="F14" s="182" t="e">
        <f ca="1">Calcu!T44</f>
        <v>#N/A</v>
      </c>
      <c r="G14" s="182" t="e">
        <f ca="1">Calcu!AC44</f>
        <v>#VALUE!</v>
      </c>
      <c r="H14" s="182" t="str">
        <f>Calcu!AD44</f>
        <v/>
      </c>
      <c r="I14" s="182" t="str">
        <f>Calcu!AE44</f>
        <v/>
      </c>
      <c r="J14" s="50"/>
    </row>
    <row r="15" spans="1:12" s="109" customFormat="1" ht="15" customHeight="1">
      <c r="A15" s="80" t="str">
        <f>IF(Calcu!B16=TRUE,"","삭제")</f>
        <v>삭제</v>
      </c>
      <c r="B15" s="43"/>
      <c r="C15" s="43"/>
      <c r="D15" s="182" t="e">
        <f ca="1">Calcu!R45</f>
        <v>#N/A</v>
      </c>
      <c r="E15" s="182" t="e">
        <f ca="1">Calcu!S45</f>
        <v>#N/A</v>
      </c>
      <c r="F15" s="182" t="e">
        <f ca="1">Calcu!T45</f>
        <v>#N/A</v>
      </c>
      <c r="G15" s="182" t="e">
        <f ca="1">Calcu!AC45</f>
        <v>#VALUE!</v>
      </c>
      <c r="H15" s="182" t="str">
        <f>Calcu!AD45</f>
        <v/>
      </c>
      <c r="I15" s="182" t="str">
        <f>Calcu!AE45</f>
        <v/>
      </c>
      <c r="J15" s="50"/>
    </row>
    <row r="16" spans="1:12" s="109" customFormat="1" ht="15" customHeight="1">
      <c r="A16" s="80" t="str">
        <f>IF(Calcu!B17=TRUE,"","삭제")</f>
        <v>삭제</v>
      </c>
      <c r="B16" s="43"/>
      <c r="C16" s="43"/>
      <c r="D16" s="182" t="e">
        <f ca="1">Calcu!R46</f>
        <v>#N/A</v>
      </c>
      <c r="E16" s="182" t="e">
        <f ca="1">Calcu!S46</f>
        <v>#N/A</v>
      </c>
      <c r="F16" s="182" t="e">
        <f ca="1">Calcu!T46</f>
        <v>#N/A</v>
      </c>
      <c r="G16" s="182" t="e">
        <f ca="1">Calcu!AC46</f>
        <v>#VALUE!</v>
      </c>
      <c r="H16" s="182" t="str">
        <f>Calcu!AD46</f>
        <v/>
      </c>
      <c r="I16" s="182" t="str">
        <f>Calcu!AE46</f>
        <v/>
      </c>
      <c r="J16" s="50"/>
    </row>
    <row r="17" spans="1:10" s="109" customFormat="1" ht="15" customHeight="1">
      <c r="A17" s="80" t="str">
        <f>IF(Calcu!B18=TRUE,"","삭제")</f>
        <v>삭제</v>
      </c>
      <c r="B17" s="43"/>
      <c r="C17" s="43"/>
      <c r="D17" s="182" t="e">
        <f ca="1">Calcu!R47</f>
        <v>#N/A</v>
      </c>
      <c r="E17" s="182" t="e">
        <f ca="1">Calcu!S47</f>
        <v>#N/A</v>
      </c>
      <c r="F17" s="182" t="e">
        <f ca="1">Calcu!T47</f>
        <v>#N/A</v>
      </c>
      <c r="G17" s="182" t="e">
        <f ca="1">Calcu!AC47</f>
        <v>#VALUE!</v>
      </c>
      <c r="H17" s="182" t="str">
        <f>Calcu!AD47</f>
        <v/>
      </c>
      <c r="I17" s="182" t="str">
        <f>Calcu!AE47</f>
        <v/>
      </c>
      <c r="J17" s="50"/>
    </row>
    <row r="18" spans="1:10" s="109" customFormat="1" ht="15" customHeight="1">
      <c r="A18" s="80" t="str">
        <f>IF(Calcu!B19=TRUE,"","삭제")</f>
        <v>삭제</v>
      </c>
      <c r="B18" s="43"/>
      <c r="C18" s="43"/>
      <c r="D18" s="182" t="e">
        <f ca="1">Calcu!R48</f>
        <v>#N/A</v>
      </c>
      <c r="E18" s="182" t="e">
        <f ca="1">Calcu!S48</f>
        <v>#N/A</v>
      </c>
      <c r="F18" s="182" t="e">
        <f ca="1">Calcu!T48</f>
        <v>#N/A</v>
      </c>
      <c r="G18" s="182" t="e">
        <f ca="1">Calcu!AC48</f>
        <v>#VALUE!</v>
      </c>
      <c r="H18" s="182" t="str">
        <f>Calcu!AD48</f>
        <v/>
      </c>
      <c r="I18" s="182" t="str">
        <f>Calcu!AE48</f>
        <v/>
      </c>
      <c r="J18" s="50"/>
    </row>
    <row r="19" spans="1:10" ht="15" customHeight="1">
      <c r="B19" s="79"/>
      <c r="D19" s="50"/>
      <c r="E19" s="50"/>
      <c r="F19" s="50"/>
      <c r="G19" s="50"/>
      <c r="H19" s="50"/>
    </row>
    <row r="20" spans="1:10" ht="15" customHeight="1">
      <c r="B20" s="79"/>
      <c r="D20" s="36" t="s">
        <v>257</v>
      </c>
      <c r="E20" s="50"/>
      <c r="F20" s="50"/>
      <c r="G20" s="50"/>
      <c r="H20" s="50"/>
    </row>
    <row r="21" spans="1:10" s="109" customFormat="1" ht="15" customHeight="1">
      <c r="A21" s="80"/>
      <c r="B21" s="43"/>
      <c r="C21" s="43"/>
      <c r="D21" s="138" t="s">
        <v>94</v>
      </c>
      <c r="E21" s="409" t="s">
        <v>253</v>
      </c>
      <c r="F21" s="410"/>
      <c r="G21" s="138" t="s">
        <v>79</v>
      </c>
      <c r="H21" s="409" t="s">
        <v>81</v>
      </c>
      <c r="I21" s="410"/>
      <c r="J21" s="50"/>
    </row>
    <row r="22" spans="1:10" s="109" customFormat="1" ht="15" customHeight="1">
      <c r="A22" s="80"/>
      <c r="B22" s="43"/>
      <c r="C22" s="43"/>
      <c r="D22" s="183" t="s">
        <v>254</v>
      </c>
      <c r="E22" s="183" t="s">
        <v>255</v>
      </c>
      <c r="F22" s="183" t="s">
        <v>256</v>
      </c>
      <c r="G22" s="183" t="s">
        <v>254</v>
      </c>
      <c r="H22" s="183" t="s">
        <v>255</v>
      </c>
      <c r="I22" s="183" t="s">
        <v>256</v>
      </c>
      <c r="J22" s="50"/>
    </row>
    <row r="23" spans="1:10" s="109" customFormat="1" ht="15" customHeight="1">
      <c r="A23" s="44" t="str">
        <f>A9</f>
        <v>삭제</v>
      </c>
      <c r="B23" s="43"/>
      <c r="C23" s="43"/>
      <c r="D23" s="182" t="e">
        <f ca="1">Calcu!R53</f>
        <v>#N/A</v>
      </c>
      <c r="E23" s="182" t="e">
        <f ca="1">Calcu!S53</f>
        <v>#N/A</v>
      </c>
      <c r="F23" s="182" t="e">
        <f ca="1">Calcu!T53</f>
        <v>#N/A</v>
      </c>
      <c r="G23" s="182" t="e">
        <f ca="1">Calcu!AC53</f>
        <v>#VALUE!</v>
      </c>
      <c r="H23" s="182" t="str">
        <f>Calcu!AD53</f>
        <v/>
      </c>
      <c r="I23" s="182" t="str">
        <f>Calcu!AE53</f>
        <v/>
      </c>
      <c r="J23" s="50"/>
    </row>
    <row r="24" spans="1:10" s="109" customFormat="1" ht="15" customHeight="1">
      <c r="A24" s="44" t="str">
        <f t="shared" ref="A24:A32" si="0">A10</f>
        <v>삭제</v>
      </c>
      <c r="B24" s="43"/>
      <c r="C24" s="43"/>
      <c r="D24" s="182" t="e">
        <f ca="1">Calcu!R54</f>
        <v>#N/A</v>
      </c>
      <c r="E24" s="182" t="e">
        <f ca="1">Calcu!S54</f>
        <v>#N/A</v>
      </c>
      <c r="F24" s="182" t="e">
        <f ca="1">Calcu!T54</f>
        <v>#N/A</v>
      </c>
      <c r="G24" s="182" t="e">
        <f ca="1">Calcu!AC54</f>
        <v>#VALUE!</v>
      </c>
      <c r="H24" s="182" t="str">
        <f>Calcu!AD54</f>
        <v/>
      </c>
      <c r="I24" s="182" t="str">
        <f>Calcu!AE54</f>
        <v/>
      </c>
      <c r="J24" s="50"/>
    </row>
    <row r="25" spans="1:10" s="109" customFormat="1" ht="15" customHeight="1">
      <c r="A25" s="44" t="str">
        <f t="shared" si="0"/>
        <v>삭제</v>
      </c>
      <c r="B25" s="43"/>
      <c r="C25" s="43"/>
      <c r="D25" s="182" t="e">
        <f ca="1">Calcu!R55</f>
        <v>#N/A</v>
      </c>
      <c r="E25" s="182" t="e">
        <f ca="1">Calcu!S55</f>
        <v>#N/A</v>
      </c>
      <c r="F25" s="182" t="e">
        <f ca="1">Calcu!T55</f>
        <v>#N/A</v>
      </c>
      <c r="G25" s="182" t="e">
        <f ca="1">Calcu!AC55</f>
        <v>#VALUE!</v>
      </c>
      <c r="H25" s="182" t="str">
        <f>Calcu!AD55</f>
        <v/>
      </c>
      <c r="I25" s="182" t="str">
        <f>Calcu!AE55</f>
        <v/>
      </c>
      <c r="J25" s="50"/>
    </row>
    <row r="26" spans="1:10" s="109" customFormat="1" ht="15" customHeight="1">
      <c r="A26" s="44" t="str">
        <f t="shared" si="0"/>
        <v>삭제</v>
      </c>
      <c r="B26" s="43"/>
      <c r="C26" s="43"/>
      <c r="D26" s="182" t="e">
        <f ca="1">Calcu!R56</f>
        <v>#N/A</v>
      </c>
      <c r="E26" s="182" t="e">
        <f ca="1">Calcu!S56</f>
        <v>#N/A</v>
      </c>
      <c r="F26" s="182" t="e">
        <f ca="1">Calcu!T56</f>
        <v>#N/A</v>
      </c>
      <c r="G26" s="182" t="e">
        <f ca="1">Calcu!AC56</f>
        <v>#VALUE!</v>
      </c>
      <c r="H26" s="182" t="str">
        <f>Calcu!AD56</f>
        <v/>
      </c>
      <c r="I26" s="182" t="str">
        <f>Calcu!AE56</f>
        <v/>
      </c>
      <c r="J26" s="50"/>
    </row>
    <row r="27" spans="1:10" s="109" customFormat="1" ht="15" customHeight="1">
      <c r="A27" s="44" t="str">
        <f t="shared" si="0"/>
        <v>삭제</v>
      </c>
      <c r="B27" s="43"/>
      <c r="C27" s="43"/>
      <c r="D27" s="182" t="e">
        <f ca="1">Calcu!R57</f>
        <v>#N/A</v>
      </c>
      <c r="E27" s="182" t="e">
        <f ca="1">Calcu!S57</f>
        <v>#N/A</v>
      </c>
      <c r="F27" s="182" t="e">
        <f ca="1">Calcu!T57</f>
        <v>#N/A</v>
      </c>
      <c r="G27" s="182" t="e">
        <f ca="1">Calcu!AC57</f>
        <v>#VALUE!</v>
      </c>
      <c r="H27" s="182" t="str">
        <f>Calcu!AD57</f>
        <v/>
      </c>
      <c r="I27" s="182" t="str">
        <f>Calcu!AE57</f>
        <v/>
      </c>
      <c r="J27" s="50"/>
    </row>
    <row r="28" spans="1:10" s="109" customFormat="1" ht="15" customHeight="1">
      <c r="A28" s="44" t="str">
        <f t="shared" si="0"/>
        <v>삭제</v>
      </c>
      <c r="B28" s="43"/>
      <c r="C28" s="43"/>
      <c r="D28" s="182" t="e">
        <f ca="1">Calcu!R58</f>
        <v>#N/A</v>
      </c>
      <c r="E28" s="182" t="e">
        <f ca="1">Calcu!S58</f>
        <v>#N/A</v>
      </c>
      <c r="F28" s="182" t="e">
        <f ca="1">Calcu!T58</f>
        <v>#N/A</v>
      </c>
      <c r="G28" s="182" t="e">
        <f ca="1">Calcu!AC58</f>
        <v>#VALUE!</v>
      </c>
      <c r="H28" s="182" t="str">
        <f>Calcu!AD58</f>
        <v/>
      </c>
      <c r="I28" s="182" t="str">
        <f>Calcu!AE58</f>
        <v/>
      </c>
      <c r="J28" s="50"/>
    </row>
    <row r="29" spans="1:10" s="109" customFormat="1" ht="15" customHeight="1">
      <c r="A29" s="44" t="str">
        <f t="shared" si="0"/>
        <v>삭제</v>
      </c>
      <c r="B29" s="43"/>
      <c r="C29" s="43"/>
      <c r="D29" s="182" t="e">
        <f ca="1">Calcu!R59</f>
        <v>#N/A</v>
      </c>
      <c r="E29" s="182" t="e">
        <f ca="1">Calcu!S59</f>
        <v>#N/A</v>
      </c>
      <c r="F29" s="182" t="e">
        <f ca="1">Calcu!T59</f>
        <v>#N/A</v>
      </c>
      <c r="G29" s="182" t="e">
        <f ca="1">Calcu!AC59</f>
        <v>#VALUE!</v>
      </c>
      <c r="H29" s="182" t="str">
        <f>Calcu!AD59</f>
        <v/>
      </c>
      <c r="I29" s="182" t="str">
        <f>Calcu!AE59</f>
        <v/>
      </c>
      <c r="J29" s="50"/>
    </row>
    <row r="30" spans="1:10" s="109" customFormat="1" ht="15" customHeight="1">
      <c r="A30" s="44" t="str">
        <f t="shared" si="0"/>
        <v>삭제</v>
      </c>
      <c r="B30" s="43"/>
      <c r="C30" s="43"/>
      <c r="D30" s="182" t="e">
        <f ca="1">Calcu!R60</f>
        <v>#N/A</v>
      </c>
      <c r="E30" s="182" t="e">
        <f ca="1">Calcu!S60</f>
        <v>#N/A</v>
      </c>
      <c r="F30" s="182" t="e">
        <f ca="1">Calcu!T60</f>
        <v>#N/A</v>
      </c>
      <c r="G30" s="182" t="e">
        <f ca="1">Calcu!AC60</f>
        <v>#VALUE!</v>
      </c>
      <c r="H30" s="182" t="str">
        <f>Calcu!AD60</f>
        <v/>
      </c>
      <c r="I30" s="182" t="str">
        <f>Calcu!AE60</f>
        <v/>
      </c>
      <c r="J30" s="50"/>
    </row>
    <row r="31" spans="1:10" s="109" customFormat="1" ht="15" customHeight="1">
      <c r="A31" s="44" t="str">
        <f t="shared" si="0"/>
        <v>삭제</v>
      </c>
      <c r="B31" s="43"/>
      <c r="C31" s="43"/>
      <c r="D31" s="182" t="e">
        <f ca="1">Calcu!R61</f>
        <v>#N/A</v>
      </c>
      <c r="E31" s="182" t="e">
        <f ca="1">Calcu!S61</f>
        <v>#N/A</v>
      </c>
      <c r="F31" s="182" t="e">
        <f ca="1">Calcu!T61</f>
        <v>#N/A</v>
      </c>
      <c r="G31" s="182" t="e">
        <f ca="1">Calcu!AC61</f>
        <v>#VALUE!</v>
      </c>
      <c r="H31" s="182" t="str">
        <f>Calcu!AD61</f>
        <v/>
      </c>
      <c r="I31" s="182" t="str">
        <f>Calcu!AE61</f>
        <v/>
      </c>
      <c r="J31" s="50"/>
    </row>
    <row r="32" spans="1:10" s="109" customFormat="1" ht="15" customHeight="1">
      <c r="A32" s="44" t="str">
        <f t="shared" si="0"/>
        <v>삭제</v>
      </c>
      <c r="B32" s="43"/>
      <c r="C32" s="43"/>
      <c r="D32" s="182" t="e">
        <f ca="1">Calcu!R62</f>
        <v>#N/A</v>
      </c>
      <c r="E32" s="182" t="e">
        <f ca="1">Calcu!S62</f>
        <v>#N/A</v>
      </c>
      <c r="F32" s="182" t="e">
        <f ca="1">Calcu!T62</f>
        <v>#N/A</v>
      </c>
      <c r="G32" s="182" t="e">
        <f ca="1">Calcu!AC62</f>
        <v>#VALUE!</v>
      </c>
      <c r="H32" s="182" t="str">
        <f>Calcu!AD62</f>
        <v/>
      </c>
      <c r="I32" s="182" t="str">
        <f>Calcu!AE62</f>
        <v/>
      </c>
      <c r="J32" s="50"/>
    </row>
    <row r="33" spans="1:10" s="109" customFormat="1" ht="15" customHeight="1">
      <c r="A33" s="44" t="str">
        <f>IF(Calcu!B89=TRUE,"","삭제")</f>
        <v>삭제</v>
      </c>
      <c r="B33" s="43"/>
      <c r="C33" s="43"/>
      <c r="D33" s="50"/>
      <c r="E33" s="50"/>
      <c r="F33" s="50"/>
      <c r="G33" s="50"/>
      <c r="H33" s="50"/>
      <c r="I33" s="50"/>
      <c r="J33" s="50"/>
    </row>
    <row r="34" spans="1:10" s="109" customFormat="1" ht="15" customHeight="1">
      <c r="A34" s="44" t="str">
        <f>A33</f>
        <v>삭제</v>
      </c>
      <c r="B34" s="43"/>
      <c r="C34" s="43"/>
      <c r="D34" s="36" t="s">
        <v>477</v>
      </c>
      <c r="E34" s="50"/>
      <c r="F34" s="50"/>
      <c r="G34" s="50"/>
      <c r="H34" s="50"/>
      <c r="J34" s="50"/>
    </row>
    <row r="35" spans="1:10" s="109" customFormat="1" ht="15" customHeight="1">
      <c r="A35" s="44" t="str">
        <f>A34</f>
        <v>삭제</v>
      </c>
      <c r="B35" s="43"/>
      <c r="C35" s="43"/>
      <c r="D35" s="138" t="s">
        <v>94</v>
      </c>
      <c r="E35" s="249" t="s">
        <v>479</v>
      </c>
      <c r="F35" s="249" t="s">
        <v>79</v>
      </c>
      <c r="G35" s="249" t="s">
        <v>81</v>
      </c>
      <c r="J35" s="50"/>
    </row>
    <row r="36" spans="1:10" s="109" customFormat="1" ht="15" customHeight="1">
      <c r="A36" s="44" t="str">
        <f>A35</f>
        <v>삭제</v>
      </c>
      <c r="B36" s="43"/>
      <c r="C36" s="43"/>
      <c r="D36" s="183" t="s">
        <v>478</v>
      </c>
      <c r="E36" s="183" t="s">
        <v>478</v>
      </c>
      <c r="F36" s="183" t="s">
        <v>478</v>
      </c>
      <c r="G36" s="183"/>
      <c r="J36" s="50"/>
    </row>
    <row r="37" spans="1:10" s="109" customFormat="1" ht="15" customHeight="1">
      <c r="A37" s="44" t="str">
        <f>A36</f>
        <v>삭제</v>
      </c>
      <c r="B37" s="43"/>
      <c r="C37" s="43"/>
      <c r="D37" s="247">
        <v>0</v>
      </c>
      <c r="E37" s="247" t="e">
        <f ca="1">Calcu!W89</f>
        <v>#VALUE!</v>
      </c>
      <c r="F37" s="247" t="e">
        <f ca="1">Calcu!X89</f>
        <v>#VALUE!</v>
      </c>
      <c r="G37" s="247" t="str">
        <f>Calcu!Y89</f>
        <v/>
      </c>
      <c r="J37" s="50"/>
    </row>
    <row r="38" spans="1:10" s="109" customFormat="1" ht="15" customHeight="1">
      <c r="A38" s="44" t="str">
        <f>A37</f>
        <v>삭제</v>
      </c>
      <c r="B38" s="43"/>
      <c r="C38" s="43"/>
      <c r="D38" s="247">
        <v>0</v>
      </c>
      <c r="E38" s="247" t="e">
        <f ca="1">Calcu!W90</f>
        <v>#VALUE!</v>
      </c>
      <c r="F38" s="247" t="e">
        <f ca="1">Calcu!X90</f>
        <v>#VALUE!</v>
      </c>
      <c r="G38" s="247" t="str">
        <f>Calcu!Y90</f>
        <v/>
      </c>
      <c r="J38" s="50"/>
    </row>
    <row r="39" spans="1:10" s="109" customFormat="1" ht="15" customHeight="1">
      <c r="A39" s="44" t="str">
        <f>IF(Calcu!B123=TRUE,"","삭제")</f>
        <v>삭제</v>
      </c>
      <c r="B39" s="43"/>
      <c r="C39" s="43"/>
      <c r="D39" s="50"/>
      <c r="E39" s="50"/>
      <c r="F39" s="50"/>
      <c r="G39" s="50"/>
      <c r="H39" s="50"/>
      <c r="I39" s="50"/>
      <c r="J39" s="50"/>
    </row>
    <row r="40" spans="1:10" s="109" customFormat="1" ht="15" customHeight="1">
      <c r="A40" s="44" t="str">
        <f>A39</f>
        <v>삭제</v>
      </c>
      <c r="B40" s="43"/>
      <c r="C40" s="43"/>
      <c r="D40" s="36" t="str">
        <f>IF(Calcu!B89=TRUE,"4","3")&amp;". 밑면의 평면도 교정결과"</f>
        <v>3. 밑면의 평면도 교정결과</v>
      </c>
      <c r="E40" s="50"/>
      <c r="F40" s="50"/>
      <c r="G40" s="50"/>
      <c r="H40" s="50"/>
      <c r="J40" s="50"/>
    </row>
    <row r="41" spans="1:10" s="109" customFormat="1" ht="15" customHeight="1">
      <c r="A41" s="44" t="str">
        <f>A40</f>
        <v>삭제</v>
      </c>
      <c r="B41" s="43"/>
      <c r="C41" s="43"/>
      <c r="D41" s="138" t="s">
        <v>94</v>
      </c>
      <c r="E41" s="249" t="s">
        <v>479</v>
      </c>
      <c r="F41" s="249" t="s">
        <v>79</v>
      </c>
      <c r="G41" s="249" t="s">
        <v>81</v>
      </c>
      <c r="J41" s="50"/>
    </row>
    <row r="42" spans="1:10" s="109" customFormat="1" ht="15" customHeight="1">
      <c r="A42" s="44" t="str">
        <f>A41</f>
        <v>삭제</v>
      </c>
      <c r="B42" s="43"/>
      <c r="C42" s="43"/>
      <c r="D42" s="183" t="s">
        <v>478</v>
      </c>
      <c r="E42" s="183" t="s">
        <v>478</v>
      </c>
      <c r="F42" s="183" t="s">
        <v>478</v>
      </c>
      <c r="G42" s="183"/>
      <c r="J42" s="50"/>
    </row>
    <row r="43" spans="1:10" s="109" customFormat="1" ht="15" customHeight="1">
      <c r="A43" s="44" t="str">
        <f>A42</f>
        <v>삭제</v>
      </c>
      <c r="B43" s="43"/>
      <c r="C43" s="43"/>
      <c r="D43" s="315">
        <f>Calcu!O123</f>
        <v>0</v>
      </c>
      <c r="E43" s="315" t="e">
        <f ca="1">Calcu!Q123</f>
        <v>#VALUE!</v>
      </c>
      <c r="F43" s="315" t="e">
        <f ca="1">Calcu!R123</f>
        <v>#VALUE!</v>
      </c>
      <c r="G43" s="315" t="str">
        <f>Calcu!S123</f>
        <v/>
      </c>
      <c r="J43" s="50"/>
    </row>
    <row r="44" spans="1:10" ht="15" customHeight="1">
      <c r="B44" s="79"/>
      <c r="C44" s="60"/>
      <c r="D44" s="137"/>
      <c r="E44" s="137"/>
      <c r="F44" s="137"/>
      <c r="G44" s="137"/>
      <c r="H44" s="137"/>
      <c r="I44" s="137"/>
      <c r="J44" s="60"/>
    </row>
  </sheetData>
  <mergeCells count="5">
    <mergeCell ref="A1:L2"/>
    <mergeCell ref="E7:F7"/>
    <mergeCell ref="H7:I7"/>
    <mergeCell ref="E21:F21"/>
    <mergeCell ref="H21:I21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1"/>
  <sheetViews>
    <sheetView showGridLines="0" showWhiteSpace="0" zoomScaleSheetLayoutView="100" workbookViewId="0">
      <selection sqref="A1:L2"/>
    </sheetView>
  </sheetViews>
  <sheetFormatPr defaultColWidth="10.77734375" defaultRowHeight="15" customHeight="1"/>
  <cols>
    <col min="1" max="2" width="5" style="37" customWidth="1"/>
    <col min="3" max="10" width="7.5546875" style="37" customWidth="1"/>
    <col min="11" max="11" width="5" style="37" customWidth="1"/>
    <col min="12" max="12" width="5" style="79" customWidth="1"/>
    <col min="13" max="16384" width="10.77734375" style="71"/>
  </cols>
  <sheetData>
    <row r="1" spans="1:12" s="66" customFormat="1" ht="33" customHeight="1">
      <c r="A1" s="408" t="s">
        <v>58</v>
      </c>
      <c r="B1" s="408"/>
      <c r="C1" s="408"/>
      <c r="D1" s="408"/>
      <c r="E1" s="408"/>
      <c r="F1" s="408"/>
      <c r="G1" s="408"/>
      <c r="H1" s="408"/>
      <c r="I1" s="408"/>
      <c r="J1" s="408"/>
      <c r="K1" s="408"/>
      <c r="L1" s="408"/>
    </row>
    <row r="2" spans="1:12" s="66" customFormat="1" ht="33" customHeight="1">
      <c r="A2" s="408"/>
      <c r="B2" s="408"/>
      <c r="C2" s="408"/>
      <c r="D2" s="408"/>
      <c r="E2" s="408"/>
      <c r="F2" s="408"/>
      <c r="G2" s="408"/>
      <c r="H2" s="408"/>
      <c r="I2" s="408"/>
      <c r="J2" s="408"/>
      <c r="K2" s="408"/>
      <c r="L2" s="408"/>
    </row>
    <row r="3" spans="1:12" s="66" customFormat="1" ht="12.75" customHeight="1">
      <c r="A3" s="47"/>
      <c r="B3" s="47"/>
      <c r="C3" s="22"/>
      <c r="D3" s="22"/>
      <c r="E3" s="22"/>
      <c r="F3" s="22"/>
      <c r="G3" s="22"/>
      <c r="H3" s="22"/>
      <c r="I3" s="22"/>
      <c r="J3" s="22"/>
      <c r="K3" s="22"/>
      <c r="L3" s="67"/>
    </row>
    <row r="4" spans="1:12" s="68" customFormat="1" ht="13.5" customHeight="1">
      <c r="A4" s="76"/>
      <c r="B4" s="76"/>
      <c r="C4" s="77"/>
      <c r="D4" s="77"/>
      <c r="E4" s="84"/>
      <c r="F4" s="77"/>
      <c r="G4" s="77"/>
      <c r="H4" s="85"/>
      <c r="I4" s="78"/>
      <c r="J4" s="84"/>
      <c r="K4" s="84"/>
      <c r="L4" s="76"/>
    </row>
    <row r="5" spans="1:12" s="70" customFormat="1" ht="1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69"/>
    </row>
    <row r="6" spans="1:12" s="37" customFormat="1" ht="15" customHeight="1">
      <c r="C6" s="52" t="str">
        <f>"○ 품명 : "&amp;기본정보!C$5</f>
        <v xml:space="preserve">○ 품명 : </v>
      </c>
      <c r="L6" s="79"/>
    </row>
    <row r="7" spans="1:12" s="37" customFormat="1" ht="15" customHeight="1">
      <c r="C7" s="52" t="str">
        <f>"○ 제작회사 : "&amp;기본정보!C$6</f>
        <v xml:space="preserve">○ 제작회사 : </v>
      </c>
      <c r="L7" s="79"/>
    </row>
    <row r="8" spans="1:12" s="37" customFormat="1" ht="15" customHeight="1">
      <c r="C8" s="52" t="str">
        <f>"○ 형식 : "&amp;기본정보!C$7</f>
        <v xml:space="preserve">○ 형식 : </v>
      </c>
      <c r="L8" s="79"/>
    </row>
    <row r="9" spans="1:12" s="37" customFormat="1" ht="15" customHeight="1">
      <c r="C9" s="52" t="str">
        <f>"○ 기기번호 : "&amp;기본정보!C$8</f>
        <v xml:space="preserve">○ 기기번호 : </v>
      </c>
      <c r="L9" s="79"/>
    </row>
    <row r="10" spans="1:12" s="37" customFormat="1" ht="15" customHeight="1">
      <c r="L10" s="79"/>
    </row>
    <row r="11" spans="1:12" ht="15" customHeight="1">
      <c r="B11" s="60"/>
      <c r="C11" s="87"/>
      <c r="D11" s="87"/>
      <c r="E11" s="87"/>
      <c r="F11" s="87"/>
      <c r="G11" s="87"/>
      <c r="H11" s="88"/>
      <c r="I11" s="88"/>
      <c r="J11" s="87"/>
      <c r="K11" s="60"/>
    </row>
  </sheetData>
  <mergeCells count="1">
    <mergeCell ref="A1:L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D54"/>
  <sheetViews>
    <sheetView showGridLines="0" zoomScaleNormal="100" workbookViewId="0"/>
  </sheetViews>
  <sheetFormatPr defaultColWidth="8.88671875" defaultRowHeight="13.5" customHeight="1"/>
  <cols>
    <col min="1" max="1" width="3.77734375" style="30" customWidth="1"/>
    <col min="2" max="2" width="8.77734375" style="30" customWidth="1"/>
    <col min="3" max="4" width="8.77734375" style="31" customWidth="1"/>
    <col min="5" max="5" width="8.77734375" style="26" customWidth="1"/>
    <col min="6" max="9" width="8.77734375" style="27" customWidth="1"/>
    <col min="10" max="13" width="8.77734375" style="45" customWidth="1"/>
    <col min="14" max="16" width="8.88671875" style="45" customWidth="1"/>
    <col min="17" max="19" width="8.88671875" style="45"/>
    <col min="20" max="16384" width="8.88671875" style="29"/>
  </cols>
  <sheetData>
    <row r="1" spans="1:30" s="58" customFormat="1" ht="25.5">
      <c r="A1" s="55" t="s">
        <v>134</v>
      </c>
      <c r="B1" s="31"/>
      <c r="C1" s="31"/>
      <c r="D1" s="31"/>
      <c r="E1" s="56"/>
      <c r="F1" s="27"/>
      <c r="G1" s="27"/>
      <c r="H1" s="27"/>
      <c r="I1" s="27"/>
      <c r="J1" s="27"/>
      <c r="K1" s="57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</row>
    <row r="2" spans="1:30" s="28" customFormat="1" ht="15" customHeight="1">
      <c r="A2" s="25"/>
      <c r="B2" s="25"/>
      <c r="C2" s="25"/>
      <c r="D2" s="25"/>
      <c r="E2" s="25"/>
      <c r="F2" s="25"/>
      <c r="G2" s="25"/>
      <c r="H2" s="25"/>
      <c r="I2" s="25"/>
    </row>
    <row r="3" spans="1:30" s="28" customFormat="1" ht="15" customHeight="1">
      <c r="A3" s="111"/>
      <c r="B3" s="132" t="s">
        <v>135</v>
      </c>
      <c r="C3" s="133">
        <f>기본정보!C3</f>
        <v>0</v>
      </c>
      <c r="D3" s="132" t="s">
        <v>136</v>
      </c>
      <c r="E3" s="430">
        <f>기본정보!H3</f>
        <v>0</v>
      </c>
      <c r="F3" s="431"/>
      <c r="G3" s="132" t="s">
        <v>137</v>
      </c>
      <c r="H3" s="135">
        <f>기본정보!H8</f>
        <v>0</v>
      </c>
      <c r="I3" s="25"/>
    </row>
    <row r="4" spans="1:30" s="28" customFormat="1" ht="15" customHeight="1">
      <c r="A4" s="111"/>
      <c r="B4" s="132" t="s">
        <v>138</v>
      </c>
      <c r="C4" s="134">
        <f>기본정보!C8</f>
        <v>0</v>
      </c>
      <c r="D4" s="132" t="s">
        <v>139</v>
      </c>
      <c r="E4" s="428">
        <f>기본정보!H4</f>
        <v>0</v>
      </c>
      <c r="F4" s="429"/>
      <c r="G4" s="132" t="s">
        <v>140</v>
      </c>
      <c r="H4" s="135">
        <f>기본정보!H9</f>
        <v>0</v>
      </c>
      <c r="I4" s="25"/>
    </row>
    <row r="5" spans="1:30" s="28" customFormat="1" ht="15" customHeight="1">
      <c r="A5" s="111"/>
      <c r="D5" s="25"/>
      <c r="E5" s="25"/>
      <c r="F5" s="25"/>
      <c r="G5" s="25"/>
      <c r="H5" s="25"/>
      <c r="I5" s="25"/>
    </row>
    <row r="6" spans="1:30" s="28" customFormat="1" ht="15" customHeight="1">
      <c r="A6" s="111"/>
      <c r="B6" s="86" t="s">
        <v>219</v>
      </c>
      <c r="D6" s="25"/>
      <c r="E6" s="25"/>
      <c r="F6" s="25"/>
      <c r="G6" s="25"/>
      <c r="H6" s="25"/>
      <c r="I6" s="25"/>
    </row>
    <row r="7" spans="1:30" s="28" customFormat="1" ht="15" customHeight="1">
      <c r="A7" s="111"/>
      <c r="B7" s="440" t="s">
        <v>220</v>
      </c>
      <c r="C7" s="441"/>
      <c r="D7" s="172" t="s">
        <v>221</v>
      </c>
      <c r="E7" s="172" t="s">
        <v>222</v>
      </c>
      <c r="F7" s="25"/>
      <c r="G7" s="25"/>
      <c r="H7" s="25"/>
      <c r="I7" s="25"/>
    </row>
    <row r="8" spans="1:30" s="28" customFormat="1" ht="15" customHeight="1">
      <c r="A8" s="111"/>
      <c r="B8" s="133">
        <f>Angle_2!A4</f>
        <v>0</v>
      </c>
      <c r="C8" s="133" t="s">
        <v>223</v>
      </c>
      <c r="D8" s="133">
        <f>MAX(Angle_2!E4:E13)</f>
        <v>0</v>
      </c>
      <c r="E8" s="173" t="e">
        <f>IF(Angle_2_Result3="",#N/A,Angle_2_Result3)</f>
        <v>#N/A</v>
      </c>
      <c r="F8" s="25"/>
      <c r="G8" s="25"/>
      <c r="H8" s="25"/>
      <c r="I8" s="25"/>
    </row>
    <row r="9" spans="1:30" s="28" customFormat="1" ht="15" customHeight="1">
      <c r="A9" s="111"/>
      <c r="D9" s="25"/>
      <c r="E9" s="25"/>
      <c r="F9" s="25"/>
      <c r="G9" s="25"/>
      <c r="H9" s="25"/>
      <c r="I9" s="25"/>
    </row>
    <row r="10" spans="1:30" s="28" customFormat="1" ht="15" customHeight="1">
      <c r="A10" s="111"/>
      <c r="B10" s="86" t="s">
        <v>141</v>
      </c>
      <c r="C10" s="25"/>
      <c r="D10" s="25"/>
      <c r="E10" s="25"/>
      <c r="F10" s="25"/>
      <c r="G10" s="25"/>
      <c r="H10" s="25"/>
      <c r="I10" s="25"/>
    </row>
    <row r="11" spans="1:30" ht="13.5" customHeight="1">
      <c r="A11" s="29"/>
      <c r="B11" s="86" t="s">
        <v>224</v>
      </c>
      <c r="F11" s="25"/>
      <c r="G11" s="25"/>
      <c r="H11" s="25"/>
      <c r="I11" s="25"/>
      <c r="J11" s="28"/>
      <c r="K11" s="28"/>
      <c r="L11" s="28"/>
      <c r="M11" s="28"/>
    </row>
    <row r="12" spans="1:30" ht="13.5" customHeight="1">
      <c r="B12" s="432" t="s">
        <v>174</v>
      </c>
      <c r="C12" s="433"/>
      <c r="D12" s="436" t="s">
        <v>183</v>
      </c>
      <c r="E12" s="437" t="s">
        <v>225</v>
      </c>
      <c r="F12" s="438"/>
      <c r="G12" s="438"/>
      <c r="H12" s="438"/>
      <c r="I12" s="438"/>
      <c r="J12" s="438"/>
      <c r="K12" s="438"/>
      <c r="L12" s="438"/>
      <c r="M12" s="438"/>
      <c r="N12" s="439"/>
    </row>
    <row r="13" spans="1:30" ht="13.5" customHeight="1">
      <c r="B13" s="434"/>
      <c r="C13" s="435"/>
      <c r="D13" s="426"/>
      <c r="E13" s="421" t="s">
        <v>75</v>
      </c>
      <c r="F13" s="422"/>
      <c r="G13" s="421" t="s">
        <v>176</v>
      </c>
      <c r="H13" s="422"/>
      <c r="I13" s="421" t="s">
        <v>177</v>
      </c>
      <c r="J13" s="422"/>
      <c r="K13" s="421" t="s">
        <v>178</v>
      </c>
      <c r="L13" s="422"/>
      <c r="M13" s="421" t="s">
        <v>179</v>
      </c>
      <c r="N13" s="422"/>
    </row>
    <row r="14" spans="1:30" ht="13.5" customHeight="1">
      <c r="B14" s="119" t="s">
        <v>192</v>
      </c>
      <c r="C14" s="119" t="s">
        <v>149</v>
      </c>
      <c r="D14" s="413"/>
      <c r="E14" s="119" t="s">
        <v>181</v>
      </c>
      <c r="F14" s="118" t="s">
        <v>182</v>
      </c>
      <c r="G14" s="119" t="s">
        <v>181</v>
      </c>
      <c r="H14" s="118" t="s">
        <v>182</v>
      </c>
      <c r="I14" s="119" t="s">
        <v>181</v>
      </c>
      <c r="J14" s="118" t="s">
        <v>182</v>
      </c>
      <c r="K14" s="119" t="s">
        <v>181</v>
      </c>
      <c r="L14" s="118" t="s">
        <v>182</v>
      </c>
      <c r="M14" s="119" t="s">
        <v>181</v>
      </c>
      <c r="N14" s="118" t="s">
        <v>182</v>
      </c>
    </row>
    <row r="15" spans="1:30" ht="13.5" customHeight="1">
      <c r="B15" s="120" t="str">
        <f>Calcu!C10</f>
        <v/>
      </c>
      <c r="C15" s="115" t="str">
        <f>Calcu!D10</f>
        <v/>
      </c>
      <c r="D15" s="114" t="str">
        <f>IF(Calcu!B10=FALSE,"",Angle_2!E4)</f>
        <v/>
      </c>
      <c r="E15" s="114" t="str">
        <f ca="1">TEXT(Calcu!E10,Calcu!$Q$76)</f>
        <v/>
      </c>
      <c r="F15" s="114" t="str">
        <f ca="1">TEXT(Calcu!F10,Calcu!$Q$76)</f>
        <v/>
      </c>
      <c r="G15" s="114" t="str">
        <f ca="1">TEXT(Calcu!G10,Calcu!$Q$76)</f>
        <v/>
      </c>
      <c r="H15" s="114" t="str">
        <f ca="1">TEXT(Calcu!H10,Calcu!$Q$76)</f>
        <v/>
      </c>
      <c r="I15" s="114" t="str">
        <f ca="1">TEXT(Calcu!I10,Calcu!$Q$76)</f>
        <v/>
      </c>
      <c r="J15" s="114" t="str">
        <f ca="1">TEXT(Calcu!J10,Calcu!$Q$76)</f>
        <v/>
      </c>
      <c r="K15" s="114" t="str">
        <f ca="1">TEXT(Calcu!K10,Calcu!$Q$76)</f>
        <v/>
      </c>
      <c r="L15" s="114" t="str">
        <f ca="1">TEXT(Calcu!L10,Calcu!$Q$76)</f>
        <v/>
      </c>
      <c r="M15" s="114" t="str">
        <f ca="1">TEXT(Calcu!M10,Calcu!$Q$76)</f>
        <v/>
      </c>
      <c r="N15" s="114" t="str">
        <f ca="1">TEXT(Calcu!N10,Calcu!$Q$76)</f>
        <v/>
      </c>
    </row>
    <row r="16" spans="1:30" ht="13.5" customHeight="1">
      <c r="B16" s="120" t="str">
        <f>Calcu!C11</f>
        <v/>
      </c>
      <c r="C16" s="115" t="str">
        <f>Calcu!D11</f>
        <v/>
      </c>
      <c r="D16" s="114" t="str">
        <f>IF(Calcu!B11=FALSE,"",Angle_2!E5)</f>
        <v/>
      </c>
      <c r="E16" s="114" t="str">
        <f ca="1">TEXT(Calcu!E11,Calcu!$Q$76)</f>
        <v/>
      </c>
      <c r="F16" s="114" t="str">
        <f ca="1">TEXT(Calcu!F11,Calcu!$Q$76)</f>
        <v/>
      </c>
      <c r="G16" s="114" t="str">
        <f ca="1">TEXT(Calcu!G11,Calcu!$Q$76)</f>
        <v/>
      </c>
      <c r="H16" s="114" t="str">
        <f ca="1">TEXT(Calcu!H11,Calcu!$Q$76)</f>
        <v/>
      </c>
      <c r="I16" s="114" t="str">
        <f ca="1">TEXT(Calcu!I11,Calcu!$Q$76)</f>
        <v/>
      </c>
      <c r="J16" s="114" t="str">
        <f ca="1">TEXT(Calcu!J11,Calcu!$Q$76)</f>
        <v/>
      </c>
      <c r="K16" s="114" t="str">
        <f ca="1">TEXT(Calcu!K11,Calcu!$Q$76)</f>
        <v/>
      </c>
      <c r="L16" s="114" t="str">
        <f ca="1">TEXT(Calcu!L11,Calcu!$Q$76)</f>
        <v/>
      </c>
      <c r="M16" s="114" t="str">
        <f ca="1">TEXT(Calcu!M11,Calcu!$Q$76)</f>
        <v/>
      </c>
      <c r="N16" s="114" t="str">
        <f ca="1">TEXT(Calcu!N11,Calcu!$Q$76)</f>
        <v/>
      </c>
    </row>
    <row r="17" spans="2:14" ht="13.5" customHeight="1">
      <c r="B17" s="120" t="str">
        <f>Calcu!C12</f>
        <v/>
      </c>
      <c r="C17" s="115" t="str">
        <f>Calcu!D12</f>
        <v/>
      </c>
      <c r="D17" s="114" t="str">
        <f>IF(Calcu!B12=FALSE,"",Angle_2!E6)</f>
        <v/>
      </c>
      <c r="E17" s="114" t="str">
        <f ca="1">TEXT(Calcu!E12,Calcu!$Q$76)</f>
        <v/>
      </c>
      <c r="F17" s="114" t="str">
        <f ca="1">TEXT(Calcu!F12,Calcu!$Q$76)</f>
        <v/>
      </c>
      <c r="G17" s="114" t="str">
        <f ca="1">TEXT(Calcu!G12,Calcu!$Q$76)</f>
        <v/>
      </c>
      <c r="H17" s="114" t="str">
        <f ca="1">TEXT(Calcu!H12,Calcu!$Q$76)</f>
        <v/>
      </c>
      <c r="I17" s="114" t="str">
        <f ca="1">TEXT(Calcu!I12,Calcu!$Q$76)</f>
        <v/>
      </c>
      <c r="J17" s="114" t="str">
        <f ca="1">TEXT(Calcu!J12,Calcu!$Q$76)</f>
        <v/>
      </c>
      <c r="K17" s="114" t="str">
        <f ca="1">TEXT(Calcu!K12,Calcu!$Q$76)</f>
        <v/>
      </c>
      <c r="L17" s="114" t="str">
        <f ca="1">TEXT(Calcu!L12,Calcu!$Q$76)</f>
        <v/>
      </c>
      <c r="M17" s="114" t="str">
        <f ca="1">TEXT(Calcu!M12,Calcu!$Q$76)</f>
        <v/>
      </c>
      <c r="N17" s="114" t="str">
        <f ca="1">TEXT(Calcu!N12,Calcu!$Q$76)</f>
        <v/>
      </c>
    </row>
    <row r="18" spans="2:14" ht="13.5" customHeight="1">
      <c r="B18" s="120" t="str">
        <f>Calcu!C13</f>
        <v/>
      </c>
      <c r="C18" s="115" t="str">
        <f>Calcu!D13</f>
        <v/>
      </c>
      <c r="D18" s="114" t="str">
        <f>IF(Calcu!B13=FALSE,"",Angle_2!E7)</f>
        <v/>
      </c>
      <c r="E18" s="114" t="str">
        <f ca="1">TEXT(Calcu!E13,Calcu!$Q$76)</f>
        <v/>
      </c>
      <c r="F18" s="114" t="str">
        <f ca="1">TEXT(Calcu!F13,Calcu!$Q$76)</f>
        <v/>
      </c>
      <c r="G18" s="114" t="str">
        <f ca="1">TEXT(Calcu!G13,Calcu!$Q$76)</f>
        <v/>
      </c>
      <c r="H18" s="114" t="str">
        <f ca="1">TEXT(Calcu!H13,Calcu!$Q$76)</f>
        <v/>
      </c>
      <c r="I18" s="114" t="str">
        <f ca="1">TEXT(Calcu!I13,Calcu!$Q$76)</f>
        <v/>
      </c>
      <c r="J18" s="114" t="str">
        <f ca="1">TEXT(Calcu!J13,Calcu!$Q$76)</f>
        <v/>
      </c>
      <c r="K18" s="114" t="str">
        <f ca="1">TEXT(Calcu!K13,Calcu!$Q$76)</f>
        <v/>
      </c>
      <c r="L18" s="114" t="str">
        <f ca="1">TEXT(Calcu!L13,Calcu!$Q$76)</f>
        <v/>
      </c>
      <c r="M18" s="114" t="str">
        <f ca="1">TEXT(Calcu!M13,Calcu!$Q$76)</f>
        <v/>
      </c>
      <c r="N18" s="114" t="str">
        <f ca="1">TEXT(Calcu!N13,Calcu!$Q$76)</f>
        <v/>
      </c>
    </row>
    <row r="19" spans="2:14" ht="13.5" customHeight="1">
      <c r="B19" s="120" t="str">
        <f>Calcu!C14</f>
        <v/>
      </c>
      <c r="C19" s="115" t="str">
        <f>Calcu!D14</f>
        <v/>
      </c>
      <c r="D19" s="114" t="str">
        <f>IF(Calcu!B14=FALSE,"",Angle_2!E8)</f>
        <v/>
      </c>
      <c r="E19" s="114" t="str">
        <f ca="1">TEXT(Calcu!E14,Calcu!$Q$76)</f>
        <v/>
      </c>
      <c r="F19" s="114" t="str">
        <f ca="1">TEXT(Calcu!F14,Calcu!$Q$76)</f>
        <v/>
      </c>
      <c r="G19" s="114" t="str">
        <f ca="1">TEXT(Calcu!G14,Calcu!$Q$76)</f>
        <v/>
      </c>
      <c r="H19" s="114" t="str">
        <f ca="1">TEXT(Calcu!H14,Calcu!$Q$76)</f>
        <v/>
      </c>
      <c r="I19" s="114" t="str">
        <f ca="1">TEXT(Calcu!I14,Calcu!$Q$76)</f>
        <v/>
      </c>
      <c r="J19" s="114" t="str">
        <f ca="1">TEXT(Calcu!J14,Calcu!$Q$76)</f>
        <v/>
      </c>
      <c r="K19" s="114" t="str">
        <f ca="1">TEXT(Calcu!K14,Calcu!$Q$76)</f>
        <v/>
      </c>
      <c r="L19" s="114" t="str">
        <f ca="1">TEXT(Calcu!L14,Calcu!$Q$76)</f>
        <v/>
      </c>
      <c r="M19" s="114" t="str">
        <f ca="1">TEXT(Calcu!M14,Calcu!$Q$76)</f>
        <v/>
      </c>
      <c r="N19" s="114" t="str">
        <f ca="1">TEXT(Calcu!N14,Calcu!$Q$76)</f>
        <v/>
      </c>
    </row>
    <row r="20" spans="2:14" ht="13.5" customHeight="1">
      <c r="B20" s="120" t="str">
        <f>Calcu!C15</f>
        <v/>
      </c>
      <c r="C20" s="115" t="str">
        <f>Calcu!D15</f>
        <v/>
      </c>
      <c r="D20" s="114" t="str">
        <f>IF(Calcu!B15=FALSE,"",Angle_2!E9)</f>
        <v/>
      </c>
      <c r="E20" s="114" t="str">
        <f ca="1">TEXT(Calcu!E15,Calcu!$Q$76)</f>
        <v/>
      </c>
      <c r="F20" s="114" t="str">
        <f ca="1">TEXT(Calcu!F15,Calcu!$Q$76)</f>
        <v/>
      </c>
      <c r="G20" s="114" t="str">
        <f ca="1">TEXT(Calcu!G15,Calcu!$Q$76)</f>
        <v/>
      </c>
      <c r="H20" s="114" t="str">
        <f ca="1">TEXT(Calcu!H15,Calcu!$Q$76)</f>
        <v/>
      </c>
      <c r="I20" s="114" t="str">
        <f ca="1">TEXT(Calcu!I15,Calcu!$Q$76)</f>
        <v/>
      </c>
      <c r="J20" s="114" t="str">
        <f ca="1">TEXT(Calcu!J15,Calcu!$Q$76)</f>
        <v/>
      </c>
      <c r="K20" s="114" t="str">
        <f ca="1">TEXT(Calcu!K15,Calcu!$Q$76)</f>
        <v/>
      </c>
      <c r="L20" s="114" t="str">
        <f ca="1">TEXT(Calcu!L15,Calcu!$Q$76)</f>
        <v/>
      </c>
      <c r="M20" s="114" t="str">
        <f ca="1">TEXT(Calcu!M15,Calcu!$Q$76)</f>
        <v/>
      </c>
      <c r="N20" s="114" t="str">
        <f ca="1">TEXT(Calcu!N15,Calcu!$Q$76)</f>
        <v/>
      </c>
    </row>
    <row r="21" spans="2:14" ht="13.5" customHeight="1">
      <c r="B21" s="120" t="str">
        <f>Calcu!C16</f>
        <v/>
      </c>
      <c r="C21" s="115" t="str">
        <f>Calcu!D16</f>
        <v/>
      </c>
      <c r="D21" s="114" t="str">
        <f>IF(Calcu!B16=FALSE,"",Angle_2!E10)</f>
        <v/>
      </c>
      <c r="E21" s="114" t="str">
        <f ca="1">TEXT(Calcu!E16,Calcu!$Q$76)</f>
        <v/>
      </c>
      <c r="F21" s="114" t="str">
        <f ca="1">TEXT(Calcu!F16,Calcu!$Q$76)</f>
        <v/>
      </c>
      <c r="G21" s="114" t="str">
        <f ca="1">TEXT(Calcu!G16,Calcu!$Q$76)</f>
        <v/>
      </c>
      <c r="H21" s="114" t="str">
        <f ca="1">TEXT(Calcu!H16,Calcu!$Q$76)</f>
        <v/>
      </c>
      <c r="I21" s="114" t="str">
        <f ca="1">TEXT(Calcu!I16,Calcu!$Q$76)</f>
        <v/>
      </c>
      <c r="J21" s="114" t="str">
        <f ca="1">TEXT(Calcu!J16,Calcu!$Q$76)</f>
        <v/>
      </c>
      <c r="K21" s="114" t="str">
        <f ca="1">TEXT(Calcu!K16,Calcu!$Q$76)</f>
        <v/>
      </c>
      <c r="L21" s="114" t="str">
        <f ca="1">TEXT(Calcu!L16,Calcu!$Q$76)</f>
        <v/>
      </c>
      <c r="M21" s="114" t="str">
        <f ca="1">TEXT(Calcu!M16,Calcu!$Q$76)</f>
        <v/>
      </c>
      <c r="N21" s="114" t="str">
        <f ca="1">TEXT(Calcu!N16,Calcu!$Q$76)</f>
        <v/>
      </c>
    </row>
    <row r="22" spans="2:14" ht="13.5" customHeight="1">
      <c r="B22" s="120" t="str">
        <f>Calcu!C17</f>
        <v/>
      </c>
      <c r="C22" s="115" t="str">
        <f>Calcu!D17</f>
        <v/>
      </c>
      <c r="D22" s="114" t="str">
        <f>IF(Calcu!B17=FALSE,"",Angle_2!E11)</f>
        <v/>
      </c>
      <c r="E22" s="114" t="str">
        <f ca="1">TEXT(Calcu!E17,Calcu!$Q$76)</f>
        <v/>
      </c>
      <c r="F22" s="114" t="str">
        <f ca="1">TEXT(Calcu!F17,Calcu!$Q$76)</f>
        <v/>
      </c>
      <c r="G22" s="114" t="str">
        <f ca="1">TEXT(Calcu!G17,Calcu!$Q$76)</f>
        <v/>
      </c>
      <c r="H22" s="114" t="str">
        <f ca="1">TEXT(Calcu!H17,Calcu!$Q$76)</f>
        <v/>
      </c>
      <c r="I22" s="114" t="str">
        <f ca="1">TEXT(Calcu!I17,Calcu!$Q$76)</f>
        <v/>
      </c>
      <c r="J22" s="114" t="str">
        <f ca="1">TEXT(Calcu!J17,Calcu!$Q$76)</f>
        <v/>
      </c>
      <c r="K22" s="114" t="str">
        <f ca="1">TEXT(Calcu!K17,Calcu!$Q$76)</f>
        <v/>
      </c>
      <c r="L22" s="114" t="str">
        <f ca="1">TEXT(Calcu!L17,Calcu!$Q$76)</f>
        <v/>
      </c>
      <c r="M22" s="114" t="str">
        <f ca="1">TEXT(Calcu!M17,Calcu!$Q$76)</f>
        <v/>
      </c>
      <c r="N22" s="114" t="str">
        <f ca="1">TEXT(Calcu!N17,Calcu!$Q$76)</f>
        <v/>
      </c>
    </row>
    <row r="23" spans="2:14" ht="13.5" customHeight="1">
      <c r="B23" s="120" t="str">
        <f>Calcu!C18</f>
        <v/>
      </c>
      <c r="C23" s="115" t="str">
        <f>Calcu!D18</f>
        <v/>
      </c>
      <c r="D23" s="114" t="str">
        <f>IF(Calcu!B18=FALSE,"",Angle_2!E12)</f>
        <v/>
      </c>
      <c r="E23" s="114" t="str">
        <f ca="1">TEXT(Calcu!E18,Calcu!$Q$76)</f>
        <v/>
      </c>
      <c r="F23" s="114" t="str">
        <f ca="1">TEXT(Calcu!F18,Calcu!$Q$76)</f>
        <v/>
      </c>
      <c r="G23" s="114" t="str">
        <f ca="1">TEXT(Calcu!G18,Calcu!$Q$76)</f>
        <v/>
      </c>
      <c r="H23" s="114" t="str">
        <f ca="1">TEXT(Calcu!H18,Calcu!$Q$76)</f>
        <v/>
      </c>
      <c r="I23" s="114" t="str">
        <f ca="1">TEXT(Calcu!I18,Calcu!$Q$76)</f>
        <v/>
      </c>
      <c r="J23" s="114" t="str">
        <f ca="1">TEXT(Calcu!J18,Calcu!$Q$76)</f>
        <v/>
      </c>
      <c r="K23" s="114" t="str">
        <f ca="1">TEXT(Calcu!K18,Calcu!$Q$76)</f>
        <v/>
      </c>
      <c r="L23" s="114" t="str">
        <f ca="1">TEXT(Calcu!L18,Calcu!$Q$76)</f>
        <v/>
      </c>
      <c r="M23" s="114" t="str">
        <f ca="1">TEXT(Calcu!M18,Calcu!$Q$76)</f>
        <v/>
      </c>
      <c r="N23" s="114" t="str">
        <f ca="1">TEXT(Calcu!N18,Calcu!$Q$76)</f>
        <v/>
      </c>
    </row>
    <row r="24" spans="2:14" ht="13.5" customHeight="1">
      <c r="B24" s="120" t="str">
        <f>Calcu!C19</f>
        <v/>
      </c>
      <c r="C24" s="115" t="str">
        <f>Calcu!D19</f>
        <v/>
      </c>
      <c r="D24" s="114" t="str">
        <f>IF(Calcu!B19=FALSE,"",Angle_2!E13)</f>
        <v/>
      </c>
      <c r="E24" s="114" t="str">
        <f ca="1">TEXT(Calcu!E19,Calcu!$Q$76)</f>
        <v/>
      </c>
      <c r="F24" s="114" t="str">
        <f ca="1">TEXT(Calcu!F19,Calcu!$Q$76)</f>
        <v/>
      </c>
      <c r="G24" s="114" t="str">
        <f ca="1">TEXT(Calcu!G19,Calcu!$Q$76)</f>
        <v/>
      </c>
      <c r="H24" s="114" t="str">
        <f ca="1">TEXT(Calcu!H19,Calcu!$Q$76)</f>
        <v/>
      </c>
      <c r="I24" s="114" t="str">
        <f ca="1">TEXT(Calcu!I19,Calcu!$Q$76)</f>
        <v/>
      </c>
      <c r="J24" s="114" t="str">
        <f ca="1">TEXT(Calcu!J19,Calcu!$Q$76)</f>
        <v/>
      </c>
      <c r="K24" s="114" t="str">
        <f ca="1">TEXT(Calcu!K19,Calcu!$Q$76)</f>
        <v/>
      </c>
      <c r="L24" s="114" t="str">
        <f ca="1">TEXT(Calcu!L19,Calcu!$Q$76)</f>
        <v/>
      </c>
      <c r="M24" s="114" t="str">
        <f ca="1">TEXT(Calcu!M19,Calcu!$Q$76)</f>
        <v/>
      </c>
      <c r="N24" s="114" t="str">
        <f ca="1">TEXT(Calcu!N19,Calcu!$Q$76)</f>
        <v/>
      </c>
    </row>
    <row r="26" spans="2:14" ht="13.5" customHeight="1">
      <c r="B26" s="432" t="s">
        <v>174</v>
      </c>
      <c r="C26" s="433"/>
      <c r="D26" s="436" t="s">
        <v>183</v>
      </c>
      <c r="E26" s="437" t="s">
        <v>226</v>
      </c>
      <c r="F26" s="438"/>
      <c r="G26" s="438"/>
      <c r="H26" s="438"/>
      <c r="I26" s="438"/>
      <c r="J26" s="438"/>
      <c r="K26" s="438"/>
      <c r="L26" s="438"/>
      <c r="M26" s="438"/>
      <c r="N26" s="439"/>
    </row>
    <row r="27" spans="2:14" ht="13.5" customHeight="1">
      <c r="B27" s="434"/>
      <c r="C27" s="435"/>
      <c r="D27" s="426"/>
      <c r="E27" s="421" t="s">
        <v>75</v>
      </c>
      <c r="F27" s="422"/>
      <c r="G27" s="421" t="s">
        <v>176</v>
      </c>
      <c r="H27" s="422"/>
      <c r="I27" s="421" t="s">
        <v>177</v>
      </c>
      <c r="J27" s="422"/>
      <c r="K27" s="421" t="s">
        <v>178</v>
      </c>
      <c r="L27" s="422"/>
      <c r="M27" s="421" t="s">
        <v>179</v>
      </c>
      <c r="N27" s="422"/>
    </row>
    <row r="28" spans="2:14" ht="13.5" customHeight="1">
      <c r="B28" s="119" t="s">
        <v>192</v>
      </c>
      <c r="C28" s="119" t="s">
        <v>149</v>
      </c>
      <c r="D28" s="413"/>
      <c r="E28" s="119" t="s">
        <v>181</v>
      </c>
      <c r="F28" s="118" t="s">
        <v>182</v>
      </c>
      <c r="G28" s="119" t="s">
        <v>181</v>
      </c>
      <c r="H28" s="118" t="s">
        <v>182</v>
      </c>
      <c r="I28" s="119" t="s">
        <v>181</v>
      </c>
      <c r="J28" s="118" t="s">
        <v>182</v>
      </c>
      <c r="K28" s="119" t="s">
        <v>181</v>
      </c>
      <c r="L28" s="118" t="s">
        <v>182</v>
      </c>
      <c r="M28" s="119" t="s">
        <v>181</v>
      </c>
      <c r="N28" s="118" t="s">
        <v>182</v>
      </c>
    </row>
    <row r="29" spans="2:14" ht="13.5" customHeight="1">
      <c r="B29" s="120" t="str">
        <f>Calcu!C24</f>
        <v/>
      </c>
      <c r="C29" s="115" t="str">
        <f>Calcu!D24</f>
        <v/>
      </c>
      <c r="D29" s="114" t="str">
        <f>IF(Calcu!B10=FALSE,"",Angle_2!E4)</f>
        <v/>
      </c>
      <c r="E29" s="114" t="str">
        <f ca="1">TEXT(Calcu!E24,Calcu!$Q$76)</f>
        <v/>
      </c>
      <c r="F29" s="114" t="str">
        <f ca="1">TEXT(Calcu!F24,Calcu!$Q$76)</f>
        <v/>
      </c>
      <c r="G29" s="114" t="str">
        <f ca="1">TEXT(Calcu!G24,Calcu!$Q$76)</f>
        <v/>
      </c>
      <c r="H29" s="114" t="str">
        <f ca="1">TEXT(Calcu!H24,Calcu!$Q$76)</f>
        <v/>
      </c>
      <c r="I29" s="114" t="str">
        <f ca="1">TEXT(Calcu!I24,Calcu!$Q$76)</f>
        <v/>
      </c>
      <c r="J29" s="114" t="str">
        <f ca="1">TEXT(Calcu!J24,Calcu!$Q$76)</f>
        <v/>
      </c>
      <c r="K29" s="114" t="str">
        <f ca="1">TEXT(Calcu!K24,Calcu!$Q$76)</f>
        <v/>
      </c>
      <c r="L29" s="114" t="str">
        <f ca="1">TEXT(Calcu!L24,Calcu!$Q$76)</f>
        <v/>
      </c>
      <c r="M29" s="114" t="str">
        <f ca="1">TEXT(Calcu!M24,Calcu!$Q$76)</f>
        <v/>
      </c>
      <c r="N29" s="114" t="str">
        <f ca="1">TEXT(Calcu!N24,Calcu!$Q$76)</f>
        <v/>
      </c>
    </row>
    <row r="30" spans="2:14" ht="13.5" customHeight="1">
      <c r="B30" s="120" t="str">
        <f>Calcu!C25</f>
        <v/>
      </c>
      <c r="C30" s="115" t="str">
        <f>Calcu!D25</f>
        <v/>
      </c>
      <c r="D30" s="114" t="str">
        <f>IF(Calcu!B11=FALSE,"",Angle_2!E5)</f>
        <v/>
      </c>
      <c r="E30" s="114" t="str">
        <f ca="1">TEXT(Calcu!E25,Calcu!$Q$76)</f>
        <v/>
      </c>
      <c r="F30" s="114" t="str">
        <f ca="1">TEXT(Calcu!F25,Calcu!$Q$76)</f>
        <v/>
      </c>
      <c r="G30" s="114" t="str">
        <f ca="1">TEXT(Calcu!G25,Calcu!$Q$76)</f>
        <v/>
      </c>
      <c r="H30" s="114" t="str">
        <f ca="1">TEXT(Calcu!H25,Calcu!$Q$76)</f>
        <v/>
      </c>
      <c r="I30" s="114" t="str">
        <f ca="1">TEXT(Calcu!I25,Calcu!$Q$76)</f>
        <v/>
      </c>
      <c r="J30" s="114" t="str">
        <f ca="1">TEXT(Calcu!J25,Calcu!$Q$76)</f>
        <v/>
      </c>
      <c r="K30" s="114" t="str">
        <f ca="1">TEXT(Calcu!K25,Calcu!$Q$76)</f>
        <v/>
      </c>
      <c r="L30" s="114" t="str">
        <f ca="1">TEXT(Calcu!L25,Calcu!$Q$76)</f>
        <v/>
      </c>
      <c r="M30" s="114" t="str">
        <f ca="1">TEXT(Calcu!M25,Calcu!$Q$76)</f>
        <v/>
      </c>
      <c r="N30" s="114" t="str">
        <f ca="1">TEXT(Calcu!N25,Calcu!$Q$76)</f>
        <v/>
      </c>
    </row>
    <row r="31" spans="2:14" ht="13.5" customHeight="1">
      <c r="B31" s="120" t="str">
        <f>Calcu!C26</f>
        <v/>
      </c>
      <c r="C31" s="115" t="str">
        <f>Calcu!D26</f>
        <v/>
      </c>
      <c r="D31" s="114" t="str">
        <f>IF(Calcu!B12=FALSE,"",Angle_2!E6)</f>
        <v/>
      </c>
      <c r="E31" s="114" t="str">
        <f ca="1">TEXT(Calcu!E26,Calcu!$Q$76)</f>
        <v/>
      </c>
      <c r="F31" s="114" t="str">
        <f ca="1">TEXT(Calcu!F26,Calcu!$Q$76)</f>
        <v/>
      </c>
      <c r="G31" s="114" t="str">
        <f ca="1">TEXT(Calcu!G26,Calcu!$Q$76)</f>
        <v/>
      </c>
      <c r="H31" s="114" t="str">
        <f ca="1">TEXT(Calcu!H26,Calcu!$Q$76)</f>
        <v/>
      </c>
      <c r="I31" s="114" t="str">
        <f ca="1">TEXT(Calcu!I26,Calcu!$Q$76)</f>
        <v/>
      </c>
      <c r="J31" s="114" t="str">
        <f ca="1">TEXT(Calcu!J26,Calcu!$Q$76)</f>
        <v/>
      </c>
      <c r="K31" s="114" t="str">
        <f ca="1">TEXT(Calcu!K26,Calcu!$Q$76)</f>
        <v/>
      </c>
      <c r="L31" s="114" t="str">
        <f ca="1">TEXT(Calcu!L26,Calcu!$Q$76)</f>
        <v/>
      </c>
      <c r="M31" s="114" t="str">
        <f ca="1">TEXT(Calcu!M26,Calcu!$Q$76)</f>
        <v/>
      </c>
      <c r="N31" s="114" t="str">
        <f ca="1">TEXT(Calcu!N26,Calcu!$Q$76)</f>
        <v/>
      </c>
    </row>
    <row r="32" spans="2:14" ht="13.5" customHeight="1">
      <c r="B32" s="120" t="str">
        <f>Calcu!C27</f>
        <v/>
      </c>
      <c r="C32" s="115" t="str">
        <f>Calcu!D27</f>
        <v/>
      </c>
      <c r="D32" s="114" t="str">
        <f>IF(Calcu!B13=FALSE,"",Angle_2!E7)</f>
        <v/>
      </c>
      <c r="E32" s="114" t="str">
        <f ca="1">TEXT(Calcu!E27,Calcu!$Q$76)</f>
        <v/>
      </c>
      <c r="F32" s="114" t="str">
        <f ca="1">TEXT(Calcu!F27,Calcu!$Q$76)</f>
        <v/>
      </c>
      <c r="G32" s="114" t="str">
        <f ca="1">TEXT(Calcu!G27,Calcu!$Q$76)</f>
        <v/>
      </c>
      <c r="H32" s="114" t="str">
        <f ca="1">TEXT(Calcu!H27,Calcu!$Q$76)</f>
        <v/>
      </c>
      <c r="I32" s="114" t="str">
        <f ca="1">TEXT(Calcu!I27,Calcu!$Q$76)</f>
        <v/>
      </c>
      <c r="J32" s="114" t="str">
        <f ca="1">TEXT(Calcu!J27,Calcu!$Q$76)</f>
        <v/>
      </c>
      <c r="K32" s="114" t="str">
        <f ca="1">TEXT(Calcu!K27,Calcu!$Q$76)</f>
        <v/>
      </c>
      <c r="L32" s="114" t="str">
        <f ca="1">TEXT(Calcu!L27,Calcu!$Q$76)</f>
        <v/>
      </c>
      <c r="M32" s="114" t="str">
        <f ca="1">TEXT(Calcu!M27,Calcu!$Q$76)</f>
        <v/>
      </c>
      <c r="N32" s="114" t="str">
        <f ca="1">TEXT(Calcu!N27,Calcu!$Q$76)</f>
        <v/>
      </c>
    </row>
    <row r="33" spans="2:14" ht="13.5" customHeight="1">
      <c r="B33" s="120" t="str">
        <f>Calcu!C28</f>
        <v/>
      </c>
      <c r="C33" s="115" t="str">
        <f>Calcu!D28</f>
        <v/>
      </c>
      <c r="D33" s="114" t="str">
        <f>IF(Calcu!B14=FALSE,"",Angle_2!E8)</f>
        <v/>
      </c>
      <c r="E33" s="114" t="str">
        <f ca="1">TEXT(Calcu!E28,Calcu!$Q$76)</f>
        <v/>
      </c>
      <c r="F33" s="114" t="str">
        <f ca="1">TEXT(Calcu!F28,Calcu!$Q$76)</f>
        <v/>
      </c>
      <c r="G33" s="114" t="str">
        <f ca="1">TEXT(Calcu!G28,Calcu!$Q$76)</f>
        <v/>
      </c>
      <c r="H33" s="114" t="str">
        <f ca="1">TEXT(Calcu!H28,Calcu!$Q$76)</f>
        <v/>
      </c>
      <c r="I33" s="114" t="str">
        <f ca="1">TEXT(Calcu!I28,Calcu!$Q$76)</f>
        <v/>
      </c>
      <c r="J33" s="114" t="str">
        <f ca="1">TEXT(Calcu!J28,Calcu!$Q$76)</f>
        <v/>
      </c>
      <c r="K33" s="114" t="str">
        <f ca="1">TEXT(Calcu!K28,Calcu!$Q$76)</f>
        <v/>
      </c>
      <c r="L33" s="114" t="str">
        <f ca="1">TEXT(Calcu!L28,Calcu!$Q$76)</f>
        <v/>
      </c>
      <c r="M33" s="114" t="str">
        <f ca="1">TEXT(Calcu!M28,Calcu!$Q$76)</f>
        <v/>
      </c>
      <c r="N33" s="114" t="str">
        <f ca="1">TEXT(Calcu!N28,Calcu!$Q$76)</f>
        <v/>
      </c>
    </row>
    <row r="34" spans="2:14" ht="13.5" customHeight="1">
      <c r="B34" s="120" t="str">
        <f>Calcu!C29</f>
        <v/>
      </c>
      <c r="C34" s="115" t="str">
        <f>Calcu!D29</f>
        <v/>
      </c>
      <c r="D34" s="114" t="str">
        <f>IF(Calcu!B15=FALSE,"",Angle_2!E9)</f>
        <v/>
      </c>
      <c r="E34" s="114" t="str">
        <f ca="1">TEXT(Calcu!E29,Calcu!$Q$76)</f>
        <v/>
      </c>
      <c r="F34" s="114" t="str">
        <f ca="1">TEXT(Calcu!F29,Calcu!$Q$76)</f>
        <v/>
      </c>
      <c r="G34" s="114" t="str">
        <f ca="1">TEXT(Calcu!G29,Calcu!$Q$76)</f>
        <v/>
      </c>
      <c r="H34" s="114" t="str">
        <f ca="1">TEXT(Calcu!H29,Calcu!$Q$76)</f>
        <v/>
      </c>
      <c r="I34" s="114" t="str">
        <f ca="1">TEXT(Calcu!I29,Calcu!$Q$76)</f>
        <v/>
      </c>
      <c r="J34" s="114" t="str">
        <f ca="1">TEXT(Calcu!J29,Calcu!$Q$76)</f>
        <v/>
      </c>
      <c r="K34" s="114" t="str">
        <f ca="1">TEXT(Calcu!K29,Calcu!$Q$76)</f>
        <v/>
      </c>
      <c r="L34" s="114" t="str">
        <f ca="1">TEXT(Calcu!L29,Calcu!$Q$76)</f>
        <v/>
      </c>
      <c r="M34" s="114" t="str">
        <f ca="1">TEXT(Calcu!M29,Calcu!$Q$76)</f>
        <v/>
      </c>
      <c r="N34" s="114" t="str">
        <f ca="1">TEXT(Calcu!N29,Calcu!$Q$76)</f>
        <v/>
      </c>
    </row>
    <row r="35" spans="2:14" ht="13.5" customHeight="1">
      <c r="B35" s="120" t="str">
        <f>Calcu!C30</f>
        <v/>
      </c>
      <c r="C35" s="115" t="str">
        <f>Calcu!D30</f>
        <v/>
      </c>
      <c r="D35" s="114" t="str">
        <f>IF(Calcu!B16=FALSE,"",Angle_2!E10)</f>
        <v/>
      </c>
      <c r="E35" s="114" t="str">
        <f ca="1">TEXT(Calcu!E30,Calcu!$Q$76)</f>
        <v/>
      </c>
      <c r="F35" s="114" t="str">
        <f ca="1">TEXT(Calcu!F30,Calcu!$Q$76)</f>
        <v/>
      </c>
      <c r="G35" s="114" t="str">
        <f ca="1">TEXT(Calcu!G30,Calcu!$Q$76)</f>
        <v/>
      </c>
      <c r="H35" s="114" t="str">
        <f ca="1">TEXT(Calcu!H30,Calcu!$Q$76)</f>
        <v/>
      </c>
      <c r="I35" s="114" t="str">
        <f ca="1">TEXT(Calcu!I30,Calcu!$Q$76)</f>
        <v/>
      </c>
      <c r="J35" s="114" t="str">
        <f ca="1">TEXT(Calcu!J30,Calcu!$Q$76)</f>
        <v/>
      </c>
      <c r="K35" s="114" t="str">
        <f ca="1">TEXT(Calcu!K30,Calcu!$Q$76)</f>
        <v/>
      </c>
      <c r="L35" s="114" t="str">
        <f ca="1">TEXT(Calcu!L30,Calcu!$Q$76)</f>
        <v/>
      </c>
      <c r="M35" s="114" t="str">
        <f ca="1">TEXT(Calcu!M30,Calcu!$Q$76)</f>
        <v/>
      </c>
      <c r="N35" s="114" t="str">
        <f ca="1">TEXT(Calcu!N30,Calcu!$Q$76)</f>
        <v/>
      </c>
    </row>
    <row r="36" spans="2:14" ht="13.5" customHeight="1">
      <c r="B36" s="120" t="str">
        <f>Calcu!C31</f>
        <v/>
      </c>
      <c r="C36" s="115" t="str">
        <f>Calcu!D31</f>
        <v/>
      </c>
      <c r="D36" s="114" t="str">
        <f>IF(Calcu!B17=FALSE,"",Angle_2!E11)</f>
        <v/>
      </c>
      <c r="E36" s="114" t="str">
        <f ca="1">TEXT(Calcu!E31,Calcu!$Q$76)</f>
        <v/>
      </c>
      <c r="F36" s="114" t="str">
        <f ca="1">TEXT(Calcu!F31,Calcu!$Q$76)</f>
        <v/>
      </c>
      <c r="G36" s="114" t="str">
        <f ca="1">TEXT(Calcu!G31,Calcu!$Q$76)</f>
        <v/>
      </c>
      <c r="H36" s="114" t="str">
        <f ca="1">TEXT(Calcu!H31,Calcu!$Q$76)</f>
        <v/>
      </c>
      <c r="I36" s="114" t="str">
        <f ca="1">TEXT(Calcu!I31,Calcu!$Q$76)</f>
        <v/>
      </c>
      <c r="J36" s="114" t="str">
        <f ca="1">TEXT(Calcu!J31,Calcu!$Q$76)</f>
        <v/>
      </c>
      <c r="K36" s="114" t="str">
        <f ca="1">TEXT(Calcu!K31,Calcu!$Q$76)</f>
        <v/>
      </c>
      <c r="L36" s="114" t="str">
        <f ca="1">TEXT(Calcu!L31,Calcu!$Q$76)</f>
        <v/>
      </c>
      <c r="M36" s="114" t="str">
        <f ca="1">TEXT(Calcu!M31,Calcu!$Q$76)</f>
        <v/>
      </c>
      <c r="N36" s="114" t="str">
        <f ca="1">TEXT(Calcu!N31,Calcu!$Q$76)</f>
        <v/>
      </c>
    </row>
    <row r="37" spans="2:14" ht="13.5" customHeight="1">
      <c r="B37" s="120" t="str">
        <f>Calcu!C32</f>
        <v/>
      </c>
      <c r="C37" s="115" t="str">
        <f>Calcu!D32</f>
        <v/>
      </c>
      <c r="D37" s="114" t="str">
        <f>IF(Calcu!B18=FALSE,"",Angle_2!E12)</f>
        <v/>
      </c>
      <c r="E37" s="114" t="str">
        <f ca="1">TEXT(Calcu!E32,Calcu!$Q$76)</f>
        <v/>
      </c>
      <c r="F37" s="114" t="str">
        <f ca="1">TEXT(Calcu!F32,Calcu!$Q$76)</f>
        <v/>
      </c>
      <c r="G37" s="114" t="str">
        <f ca="1">TEXT(Calcu!G32,Calcu!$Q$76)</f>
        <v/>
      </c>
      <c r="H37" s="114" t="str">
        <f ca="1">TEXT(Calcu!H32,Calcu!$Q$76)</f>
        <v/>
      </c>
      <c r="I37" s="114" t="str">
        <f ca="1">TEXT(Calcu!I32,Calcu!$Q$76)</f>
        <v/>
      </c>
      <c r="J37" s="114" t="str">
        <f ca="1">TEXT(Calcu!J32,Calcu!$Q$76)</f>
        <v/>
      </c>
      <c r="K37" s="114" t="str">
        <f ca="1">TEXT(Calcu!K32,Calcu!$Q$76)</f>
        <v/>
      </c>
      <c r="L37" s="114" t="str">
        <f ca="1">TEXT(Calcu!L32,Calcu!$Q$76)</f>
        <v/>
      </c>
      <c r="M37" s="114" t="str">
        <f ca="1">TEXT(Calcu!M32,Calcu!$Q$76)</f>
        <v/>
      </c>
      <c r="N37" s="114" t="str">
        <f ca="1">TEXT(Calcu!N32,Calcu!$Q$76)</f>
        <v/>
      </c>
    </row>
    <row r="38" spans="2:14" ht="13.5" customHeight="1">
      <c r="B38" s="120" t="str">
        <f>Calcu!C33</f>
        <v/>
      </c>
      <c r="C38" s="115" t="str">
        <f>Calcu!D33</f>
        <v/>
      </c>
      <c r="D38" s="114" t="str">
        <f>IF(Calcu!B19=FALSE,"",Angle_2!E13)</f>
        <v/>
      </c>
      <c r="E38" s="114" t="str">
        <f ca="1">TEXT(Calcu!E33,Calcu!$Q$76)</f>
        <v/>
      </c>
      <c r="F38" s="114" t="str">
        <f ca="1">TEXT(Calcu!F33,Calcu!$Q$76)</f>
        <v/>
      </c>
      <c r="G38" s="114" t="str">
        <f ca="1">TEXT(Calcu!G33,Calcu!$Q$76)</f>
        <v/>
      </c>
      <c r="H38" s="114" t="str">
        <f ca="1">TEXT(Calcu!H33,Calcu!$Q$76)</f>
        <v/>
      </c>
      <c r="I38" s="114" t="str">
        <f ca="1">TEXT(Calcu!I33,Calcu!$Q$76)</f>
        <v/>
      </c>
      <c r="J38" s="114" t="str">
        <f ca="1">TEXT(Calcu!J33,Calcu!$Q$76)</f>
        <v/>
      </c>
      <c r="K38" s="114" t="str">
        <f ca="1">TEXT(Calcu!K33,Calcu!$Q$76)</f>
        <v/>
      </c>
      <c r="L38" s="114" t="str">
        <f ca="1">TEXT(Calcu!L33,Calcu!$Q$76)</f>
        <v/>
      </c>
      <c r="M38" s="114" t="str">
        <f ca="1">TEXT(Calcu!M33,Calcu!$Q$76)</f>
        <v/>
      </c>
      <c r="N38" s="114" t="str">
        <f ca="1">TEXT(Calcu!N33,Calcu!$Q$76)</f>
        <v/>
      </c>
    </row>
    <row r="40" spans="2:14" ht="13.5" customHeight="1">
      <c r="B40" s="86" t="s">
        <v>460</v>
      </c>
      <c r="F40" s="25"/>
      <c r="G40" s="25"/>
      <c r="H40" s="25"/>
      <c r="I40" s="25"/>
      <c r="J40" s="28"/>
    </row>
    <row r="41" spans="2:14" ht="13.5" customHeight="1">
      <c r="B41" s="423" t="s">
        <v>461</v>
      </c>
      <c r="C41" s="427" t="s">
        <v>463</v>
      </c>
      <c r="D41" s="427" t="s">
        <v>59</v>
      </c>
      <c r="E41" s="411" t="s">
        <v>462</v>
      </c>
      <c r="F41" s="414" t="s">
        <v>464</v>
      </c>
      <c r="G41" s="415"/>
      <c r="H41" s="415"/>
      <c r="I41" s="415"/>
      <c r="J41" s="416"/>
    </row>
    <row r="42" spans="2:14" ht="13.5" customHeight="1">
      <c r="B42" s="424"/>
      <c r="C42" s="426"/>
      <c r="D42" s="426"/>
      <c r="E42" s="426"/>
      <c r="F42" s="245" t="s">
        <v>465</v>
      </c>
      <c r="G42" s="245" t="s">
        <v>176</v>
      </c>
      <c r="H42" s="245" t="s">
        <v>177</v>
      </c>
      <c r="I42" s="245" t="s">
        <v>178</v>
      </c>
      <c r="J42" s="245" t="s">
        <v>179</v>
      </c>
    </row>
    <row r="43" spans="2:14" ht="13.5" customHeight="1">
      <c r="B43" s="425"/>
      <c r="C43" s="413"/>
      <c r="D43" s="413"/>
      <c r="E43" s="413"/>
      <c r="F43" s="245" t="s">
        <v>466</v>
      </c>
      <c r="G43" s="245" t="s">
        <v>404</v>
      </c>
      <c r="H43" s="245" t="s">
        <v>466</v>
      </c>
      <c r="I43" s="245" t="s">
        <v>404</v>
      </c>
      <c r="J43" s="245" t="s">
        <v>404</v>
      </c>
    </row>
    <row r="44" spans="2:14" ht="13.5" customHeight="1">
      <c r="B44" s="417">
        <f>Squareness_2!A4</f>
        <v>0</v>
      </c>
      <c r="C44" s="419">
        <f>Squareness_2!B5</f>
        <v>0</v>
      </c>
      <c r="D44" s="419">
        <f>Squareness_2!C5</f>
        <v>0</v>
      </c>
      <c r="E44" s="178" t="s">
        <v>467</v>
      </c>
      <c r="F44" s="184" t="str">
        <f ca="1">TEXT(Calcu!G89,Calcu!$Q$110)</f>
        <v/>
      </c>
      <c r="G44" s="184" t="str">
        <f ca="1">TEXT(Calcu!H89,Calcu!$Q$110)</f>
        <v/>
      </c>
      <c r="H44" s="184" t="str">
        <f ca="1">TEXT(Calcu!I89,Calcu!$Q$110)</f>
        <v/>
      </c>
      <c r="I44" s="184" t="str">
        <f ca="1">TEXT(Calcu!J89,Calcu!$Q$110)</f>
        <v/>
      </c>
      <c r="J44" s="184" t="str">
        <f ca="1">TEXT(Calcu!K89,Calcu!$Q$110)</f>
        <v/>
      </c>
    </row>
    <row r="45" spans="2:14" ht="13.5" customHeight="1">
      <c r="B45" s="418"/>
      <c r="C45" s="420"/>
      <c r="D45" s="420"/>
      <c r="E45" s="178" t="s">
        <v>468</v>
      </c>
      <c r="F45" s="184" t="str">
        <f ca="1">TEXT(Calcu!G90,Calcu!$Q$110)</f>
        <v/>
      </c>
      <c r="G45" s="184" t="str">
        <f ca="1">TEXT(Calcu!H90,Calcu!$Q$110)</f>
        <v/>
      </c>
      <c r="H45" s="184" t="str">
        <f ca="1">TEXT(Calcu!I90,Calcu!$Q$110)</f>
        <v/>
      </c>
      <c r="I45" s="184" t="str">
        <f ca="1">TEXT(Calcu!J90,Calcu!$Q$110)</f>
        <v/>
      </c>
      <c r="J45" s="184" t="str">
        <f ca="1">TEXT(Calcu!K90,Calcu!$Q$110)</f>
        <v/>
      </c>
    </row>
    <row r="46" spans="2:14" ht="13.5" customHeight="1">
      <c r="B46" s="417">
        <f>Squareness_2!A6</f>
        <v>0</v>
      </c>
      <c r="C46" s="419">
        <f>Squareness_2!B7</f>
        <v>0</v>
      </c>
      <c r="D46" s="419">
        <f>Squareness_2!C7</f>
        <v>0</v>
      </c>
      <c r="E46" s="178" t="s">
        <v>469</v>
      </c>
      <c r="F46" s="184" t="str">
        <f ca="1">TEXT(Calcu!G91,Calcu!$Q$110)</f>
        <v/>
      </c>
      <c r="G46" s="184" t="str">
        <f ca="1">TEXT(Calcu!H91,Calcu!$Q$110)</f>
        <v/>
      </c>
      <c r="H46" s="184" t="str">
        <f ca="1">TEXT(Calcu!I91,Calcu!$Q$110)</f>
        <v/>
      </c>
      <c r="I46" s="184" t="str">
        <f ca="1">TEXT(Calcu!J91,Calcu!$Q$110)</f>
        <v/>
      </c>
      <c r="J46" s="184" t="str">
        <f ca="1">TEXT(Calcu!K91,Calcu!$Q$110)</f>
        <v/>
      </c>
    </row>
    <row r="47" spans="2:14" ht="13.5" customHeight="1">
      <c r="B47" s="418"/>
      <c r="C47" s="420"/>
      <c r="D47" s="420"/>
      <c r="E47" s="178" t="s">
        <v>468</v>
      </c>
      <c r="F47" s="184" t="str">
        <f ca="1">TEXT(Calcu!G92,Calcu!$Q$110)</f>
        <v/>
      </c>
      <c r="G47" s="184" t="str">
        <f ca="1">TEXT(Calcu!H92,Calcu!$Q$110)</f>
        <v/>
      </c>
      <c r="H47" s="184" t="str">
        <f ca="1">TEXT(Calcu!I92,Calcu!$Q$110)</f>
        <v/>
      </c>
      <c r="I47" s="184" t="str">
        <f ca="1">TEXT(Calcu!J92,Calcu!$Q$110)</f>
        <v/>
      </c>
      <c r="J47" s="184" t="str">
        <f ca="1">TEXT(Calcu!K92,Calcu!$Q$110)</f>
        <v/>
      </c>
    </row>
    <row r="49" spans="2:7" ht="13.5" customHeight="1">
      <c r="B49" s="86" t="s">
        <v>622</v>
      </c>
      <c r="F49" s="25"/>
      <c r="G49" s="25"/>
    </row>
    <row r="50" spans="2:7" ht="13.5" customHeight="1">
      <c r="B50" s="411" t="s">
        <v>623</v>
      </c>
      <c r="C50" s="414" t="s">
        <v>624</v>
      </c>
      <c r="D50" s="415"/>
      <c r="E50" s="415"/>
      <c r="F50" s="415"/>
      <c r="G50" s="416"/>
    </row>
    <row r="51" spans="2:7" ht="13.5" customHeight="1">
      <c r="B51" s="412"/>
      <c r="C51" s="245" t="s">
        <v>625</v>
      </c>
      <c r="D51" s="245" t="s">
        <v>176</v>
      </c>
      <c r="E51" s="245" t="s">
        <v>177</v>
      </c>
      <c r="F51" s="245" t="s">
        <v>178</v>
      </c>
      <c r="G51" s="245" t="s">
        <v>179</v>
      </c>
    </row>
    <row r="52" spans="2:7" ht="13.5" customHeight="1">
      <c r="B52" s="413"/>
      <c r="C52" s="245" t="s">
        <v>627</v>
      </c>
      <c r="D52" s="245" t="s">
        <v>627</v>
      </c>
      <c r="E52" s="245" t="s">
        <v>626</v>
      </c>
      <c r="F52" s="245" t="s">
        <v>627</v>
      </c>
      <c r="G52" s="245" t="s">
        <v>627</v>
      </c>
    </row>
    <row r="53" spans="2:7" ht="13.5" customHeight="1">
      <c r="B53" s="178" t="s">
        <v>628</v>
      </c>
      <c r="C53" s="184" t="str">
        <f ca="1">TEXT(Calcu!D123,Calcu!$Q$139)</f>
        <v/>
      </c>
      <c r="D53" s="184" t="str">
        <f ca="1">TEXT(Calcu!E123,Calcu!$Q$139)</f>
        <v/>
      </c>
      <c r="E53" s="184" t="str">
        <f ca="1">TEXT(Calcu!F123,Calcu!$Q$139)</f>
        <v/>
      </c>
      <c r="F53" s="184" t="str">
        <f ca="1">TEXT(Calcu!G123,Calcu!$Q$139)</f>
        <v/>
      </c>
      <c r="G53" s="184" t="str">
        <f ca="1">TEXT(Calcu!H123,Calcu!$Q$139)</f>
        <v/>
      </c>
    </row>
    <row r="54" spans="2:7" ht="13.5" customHeight="1">
      <c r="B54" s="178" t="s">
        <v>629</v>
      </c>
      <c r="C54" s="184" t="str">
        <f ca="1">TEXT(Calcu!D124,Calcu!$Q$139)</f>
        <v/>
      </c>
      <c r="D54" s="184" t="str">
        <f ca="1">TEXT(Calcu!E124,Calcu!$Q$139)</f>
        <v/>
      </c>
      <c r="E54" s="184" t="str">
        <f ca="1">TEXT(Calcu!F124,Calcu!$Q$139)</f>
        <v/>
      </c>
      <c r="F54" s="184" t="str">
        <f ca="1">TEXT(Calcu!G124,Calcu!$Q$139)</f>
        <v/>
      </c>
      <c r="G54" s="184" t="str">
        <f ca="1">TEXT(Calcu!H124,Calcu!$Q$139)</f>
        <v/>
      </c>
    </row>
  </sheetData>
  <sortState ref="T5:U14">
    <sortCondition descending="1" ref="T5"/>
  </sortState>
  <mergeCells count="32">
    <mergeCell ref="E4:F4"/>
    <mergeCell ref="E3:F3"/>
    <mergeCell ref="B26:C27"/>
    <mergeCell ref="D26:D28"/>
    <mergeCell ref="E26:N26"/>
    <mergeCell ref="E27:F27"/>
    <mergeCell ref="G27:H27"/>
    <mergeCell ref="I27:J27"/>
    <mergeCell ref="K27:L27"/>
    <mergeCell ref="M27:N27"/>
    <mergeCell ref="B7:C7"/>
    <mergeCell ref="B12:C13"/>
    <mergeCell ref="D12:D14"/>
    <mergeCell ref="E12:N12"/>
    <mergeCell ref="E13:F13"/>
    <mergeCell ref="G13:H13"/>
    <mergeCell ref="I13:J13"/>
    <mergeCell ref="K13:L13"/>
    <mergeCell ref="M13:N13"/>
    <mergeCell ref="B41:B43"/>
    <mergeCell ref="E41:E43"/>
    <mergeCell ref="C41:C43"/>
    <mergeCell ref="D41:D43"/>
    <mergeCell ref="F41:J41"/>
    <mergeCell ref="B50:B52"/>
    <mergeCell ref="C50:G50"/>
    <mergeCell ref="B44:B45"/>
    <mergeCell ref="C44:C45"/>
    <mergeCell ref="D44:D45"/>
    <mergeCell ref="B46:B47"/>
    <mergeCell ref="C46:C47"/>
    <mergeCell ref="D46:D47"/>
  </mergeCells>
  <phoneticPr fontId="4" type="noConversion"/>
  <pageMargins left="0.39370078740157483" right="0.39370078740157483" top="0.39370078740157483" bottom="0.39370078740157483" header="0.19685039370078741" footer="0.19685039370078741"/>
  <pageSetup paperSize="9" orientation="portrait" r:id="rId1"/>
  <headerFooter alignWithMargins="0">
    <oddFooter>&amp;L&amp;"Tahoma,보통"&amp;9F-02P-02-001 (Rev.01)&amp;C&amp;9&amp;P of &amp;N&amp;R&amp;"돋움,굵게"&amp;9(주)에이치시티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J402"/>
  <sheetViews>
    <sheetView showGridLines="0" zoomScaleNormal="100" zoomScaleSheetLayoutView="100" workbookViewId="0"/>
  </sheetViews>
  <sheetFormatPr defaultColWidth="1.77734375" defaultRowHeight="18.75" customHeight="1"/>
  <cols>
    <col min="1" max="8" width="1.77734375" style="54"/>
    <col min="9" max="9" width="1.77734375" style="54" customWidth="1"/>
    <col min="10" max="10" width="1.77734375" style="54"/>
    <col min="11" max="12" width="1.77734375" style="54" customWidth="1"/>
    <col min="13" max="16" width="1.77734375" style="54"/>
    <col min="17" max="17" width="1.77734375" style="54" customWidth="1"/>
    <col min="18" max="26" width="1.77734375" style="54"/>
    <col min="27" max="27" width="1.77734375" style="54" customWidth="1"/>
    <col min="28" max="28" width="1.77734375" style="54"/>
    <col min="29" max="29" width="1.77734375" style="54" customWidth="1"/>
    <col min="30" max="50" width="1.77734375" style="54"/>
    <col min="51" max="51" width="1.77734375" style="54" customWidth="1"/>
    <col min="52" max="16384" width="1.77734375" style="54"/>
  </cols>
  <sheetData>
    <row r="1" spans="1:51" s="251" customFormat="1" ht="31.5">
      <c r="A1" s="250" t="s">
        <v>635</v>
      </c>
    </row>
    <row r="2" spans="1:51" s="251" customFormat="1" ht="18.75" customHeight="1"/>
    <row r="3" spans="1:51" s="251" customFormat="1" ht="18.75" customHeight="1">
      <c r="A3" s="252" t="s">
        <v>489</v>
      </c>
    </row>
    <row r="4" spans="1:51" ht="18.75" customHeight="1">
      <c r="A4" s="253" t="s">
        <v>636</v>
      </c>
      <c r="B4" s="316"/>
      <c r="C4" s="316"/>
      <c r="D4" s="316"/>
      <c r="E4" s="316"/>
      <c r="F4" s="316"/>
      <c r="G4" s="316"/>
      <c r="H4" s="316"/>
      <c r="I4" s="316"/>
      <c r="J4" s="316"/>
      <c r="K4" s="316"/>
      <c r="L4" s="316"/>
      <c r="M4" s="316"/>
      <c r="N4" s="316"/>
      <c r="O4" s="316"/>
      <c r="P4" s="316"/>
      <c r="Q4" s="316"/>
      <c r="R4" s="316"/>
      <c r="S4" s="316"/>
      <c r="T4" s="316"/>
      <c r="U4" s="316"/>
      <c r="V4" s="316"/>
      <c r="W4" s="316"/>
      <c r="X4" s="316"/>
      <c r="Y4" s="316"/>
      <c r="Z4" s="316"/>
      <c r="AA4" s="316"/>
      <c r="AB4" s="316"/>
      <c r="AC4" s="316"/>
      <c r="AD4" s="316"/>
      <c r="AE4" s="316"/>
      <c r="AF4" s="316"/>
      <c r="AG4" s="316"/>
      <c r="AH4" s="316"/>
      <c r="AI4" s="316"/>
      <c r="AJ4" s="316"/>
      <c r="AK4" s="316"/>
      <c r="AL4" s="316"/>
      <c r="AM4" s="316"/>
      <c r="AN4" s="316"/>
      <c r="AO4" s="316"/>
      <c r="AP4" s="316"/>
      <c r="AQ4" s="316"/>
      <c r="AR4" s="316"/>
    </row>
    <row r="5" spans="1:51" ht="18.75" customHeight="1">
      <c r="A5" s="253"/>
      <c r="B5" s="446" t="s">
        <v>637</v>
      </c>
      <c r="C5" s="447"/>
      <c r="D5" s="447"/>
      <c r="E5" s="447"/>
      <c r="F5" s="448"/>
      <c r="G5" s="446" t="s">
        <v>491</v>
      </c>
      <c r="H5" s="447"/>
      <c r="I5" s="447"/>
      <c r="J5" s="447"/>
      <c r="K5" s="448"/>
      <c r="L5" s="442" t="s">
        <v>638</v>
      </c>
      <c r="M5" s="442"/>
      <c r="N5" s="442"/>
      <c r="O5" s="442"/>
      <c r="P5" s="442"/>
      <c r="Q5" s="442"/>
      <c r="R5" s="442"/>
      <c r="S5" s="442"/>
      <c r="T5" s="442"/>
      <c r="U5" s="442"/>
      <c r="V5" s="442"/>
      <c r="W5" s="442"/>
      <c r="X5" s="442"/>
      <c r="Y5" s="442"/>
      <c r="Z5" s="442"/>
      <c r="AA5" s="442"/>
      <c r="AB5" s="442"/>
      <c r="AC5" s="442"/>
      <c r="AD5" s="442"/>
      <c r="AE5" s="442"/>
      <c r="AF5" s="442"/>
      <c r="AG5" s="442"/>
      <c r="AH5" s="442"/>
      <c r="AI5" s="442"/>
      <c r="AJ5" s="442"/>
      <c r="AK5" s="442"/>
      <c r="AL5" s="442"/>
      <c r="AM5" s="442"/>
      <c r="AN5" s="442"/>
      <c r="AO5" s="442"/>
      <c r="AP5" s="442"/>
      <c r="AQ5" s="442"/>
      <c r="AR5" s="442"/>
      <c r="AS5" s="442"/>
      <c r="AT5" s="442"/>
      <c r="AU5" s="442"/>
      <c r="AV5" s="442"/>
      <c r="AW5" s="442"/>
      <c r="AX5" s="442"/>
      <c r="AY5" s="442"/>
    </row>
    <row r="6" spans="1:51" ht="18.75" customHeight="1">
      <c r="A6" s="253"/>
      <c r="B6" s="449"/>
      <c r="C6" s="450"/>
      <c r="D6" s="450"/>
      <c r="E6" s="450"/>
      <c r="F6" s="451"/>
      <c r="G6" s="452"/>
      <c r="H6" s="453"/>
      <c r="I6" s="453"/>
      <c r="J6" s="453"/>
      <c r="K6" s="454"/>
      <c r="L6" s="442" t="s">
        <v>639</v>
      </c>
      <c r="M6" s="442"/>
      <c r="N6" s="442"/>
      <c r="O6" s="442"/>
      <c r="P6" s="442"/>
      <c r="Q6" s="442"/>
      <c r="R6" s="442"/>
      <c r="S6" s="442"/>
      <c r="T6" s="442" t="s">
        <v>176</v>
      </c>
      <c r="U6" s="442"/>
      <c r="V6" s="442"/>
      <c r="W6" s="442"/>
      <c r="X6" s="442"/>
      <c r="Y6" s="442"/>
      <c r="Z6" s="442"/>
      <c r="AA6" s="442"/>
      <c r="AB6" s="442" t="s">
        <v>177</v>
      </c>
      <c r="AC6" s="442"/>
      <c r="AD6" s="442"/>
      <c r="AE6" s="442"/>
      <c r="AF6" s="442"/>
      <c r="AG6" s="442"/>
      <c r="AH6" s="442"/>
      <c r="AI6" s="442"/>
      <c r="AJ6" s="442" t="s">
        <v>178</v>
      </c>
      <c r="AK6" s="442"/>
      <c r="AL6" s="442"/>
      <c r="AM6" s="442"/>
      <c r="AN6" s="442"/>
      <c r="AO6" s="442"/>
      <c r="AP6" s="442"/>
      <c r="AQ6" s="442"/>
      <c r="AR6" s="442" t="s">
        <v>179</v>
      </c>
      <c r="AS6" s="442"/>
      <c r="AT6" s="442"/>
      <c r="AU6" s="442"/>
      <c r="AV6" s="442"/>
      <c r="AW6" s="442"/>
      <c r="AX6" s="442"/>
      <c r="AY6" s="442"/>
    </row>
    <row r="7" spans="1:51" ht="18.75" customHeight="1">
      <c r="A7" s="253"/>
      <c r="B7" s="455" t="str">
        <f>Calcu!C9</f>
        <v>μm/m</v>
      </c>
      <c r="C7" s="456"/>
      <c r="D7" s="456"/>
      <c r="E7" s="456"/>
      <c r="F7" s="457"/>
      <c r="G7" s="449"/>
      <c r="H7" s="450"/>
      <c r="I7" s="450"/>
      <c r="J7" s="450"/>
      <c r="K7" s="451"/>
      <c r="L7" s="442" t="s">
        <v>640</v>
      </c>
      <c r="M7" s="442"/>
      <c r="N7" s="442"/>
      <c r="O7" s="442"/>
      <c r="P7" s="442" t="s">
        <v>641</v>
      </c>
      <c r="Q7" s="442"/>
      <c r="R7" s="442"/>
      <c r="S7" s="442"/>
      <c r="T7" s="442" t="s">
        <v>640</v>
      </c>
      <c r="U7" s="442"/>
      <c r="V7" s="442"/>
      <c r="W7" s="442"/>
      <c r="X7" s="442" t="s">
        <v>641</v>
      </c>
      <c r="Y7" s="442"/>
      <c r="Z7" s="442"/>
      <c r="AA7" s="442"/>
      <c r="AB7" s="442" t="s">
        <v>640</v>
      </c>
      <c r="AC7" s="442"/>
      <c r="AD7" s="442"/>
      <c r="AE7" s="442"/>
      <c r="AF7" s="442" t="s">
        <v>641</v>
      </c>
      <c r="AG7" s="442"/>
      <c r="AH7" s="442"/>
      <c r="AI7" s="442"/>
      <c r="AJ7" s="442" t="s">
        <v>640</v>
      </c>
      <c r="AK7" s="442"/>
      <c r="AL7" s="442"/>
      <c r="AM7" s="442"/>
      <c r="AN7" s="442" t="s">
        <v>641</v>
      </c>
      <c r="AO7" s="442"/>
      <c r="AP7" s="442"/>
      <c r="AQ7" s="442"/>
      <c r="AR7" s="442" t="s">
        <v>640</v>
      </c>
      <c r="AS7" s="442"/>
      <c r="AT7" s="442"/>
      <c r="AU7" s="442"/>
      <c r="AV7" s="442" t="s">
        <v>641</v>
      </c>
      <c r="AW7" s="442"/>
      <c r="AX7" s="442"/>
      <c r="AY7" s="442"/>
    </row>
    <row r="8" spans="1:51" ht="18.75" customHeight="1">
      <c r="A8" s="253"/>
      <c r="B8" s="443" t="str">
        <f>Calcu!C10</f>
        <v/>
      </c>
      <c r="C8" s="444"/>
      <c r="D8" s="444"/>
      <c r="E8" s="444"/>
      <c r="F8" s="445"/>
      <c r="G8" s="443">
        <f>Angle_2!E4</f>
        <v>0</v>
      </c>
      <c r="H8" s="444"/>
      <c r="I8" s="444"/>
      <c r="J8" s="444"/>
      <c r="K8" s="445"/>
      <c r="L8" s="443" t="str">
        <f>Calcu!E10</f>
        <v/>
      </c>
      <c r="M8" s="444"/>
      <c r="N8" s="444"/>
      <c r="O8" s="445"/>
      <c r="P8" s="443" t="str">
        <f>Calcu!F10</f>
        <v/>
      </c>
      <c r="Q8" s="444"/>
      <c r="R8" s="444"/>
      <c r="S8" s="445"/>
      <c r="T8" s="443" t="str">
        <f>Calcu!G10</f>
        <v/>
      </c>
      <c r="U8" s="444"/>
      <c r="V8" s="444"/>
      <c r="W8" s="445"/>
      <c r="X8" s="443" t="str">
        <f>Calcu!H10</f>
        <v/>
      </c>
      <c r="Y8" s="444"/>
      <c r="Z8" s="444"/>
      <c r="AA8" s="445"/>
      <c r="AB8" s="443" t="str">
        <f>Calcu!I10</f>
        <v/>
      </c>
      <c r="AC8" s="444"/>
      <c r="AD8" s="444"/>
      <c r="AE8" s="445"/>
      <c r="AF8" s="443" t="str">
        <f>Calcu!J10</f>
        <v/>
      </c>
      <c r="AG8" s="444"/>
      <c r="AH8" s="444"/>
      <c r="AI8" s="445"/>
      <c r="AJ8" s="443" t="str">
        <f>Calcu!K10</f>
        <v/>
      </c>
      <c r="AK8" s="444"/>
      <c r="AL8" s="444"/>
      <c r="AM8" s="445"/>
      <c r="AN8" s="443" t="str">
        <f>Calcu!L10</f>
        <v/>
      </c>
      <c r="AO8" s="444"/>
      <c r="AP8" s="444"/>
      <c r="AQ8" s="445"/>
      <c r="AR8" s="443" t="str">
        <f>Calcu!M10</f>
        <v/>
      </c>
      <c r="AS8" s="444"/>
      <c r="AT8" s="444"/>
      <c r="AU8" s="445"/>
      <c r="AV8" s="443" t="str">
        <f>Calcu!N10</f>
        <v/>
      </c>
      <c r="AW8" s="444"/>
      <c r="AX8" s="444"/>
      <c r="AY8" s="445"/>
    </row>
    <row r="9" spans="1:51" ht="18.75" customHeight="1">
      <c r="A9" s="253"/>
      <c r="B9" s="443" t="str">
        <f>Calcu!C11</f>
        <v/>
      </c>
      <c r="C9" s="444"/>
      <c r="D9" s="444"/>
      <c r="E9" s="444"/>
      <c r="F9" s="445"/>
      <c r="G9" s="443">
        <f>Angle_2!E5</f>
        <v>0</v>
      </c>
      <c r="H9" s="444"/>
      <c r="I9" s="444"/>
      <c r="J9" s="444"/>
      <c r="K9" s="445"/>
      <c r="L9" s="443" t="str">
        <f>Calcu!E11</f>
        <v/>
      </c>
      <c r="M9" s="444"/>
      <c r="N9" s="444"/>
      <c r="O9" s="445"/>
      <c r="P9" s="443" t="str">
        <f>Calcu!F11</f>
        <v/>
      </c>
      <c r="Q9" s="444"/>
      <c r="R9" s="444"/>
      <c r="S9" s="445"/>
      <c r="T9" s="443" t="str">
        <f>Calcu!G11</f>
        <v/>
      </c>
      <c r="U9" s="444"/>
      <c r="V9" s="444"/>
      <c r="W9" s="445"/>
      <c r="X9" s="443" t="str">
        <f>Calcu!H11</f>
        <v/>
      </c>
      <c r="Y9" s="444"/>
      <c r="Z9" s="444"/>
      <c r="AA9" s="445"/>
      <c r="AB9" s="443" t="str">
        <f>Calcu!I11</f>
        <v/>
      </c>
      <c r="AC9" s="444"/>
      <c r="AD9" s="444"/>
      <c r="AE9" s="445"/>
      <c r="AF9" s="443" t="str">
        <f>Calcu!J11</f>
        <v/>
      </c>
      <c r="AG9" s="444"/>
      <c r="AH9" s="444"/>
      <c r="AI9" s="445"/>
      <c r="AJ9" s="443" t="str">
        <f>Calcu!K11</f>
        <v/>
      </c>
      <c r="AK9" s="444"/>
      <c r="AL9" s="444"/>
      <c r="AM9" s="445"/>
      <c r="AN9" s="443" t="str">
        <f>Calcu!L11</f>
        <v/>
      </c>
      <c r="AO9" s="444"/>
      <c r="AP9" s="444"/>
      <c r="AQ9" s="445"/>
      <c r="AR9" s="443" t="str">
        <f>Calcu!M11</f>
        <v/>
      </c>
      <c r="AS9" s="444"/>
      <c r="AT9" s="444"/>
      <c r="AU9" s="445"/>
      <c r="AV9" s="443" t="str">
        <f>Calcu!N11</f>
        <v/>
      </c>
      <c r="AW9" s="444"/>
      <c r="AX9" s="444"/>
      <c r="AY9" s="445"/>
    </row>
    <row r="10" spans="1:51" ht="18.75" customHeight="1">
      <c r="A10" s="253"/>
      <c r="B10" s="443" t="str">
        <f>Calcu!C12</f>
        <v/>
      </c>
      <c r="C10" s="444"/>
      <c r="D10" s="444"/>
      <c r="E10" s="444"/>
      <c r="F10" s="445"/>
      <c r="G10" s="443">
        <f>Angle_2!E6</f>
        <v>0</v>
      </c>
      <c r="H10" s="444"/>
      <c r="I10" s="444"/>
      <c r="J10" s="444"/>
      <c r="K10" s="445"/>
      <c r="L10" s="443" t="str">
        <f>Calcu!E12</f>
        <v/>
      </c>
      <c r="M10" s="444"/>
      <c r="N10" s="444"/>
      <c r="O10" s="445"/>
      <c r="P10" s="443" t="str">
        <f>Calcu!F12</f>
        <v/>
      </c>
      <c r="Q10" s="444"/>
      <c r="R10" s="444"/>
      <c r="S10" s="445"/>
      <c r="T10" s="443" t="str">
        <f>Calcu!G12</f>
        <v/>
      </c>
      <c r="U10" s="444"/>
      <c r="V10" s="444"/>
      <c r="W10" s="445"/>
      <c r="X10" s="443" t="str">
        <f>Calcu!H12</f>
        <v/>
      </c>
      <c r="Y10" s="444"/>
      <c r="Z10" s="444"/>
      <c r="AA10" s="445"/>
      <c r="AB10" s="443" t="str">
        <f>Calcu!I12</f>
        <v/>
      </c>
      <c r="AC10" s="444"/>
      <c r="AD10" s="444"/>
      <c r="AE10" s="445"/>
      <c r="AF10" s="443" t="str">
        <f>Calcu!J12</f>
        <v/>
      </c>
      <c r="AG10" s="444"/>
      <c r="AH10" s="444"/>
      <c r="AI10" s="445"/>
      <c r="AJ10" s="443" t="str">
        <f>Calcu!K12</f>
        <v/>
      </c>
      <c r="AK10" s="444"/>
      <c r="AL10" s="444"/>
      <c r="AM10" s="445"/>
      <c r="AN10" s="443" t="str">
        <f>Calcu!L12</f>
        <v/>
      </c>
      <c r="AO10" s="444"/>
      <c r="AP10" s="444"/>
      <c r="AQ10" s="445"/>
      <c r="AR10" s="443" t="str">
        <f>Calcu!M12</f>
        <v/>
      </c>
      <c r="AS10" s="444"/>
      <c r="AT10" s="444"/>
      <c r="AU10" s="445"/>
      <c r="AV10" s="443" t="str">
        <f>Calcu!N12</f>
        <v/>
      </c>
      <c r="AW10" s="444"/>
      <c r="AX10" s="444"/>
      <c r="AY10" s="445"/>
    </row>
    <row r="11" spans="1:51" ht="18.75" customHeight="1">
      <c r="A11" s="253"/>
      <c r="B11" s="443" t="str">
        <f>Calcu!C13</f>
        <v/>
      </c>
      <c r="C11" s="444"/>
      <c r="D11" s="444"/>
      <c r="E11" s="444"/>
      <c r="F11" s="445"/>
      <c r="G11" s="443">
        <f>Angle_2!E7</f>
        <v>0</v>
      </c>
      <c r="H11" s="444"/>
      <c r="I11" s="444"/>
      <c r="J11" s="444"/>
      <c r="K11" s="445"/>
      <c r="L11" s="443" t="str">
        <f>Calcu!E13</f>
        <v/>
      </c>
      <c r="M11" s="444"/>
      <c r="N11" s="444"/>
      <c r="O11" s="445"/>
      <c r="P11" s="443" t="str">
        <f>Calcu!F13</f>
        <v/>
      </c>
      <c r="Q11" s="444"/>
      <c r="R11" s="444"/>
      <c r="S11" s="445"/>
      <c r="T11" s="443" t="str">
        <f>Calcu!G13</f>
        <v/>
      </c>
      <c r="U11" s="444"/>
      <c r="V11" s="444"/>
      <c r="W11" s="445"/>
      <c r="X11" s="443" t="str">
        <f>Calcu!H13</f>
        <v/>
      </c>
      <c r="Y11" s="444"/>
      <c r="Z11" s="444"/>
      <c r="AA11" s="445"/>
      <c r="AB11" s="443" t="str">
        <f>Calcu!I13</f>
        <v/>
      </c>
      <c r="AC11" s="444"/>
      <c r="AD11" s="444"/>
      <c r="AE11" s="445"/>
      <c r="AF11" s="443" t="str">
        <f>Calcu!J13</f>
        <v/>
      </c>
      <c r="AG11" s="444"/>
      <c r="AH11" s="444"/>
      <c r="AI11" s="445"/>
      <c r="AJ11" s="443" t="str">
        <f>Calcu!K13</f>
        <v/>
      </c>
      <c r="AK11" s="444"/>
      <c r="AL11" s="444"/>
      <c r="AM11" s="445"/>
      <c r="AN11" s="443" t="str">
        <f>Calcu!L13</f>
        <v/>
      </c>
      <c r="AO11" s="444"/>
      <c r="AP11" s="444"/>
      <c r="AQ11" s="445"/>
      <c r="AR11" s="443" t="str">
        <f>Calcu!M13</f>
        <v/>
      </c>
      <c r="AS11" s="444"/>
      <c r="AT11" s="444"/>
      <c r="AU11" s="445"/>
      <c r="AV11" s="443" t="str">
        <f>Calcu!N13</f>
        <v/>
      </c>
      <c r="AW11" s="444"/>
      <c r="AX11" s="444"/>
      <c r="AY11" s="445"/>
    </row>
    <row r="12" spans="1:51" ht="18.75" customHeight="1">
      <c r="A12" s="253"/>
      <c r="B12" s="443" t="str">
        <f>Calcu!C14</f>
        <v/>
      </c>
      <c r="C12" s="444"/>
      <c r="D12" s="444"/>
      <c r="E12" s="444"/>
      <c r="F12" s="445"/>
      <c r="G12" s="443">
        <f>Angle_2!E8</f>
        <v>0</v>
      </c>
      <c r="H12" s="444"/>
      <c r="I12" s="444"/>
      <c r="J12" s="444"/>
      <c r="K12" s="445"/>
      <c r="L12" s="443" t="str">
        <f>Calcu!E14</f>
        <v/>
      </c>
      <c r="M12" s="444"/>
      <c r="N12" s="444"/>
      <c r="O12" s="445"/>
      <c r="P12" s="443" t="str">
        <f>Calcu!F14</f>
        <v/>
      </c>
      <c r="Q12" s="444"/>
      <c r="R12" s="444"/>
      <c r="S12" s="445"/>
      <c r="T12" s="443" t="str">
        <f>Calcu!G14</f>
        <v/>
      </c>
      <c r="U12" s="444"/>
      <c r="V12" s="444"/>
      <c r="W12" s="445"/>
      <c r="X12" s="443" t="str">
        <f>Calcu!H14</f>
        <v/>
      </c>
      <c r="Y12" s="444"/>
      <c r="Z12" s="444"/>
      <c r="AA12" s="445"/>
      <c r="AB12" s="443" t="str">
        <f>Calcu!I14</f>
        <v/>
      </c>
      <c r="AC12" s="444"/>
      <c r="AD12" s="444"/>
      <c r="AE12" s="445"/>
      <c r="AF12" s="443" t="str">
        <f>Calcu!J14</f>
        <v/>
      </c>
      <c r="AG12" s="444"/>
      <c r="AH12" s="444"/>
      <c r="AI12" s="445"/>
      <c r="AJ12" s="443" t="str">
        <f>Calcu!K14</f>
        <v/>
      </c>
      <c r="AK12" s="444"/>
      <c r="AL12" s="444"/>
      <c r="AM12" s="445"/>
      <c r="AN12" s="443" t="str">
        <f>Calcu!L14</f>
        <v/>
      </c>
      <c r="AO12" s="444"/>
      <c r="AP12" s="444"/>
      <c r="AQ12" s="445"/>
      <c r="AR12" s="443" t="str">
        <f>Calcu!M14</f>
        <v/>
      </c>
      <c r="AS12" s="444"/>
      <c r="AT12" s="444"/>
      <c r="AU12" s="445"/>
      <c r="AV12" s="443" t="str">
        <f>Calcu!N14</f>
        <v/>
      </c>
      <c r="AW12" s="444"/>
      <c r="AX12" s="444"/>
      <c r="AY12" s="445"/>
    </row>
    <row r="13" spans="1:51" ht="18.75" customHeight="1">
      <c r="A13" s="253"/>
      <c r="B13" s="443" t="str">
        <f>Calcu!C15</f>
        <v/>
      </c>
      <c r="C13" s="444"/>
      <c r="D13" s="444"/>
      <c r="E13" s="444"/>
      <c r="F13" s="445"/>
      <c r="G13" s="443">
        <f>Angle_2!E9</f>
        <v>0</v>
      </c>
      <c r="H13" s="444"/>
      <c r="I13" s="444"/>
      <c r="J13" s="444"/>
      <c r="K13" s="445"/>
      <c r="L13" s="443" t="str">
        <f>Calcu!E15</f>
        <v/>
      </c>
      <c r="M13" s="444"/>
      <c r="N13" s="444"/>
      <c r="O13" s="445"/>
      <c r="P13" s="443" t="str">
        <f>Calcu!F15</f>
        <v/>
      </c>
      <c r="Q13" s="444"/>
      <c r="R13" s="444"/>
      <c r="S13" s="445"/>
      <c r="T13" s="443" t="str">
        <f>Calcu!G15</f>
        <v/>
      </c>
      <c r="U13" s="444"/>
      <c r="V13" s="444"/>
      <c r="W13" s="445"/>
      <c r="X13" s="443" t="str">
        <f>Calcu!H15</f>
        <v/>
      </c>
      <c r="Y13" s="444"/>
      <c r="Z13" s="444"/>
      <c r="AA13" s="445"/>
      <c r="AB13" s="443" t="str">
        <f>Calcu!I15</f>
        <v/>
      </c>
      <c r="AC13" s="444"/>
      <c r="AD13" s="444"/>
      <c r="AE13" s="445"/>
      <c r="AF13" s="443" t="str">
        <f>Calcu!J15</f>
        <v/>
      </c>
      <c r="AG13" s="444"/>
      <c r="AH13" s="444"/>
      <c r="AI13" s="445"/>
      <c r="AJ13" s="443" t="str">
        <f>Calcu!K15</f>
        <v/>
      </c>
      <c r="AK13" s="444"/>
      <c r="AL13" s="444"/>
      <c r="AM13" s="445"/>
      <c r="AN13" s="443" t="str">
        <f>Calcu!L15</f>
        <v/>
      </c>
      <c r="AO13" s="444"/>
      <c r="AP13" s="444"/>
      <c r="AQ13" s="445"/>
      <c r="AR13" s="443" t="str">
        <f>Calcu!M15</f>
        <v/>
      </c>
      <c r="AS13" s="444"/>
      <c r="AT13" s="444"/>
      <c r="AU13" s="445"/>
      <c r="AV13" s="443" t="str">
        <f>Calcu!N15</f>
        <v/>
      </c>
      <c r="AW13" s="444"/>
      <c r="AX13" s="444"/>
      <c r="AY13" s="445"/>
    </row>
    <row r="14" spans="1:51" ht="18.75" customHeight="1">
      <c r="A14" s="253"/>
      <c r="B14" s="443" t="str">
        <f>Calcu!C16</f>
        <v/>
      </c>
      <c r="C14" s="444"/>
      <c r="D14" s="444"/>
      <c r="E14" s="444"/>
      <c r="F14" s="445"/>
      <c r="G14" s="443">
        <f>Angle_2!E10</f>
        <v>0</v>
      </c>
      <c r="H14" s="444"/>
      <c r="I14" s="444"/>
      <c r="J14" s="444"/>
      <c r="K14" s="445"/>
      <c r="L14" s="443" t="str">
        <f>Calcu!E16</f>
        <v/>
      </c>
      <c r="M14" s="444"/>
      <c r="N14" s="444"/>
      <c r="O14" s="445"/>
      <c r="P14" s="443" t="str">
        <f>Calcu!F16</f>
        <v/>
      </c>
      <c r="Q14" s="444"/>
      <c r="R14" s="444"/>
      <c r="S14" s="445"/>
      <c r="T14" s="443" t="str">
        <f>Calcu!G16</f>
        <v/>
      </c>
      <c r="U14" s="444"/>
      <c r="V14" s="444"/>
      <c r="W14" s="445"/>
      <c r="X14" s="443" t="str">
        <f>Calcu!H16</f>
        <v/>
      </c>
      <c r="Y14" s="444"/>
      <c r="Z14" s="444"/>
      <c r="AA14" s="445"/>
      <c r="AB14" s="443" t="str">
        <f>Calcu!I16</f>
        <v/>
      </c>
      <c r="AC14" s="444"/>
      <c r="AD14" s="444"/>
      <c r="AE14" s="445"/>
      <c r="AF14" s="443" t="str">
        <f>Calcu!J16</f>
        <v/>
      </c>
      <c r="AG14" s="444"/>
      <c r="AH14" s="444"/>
      <c r="AI14" s="445"/>
      <c r="AJ14" s="443" t="str">
        <f>Calcu!K16</f>
        <v/>
      </c>
      <c r="AK14" s="444"/>
      <c r="AL14" s="444"/>
      <c r="AM14" s="445"/>
      <c r="AN14" s="443" t="str">
        <f>Calcu!L16</f>
        <v/>
      </c>
      <c r="AO14" s="444"/>
      <c r="AP14" s="444"/>
      <c r="AQ14" s="445"/>
      <c r="AR14" s="443" t="str">
        <f>Calcu!M16</f>
        <v/>
      </c>
      <c r="AS14" s="444"/>
      <c r="AT14" s="444"/>
      <c r="AU14" s="445"/>
      <c r="AV14" s="443" t="str">
        <f>Calcu!N16</f>
        <v/>
      </c>
      <c r="AW14" s="444"/>
      <c r="AX14" s="444"/>
      <c r="AY14" s="445"/>
    </row>
    <row r="15" spans="1:51" ht="18.75" customHeight="1">
      <c r="A15" s="253"/>
      <c r="B15" s="443" t="str">
        <f>Calcu!C17</f>
        <v/>
      </c>
      <c r="C15" s="444"/>
      <c r="D15" s="444"/>
      <c r="E15" s="444"/>
      <c r="F15" s="445"/>
      <c r="G15" s="443">
        <f>Angle_2!E11</f>
        <v>0</v>
      </c>
      <c r="H15" s="444"/>
      <c r="I15" s="444"/>
      <c r="J15" s="444"/>
      <c r="K15" s="445"/>
      <c r="L15" s="443" t="str">
        <f>Calcu!E17</f>
        <v/>
      </c>
      <c r="M15" s="444"/>
      <c r="N15" s="444"/>
      <c r="O15" s="445"/>
      <c r="P15" s="443" t="str">
        <f>Calcu!F17</f>
        <v/>
      </c>
      <c r="Q15" s="444"/>
      <c r="R15" s="444"/>
      <c r="S15" s="445"/>
      <c r="T15" s="443" t="str">
        <f>Calcu!G17</f>
        <v/>
      </c>
      <c r="U15" s="444"/>
      <c r="V15" s="444"/>
      <c r="W15" s="445"/>
      <c r="X15" s="443" t="str">
        <f>Calcu!H17</f>
        <v/>
      </c>
      <c r="Y15" s="444"/>
      <c r="Z15" s="444"/>
      <c r="AA15" s="445"/>
      <c r="AB15" s="443" t="str">
        <f>Calcu!I17</f>
        <v/>
      </c>
      <c r="AC15" s="444"/>
      <c r="AD15" s="444"/>
      <c r="AE15" s="445"/>
      <c r="AF15" s="443" t="str">
        <f>Calcu!J17</f>
        <v/>
      </c>
      <c r="AG15" s="444"/>
      <c r="AH15" s="444"/>
      <c r="AI15" s="445"/>
      <c r="AJ15" s="443" t="str">
        <f>Calcu!K17</f>
        <v/>
      </c>
      <c r="AK15" s="444"/>
      <c r="AL15" s="444"/>
      <c r="AM15" s="445"/>
      <c r="AN15" s="443" t="str">
        <f>Calcu!L17</f>
        <v/>
      </c>
      <c r="AO15" s="444"/>
      <c r="AP15" s="444"/>
      <c r="AQ15" s="445"/>
      <c r="AR15" s="443" t="str">
        <f>Calcu!M17</f>
        <v/>
      </c>
      <c r="AS15" s="444"/>
      <c r="AT15" s="444"/>
      <c r="AU15" s="445"/>
      <c r="AV15" s="443" t="str">
        <f>Calcu!N17</f>
        <v/>
      </c>
      <c r="AW15" s="444"/>
      <c r="AX15" s="444"/>
      <c r="AY15" s="445"/>
    </row>
    <row r="16" spans="1:51" ht="18.75" customHeight="1">
      <c r="A16" s="253"/>
      <c r="B16" s="443" t="str">
        <f>Calcu!C18</f>
        <v/>
      </c>
      <c r="C16" s="444"/>
      <c r="D16" s="444"/>
      <c r="E16" s="444"/>
      <c r="F16" s="445"/>
      <c r="G16" s="443">
        <f>Angle_2!E12</f>
        <v>0</v>
      </c>
      <c r="H16" s="444"/>
      <c r="I16" s="444"/>
      <c r="J16" s="444"/>
      <c r="K16" s="445"/>
      <c r="L16" s="443" t="str">
        <f>Calcu!E18</f>
        <v/>
      </c>
      <c r="M16" s="444"/>
      <c r="N16" s="444"/>
      <c r="O16" s="445"/>
      <c r="P16" s="443" t="str">
        <f>Calcu!F18</f>
        <v/>
      </c>
      <c r="Q16" s="444"/>
      <c r="R16" s="444"/>
      <c r="S16" s="445"/>
      <c r="T16" s="443" t="str">
        <f>Calcu!G18</f>
        <v/>
      </c>
      <c r="U16" s="444"/>
      <c r="V16" s="444"/>
      <c r="W16" s="445"/>
      <c r="X16" s="443" t="str">
        <f>Calcu!H18</f>
        <v/>
      </c>
      <c r="Y16" s="444"/>
      <c r="Z16" s="444"/>
      <c r="AA16" s="445"/>
      <c r="AB16" s="443" t="str">
        <f>Calcu!I18</f>
        <v/>
      </c>
      <c r="AC16" s="444"/>
      <c r="AD16" s="444"/>
      <c r="AE16" s="445"/>
      <c r="AF16" s="443" t="str">
        <f>Calcu!J18</f>
        <v/>
      </c>
      <c r="AG16" s="444"/>
      <c r="AH16" s="444"/>
      <c r="AI16" s="445"/>
      <c r="AJ16" s="443" t="str">
        <f>Calcu!K18</f>
        <v/>
      </c>
      <c r="AK16" s="444"/>
      <c r="AL16" s="444"/>
      <c r="AM16" s="445"/>
      <c r="AN16" s="443" t="str">
        <f>Calcu!L18</f>
        <v/>
      </c>
      <c r="AO16" s="444"/>
      <c r="AP16" s="444"/>
      <c r="AQ16" s="445"/>
      <c r="AR16" s="443" t="str">
        <f>Calcu!M18</f>
        <v/>
      </c>
      <c r="AS16" s="444"/>
      <c r="AT16" s="444"/>
      <c r="AU16" s="445"/>
      <c r="AV16" s="443" t="str">
        <f>Calcu!N18</f>
        <v/>
      </c>
      <c r="AW16" s="444"/>
      <c r="AX16" s="444"/>
      <c r="AY16" s="445"/>
    </row>
    <row r="17" spans="1:51" ht="18.75" customHeight="1">
      <c r="A17" s="253"/>
      <c r="B17" s="443" t="str">
        <f>Calcu!C19</f>
        <v/>
      </c>
      <c r="C17" s="444"/>
      <c r="D17" s="444"/>
      <c r="E17" s="444"/>
      <c r="F17" s="445"/>
      <c r="G17" s="443">
        <f>Angle_2!E13</f>
        <v>0</v>
      </c>
      <c r="H17" s="444"/>
      <c r="I17" s="444"/>
      <c r="J17" s="444"/>
      <c r="K17" s="445"/>
      <c r="L17" s="443" t="str">
        <f>Calcu!E19</f>
        <v/>
      </c>
      <c r="M17" s="444"/>
      <c r="N17" s="444"/>
      <c r="O17" s="445"/>
      <c r="P17" s="443" t="str">
        <f>Calcu!F19</f>
        <v/>
      </c>
      <c r="Q17" s="444"/>
      <c r="R17" s="444"/>
      <c r="S17" s="445"/>
      <c r="T17" s="443" t="str">
        <f>Calcu!G19</f>
        <v/>
      </c>
      <c r="U17" s="444"/>
      <c r="V17" s="444"/>
      <c r="W17" s="445"/>
      <c r="X17" s="443" t="str">
        <f>Calcu!H19</f>
        <v/>
      </c>
      <c r="Y17" s="444"/>
      <c r="Z17" s="444"/>
      <c r="AA17" s="445"/>
      <c r="AB17" s="443" t="str">
        <f>Calcu!I19</f>
        <v/>
      </c>
      <c r="AC17" s="444"/>
      <c r="AD17" s="444"/>
      <c r="AE17" s="445"/>
      <c r="AF17" s="443" t="str">
        <f>Calcu!J19</f>
        <v/>
      </c>
      <c r="AG17" s="444"/>
      <c r="AH17" s="444"/>
      <c r="AI17" s="445"/>
      <c r="AJ17" s="443" t="str">
        <f>Calcu!K19</f>
        <v/>
      </c>
      <c r="AK17" s="444"/>
      <c r="AL17" s="444"/>
      <c r="AM17" s="445"/>
      <c r="AN17" s="443" t="str">
        <f>Calcu!L19</f>
        <v/>
      </c>
      <c r="AO17" s="444"/>
      <c r="AP17" s="444"/>
      <c r="AQ17" s="445"/>
      <c r="AR17" s="443" t="str">
        <f>Calcu!M19</f>
        <v/>
      </c>
      <c r="AS17" s="444"/>
      <c r="AT17" s="444"/>
      <c r="AU17" s="445"/>
      <c r="AV17" s="443" t="str">
        <f>Calcu!N19</f>
        <v/>
      </c>
      <c r="AW17" s="444"/>
      <c r="AX17" s="444"/>
      <c r="AY17" s="445"/>
    </row>
    <row r="18" spans="1:51" ht="18.75" customHeight="1">
      <c r="A18" s="253"/>
      <c r="B18" s="316"/>
      <c r="C18" s="316"/>
      <c r="D18" s="316"/>
      <c r="E18" s="316"/>
      <c r="F18" s="316"/>
      <c r="G18" s="316"/>
      <c r="H18" s="316"/>
      <c r="I18" s="316"/>
      <c r="J18" s="316"/>
      <c r="K18" s="316"/>
      <c r="L18" s="316"/>
      <c r="M18" s="316"/>
      <c r="N18" s="316"/>
      <c r="O18" s="316"/>
      <c r="P18" s="316"/>
      <c r="Q18" s="316"/>
      <c r="R18" s="316"/>
      <c r="S18" s="316"/>
      <c r="T18" s="316"/>
      <c r="U18" s="316"/>
      <c r="V18" s="316"/>
      <c r="W18" s="316"/>
      <c r="X18" s="316"/>
      <c r="Y18" s="316"/>
      <c r="Z18" s="316"/>
      <c r="AA18" s="316"/>
      <c r="AB18" s="316"/>
      <c r="AC18" s="316"/>
      <c r="AD18" s="316"/>
      <c r="AE18" s="316"/>
      <c r="AF18" s="316"/>
      <c r="AG18" s="316"/>
      <c r="AH18" s="316"/>
      <c r="AI18" s="316"/>
      <c r="AJ18" s="316"/>
      <c r="AK18" s="316"/>
      <c r="AL18" s="316"/>
      <c r="AM18" s="316"/>
      <c r="AN18" s="316"/>
      <c r="AO18" s="316"/>
      <c r="AP18" s="316"/>
      <c r="AQ18" s="316"/>
      <c r="AR18" s="316"/>
      <c r="AS18" s="316"/>
      <c r="AT18" s="316"/>
    </row>
    <row r="19" spans="1:51" ht="18.75" customHeight="1">
      <c r="A19" s="253"/>
      <c r="B19" s="446" t="s">
        <v>490</v>
      </c>
      <c r="C19" s="447"/>
      <c r="D19" s="447"/>
      <c r="E19" s="447"/>
      <c r="F19" s="448"/>
      <c r="G19" s="446" t="s">
        <v>491</v>
      </c>
      <c r="H19" s="447"/>
      <c r="I19" s="447"/>
      <c r="J19" s="447"/>
      <c r="K19" s="448"/>
      <c r="L19" s="442" t="s">
        <v>642</v>
      </c>
      <c r="M19" s="442"/>
      <c r="N19" s="442"/>
      <c r="O19" s="442"/>
      <c r="P19" s="442"/>
      <c r="Q19" s="442"/>
      <c r="R19" s="442"/>
      <c r="S19" s="442"/>
      <c r="T19" s="442"/>
      <c r="U19" s="442"/>
      <c r="V19" s="442"/>
      <c r="W19" s="442"/>
      <c r="X19" s="442"/>
      <c r="Y19" s="442"/>
      <c r="Z19" s="442"/>
      <c r="AA19" s="442"/>
      <c r="AB19" s="442"/>
      <c r="AC19" s="442"/>
      <c r="AD19" s="442"/>
      <c r="AE19" s="442"/>
      <c r="AF19" s="442"/>
      <c r="AG19" s="442"/>
      <c r="AH19" s="442"/>
      <c r="AI19" s="442"/>
      <c r="AJ19" s="442"/>
      <c r="AK19" s="442"/>
      <c r="AL19" s="442"/>
      <c r="AM19" s="442"/>
      <c r="AN19" s="442"/>
      <c r="AO19" s="442"/>
      <c r="AP19" s="442"/>
      <c r="AQ19" s="442"/>
      <c r="AR19" s="442"/>
      <c r="AS19" s="442"/>
      <c r="AT19" s="442"/>
      <c r="AU19" s="442"/>
      <c r="AV19" s="442"/>
      <c r="AW19" s="442"/>
      <c r="AX19" s="442"/>
      <c r="AY19" s="442"/>
    </row>
    <row r="20" spans="1:51" ht="18.75" customHeight="1">
      <c r="A20" s="253"/>
      <c r="B20" s="449"/>
      <c r="C20" s="450"/>
      <c r="D20" s="450"/>
      <c r="E20" s="450"/>
      <c r="F20" s="451"/>
      <c r="G20" s="452"/>
      <c r="H20" s="453"/>
      <c r="I20" s="453"/>
      <c r="J20" s="453"/>
      <c r="K20" s="454"/>
      <c r="L20" s="442" t="s">
        <v>328</v>
      </c>
      <c r="M20" s="442"/>
      <c r="N20" s="442"/>
      <c r="O20" s="442"/>
      <c r="P20" s="442"/>
      <c r="Q20" s="442"/>
      <c r="R20" s="442"/>
      <c r="S20" s="442"/>
      <c r="T20" s="442" t="s">
        <v>176</v>
      </c>
      <c r="U20" s="442"/>
      <c r="V20" s="442"/>
      <c r="W20" s="442"/>
      <c r="X20" s="442"/>
      <c r="Y20" s="442"/>
      <c r="Z20" s="442"/>
      <c r="AA20" s="442"/>
      <c r="AB20" s="442" t="s">
        <v>177</v>
      </c>
      <c r="AC20" s="442"/>
      <c r="AD20" s="442"/>
      <c r="AE20" s="442"/>
      <c r="AF20" s="442"/>
      <c r="AG20" s="442"/>
      <c r="AH20" s="442"/>
      <c r="AI20" s="442"/>
      <c r="AJ20" s="442" t="s">
        <v>178</v>
      </c>
      <c r="AK20" s="442"/>
      <c r="AL20" s="442"/>
      <c r="AM20" s="442"/>
      <c r="AN20" s="442"/>
      <c r="AO20" s="442"/>
      <c r="AP20" s="442"/>
      <c r="AQ20" s="442"/>
      <c r="AR20" s="442" t="s">
        <v>179</v>
      </c>
      <c r="AS20" s="442"/>
      <c r="AT20" s="442"/>
      <c r="AU20" s="442"/>
      <c r="AV20" s="442"/>
      <c r="AW20" s="442"/>
      <c r="AX20" s="442"/>
      <c r="AY20" s="442"/>
    </row>
    <row r="21" spans="1:51" ht="18.75" customHeight="1">
      <c r="A21" s="253"/>
      <c r="B21" s="455" t="str">
        <f>Calcu!C23</f>
        <v>μm/m</v>
      </c>
      <c r="C21" s="456"/>
      <c r="D21" s="456"/>
      <c r="E21" s="456"/>
      <c r="F21" s="457"/>
      <c r="G21" s="449"/>
      <c r="H21" s="450"/>
      <c r="I21" s="450"/>
      <c r="J21" s="450"/>
      <c r="K21" s="451"/>
      <c r="L21" s="442" t="s">
        <v>640</v>
      </c>
      <c r="M21" s="442"/>
      <c r="N21" s="442"/>
      <c r="O21" s="442"/>
      <c r="P21" s="442" t="s">
        <v>492</v>
      </c>
      <c r="Q21" s="442"/>
      <c r="R21" s="442"/>
      <c r="S21" s="442"/>
      <c r="T21" s="442" t="s">
        <v>255</v>
      </c>
      <c r="U21" s="442"/>
      <c r="V21" s="442"/>
      <c r="W21" s="442"/>
      <c r="X21" s="442" t="s">
        <v>492</v>
      </c>
      <c r="Y21" s="442"/>
      <c r="Z21" s="442"/>
      <c r="AA21" s="442"/>
      <c r="AB21" s="442" t="s">
        <v>255</v>
      </c>
      <c r="AC21" s="442"/>
      <c r="AD21" s="442"/>
      <c r="AE21" s="442"/>
      <c r="AF21" s="442" t="s">
        <v>643</v>
      </c>
      <c r="AG21" s="442"/>
      <c r="AH21" s="442"/>
      <c r="AI21" s="442"/>
      <c r="AJ21" s="442" t="s">
        <v>644</v>
      </c>
      <c r="AK21" s="442"/>
      <c r="AL21" s="442"/>
      <c r="AM21" s="442"/>
      <c r="AN21" s="442" t="s">
        <v>641</v>
      </c>
      <c r="AO21" s="442"/>
      <c r="AP21" s="442"/>
      <c r="AQ21" s="442"/>
      <c r="AR21" s="442" t="s">
        <v>644</v>
      </c>
      <c r="AS21" s="442"/>
      <c r="AT21" s="442"/>
      <c r="AU21" s="442"/>
      <c r="AV21" s="442" t="s">
        <v>492</v>
      </c>
      <c r="AW21" s="442"/>
      <c r="AX21" s="442"/>
      <c r="AY21" s="442"/>
    </row>
    <row r="22" spans="1:51" ht="18.75" customHeight="1">
      <c r="A22" s="253"/>
      <c r="B22" s="443" t="str">
        <f>Calcu!C24</f>
        <v/>
      </c>
      <c r="C22" s="444"/>
      <c r="D22" s="444"/>
      <c r="E22" s="444"/>
      <c r="F22" s="445"/>
      <c r="G22" s="443">
        <f>G8</f>
        <v>0</v>
      </c>
      <c r="H22" s="444"/>
      <c r="I22" s="444"/>
      <c r="J22" s="444"/>
      <c r="K22" s="445"/>
      <c r="L22" s="443" t="str">
        <f>Calcu!E24</f>
        <v/>
      </c>
      <c r="M22" s="444"/>
      <c r="N22" s="444"/>
      <c r="O22" s="445"/>
      <c r="P22" s="443" t="str">
        <f>Calcu!F24</f>
        <v/>
      </c>
      <c r="Q22" s="444"/>
      <c r="R22" s="444"/>
      <c r="S22" s="445"/>
      <c r="T22" s="443" t="str">
        <f>Calcu!G24</f>
        <v/>
      </c>
      <c r="U22" s="444"/>
      <c r="V22" s="444"/>
      <c r="W22" s="445"/>
      <c r="X22" s="443" t="str">
        <f>Calcu!H24</f>
        <v/>
      </c>
      <c r="Y22" s="444"/>
      <c r="Z22" s="444"/>
      <c r="AA22" s="445"/>
      <c r="AB22" s="443" t="str">
        <f>Calcu!I24</f>
        <v/>
      </c>
      <c r="AC22" s="444"/>
      <c r="AD22" s="444"/>
      <c r="AE22" s="445"/>
      <c r="AF22" s="443" t="str">
        <f>Calcu!J24</f>
        <v/>
      </c>
      <c r="AG22" s="444"/>
      <c r="AH22" s="444"/>
      <c r="AI22" s="445"/>
      <c r="AJ22" s="443" t="str">
        <f>Calcu!K24</f>
        <v/>
      </c>
      <c r="AK22" s="444"/>
      <c r="AL22" s="444"/>
      <c r="AM22" s="445"/>
      <c r="AN22" s="443" t="str">
        <f>Calcu!L24</f>
        <v/>
      </c>
      <c r="AO22" s="444"/>
      <c r="AP22" s="444"/>
      <c r="AQ22" s="445"/>
      <c r="AR22" s="443" t="str">
        <f>Calcu!M24</f>
        <v/>
      </c>
      <c r="AS22" s="444"/>
      <c r="AT22" s="444"/>
      <c r="AU22" s="445"/>
      <c r="AV22" s="443" t="str">
        <f>Calcu!N24</f>
        <v/>
      </c>
      <c r="AW22" s="444"/>
      <c r="AX22" s="444"/>
      <c r="AY22" s="445"/>
    </row>
    <row r="23" spans="1:51" ht="18.75" customHeight="1">
      <c r="A23" s="253"/>
      <c r="B23" s="443" t="str">
        <f>Calcu!C25</f>
        <v/>
      </c>
      <c r="C23" s="444"/>
      <c r="D23" s="444"/>
      <c r="E23" s="444"/>
      <c r="F23" s="445"/>
      <c r="G23" s="443">
        <f t="shared" ref="G23:G31" si="0">G9</f>
        <v>0</v>
      </c>
      <c r="H23" s="444"/>
      <c r="I23" s="444"/>
      <c r="J23" s="444"/>
      <c r="K23" s="445"/>
      <c r="L23" s="443" t="str">
        <f>Calcu!E25</f>
        <v/>
      </c>
      <c r="M23" s="444"/>
      <c r="N23" s="444"/>
      <c r="O23" s="445"/>
      <c r="P23" s="443" t="str">
        <f>Calcu!F25</f>
        <v/>
      </c>
      <c r="Q23" s="444"/>
      <c r="R23" s="444"/>
      <c r="S23" s="445"/>
      <c r="T23" s="443" t="str">
        <f>Calcu!G25</f>
        <v/>
      </c>
      <c r="U23" s="444"/>
      <c r="V23" s="444"/>
      <c r="W23" s="445"/>
      <c r="X23" s="443" t="str">
        <f>Calcu!H25</f>
        <v/>
      </c>
      <c r="Y23" s="444"/>
      <c r="Z23" s="444"/>
      <c r="AA23" s="445"/>
      <c r="AB23" s="443" t="str">
        <f>Calcu!I25</f>
        <v/>
      </c>
      <c r="AC23" s="444"/>
      <c r="AD23" s="444"/>
      <c r="AE23" s="445"/>
      <c r="AF23" s="443" t="str">
        <f>Calcu!J25</f>
        <v/>
      </c>
      <c r="AG23" s="444"/>
      <c r="AH23" s="444"/>
      <c r="AI23" s="445"/>
      <c r="AJ23" s="443" t="str">
        <f>Calcu!K25</f>
        <v/>
      </c>
      <c r="AK23" s="444"/>
      <c r="AL23" s="444"/>
      <c r="AM23" s="445"/>
      <c r="AN23" s="443" t="str">
        <f>Calcu!L25</f>
        <v/>
      </c>
      <c r="AO23" s="444"/>
      <c r="AP23" s="444"/>
      <c r="AQ23" s="445"/>
      <c r="AR23" s="443" t="str">
        <f>Calcu!M25</f>
        <v/>
      </c>
      <c r="AS23" s="444"/>
      <c r="AT23" s="444"/>
      <c r="AU23" s="445"/>
      <c r="AV23" s="443" t="str">
        <f>Calcu!N25</f>
        <v/>
      </c>
      <c r="AW23" s="444"/>
      <c r="AX23" s="444"/>
      <c r="AY23" s="445"/>
    </row>
    <row r="24" spans="1:51" ht="18.75" customHeight="1">
      <c r="A24" s="253"/>
      <c r="B24" s="443" t="str">
        <f>Calcu!C26</f>
        <v/>
      </c>
      <c r="C24" s="444"/>
      <c r="D24" s="444"/>
      <c r="E24" s="444"/>
      <c r="F24" s="445"/>
      <c r="G24" s="443">
        <f t="shared" si="0"/>
        <v>0</v>
      </c>
      <c r="H24" s="444"/>
      <c r="I24" s="444"/>
      <c r="J24" s="444"/>
      <c r="K24" s="445"/>
      <c r="L24" s="443" t="str">
        <f>Calcu!E26</f>
        <v/>
      </c>
      <c r="M24" s="444"/>
      <c r="N24" s="444"/>
      <c r="O24" s="445"/>
      <c r="P24" s="443" t="str">
        <f>Calcu!F26</f>
        <v/>
      </c>
      <c r="Q24" s="444"/>
      <c r="R24" s="444"/>
      <c r="S24" s="445"/>
      <c r="T24" s="443" t="str">
        <f>Calcu!G26</f>
        <v/>
      </c>
      <c r="U24" s="444"/>
      <c r="V24" s="444"/>
      <c r="W24" s="445"/>
      <c r="X24" s="443" t="str">
        <f>Calcu!H26</f>
        <v/>
      </c>
      <c r="Y24" s="444"/>
      <c r="Z24" s="444"/>
      <c r="AA24" s="445"/>
      <c r="AB24" s="443" t="str">
        <f>Calcu!I26</f>
        <v/>
      </c>
      <c r="AC24" s="444"/>
      <c r="AD24" s="444"/>
      <c r="AE24" s="445"/>
      <c r="AF24" s="443" t="str">
        <f>Calcu!J26</f>
        <v/>
      </c>
      <c r="AG24" s="444"/>
      <c r="AH24" s="444"/>
      <c r="AI24" s="445"/>
      <c r="AJ24" s="443" t="str">
        <f>Calcu!K26</f>
        <v/>
      </c>
      <c r="AK24" s="444"/>
      <c r="AL24" s="444"/>
      <c r="AM24" s="445"/>
      <c r="AN24" s="443" t="str">
        <f>Calcu!L26</f>
        <v/>
      </c>
      <c r="AO24" s="444"/>
      <c r="AP24" s="444"/>
      <c r="AQ24" s="445"/>
      <c r="AR24" s="443" t="str">
        <f>Calcu!M26</f>
        <v/>
      </c>
      <c r="AS24" s="444"/>
      <c r="AT24" s="444"/>
      <c r="AU24" s="445"/>
      <c r="AV24" s="443" t="str">
        <f>Calcu!N26</f>
        <v/>
      </c>
      <c r="AW24" s="444"/>
      <c r="AX24" s="444"/>
      <c r="AY24" s="445"/>
    </row>
    <row r="25" spans="1:51" ht="18.75" customHeight="1">
      <c r="A25" s="253"/>
      <c r="B25" s="443" t="str">
        <f>Calcu!C27</f>
        <v/>
      </c>
      <c r="C25" s="444"/>
      <c r="D25" s="444"/>
      <c r="E25" s="444"/>
      <c r="F25" s="445"/>
      <c r="G25" s="443">
        <f t="shared" si="0"/>
        <v>0</v>
      </c>
      <c r="H25" s="444"/>
      <c r="I25" s="444"/>
      <c r="J25" s="444"/>
      <c r="K25" s="445"/>
      <c r="L25" s="443" t="str">
        <f>Calcu!E27</f>
        <v/>
      </c>
      <c r="M25" s="444"/>
      <c r="N25" s="444"/>
      <c r="O25" s="445"/>
      <c r="P25" s="443" t="str">
        <f>Calcu!F27</f>
        <v/>
      </c>
      <c r="Q25" s="444"/>
      <c r="R25" s="444"/>
      <c r="S25" s="445"/>
      <c r="T25" s="443" t="str">
        <f>Calcu!G27</f>
        <v/>
      </c>
      <c r="U25" s="444"/>
      <c r="V25" s="444"/>
      <c r="W25" s="445"/>
      <c r="X25" s="443" t="str">
        <f>Calcu!H27</f>
        <v/>
      </c>
      <c r="Y25" s="444"/>
      <c r="Z25" s="444"/>
      <c r="AA25" s="445"/>
      <c r="AB25" s="443" t="str">
        <f>Calcu!I27</f>
        <v/>
      </c>
      <c r="AC25" s="444"/>
      <c r="AD25" s="444"/>
      <c r="AE25" s="445"/>
      <c r="AF25" s="443" t="str">
        <f>Calcu!J27</f>
        <v/>
      </c>
      <c r="AG25" s="444"/>
      <c r="AH25" s="444"/>
      <c r="AI25" s="445"/>
      <c r="AJ25" s="443" t="str">
        <f>Calcu!K27</f>
        <v/>
      </c>
      <c r="AK25" s="444"/>
      <c r="AL25" s="444"/>
      <c r="AM25" s="445"/>
      <c r="AN25" s="443" t="str">
        <f>Calcu!L27</f>
        <v/>
      </c>
      <c r="AO25" s="444"/>
      <c r="AP25" s="444"/>
      <c r="AQ25" s="445"/>
      <c r="AR25" s="443" t="str">
        <f>Calcu!M27</f>
        <v/>
      </c>
      <c r="AS25" s="444"/>
      <c r="AT25" s="444"/>
      <c r="AU25" s="445"/>
      <c r="AV25" s="443" t="str">
        <f>Calcu!N27</f>
        <v/>
      </c>
      <c r="AW25" s="444"/>
      <c r="AX25" s="444"/>
      <c r="AY25" s="445"/>
    </row>
    <row r="26" spans="1:51" ht="18.75" customHeight="1">
      <c r="A26" s="253"/>
      <c r="B26" s="443" t="str">
        <f>Calcu!C28</f>
        <v/>
      </c>
      <c r="C26" s="444"/>
      <c r="D26" s="444"/>
      <c r="E26" s="444"/>
      <c r="F26" s="445"/>
      <c r="G26" s="443">
        <f t="shared" si="0"/>
        <v>0</v>
      </c>
      <c r="H26" s="444"/>
      <c r="I26" s="444"/>
      <c r="J26" s="444"/>
      <c r="K26" s="445"/>
      <c r="L26" s="443" t="str">
        <f>Calcu!E28</f>
        <v/>
      </c>
      <c r="M26" s="444"/>
      <c r="N26" s="444"/>
      <c r="O26" s="445"/>
      <c r="P26" s="443" t="str">
        <f>Calcu!F28</f>
        <v/>
      </c>
      <c r="Q26" s="444"/>
      <c r="R26" s="444"/>
      <c r="S26" s="445"/>
      <c r="T26" s="443" t="str">
        <f>Calcu!G28</f>
        <v/>
      </c>
      <c r="U26" s="444"/>
      <c r="V26" s="444"/>
      <c r="W26" s="445"/>
      <c r="X26" s="443" t="str">
        <f>Calcu!H28</f>
        <v/>
      </c>
      <c r="Y26" s="444"/>
      <c r="Z26" s="444"/>
      <c r="AA26" s="445"/>
      <c r="AB26" s="443" t="str">
        <f>Calcu!I28</f>
        <v/>
      </c>
      <c r="AC26" s="444"/>
      <c r="AD26" s="444"/>
      <c r="AE26" s="445"/>
      <c r="AF26" s="443" t="str">
        <f>Calcu!J28</f>
        <v/>
      </c>
      <c r="AG26" s="444"/>
      <c r="AH26" s="444"/>
      <c r="AI26" s="445"/>
      <c r="AJ26" s="443" t="str">
        <f>Calcu!K28</f>
        <v/>
      </c>
      <c r="AK26" s="444"/>
      <c r="AL26" s="444"/>
      <c r="AM26" s="445"/>
      <c r="AN26" s="443" t="str">
        <f>Calcu!L28</f>
        <v/>
      </c>
      <c r="AO26" s="444"/>
      <c r="AP26" s="444"/>
      <c r="AQ26" s="445"/>
      <c r="AR26" s="443" t="str">
        <f>Calcu!M28</f>
        <v/>
      </c>
      <c r="AS26" s="444"/>
      <c r="AT26" s="444"/>
      <c r="AU26" s="445"/>
      <c r="AV26" s="443" t="str">
        <f>Calcu!N28</f>
        <v/>
      </c>
      <c r="AW26" s="444"/>
      <c r="AX26" s="444"/>
      <c r="AY26" s="445"/>
    </row>
    <row r="27" spans="1:51" ht="18.75" customHeight="1">
      <c r="A27" s="253"/>
      <c r="B27" s="443" t="str">
        <f>Calcu!C29</f>
        <v/>
      </c>
      <c r="C27" s="444"/>
      <c r="D27" s="444"/>
      <c r="E27" s="444"/>
      <c r="F27" s="445"/>
      <c r="G27" s="443">
        <f t="shared" si="0"/>
        <v>0</v>
      </c>
      <c r="H27" s="444"/>
      <c r="I27" s="444"/>
      <c r="J27" s="444"/>
      <c r="K27" s="445"/>
      <c r="L27" s="443" t="str">
        <f>Calcu!E29</f>
        <v/>
      </c>
      <c r="M27" s="444"/>
      <c r="N27" s="444"/>
      <c r="O27" s="445"/>
      <c r="P27" s="443" t="str">
        <f>Calcu!F29</f>
        <v/>
      </c>
      <c r="Q27" s="444"/>
      <c r="R27" s="444"/>
      <c r="S27" s="445"/>
      <c r="T27" s="443" t="str">
        <f>Calcu!G29</f>
        <v/>
      </c>
      <c r="U27" s="444"/>
      <c r="V27" s="444"/>
      <c r="W27" s="445"/>
      <c r="X27" s="443" t="str">
        <f>Calcu!H29</f>
        <v/>
      </c>
      <c r="Y27" s="444"/>
      <c r="Z27" s="444"/>
      <c r="AA27" s="445"/>
      <c r="AB27" s="443" t="str">
        <f>Calcu!I29</f>
        <v/>
      </c>
      <c r="AC27" s="444"/>
      <c r="AD27" s="444"/>
      <c r="AE27" s="445"/>
      <c r="AF27" s="443" t="str">
        <f>Calcu!J29</f>
        <v/>
      </c>
      <c r="AG27" s="444"/>
      <c r="AH27" s="444"/>
      <c r="AI27" s="445"/>
      <c r="AJ27" s="443" t="str">
        <f>Calcu!K29</f>
        <v/>
      </c>
      <c r="AK27" s="444"/>
      <c r="AL27" s="444"/>
      <c r="AM27" s="445"/>
      <c r="AN27" s="443" t="str">
        <f>Calcu!L29</f>
        <v/>
      </c>
      <c r="AO27" s="444"/>
      <c r="AP27" s="444"/>
      <c r="AQ27" s="445"/>
      <c r="AR27" s="443" t="str">
        <f>Calcu!M29</f>
        <v/>
      </c>
      <c r="AS27" s="444"/>
      <c r="AT27" s="444"/>
      <c r="AU27" s="445"/>
      <c r="AV27" s="443" t="str">
        <f>Calcu!N29</f>
        <v/>
      </c>
      <c r="AW27" s="444"/>
      <c r="AX27" s="444"/>
      <c r="AY27" s="445"/>
    </row>
    <row r="28" spans="1:51" ht="18.75" customHeight="1">
      <c r="A28" s="253"/>
      <c r="B28" s="443" t="str">
        <f>Calcu!C30</f>
        <v/>
      </c>
      <c r="C28" s="444"/>
      <c r="D28" s="444"/>
      <c r="E28" s="444"/>
      <c r="F28" s="445"/>
      <c r="G28" s="443">
        <f t="shared" si="0"/>
        <v>0</v>
      </c>
      <c r="H28" s="444"/>
      <c r="I28" s="444"/>
      <c r="J28" s="444"/>
      <c r="K28" s="445"/>
      <c r="L28" s="443" t="str">
        <f>Calcu!E30</f>
        <v/>
      </c>
      <c r="M28" s="444"/>
      <c r="N28" s="444"/>
      <c r="O28" s="445"/>
      <c r="P28" s="443" t="str">
        <f>Calcu!F30</f>
        <v/>
      </c>
      <c r="Q28" s="444"/>
      <c r="R28" s="444"/>
      <c r="S28" s="445"/>
      <c r="T28" s="443" t="str">
        <f>Calcu!G30</f>
        <v/>
      </c>
      <c r="U28" s="444"/>
      <c r="V28" s="444"/>
      <c r="W28" s="445"/>
      <c r="X28" s="443" t="str">
        <f>Calcu!H30</f>
        <v/>
      </c>
      <c r="Y28" s="444"/>
      <c r="Z28" s="444"/>
      <c r="AA28" s="445"/>
      <c r="AB28" s="443" t="str">
        <f>Calcu!I30</f>
        <v/>
      </c>
      <c r="AC28" s="444"/>
      <c r="AD28" s="444"/>
      <c r="AE28" s="445"/>
      <c r="AF28" s="443" t="str">
        <f>Calcu!J30</f>
        <v/>
      </c>
      <c r="AG28" s="444"/>
      <c r="AH28" s="444"/>
      <c r="AI28" s="445"/>
      <c r="AJ28" s="443" t="str">
        <f>Calcu!K30</f>
        <v/>
      </c>
      <c r="AK28" s="444"/>
      <c r="AL28" s="444"/>
      <c r="AM28" s="445"/>
      <c r="AN28" s="443" t="str">
        <f>Calcu!L30</f>
        <v/>
      </c>
      <c r="AO28" s="444"/>
      <c r="AP28" s="444"/>
      <c r="AQ28" s="445"/>
      <c r="AR28" s="443" t="str">
        <f>Calcu!M30</f>
        <v/>
      </c>
      <c r="AS28" s="444"/>
      <c r="AT28" s="444"/>
      <c r="AU28" s="445"/>
      <c r="AV28" s="443" t="str">
        <f>Calcu!N30</f>
        <v/>
      </c>
      <c r="AW28" s="444"/>
      <c r="AX28" s="444"/>
      <c r="AY28" s="445"/>
    </row>
    <row r="29" spans="1:51" ht="18.75" customHeight="1">
      <c r="A29" s="253"/>
      <c r="B29" s="443" t="str">
        <f>Calcu!C31</f>
        <v/>
      </c>
      <c r="C29" s="444"/>
      <c r="D29" s="444"/>
      <c r="E29" s="444"/>
      <c r="F29" s="445"/>
      <c r="G29" s="443">
        <f t="shared" si="0"/>
        <v>0</v>
      </c>
      <c r="H29" s="444"/>
      <c r="I29" s="444"/>
      <c r="J29" s="444"/>
      <c r="K29" s="445"/>
      <c r="L29" s="443" t="str">
        <f>Calcu!E31</f>
        <v/>
      </c>
      <c r="M29" s="444"/>
      <c r="N29" s="444"/>
      <c r="O29" s="445"/>
      <c r="P29" s="443" t="str">
        <f>Calcu!F31</f>
        <v/>
      </c>
      <c r="Q29" s="444"/>
      <c r="R29" s="444"/>
      <c r="S29" s="445"/>
      <c r="T29" s="443" t="str">
        <f>Calcu!G31</f>
        <v/>
      </c>
      <c r="U29" s="444"/>
      <c r="V29" s="444"/>
      <c r="W29" s="445"/>
      <c r="X29" s="443" t="str">
        <f>Calcu!H31</f>
        <v/>
      </c>
      <c r="Y29" s="444"/>
      <c r="Z29" s="444"/>
      <c r="AA29" s="445"/>
      <c r="AB29" s="443" t="str">
        <f>Calcu!I31</f>
        <v/>
      </c>
      <c r="AC29" s="444"/>
      <c r="AD29" s="444"/>
      <c r="AE29" s="445"/>
      <c r="AF29" s="443" t="str">
        <f>Calcu!J31</f>
        <v/>
      </c>
      <c r="AG29" s="444"/>
      <c r="AH29" s="444"/>
      <c r="AI29" s="445"/>
      <c r="AJ29" s="443" t="str">
        <f>Calcu!K31</f>
        <v/>
      </c>
      <c r="AK29" s="444"/>
      <c r="AL29" s="444"/>
      <c r="AM29" s="445"/>
      <c r="AN29" s="443" t="str">
        <f>Calcu!L31</f>
        <v/>
      </c>
      <c r="AO29" s="444"/>
      <c r="AP29" s="444"/>
      <c r="AQ29" s="445"/>
      <c r="AR29" s="443" t="str">
        <f>Calcu!M31</f>
        <v/>
      </c>
      <c r="AS29" s="444"/>
      <c r="AT29" s="444"/>
      <c r="AU29" s="445"/>
      <c r="AV29" s="443" t="str">
        <f>Calcu!N31</f>
        <v/>
      </c>
      <c r="AW29" s="444"/>
      <c r="AX29" s="444"/>
      <c r="AY29" s="445"/>
    </row>
    <row r="30" spans="1:51" ht="18.75" customHeight="1">
      <c r="A30" s="253"/>
      <c r="B30" s="443" t="str">
        <f>Calcu!C32</f>
        <v/>
      </c>
      <c r="C30" s="444"/>
      <c r="D30" s="444"/>
      <c r="E30" s="444"/>
      <c r="F30" s="445"/>
      <c r="G30" s="443">
        <f t="shared" si="0"/>
        <v>0</v>
      </c>
      <c r="H30" s="444"/>
      <c r="I30" s="444"/>
      <c r="J30" s="444"/>
      <c r="K30" s="445"/>
      <c r="L30" s="443" t="str">
        <f>Calcu!E32</f>
        <v/>
      </c>
      <c r="M30" s="444"/>
      <c r="N30" s="444"/>
      <c r="O30" s="445"/>
      <c r="P30" s="443" t="str">
        <f>Calcu!F32</f>
        <v/>
      </c>
      <c r="Q30" s="444"/>
      <c r="R30" s="444"/>
      <c r="S30" s="445"/>
      <c r="T30" s="443" t="str">
        <f>Calcu!G32</f>
        <v/>
      </c>
      <c r="U30" s="444"/>
      <c r="V30" s="444"/>
      <c r="W30" s="445"/>
      <c r="X30" s="443" t="str">
        <f>Calcu!H32</f>
        <v/>
      </c>
      <c r="Y30" s="444"/>
      <c r="Z30" s="444"/>
      <c r="AA30" s="445"/>
      <c r="AB30" s="443" t="str">
        <f>Calcu!I32</f>
        <v/>
      </c>
      <c r="AC30" s="444"/>
      <c r="AD30" s="444"/>
      <c r="AE30" s="445"/>
      <c r="AF30" s="443" t="str">
        <f>Calcu!J32</f>
        <v/>
      </c>
      <c r="AG30" s="444"/>
      <c r="AH30" s="444"/>
      <c r="AI30" s="445"/>
      <c r="AJ30" s="443" t="str">
        <f>Calcu!K32</f>
        <v/>
      </c>
      <c r="AK30" s="444"/>
      <c r="AL30" s="444"/>
      <c r="AM30" s="445"/>
      <c r="AN30" s="443" t="str">
        <f>Calcu!L32</f>
        <v/>
      </c>
      <c r="AO30" s="444"/>
      <c r="AP30" s="444"/>
      <c r="AQ30" s="445"/>
      <c r="AR30" s="443" t="str">
        <f>Calcu!M32</f>
        <v/>
      </c>
      <c r="AS30" s="444"/>
      <c r="AT30" s="444"/>
      <c r="AU30" s="445"/>
      <c r="AV30" s="443" t="str">
        <f>Calcu!N32</f>
        <v/>
      </c>
      <c r="AW30" s="444"/>
      <c r="AX30" s="444"/>
      <c r="AY30" s="445"/>
    </row>
    <row r="31" spans="1:51" ht="18.75" customHeight="1">
      <c r="A31" s="253"/>
      <c r="B31" s="443" t="str">
        <f>Calcu!C33</f>
        <v/>
      </c>
      <c r="C31" s="444"/>
      <c r="D31" s="444"/>
      <c r="E31" s="444"/>
      <c r="F31" s="445"/>
      <c r="G31" s="443">
        <f t="shared" si="0"/>
        <v>0</v>
      </c>
      <c r="H31" s="444"/>
      <c r="I31" s="444"/>
      <c r="J31" s="444"/>
      <c r="K31" s="445"/>
      <c r="L31" s="443" t="str">
        <f>Calcu!E33</f>
        <v/>
      </c>
      <c r="M31" s="444"/>
      <c r="N31" s="444"/>
      <c r="O31" s="445"/>
      <c r="P31" s="443" t="str">
        <f>Calcu!F33</f>
        <v/>
      </c>
      <c r="Q31" s="444"/>
      <c r="R31" s="444"/>
      <c r="S31" s="445"/>
      <c r="T31" s="443" t="str">
        <f>Calcu!G33</f>
        <v/>
      </c>
      <c r="U31" s="444"/>
      <c r="V31" s="444"/>
      <c r="W31" s="445"/>
      <c r="X31" s="443" t="str">
        <f>Calcu!H33</f>
        <v/>
      </c>
      <c r="Y31" s="444"/>
      <c r="Z31" s="444"/>
      <c r="AA31" s="445"/>
      <c r="AB31" s="443" t="str">
        <f>Calcu!I33</f>
        <v/>
      </c>
      <c r="AC31" s="444"/>
      <c r="AD31" s="444"/>
      <c r="AE31" s="445"/>
      <c r="AF31" s="443" t="str">
        <f>Calcu!J33</f>
        <v/>
      </c>
      <c r="AG31" s="444"/>
      <c r="AH31" s="444"/>
      <c r="AI31" s="445"/>
      <c r="AJ31" s="443" t="str">
        <f>Calcu!K33</f>
        <v/>
      </c>
      <c r="AK31" s="444"/>
      <c r="AL31" s="444"/>
      <c r="AM31" s="445"/>
      <c r="AN31" s="443" t="str">
        <f>Calcu!L33</f>
        <v/>
      </c>
      <c r="AO31" s="444"/>
      <c r="AP31" s="444"/>
      <c r="AQ31" s="445"/>
      <c r="AR31" s="443" t="str">
        <f>Calcu!M33</f>
        <v/>
      </c>
      <c r="AS31" s="444"/>
      <c r="AT31" s="444"/>
      <c r="AU31" s="445"/>
      <c r="AV31" s="443" t="str">
        <f>Calcu!N33</f>
        <v/>
      </c>
      <c r="AW31" s="444"/>
      <c r="AX31" s="444"/>
      <c r="AY31" s="445"/>
    </row>
    <row r="32" spans="1:51" ht="18.75" customHeight="1">
      <c r="A32" s="253"/>
      <c r="B32" s="316"/>
      <c r="C32" s="316"/>
      <c r="D32" s="316"/>
      <c r="E32" s="316"/>
      <c r="F32" s="316"/>
      <c r="G32" s="316"/>
      <c r="H32" s="316"/>
      <c r="I32" s="316"/>
      <c r="J32" s="316"/>
      <c r="K32" s="316"/>
      <c r="L32" s="316"/>
      <c r="M32" s="316"/>
      <c r="N32" s="316"/>
      <c r="O32" s="316"/>
      <c r="P32" s="316"/>
      <c r="Q32" s="316"/>
      <c r="R32" s="316"/>
      <c r="S32" s="316"/>
      <c r="T32" s="316"/>
      <c r="U32" s="316"/>
      <c r="V32" s="316"/>
      <c r="W32" s="316"/>
      <c r="X32" s="316"/>
      <c r="Y32" s="316"/>
      <c r="Z32" s="316"/>
      <c r="AA32" s="316"/>
      <c r="AB32" s="316"/>
      <c r="AC32" s="316"/>
      <c r="AD32" s="316"/>
      <c r="AE32" s="316"/>
      <c r="AF32" s="316"/>
      <c r="AG32" s="316"/>
      <c r="AH32" s="316"/>
      <c r="AI32" s="316"/>
      <c r="AJ32" s="316"/>
      <c r="AK32" s="316"/>
      <c r="AL32" s="316"/>
      <c r="AM32" s="316"/>
      <c r="AN32" s="316"/>
      <c r="AO32" s="316"/>
      <c r="AP32" s="316"/>
      <c r="AQ32" s="316"/>
      <c r="AR32" s="316"/>
      <c r="AS32" s="316"/>
      <c r="AT32" s="316"/>
    </row>
    <row r="33" spans="1:62" ht="18.75" customHeight="1">
      <c r="A33" s="253" t="s">
        <v>645</v>
      </c>
      <c r="B33" s="316"/>
      <c r="C33" s="316"/>
      <c r="D33" s="316"/>
      <c r="E33" s="316"/>
      <c r="F33" s="316"/>
      <c r="G33" s="316"/>
      <c r="H33" s="316"/>
      <c r="I33" s="316"/>
      <c r="J33" s="316"/>
      <c r="K33" s="316"/>
      <c r="L33" s="316"/>
      <c r="M33" s="316"/>
      <c r="N33" s="316"/>
      <c r="O33" s="316"/>
      <c r="P33" s="316"/>
      <c r="Q33" s="316"/>
      <c r="R33" s="316"/>
      <c r="S33" s="316"/>
      <c r="T33" s="316"/>
      <c r="U33" s="316"/>
      <c r="V33" s="316"/>
      <c r="W33" s="316"/>
      <c r="X33" s="316"/>
      <c r="Y33" s="316"/>
      <c r="Z33" s="316"/>
      <c r="AA33" s="316"/>
      <c r="AB33" s="316"/>
      <c r="AC33" s="316"/>
      <c r="AD33" s="316"/>
      <c r="AE33" s="316"/>
      <c r="AF33" s="316"/>
      <c r="AG33" s="316"/>
      <c r="AH33" s="316"/>
      <c r="AI33" s="316"/>
      <c r="AJ33" s="316"/>
      <c r="AK33" s="316"/>
      <c r="AL33" s="316"/>
      <c r="AM33" s="316"/>
      <c r="AN33" s="316"/>
      <c r="AO33" s="316"/>
      <c r="AP33" s="316"/>
      <c r="AQ33" s="316"/>
      <c r="AR33" s="316"/>
    </row>
    <row r="34" spans="1:62" ht="18.75" customHeight="1">
      <c r="A34" s="253"/>
      <c r="B34" s="446" t="s">
        <v>646</v>
      </c>
      <c r="C34" s="447"/>
      <c r="D34" s="447"/>
      <c r="E34" s="447"/>
      <c r="F34" s="448"/>
      <c r="G34" s="460" t="s">
        <v>647</v>
      </c>
      <c r="H34" s="456"/>
      <c r="I34" s="456"/>
      <c r="J34" s="456"/>
      <c r="K34" s="456"/>
      <c r="L34" s="456"/>
      <c r="M34" s="456"/>
      <c r="N34" s="456"/>
      <c r="O34" s="456"/>
      <c r="P34" s="456"/>
      <c r="Q34" s="456"/>
      <c r="R34" s="456"/>
      <c r="S34" s="456"/>
      <c r="T34" s="456"/>
      <c r="U34" s="456"/>
      <c r="V34" s="456"/>
      <c r="W34" s="456"/>
      <c r="X34" s="456"/>
      <c r="Y34" s="456"/>
      <c r="Z34" s="456"/>
      <c r="AA34" s="456"/>
      <c r="AB34" s="456"/>
      <c r="AC34" s="456"/>
      <c r="AD34" s="456"/>
      <c r="AE34" s="456"/>
      <c r="AF34" s="456"/>
      <c r="AG34" s="456"/>
      <c r="AH34" s="456"/>
      <c r="AI34" s="456"/>
      <c r="AJ34" s="456"/>
      <c r="AK34" s="456"/>
      <c r="AL34" s="456"/>
      <c r="AM34" s="456"/>
      <c r="AN34" s="456"/>
      <c r="AO34" s="456"/>
      <c r="AP34" s="456"/>
      <c r="AQ34" s="456"/>
      <c r="AR34" s="456"/>
      <c r="AS34" s="456"/>
      <c r="AT34" s="456"/>
      <c r="AU34" s="456"/>
      <c r="AV34" s="456"/>
      <c r="AW34" s="456"/>
      <c r="AX34" s="456"/>
      <c r="AY34" s="456"/>
      <c r="AZ34" s="456"/>
      <c r="BA34" s="456"/>
      <c r="BB34" s="456"/>
      <c r="BC34" s="456"/>
      <c r="BD34" s="456"/>
      <c r="BE34" s="456"/>
      <c r="BF34" s="456"/>
      <c r="BG34" s="456"/>
      <c r="BH34" s="456"/>
      <c r="BI34" s="456"/>
      <c r="BJ34" s="457"/>
    </row>
    <row r="35" spans="1:62" ht="18.75" customHeight="1">
      <c r="A35" s="253"/>
      <c r="B35" s="449"/>
      <c r="C35" s="450"/>
      <c r="D35" s="450"/>
      <c r="E35" s="450"/>
      <c r="F35" s="451"/>
      <c r="G35" s="442" t="s">
        <v>648</v>
      </c>
      <c r="H35" s="442"/>
      <c r="I35" s="442"/>
      <c r="J35" s="442"/>
      <c r="K35" s="442"/>
      <c r="L35" s="442"/>
      <c r="M35" s="442"/>
      <c r="N35" s="442"/>
      <c r="O35" s="442" t="s">
        <v>176</v>
      </c>
      <c r="P35" s="442"/>
      <c r="Q35" s="442"/>
      <c r="R35" s="442"/>
      <c r="S35" s="442"/>
      <c r="T35" s="442"/>
      <c r="U35" s="442"/>
      <c r="V35" s="442"/>
      <c r="W35" s="442" t="s">
        <v>177</v>
      </c>
      <c r="X35" s="442"/>
      <c r="Y35" s="442"/>
      <c r="Z35" s="442"/>
      <c r="AA35" s="442"/>
      <c r="AB35" s="442"/>
      <c r="AC35" s="442"/>
      <c r="AD35" s="442"/>
      <c r="AE35" s="442" t="s">
        <v>178</v>
      </c>
      <c r="AF35" s="442"/>
      <c r="AG35" s="442"/>
      <c r="AH35" s="442"/>
      <c r="AI35" s="442"/>
      <c r="AJ35" s="442"/>
      <c r="AK35" s="442"/>
      <c r="AL35" s="442"/>
      <c r="AM35" s="442" t="s">
        <v>179</v>
      </c>
      <c r="AN35" s="442"/>
      <c r="AO35" s="442"/>
      <c r="AP35" s="442"/>
      <c r="AQ35" s="442"/>
      <c r="AR35" s="442"/>
      <c r="AS35" s="442"/>
      <c r="AT35" s="442"/>
      <c r="AU35" s="442" t="s">
        <v>649</v>
      </c>
      <c r="AV35" s="442"/>
      <c r="AW35" s="442"/>
      <c r="AX35" s="442"/>
      <c r="AY35" s="442"/>
      <c r="AZ35" s="442"/>
      <c r="BA35" s="442"/>
      <c r="BB35" s="442"/>
      <c r="BC35" s="442" t="s">
        <v>650</v>
      </c>
      <c r="BD35" s="442"/>
      <c r="BE35" s="442"/>
      <c r="BF35" s="442"/>
      <c r="BG35" s="442"/>
      <c r="BH35" s="442"/>
      <c r="BI35" s="442"/>
      <c r="BJ35" s="442"/>
    </row>
    <row r="36" spans="1:62" ht="18.75" customHeight="1">
      <c r="A36" s="253"/>
      <c r="B36" s="455" t="str">
        <f>B7</f>
        <v>μm/m</v>
      </c>
      <c r="C36" s="458"/>
      <c r="D36" s="458"/>
      <c r="E36" s="458"/>
      <c r="F36" s="459"/>
      <c r="G36" s="442" t="s">
        <v>651</v>
      </c>
      <c r="H36" s="442"/>
      <c r="I36" s="442"/>
      <c r="J36" s="442"/>
      <c r="K36" s="442" t="s">
        <v>652</v>
      </c>
      <c r="L36" s="442"/>
      <c r="M36" s="442"/>
      <c r="N36" s="442"/>
      <c r="O36" s="442" t="s">
        <v>651</v>
      </c>
      <c r="P36" s="442"/>
      <c r="Q36" s="442"/>
      <c r="R36" s="442"/>
      <c r="S36" s="442" t="s">
        <v>652</v>
      </c>
      <c r="T36" s="442"/>
      <c r="U36" s="442"/>
      <c r="V36" s="442"/>
      <c r="W36" s="442" t="s">
        <v>255</v>
      </c>
      <c r="X36" s="442"/>
      <c r="Y36" s="442"/>
      <c r="Z36" s="442"/>
      <c r="AA36" s="442" t="s">
        <v>492</v>
      </c>
      <c r="AB36" s="442"/>
      <c r="AC36" s="442"/>
      <c r="AD36" s="442"/>
      <c r="AE36" s="442" t="s">
        <v>653</v>
      </c>
      <c r="AF36" s="442"/>
      <c r="AG36" s="442"/>
      <c r="AH36" s="442"/>
      <c r="AI36" s="442" t="s">
        <v>652</v>
      </c>
      <c r="AJ36" s="442"/>
      <c r="AK36" s="442"/>
      <c r="AL36" s="442"/>
      <c r="AM36" s="442" t="s">
        <v>651</v>
      </c>
      <c r="AN36" s="442"/>
      <c r="AO36" s="442"/>
      <c r="AP36" s="442"/>
      <c r="AQ36" s="442" t="s">
        <v>652</v>
      </c>
      <c r="AR36" s="442"/>
      <c r="AS36" s="442"/>
      <c r="AT36" s="442"/>
      <c r="AU36" s="442" t="s">
        <v>651</v>
      </c>
      <c r="AV36" s="442"/>
      <c r="AW36" s="442"/>
      <c r="AX36" s="442"/>
      <c r="AY36" s="442" t="s">
        <v>492</v>
      </c>
      <c r="AZ36" s="442"/>
      <c r="BA36" s="442"/>
      <c r="BB36" s="442"/>
      <c r="BC36" s="442" t="s">
        <v>651</v>
      </c>
      <c r="BD36" s="442"/>
      <c r="BE36" s="442"/>
      <c r="BF36" s="442"/>
      <c r="BG36" s="442" t="s">
        <v>652</v>
      </c>
      <c r="BH36" s="442"/>
      <c r="BI36" s="442"/>
      <c r="BJ36" s="442"/>
    </row>
    <row r="37" spans="1:62" ht="18.75" customHeight="1">
      <c r="A37" s="253"/>
      <c r="B37" s="443" t="str">
        <f t="shared" ref="B37:B46" si="1">B8</f>
        <v/>
      </c>
      <c r="C37" s="444"/>
      <c r="D37" s="444"/>
      <c r="E37" s="444"/>
      <c r="F37" s="445"/>
      <c r="G37" s="443" t="str">
        <f>Calcu!O10</f>
        <v/>
      </c>
      <c r="H37" s="444"/>
      <c r="I37" s="444"/>
      <c r="J37" s="445"/>
      <c r="K37" s="443" t="str">
        <f>Calcu!P10</f>
        <v/>
      </c>
      <c r="L37" s="444"/>
      <c r="M37" s="444"/>
      <c r="N37" s="445"/>
      <c r="O37" s="443" t="str">
        <f>Calcu!Q10</f>
        <v/>
      </c>
      <c r="P37" s="444"/>
      <c r="Q37" s="444"/>
      <c r="R37" s="445"/>
      <c r="S37" s="443" t="str">
        <f>Calcu!R10</f>
        <v/>
      </c>
      <c r="T37" s="444"/>
      <c r="U37" s="444"/>
      <c r="V37" s="445"/>
      <c r="W37" s="443" t="str">
        <f>Calcu!S10</f>
        <v/>
      </c>
      <c r="X37" s="444"/>
      <c r="Y37" s="444"/>
      <c r="Z37" s="445"/>
      <c r="AA37" s="443" t="str">
        <f>Calcu!T10</f>
        <v/>
      </c>
      <c r="AB37" s="444"/>
      <c r="AC37" s="444"/>
      <c r="AD37" s="445"/>
      <c r="AE37" s="443" t="str">
        <f>Calcu!U10</f>
        <v/>
      </c>
      <c r="AF37" s="444"/>
      <c r="AG37" s="444"/>
      <c r="AH37" s="445"/>
      <c r="AI37" s="443" t="str">
        <f>Calcu!V10</f>
        <v/>
      </c>
      <c r="AJ37" s="444"/>
      <c r="AK37" s="444"/>
      <c r="AL37" s="445"/>
      <c r="AM37" s="443" t="str">
        <f>Calcu!W10</f>
        <v/>
      </c>
      <c r="AN37" s="444"/>
      <c r="AO37" s="444"/>
      <c r="AP37" s="445"/>
      <c r="AQ37" s="443" t="str">
        <f>Calcu!X10</f>
        <v/>
      </c>
      <c r="AR37" s="444"/>
      <c r="AS37" s="444"/>
      <c r="AT37" s="445"/>
      <c r="AU37" s="443" t="str">
        <f>Calcu!Y10</f>
        <v/>
      </c>
      <c r="AV37" s="444"/>
      <c r="AW37" s="444"/>
      <c r="AX37" s="445"/>
      <c r="AY37" s="443" t="str">
        <f>Calcu!Z10</f>
        <v/>
      </c>
      <c r="AZ37" s="444"/>
      <c r="BA37" s="444"/>
      <c r="BB37" s="445"/>
      <c r="BC37" s="443" t="str">
        <f>Calcu!AA10</f>
        <v/>
      </c>
      <c r="BD37" s="444"/>
      <c r="BE37" s="444"/>
      <c r="BF37" s="445"/>
      <c r="BG37" s="443" t="str">
        <f>Calcu!AB10</f>
        <v/>
      </c>
      <c r="BH37" s="444"/>
      <c r="BI37" s="444"/>
      <c r="BJ37" s="445"/>
    </row>
    <row r="38" spans="1:62" ht="18.75" customHeight="1">
      <c r="A38" s="253"/>
      <c r="B38" s="443" t="str">
        <f t="shared" si="1"/>
        <v/>
      </c>
      <c r="C38" s="444"/>
      <c r="D38" s="444"/>
      <c r="E38" s="444"/>
      <c r="F38" s="445"/>
      <c r="G38" s="443" t="str">
        <f>Calcu!O11</f>
        <v/>
      </c>
      <c r="H38" s="444"/>
      <c r="I38" s="444"/>
      <c r="J38" s="445"/>
      <c r="K38" s="443" t="str">
        <f>Calcu!P11</f>
        <v/>
      </c>
      <c r="L38" s="444"/>
      <c r="M38" s="444"/>
      <c r="N38" s="445"/>
      <c r="O38" s="443" t="str">
        <f>Calcu!Q11</f>
        <v/>
      </c>
      <c r="P38" s="444"/>
      <c r="Q38" s="444"/>
      <c r="R38" s="445"/>
      <c r="S38" s="443" t="str">
        <f>Calcu!R11</f>
        <v/>
      </c>
      <c r="T38" s="444"/>
      <c r="U38" s="444"/>
      <c r="V38" s="445"/>
      <c r="W38" s="443" t="str">
        <f>Calcu!S11</f>
        <v/>
      </c>
      <c r="X38" s="444"/>
      <c r="Y38" s="444"/>
      <c r="Z38" s="445"/>
      <c r="AA38" s="443" t="str">
        <f>Calcu!T11</f>
        <v/>
      </c>
      <c r="AB38" s="444"/>
      <c r="AC38" s="444"/>
      <c r="AD38" s="445"/>
      <c r="AE38" s="443" t="str">
        <f>Calcu!U11</f>
        <v/>
      </c>
      <c r="AF38" s="444"/>
      <c r="AG38" s="444"/>
      <c r="AH38" s="445"/>
      <c r="AI38" s="443" t="str">
        <f>Calcu!V11</f>
        <v/>
      </c>
      <c r="AJ38" s="444"/>
      <c r="AK38" s="444"/>
      <c r="AL38" s="445"/>
      <c r="AM38" s="443" t="str">
        <f>Calcu!W11</f>
        <v/>
      </c>
      <c r="AN38" s="444"/>
      <c r="AO38" s="444"/>
      <c r="AP38" s="445"/>
      <c r="AQ38" s="443" t="str">
        <f>Calcu!X11</f>
        <v/>
      </c>
      <c r="AR38" s="444"/>
      <c r="AS38" s="444"/>
      <c r="AT38" s="445"/>
      <c r="AU38" s="443" t="str">
        <f>Calcu!Y11</f>
        <v/>
      </c>
      <c r="AV38" s="444"/>
      <c r="AW38" s="444"/>
      <c r="AX38" s="445"/>
      <c r="AY38" s="443" t="str">
        <f>Calcu!Z11</f>
        <v/>
      </c>
      <c r="AZ38" s="444"/>
      <c r="BA38" s="444"/>
      <c r="BB38" s="445"/>
      <c r="BC38" s="443" t="str">
        <f>Calcu!AA11</f>
        <v/>
      </c>
      <c r="BD38" s="444"/>
      <c r="BE38" s="444"/>
      <c r="BF38" s="445"/>
      <c r="BG38" s="443" t="str">
        <f>Calcu!AB11</f>
        <v/>
      </c>
      <c r="BH38" s="444"/>
      <c r="BI38" s="444"/>
      <c r="BJ38" s="445"/>
    </row>
    <row r="39" spans="1:62" ht="18.75" customHeight="1">
      <c r="A39" s="253"/>
      <c r="B39" s="443" t="str">
        <f t="shared" si="1"/>
        <v/>
      </c>
      <c r="C39" s="444"/>
      <c r="D39" s="444"/>
      <c r="E39" s="444"/>
      <c r="F39" s="445"/>
      <c r="G39" s="443" t="str">
        <f>Calcu!O12</f>
        <v/>
      </c>
      <c r="H39" s="444"/>
      <c r="I39" s="444"/>
      <c r="J39" s="445"/>
      <c r="K39" s="443" t="str">
        <f>Calcu!P12</f>
        <v/>
      </c>
      <c r="L39" s="444"/>
      <c r="M39" s="444"/>
      <c r="N39" s="445"/>
      <c r="O39" s="443" t="str">
        <f>Calcu!Q12</f>
        <v/>
      </c>
      <c r="P39" s="444"/>
      <c r="Q39" s="444"/>
      <c r="R39" s="445"/>
      <c r="S39" s="443" t="str">
        <f>Calcu!R12</f>
        <v/>
      </c>
      <c r="T39" s="444"/>
      <c r="U39" s="444"/>
      <c r="V39" s="445"/>
      <c r="W39" s="443" t="str">
        <f>Calcu!S12</f>
        <v/>
      </c>
      <c r="X39" s="444"/>
      <c r="Y39" s="444"/>
      <c r="Z39" s="445"/>
      <c r="AA39" s="443" t="str">
        <f>Calcu!T12</f>
        <v/>
      </c>
      <c r="AB39" s="444"/>
      <c r="AC39" s="444"/>
      <c r="AD39" s="445"/>
      <c r="AE39" s="443" t="str">
        <f>Calcu!U12</f>
        <v/>
      </c>
      <c r="AF39" s="444"/>
      <c r="AG39" s="444"/>
      <c r="AH39" s="445"/>
      <c r="AI39" s="443" t="str">
        <f>Calcu!V12</f>
        <v/>
      </c>
      <c r="AJ39" s="444"/>
      <c r="AK39" s="444"/>
      <c r="AL39" s="445"/>
      <c r="AM39" s="443" t="str">
        <f>Calcu!W12</f>
        <v/>
      </c>
      <c r="AN39" s="444"/>
      <c r="AO39" s="444"/>
      <c r="AP39" s="445"/>
      <c r="AQ39" s="443" t="str">
        <f>Calcu!X12</f>
        <v/>
      </c>
      <c r="AR39" s="444"/>
      <c r="AS39" s="444"/>
      <c r="AT39" s="445"/>
      <c r="AU39" s="443" t="str">
        <f>Calcu!Y12</f>
        <v/>
      </c>
      <c r="AV39" s="444"/>
      <c r="AW39" s="444"/>
      <c r="AX39" s="445"/>
      <c r="AY39" s="443" t="str">
        <f>Calcu!Z12</f>
        <v/>
      </c>
      <c r="AZ39" s="444"/>
      <c r="BA39" s="444"/>
      <c r="BB39" s="445"/>
      <c r="BC39" s="443" t="str">
        <f>Calcu!AA12</f>
        <v/>
      </c>
      <c r="BD39" s="444"/>
      <c r="BE39" s="444"/>
      <c r="BF39" s="445"/>
      <c r="BG39" s="443" t="str">
        <f>Calcu!AB12</f>
        <v/>
      </c>
      <c r="BH39" s="444"/>
      <c r="BI39" s="444"/>
      <c r="BJ39" s="445"/>
    </row>
    <row r="40" spans="1:62" ht="18.75" customHeight="1">
      <c r="A40" s="253"/>
      <c r="B40" s="443" t="str">
        <f t="shared" si="1"/>
        <v/>
      </c>
      <c r="C40" s="444"/>
      <c r="D40" s="444"/>
      <c r="E40" s="444"/>
      <c r="F40" s="445"/>
      <c r="G40" s="443" t="str">
        <f>Calcu!O13</f>
        <v/>
      </c>
      <c r="H40" s="444"/>
      <c r="I40" s="444"/>
      <c r="J40" s="445"/>
      <c r="K40" s="443" t="str">
        <f>Calcu!P13</f>
        <v/>
      </c>
      <c r="L40" s="444"/>
      <c r="M40" s="444"/>
      <c r="N40" s="445"/>
      <c r="O40" s="443" t="str">
        <f>Calcu!Q13</f>
        <v/>
      </c>
      <c r="P40" s="444"/>
      <c r="Q40" s="444"/>
      <c r="R40" s="445"/>
      <c r="S40" s="443" t="str">
        <f>Calcu!R13</f>
        <v/>
      </c>
      <c r="T40" s="444"/>
      <c r="U40" s="444"/>
      <c r="V40" s="445"/>
      <c r="W40" s="443" t="str">
        <f>Calcu!S13</f>
        <v/>
      </c>
      <c r="X40" s="444"/>
      <c r="Y40" s="444"/>
      <c r="Z40" s="445"/>
      <c r="AA40" s="443" t="str">
        <f>Calcu!T13</f>
        <v/>
      </c>
      <c r="AB40" s="444"/>
      <c r="AC40" s="444"/>
      <c r="AD40" s="445"/>
      <c r="AE40" s="443" t="str">
        <f>Calcu!U13</f>
        <v/>
      </c>
      <c r="AF40" s="444"/>
      <c r="AG40" s="444"/>
      <c r="AH40" s="445"/>
      <c r="AI40" s="443" t="str">
        <f>Calcu!V13</f>
        <v/>
      </c>
      <c r="AJ40" s="444"/>
      <c r="AK40" s="444"/>
      <c r="AL40" s="445"/>
      <c r="AM40" s="443" t="str">
        <f>Calcu!W13</f>
        <v/>
      </c>
      <c r="AN40" s="444"/>
      <c r="AO40" s="444"/>
      <c r="AP40" s="445"/>
      <c r="AQ40" s="443" t="str">
        <f>Calcu!X13</f>
        <v/>
      </c>
      <c r="AR40" s="444"/>
      <c r="AS40" s="444"/>
      <c r="AT40" s="445"/>
      <c r="AU40" s="443" t="str">
        <f>Calcu!Y13</f>
        <v/>
      </c>
      <c r="AV40" s="444"/>
      <c r="AW40" s="444"/>
      <c r="AX40" s="445"/>
      <c r="AY40" s="443" t="str">
        <f>Calcu!Z13</f>
        <v/>
      </c>
      <c r="AZ40" s="444"/>
      <c r="BA40" s="444"/>
      <c r="BB40" s="445"/>
      <c r="BC40" s="443" t="str">
        <f>Calcu!AA13</f>
        <v/>
      </c>
      <c r="BD40" s="444"/>
      <c r="BE40" s="444"/>
      <c r="BF40" s="445"/>
      <c r="BG40" s="443" t="str">
        <f>Calcu!AB13</f>
        <v/>
      </c>
      <c r="BH40" s="444"/>
      <c r="BI40" s="444"/>
      <c r="BJ40" s="445"/>
    </row>
    <row r="41" spans="1:62" ht="18.75" customHeight="1">
      <c r="A41" s="253"/>
      <c r="B41" s="443" t="str">
        <f t="shared" si="1"/>
        <v/>
      </c>
      <c r="C41" s="444"/>
      <c r="D41" s="444"/>
      <c r="E41" s="444"/>
      <c r="F41" s="445"/>
      <c r="G41" s="443" t="str">
        <f>Calcu!O14</f>
        <v/>
      </c>
      <c r="H41" s="444"/>
      <c r="I41" s="444"/>
      <c r="J41" s="445"/>
      <c r="K41" s="443" t="str">
        <f>Calcu!P14</f>
        <v/>
      </c>
      <c r="L41" s="444"/>
      <c r="M41" s="444"/>
      <c r="N41" s="445"/>
      <c r="O41" s="443" t="str">
        <f>Calcu!Q14</f>
        <v/>
      </c>
      <c r="P41" s="444"/>
      <c r="Q41" s="444"/>
      <c r="R41" s="445"/>
      <c r="S41" s="443" t="str">
        <f>Calcu!R14</f>
        <v/>
      </c>
      <c r="T41" s="444"/>
      <c r="U41" s="444"/>
      <c r="V41" s="445"/>
      <c r="W41" s="443" t="str">
        <f>Calcu!S14</f>
        <v/>
      </c>
      <c r="X41" s="444"/>
      <c r="Y41" s="444"/>
      <c r="Z41" s="445"/>
      <c r="AA41" s="443" t="str">
        <f>Calcu!T14</f>
        <v/>
      </c>
      <c r="AB41" s="444"/>
      <c r="AC41" s="444"/>
      <c r="AD41" s="445"/>
      <c r="AE41" s="443" t="str">
        <f>Calcu!U14</f>
        <v/>
      </c>
      <c r="AF41" s="444"/>
      <c r="AG41" s="444"/>
      <c r="AH41" s="445"/>
      <c r="AI41" s="443" t="str">
        <f>Calcu!V14</f>
        <v/>
      </c>
      <c r="AJ41" s="444"/>
      <c r="AK41" s="444"/>
      <c r="AL41" s="445"/>
      <c r="AM41" s="443" t="str">
        <f>Calcu!W14</f>
        <v/>
      </c>
      <c r="AN41" s="444"/>
      <c r="AO41" s="444"/>
      <c r="AP41" s="445"/>
      <c r="AQ41" s="443" t="str">
        <f>Calcu!X14</f>
        <v/>
      </c>
      <c r="AR41" s="444"/>
      <c r="AS41" s="444"/>
      <c r="AT41" s="445"/>
      <c r="AU41" s="443" t="str">
        <f>Calcu!Y14</f>
        <v/>
      </c>
      <c r="AV41" s="444"/>
      <c r="AW41" s="444"/>
      <c r="AX41" s="445"/>
      <c r="AY41" s="443" t="str">
        <f>Calcu!Z14</f>
        <v/>
      </c>
      <c r="AZ41" s="444"/>
      <c r="BA41" s="444"/>
      <c r="BB41" s="445"/>
      <c r="BC41" s="443" t="str">
        <f>Calcu!AA14</f>
        <v/>
      </c>
      <c r="BD41" s="444"/>
      <c r="BE41" s="444"/>
      <c r="BF41" s="445"/>
      <c r="BG41" s="443" t="str">
        <f>Calcu!AB14</f>
        <v/>
      </c>
      <c r="BH41" s="444"/>
      <c r="BI41" s="444"/>
      <c r="BJ41" s="445"/>
    </row>
    <row r="42" spans="1:62" ht="18.75" customHeight="1">
      <c r="A42" s="253"/>
      <c r="B42" s="443" t="str">
        <f t="shared" si="1"/>
        <v/>
      </c>
      <c r="C42" s="444"/>
      <c r="D42" s="444"/>
      <c r="E42" s="444"/>
      <c r="F42" s="445"/>
      <c r="G42" s="443" t="str">
        <f>Calcu!O15</f>
        <v/>
      </c>
      <c r="H42" s="444"/>
      <c r="I42" s="444"/>
      <c r="J42" s="445"/>
      <c r="K42" s="443" t="str">
        <f>Calcu!P15</f>
        <v/>
      </c>
      <c r="L42" s="444"/>
      <c r="M42" s="444"/>
      <c r="N42" s="445"/>
      <c r="O42" s="443" t="str">
        <f>Calcu!Q15</f>
        <v/>
      </c>
      <c r="P42" s="444"/>
      <c r="Q42" s="444"/>
      <c r="R42" s="445"/>
      <c r="S42" s="443" t="str">
        <f>Calcu!R15</f>
        <v/>
      </c>
      <c r="T42" s="444"/>
      <c r="U42" s="444"/>
      <c r="V42" s="445"/>
      <c r="W42" s="443" t="str">
        <f>Calcu!S15</f>
        <v/>
      </c>
      <c r="X42" s="444"/>
      <c r="Y42" s="444"/>
      <c r="Z42" s="445"/>
      <c r="AA42" s="443" t="str">
        <f>Calcu!T15</f>
        <v/>
      </c>
      <c r="AB42" s="444"/>
      <c r="AC42" s="444"/>
      <c r="AD42" s="445"/>
      <c r="AE42" s="443" t="str">
        <f>Calcu!U15</f>
        <v/>
      </c>
      <c r="AF42" s="444"/>
      <c r="AG42" s="444"/>
      <c r="AH42" s="445"/>
      <c r="AI42" s="443" t="str">
        <f>Calcu!V15</f>
        <v/>
      </c>
      <c r="AJ42" s="444"/>
      <c r="AK42" s="444"/>
      <c r="AL42" s="445"/>
      <c r="AM42" s="443" t="str">
        <f>Calcu!W15</f>
        <v/>
      </c>
      <c r="AN42" s="444"/>
      <c r="AO42" s="444"/>
      <c r="AP42" s="445"/>
      <c r="AQ42" s="443" t="str">
        <f>Calcu!X15</f>
        <v/>
      </c>
      <c r="AR42" s="444"/>
      <c r="AS42" s="444"/>
      <c r="AT42" s="445"/>
      <c r="AU42" s="443" t="str">
        <f>Calcu!Y15</f>
        <v/>
      </c>
      <c r="AV42" s="444"/>
      <c r="AW42" s="444"/>
      <c r="AX42" s="445"/>
      <c r="AY42" s="443" t="str">
        <f>Calcu!Z15</f>
        <v/>
      </c>
      <c r="AZ42" s="444"/>
      <c r="BA42" s="444"/>
      <c r="BB42" s="445"/>
      <c r="BC42" s="443" t="str">
        <f>Calcu!AA15</f>
        <v/>
      </c>
      <c r="BD42" s="444"/>
      <c r="BE42" s="444"/>
      <c r="BF42" s="445"/>
      <c r="BG42" s="443" t="str">
        <f>Calcu!AB15</f>
        <v/>
      </c>
      <c r="BH42" s="444"/>
      <c r="BI42" s="444"/>
      <c r="BJ42" s="445"/>
    </row>
    <row r="43" spans="1:62" ht="18.75" customHeight="1">
      <c r="A43" s="253"/>
      <c r="B43" s="443" t="str">
        <f t="shared" si="1"/>
        <v/>
      </c>
      <c r="C43" s="444"/>
      <c r="D43" s="444"/>
      <c r="E43" s="444"/>
      <c r="F43" s="445"/>
      <c r="G43" s="443" t="str">
        <f>Calcu!O16</f>
        <v/>
      </c>
      <c r="H43" s="444"/>
      <c r="I43" s="444"/>
      <c r="J43" s="445"/>
      <c r="K43" s="443" t="str">
        <f>Calcu!P16</f>
        <v/>
      </c>
      <c r="L43" s="444"/>
      <c r="M43" s="444"/>
      <c r="N43" s="445"/>
      <c r="O43" s="443" t="str">
        <f>Calcu!Q16</f>
        <v/>
      </c>
      <c r="P43" s="444"/>
      <c r="Q43" s="444"/>
      <c r="R43" s="445"/>
      <c r="S43" s="443" t="str">
        <f>Calcu!R16</f>
        <v/>
      </c>
      <c r="T43" s="444"/>
      <c r="U43" s="444"/>
      <c r="V43" s="445"/>
      <c r="W43" s="443" t="str">
        <f>Calcu!S16</f>
        <v/>
      </c>
      <c r="X43" s="444"/>
      <c r="Y43" s="444"/>
      <c r="Z43" s="445"/>
      <c r="AA43" s="443" t="str">
        <f>Calcu!T16</f>
        <v/>
      </c>
      <c r="AB43" s="444"/>
      <c r="AC43" s="444"/>
      <c r="AD43" s="445"/>
      <c r="AE43" s="443" t="str">
        <f>Calcu!U16</f>
        <v/>
      </c>
      <c r="AF43" s="444"/>
      <c r="AG43" s="444"/>
      <c r="AH43" s="445"/>
      <c r="AI43" s="443" t="str">
        <f>Calcu!V16</f>
        <v/>
      </c>
      <c r="AJ43" s="444"/>
      <c r="AK43" s="444"/>
      <c r="AL43" s="445"/>
      <c r="AM43" s="443" t="str">
        <f>Calcu!W16</f>
        <v/>
      </c>
      <c r="AN43" s="444"/>
      <c r="AO43" s="444"/>
      <c r="AP43" s="445"/>
      <c r="AQ43" s="443" t="str">
        <f>Calcu!X16</f>
        <v/>
      </c>
      <c r="AR43" s="444"/>
      <c r="AS43" s="444"/>
      <c r="AT43" s="445"/>
      <c r="AU43" s="443" t="str">
        <f>Calcu!Y16</f>
        <v/>
      </c>
      <c r="AV43" s="444"/>
      <c r="AW43" s="444"/>
      <c r="AX43" s="445"/>
      <c r="AY43" s="443" t="str">
        <f>Calcu!Z16</f>
        <v/>
      </c>
      <c r="AZ43" s="444"/>
      <c r="BA43" s="444"/>
      <c r="BB43" s="445"/>
      <c r="BC43" s="443" t="str">
        <f>Calcu!AA16</f>
        <v/>
      </c>
      <c r="BD43" s="444"/>
      <c r="BE43" s="444"/>
      <c r="BF43" s="445"/>
      <c r="BG43" s="443" t="str">
        <f>Calcu!AB16</f>
        <v/>
      </c>
      <c r="BH43" s="444"/>
      <c r="BI43" s="444"/>
      <c r="BJ43" s="445"/>
    </row>
    <row r="44" spans="1:62" ht="18.75" customHeight="1">
      <c r="A44" s="253"/>
      <c r="B44" s="443" t="str">
        <f t="shared" si="1"/>
        <v/>
      </c>
      <c r="C44" s="444"/>
      <c r="D44" s="444"/>
      <c r="E44" s="444"/>
      <c r="F44" s="445"/>
      <c r="G44" s="443" t="str">
        <f>Calcu!O17</f>
        <v/>
      </c>
      <c r="H44" s="444"/>
      <c r="I44" s="444"/>
      <c r="J44" s="445"/>
      <c r="K44" s="443" t="str">
        <f>Calcu!P17</f>
        <v/>
      </c>
      <c r="L44" s="444"/>
      <c r="M44" s="444"/>
      <c r="N44" s="445"/>
      <c r="O44" s="443" t="str">
        <f>Calcu!Q17</f>
        <v/>
      </c>
      <c r="P44" s="444"/>
      <c r="Q44" s="444"/>
      <c r="R44" s="445"/>
      <c r="S44" s="443" t="str">
        <f>Calcu!R17</f>
        <v/>
      </c>
      <c r="T44" s="444"/>
      <c r="U44" s="444"/>
      <c r="V44" s="445"/>
      <c r="W44" s="443" t="str">
        <f>Calcu!S17</f>
        <v/>
      </c>
      <c r="X44" s="444"/>
      <c r="Y44" s="444"/>
      <c r="Z44" s="445"/>
      <c r="AA44" s="443" t="str">
        <f>Calcu!T17</f>
        <v/>
      </c>
      <c r="AB44" s="444"/>
      <c r="AC44" s="444"/>
      <c r="AD44" s="445"/>
      <c r="AE44" s="443" t="str">
        <f>Calcu!U17</f>
        <v/>
      </c>
      <c r="AF44" s="444"/>
      <c r="AG44" s="444"/>
      <c r="AH44" s="445"/>
      <c r="AI44" s="443" t="str">
        <f>Calcu!V17</f>
        <v/>
      </c>
      <c r="AJ44" s="444"/>
      <c r="AK44" s="444"/>
      <c r="AL44" s="445"/>
      <c r="AM44" s="443" t="str">
        <f>Calcu!W17</f>
        <v/>
      </c>
      <c r="AN44" s="444"/>
      <c r="AO44" s="444"/>
      <c r="AP44" s="445"/>
      <c r="AQ44" s="443" t="str">
        <f>Calcu!X17</f>
        <v/>
      </c>
      <c r="AR44" s="444"/>
      <c r="AS44" s="444"/>
      <c r="AT44" s="445"/>
      <c r="AU44" s="443" t="str">
        <f>Calcu!Y17</f>
        <v/>
      </c>
      <c r="AV44" s="444"/>
      <c r="AW44" s="444"/>
      <c r="AX44" s="445"/>
      <c r="AY44" s="443" t="str">
        <f>Calcu!Z17</f>
        <v/>
      </c>
      <c r="AZ44" s="444"/>
      <c r="BA44" s="444"/>
      <c r="BB44" s="445"/>
      <c r="BC44" s="443" t="str">
        <f>Calcu!AA17</f>
        <v/>
      </c>
      <c r="BD44" s="444"/>
      <c r="BE44" s="444"/>
      <c r="BF44" s="445"/>
      <c r="BG44" s="443" t="str">
        <f>Calcu!AB17</f>
        <v/>
      </c>
      <c r="BH44" s="444"/>
      <c r="BI44" s="444"/>
      <c r="BJ44" s="445"/>
    </row>
    <row r="45" spans="1:62" ht="18.75" customHeight="1">
      <c r="A45" s="253"/>
      <c r="B45" s="443" t="str">
        <f t="shared" si="1"/>
        <v/>
      </c>
      <c r="C45" s="444"/>
      <c r="D45" s="444"/>
      <c r="E45" s="444"/>
      <c r="F45" s="445"/>
      <c r="G45" s="443" t="str">
        <f>Calcu!O18</f>
        <v/>
      </c>
      <c r="H45" s="444"/>
      <c r="I45" s="444"/>
      <c r="J45" s="445"/>
      <c r="K45" s="443" t="str">
        <f>Calcu!P18</f>
        <v/>
      </c>
      <c r="L45" s="444"/>
      <c r="M45" s="444"/>
      <c r="N45" s="445"/>
      <c r="O45" s="443" t="str">
        <f>Calcu!Q18</f>
        <v/>
      </c>
      <c r="P45" s="444"/>
      <c r="Q45" s="444"/>
      <c r="R45" s="445"/>
      <c r="S45" s="443" t="str">
        <f>Calcu!R18</f>
        <v/>
      </c>
      <c r="T45" s="444"/>
      <c r="U45" s="444"/>
      <c r="V45" s="445"/>
      <c r="W45" s="443" t="str">
        <f>Calcu!S18</f>
        <v/>
      </c>
      <c r="X45" s="444"/>
      <c r="Y45" s="444"/>
      <c r="Z45" s="445"/>
      <c r="AA45" s="443" t="str">
        <f>Calcu!T18</f>
        <v/>
      </c>
      <c r="AB45" s="444"/>
      <c r="AC45" s="444"/>
      <c r="AD45" s="445"/>
      <c r="AE45" s="443" t="str">
        <f>Calcu!U18</f>
        <v/>
      </c>
      <c r="AF45" s="444"/>
      <c r="AG45" s="444"/>
      <c r="AH45" s="445"/>
      <c r="AI45" s="443" t="str">
        <f>Calcu!V18</f>
        <v/>
      </c>
      <c r="AJ45" s="444"/>
      <c r="AK45" s="444"/>
      <c r="AL45" s="445"/>
      <c r="AM45" s="443" t="str">
        <f>Calcu!W18</f>
        <v/>
      </c>
      <c r="AN45" s="444"/>
      <c r="AO45" s="444"/>
      <c r="AP45" s="445"/>
      <c r="AQ45" s="443" t="str">
        <f>Calcu!X18</f>
        <v/>
      </c>
      <c r="AR45" s="444"/>
      <c r="AS45" s="444"/>
      <c r="AT45" s="445"/>
      <c r="AU45" s="443" t="str">
        <f>Calcu!Y18</f>
        <v/>
      </c>
      <c r="AV45" s="444"/>
      <c r="AW45" s="444"/>
      <c r="AX45" s="445"/>
      <c r="AY45" s="443" t="str">
        <f>Calcu!Z18</f>
        <v/>
      </c>
      <c r="AZ45" s="444"/>
      <c r="BA45" s="444"/>
      <c r="BB45" s="445"/>
      <c r="BC45" s="443" t="str">
        <f>Calcu!AA18</f>
        <v/>
      </c>
      <c r="BD45" s="444"/>
      <c r="BE45" s="444"/>
      <c r="BF45" s="445"/>
      <c r="BG45" s="443" t="str">
        <f>Calcu!AB18</f>
        <v/>
      </c>
      <c r="BH45" s="444"/>
      <c r="BI45" s="444"/>
      <c r="BJ45" s="445"/>
    </row>
    <row r="46" spans="1:62" ht="18.75" customHeight="1">
      <c r="A46" s="253"/>
      <c r="B46" s="443" t="str">
        <f t="shared" si="1"/>
        <v/>
      </c>
      <c r="C46" s="444"/>
      <c r="D46" s="444"/>
      <c r="E46" s="444"/>
      <c r="F46" s="445"/>
      <c r="G46" s="443" t="str">
        <f>Calcu!O19</f>
        <v/>
      </c>
      <c r="H46" s="444"/>
      <c r="I46" s="444"/>
      <c r="J46" s="445"/>
      <c r="K46" s="443" t="str">
        <f>Calcu!P19</f>
        <v/>
      </c>
      <c r="L46" s="444"/>
      <c r="M46" s="444"/>
      <c r="N46" s="445"/>
      <c r="O46" s="443" t="str">
        <f>Calcu!Q19</f>
        <v/>
      </c>
      <c r="P46" s="444"/>
      <c r="Q46" s="444"/>
      <c r="R46" s="445"/>
      <c r="S46" s="443" t="str">
        <f>Calcu!R19</f>
        <v/>
      </c>
      <c r="T46" s="444"/>
      <c r="U46" s="444"/>
      <c r="V46" s="445"/>
      <c r="W46" s="443" t="str">
        <f>Calcu!S19</f>
        <v/>
      </c>
      <c r="X46" s="444"/>
      <c r="Y46" s="444"/>
      <c r="Z46" s="445"/>
      <c r="AA46" s="443" t="str">
        <f>Calcu!T19</f>
        <v/>
      </c>
      <c r="AB46" s="444"/>
      <c r="AC46" s="444"/>
      <c r="AD46" s="445"/>
      <c r="AE46" s="443" t="str">
        <f>Calcu!U19</f>
        <v/>
      </c>
      <c r="AF46" s="444"/>
      <c r="AG46" s="444"/>
      <c r="AH46" s="445"/>
      <c r="AI46" s="443" t="str">
        <f>Calcu!V19</f>
        <v/>
      </c>
      <c r="AJ46" s="444"/>
      <c r="AK46" s="444"/>
      <c r="AL46" s="445"/>
      <c r="AM46" s="443" t="str">
        <f>Calcu!W19</f>
        <v/>
      </c>
      <c r="AN46" s="444"/>
      <c r="AO46" s="444"/>
      <c r="AP46" s="445"/>
      <c r="AQ46" s="443" t="str">
        <f>Calcu!X19</f>
        <v/>
      </c>
      <c r="AR46" s="444"/>
      <c r="AS46" s="444"/>
      <c r="AT46" s="445"/>
      <c r="AU46" s="443" t="str">
        <f>Calcu!Y19</f>
        <v/>
      </c>
      <c r="AV46" s="444"/>
      <c r="AW46" s="444"/>
      <c r="AX46" s="445"/>
      <c r="AY46" s="443" t="str">
        <f>Calcu!Z19</f>
        <v/>
      </c>
      <c r="AZ46" s="444"/>
      <c r="BA46" s="444"/>
      <c r="BB46" s="445"/>
      <c r="BC46" s="443" t="str">
        <f>Calcu!AA19</f>
        <v/>
      </c>
      <c r="BD46" s="444"/>
      <c r="BE46" s="444"/>
      <c r="BF46" s="445"/>
      <c r="BG46" s="443" t="str">
        <f>Calcu!AB19</f>
        <v/>
      </c>
      <c r="BH46" s="444"/>
      <c r="BI46" s="444"/>
      <c r="BJ46" s="445"/>
    </row>
    <row r="47" spans="1:62" ht="18.75" customHeight="1">
      <c r="A47" s="253"/>
      <c r="B47" s="316"/>
      <c r="C47" s="316"/>
      <c r="D47" s="316"/>
      <c r="E47" s="316"/>
      <c r="F47" s="316"/>
      <c r="G47" s="316"/>
      <c r="H47" s="316"/>
      <c r="I47" s="316"/>
      <c r="J47" s="316"/>
      <c r="K47" s="316"/>
      <c r="L47" s="316"/>
      <c r="M47" s="316"/>
      <c r="N47" s="316"/>
      <c r="O47" s="316"/>
      <c r="P47" s="316"/>
      <c r="Q47" s="316"/>
      <c r="R47" s="316"/>
      <c r="S47" s="316"/>
      <c r="T47" s="316"/>
      <c r="U47" s="316"/>
      <c r="V47" s="316"/>
      <c r="W47" s="316"/>
      <c r="X47" s="316"/>
      <c r="Y47" s="316"/>
      <c r="Z47" s="316"/>
      <c r="AA47" s="316"/>
      <c r="AB47" s="316"/>
      <c r="AC47" s="316"/>
      <c r="AD47" s="316"/>
      <c r="AE47" s="316"/>
      <c r="AF47" s="316"/>
      <c r="AG47" s="316"/>
      <c r="AH47" s="316"/>
      <c r="AI47" s="316"/>
      <c r="AJ47" s="316"/>
      <c r="AK47" s="316"/>
      <c r="AL47" s="316"/>
      <c r="AM47" s="316"/>
      <c r="AN47" s="316"/>
      <c r="AO47" s="316"/>
      <c r="AP47" s="316"/>
      <c r="AQ47" s="316"/>
      <c r="AR47" s="316"/>
      <c r="AS47" s="316"/>
      <c r="AT47" s="316"/>
    </row>
    <row r="48" spans="1:62" ht="18.75" customHeight="1">
      <c r="A48" s="253"/>
      <c r="B48" s="446" t="s">
        <v>654</v>
      </c>
      <c r="C48" s="447"/>
      <c r="D48" s="447"/>
      <c r="E48" s="447"/>
      <c r="F48" s="448"/>
      <c r="G48" s="460" t="s">
        <v>493</v>
      </c>
      <c r="H48" s="456"/>
      <c r="I48" s="456"/>
      <c r="J48" s="456"/>
      <c r="K48" s="456"/>
      <c r="L48" s="456"/>
      <c r="M48" s="456"/>
      <c r="N48" s="456"/>
      <c r="O48" s="456"/>
      <c r="P48" s="456"/>
      <c r="Q48" s="456"/>
      <c r="R48" s="456"/>
      <c r="S48" s="456"/>
      <c r="T48" s="456"/>
      <c r="U48" s="456"/>
      <c r="V48" s="456"/>
      <c r="W48" s="456"/>
      <c r="X48" s="456"/>
      <c r="Y48" s="456"/>
      <c r="Z48" s="456"/>
      <c r="AA48" s="456"/>
      <c r="AB48" s="456"/>
      <c r="AC48" s="456"/>
      <c r="AD48" s="456"/>
      <c r="AE48" s="456"/>
      <c r="AF48" s="456"/>
      <c r="AG48" s="456"/>
      <c r="AH48" s="456"/>
      <c r="AI48" s="456"/>
      <c r="AJ48" s="456"/>
      <c r="AK48" s="456"/>
      <c r="AL48" s="456"/>
      <c r="AM48" s="456"/>
      <c r="AN48" s="456"/>
      <c r="AO48" s="456"/>
      <c r="AP48" s="456"/>
      <c r="AQ48" s="456"/>
      <c r="AR48" s="456"/>
      <c r="AS48" s="456"/>
      <c r="AT48" s="456"/>
      <c r="AU48" s="456"/>
      <c r="AV48" s="456"/>
      <c r="AW48" s="456"/>
      <c r="AX48" s="456"/>
      <c r="AY48" s="456"/>
      <c r="AZ48" s="456"/>
      <c r="BA48" s="456"/>
      <c r="BB48" s="456"/>
      <c r="BC48" s="456"/>
      <c r="BD48" s="456"/>
      <c r="BE48" s="456"/>
      <c r="BF48" s="456"/>
      <c r="BG48" s="456"/>
      <c r="BH48" s="456"/>
      <c r="BI48" s="456"/>
      <c r="BJ48" s="457"/>
    </row>
    <row r="49" spans="1:62" ht="18.75" customHeight="1">
      <c r="A49" s="253"/>
      <c r="B49" s="449"/>
      <c r="C49" s="450"/>
      <c r="D49" s="450"/>
      <c r="E49" s="450"/>
      <c r="F49" s="451"/>
      <c r="G49" s="442" t="s">
        <v>328</v>
      </c>
      <c r="H49" s="442"/>
      <c r="I49" s="442"/>
      <c r="J49" s="442"/>
      <c r="K49" s="442"/>
      <c r="L49" s="442"/>
      <c r="M49" s="442"/>
      <c r="N49" s="442"/>
      <c r="O49" s="442" t="s">
        <v>176</v>
      </c>
      <c r="P49" s="442"/>
      <c r="Q49" s="442"/>
      <c r="R49" s="442"/>
      <c r="S49" s="442"/>
      <c r="T49" s="442"/>
      <c r="U49" s="442"/>
      <c r="V49" s="442"/>
      <c r="W49" s="442" t="s">
        <v>177</v>
      </c>
      <c r="X49" s="442"/>
      <c r="Y49" s="442"/>
      <c r="Z49" s="442"/>
      <c r="AA49" s="442"/>
      <c r="AB49" s="442"/>
      <c r="AC49" s="442"/>
      <c r="AD49" s="442"/>
      <c r="AE49" s="442" t="s">
        <v>178</v>
      </c>
      <c r="AF49" s="442"/>
      <c r="AG49" s="442"/>
      <c r="AH49" s="442"/>
      <c r="AI49" s="442"/>
      <c r="AJ49" s="442"/>
      <c r="AK49" s="442"/>
      <c r="AL49" s="442"/>
      <c r="AM49" s="442" t="s">
        <v>179</v>
      </c>
      <c r="AN49" s="442"/>
      <c r="AO49" s="442"/>
      <c r="AP49" s="442"/>
      <c r="AQ49" s="442"/>
      <c r="AR49" s="442"/>
      <c r="AS49" s="442"/>
      <c r="AT49" s="442"/>
      <c r="AU49" s="442" t="s">
        <v>649</v>
      </c>
      <c r="AV49" s="442"/>
      <c r="AW49" s="442"/>
      <c r="AX49" s="442"/>
      <c r="AY49" s="442"/>
      <c r="AZ49" s="442"/>
      <c r="BA49" s="442"/>
      <c r="BB49" s="442"/>
      <c r="BC49" s="442" t="s">
        <v>73</v>
      </c>
      <c r="BD49" s="442"/>
      <c r="BE49" s="442"/>
      <c r="BF49" s="442"/>
      <c r="BG49" s="442"/>
      <c r="BH49" s="442"/>
      <c r="BI49" s="442"/>
      <c r="BJ49" s="442"/>
    </row>
    <row r="50" spans="1:62" ht="18.75" customHeight="1">
      <c r="A50" s="253"/>
      <c r="B50" s="455" t="str">
        <f>B21</f>
        <v>μm/m</v>
      </c>
      <c r="C50" s="458"/>
      <c r="D50" s="458"/>
      <c r="E50" s="458"/>
      <c r="F50" s="459"/>
      <c r="G50" s="442" t="s">
        <v>653</v>
      </c>
      <c r="H50" s="442"/>
      <c r="I50" s="442"/>
      <c r="J50" s="442"/>
      <c r="K50" s="442" t="s">
        <v>655</v>
      </c>
      <c r="L50" s="442"/>
      <c r="M50" s="442"/>
      <c r="N50" s="442"/>
      <c r="O50" s="442" t="s">
        <v>255</v>
      </c>
      <c r="P50" s="442"/>
      <c r="Q50" s="442"/>
      <c r="R50" s="442"/>
      <c r="S50" s="442" t="s">
        <v>652</v>
      </c>
      <c r="T50" s="442"/>
      <c r="U50" s="442"/>
      <c r="V50" s="442"/>
      <c r="W50" s="442" t="s">
        <v>651</v>
      </c>
      <c r="X50" s="442"/>
      <c r="Y50" s="442"/>
      <c r="Z50" s="442"/>
      <c r="AA50" s="442" t="s">
        <v>655</v>
      </c>
      <c r="AB50" s="442"/>
      <c r="AC50" s="442"/>
      <c r="AD50" s="442"/>
      <c r="AE50" s="442" t="s">
        <v>651</v>
      </c>
      <c r="AF50" s="442"/>
      <c r="AG50" s="442"/>
      <c r="AH50" s="442"/>
      <c r="AI50" s="442" t="s">
        <v>652</v>
      </c>
      <c r="AJ50" s="442"/>
      <c r="AK50" s="442"/>
      <c r="AL50" s="442"/>
      <c r="AM50" s="442" t="s">
        <v>651</v>
      </c>
      <c r="AN50" s="442"/>
      <c r="AO50" s="442"/>
      <c r="AP50" s="442"/>
      <c r="AQ50" s="442" t="s">
        <v>655</v>
      </c>
      <c r="AR50" s="442"/>
      <c r="AS50" s="442"/>
      <c r="AT50" s="442"/>
      <c r="AU50" s="442" t="s">
        <v>656</v>
      </c>
      <c r="AV50" s="442"/>
      <c r="AW50" s="442"/>
      <c r="AX50" s="442"/>
      <c r="AY50" s="442" t="s">
        <v>655</v>
      </c>
      <c r="AZ50" s="442"/>
      <c r="BA50" s="442"/>
      <c r="BB50" s="442"/>
      <c r="BC50" s="442" t="s">
        <v>651</v>
      </c>
      <c r="BD50" s="442"/>
      <c r="BE50" s="442"/>
      <c r="BF50" s="442"/>
      <c r="BG50" s="442" t="s">
        <v>655</v>
      </c>
      <c r="BH50" s="442"/>
      <c r="BI50" s="442"/>
      <c r="BJ50" s="442"/>
    </row>
    <row r="51" spans="1:62" ht="18.75" customHeight="1">
      <c r="A51" s="253"/>
      <c r="B51" s="443" t="str">
        <f t="shared" ref="B51:B60" si="2">B22</f>
        <v/>
      </c>
      <c r="C51" s="444"/>
      <c r="D51" s="444"/>
      <c r="E51" s="444"/>
      <c r="F51" s="445"/>
      <c r="G51" s="443" t="str">
        <f>Calcu!O24</f>
        <v/>
      </c>
      <c r="H51" s="444"/>
      <c r="I51" s="444"/>
      <c r="J51" s="445"/>
      <c r="K51" s="443" t="str">
        <f>Calcu!P24</f>
        <v/>
      </c>
      <c r="L51" s="444"/>
      <c r="M51" s="444"/>
      <c r="N51" s="445"/>
      <c r="O51" s="443" t="str">
        <f>Calcu!Q24</f>
        <v/>
      </c>
      <c r="P51" s="444"/>
      <c r="Q51" s="444"/>
      <c r="R51" s="445"/>
      <c r="S51" s="443" t="str">
        <f>Calcu!R24</f>
        <v/>
      </c>
      <c r="T51" s="444"/>
      <c r="U51" s="444"/>
      <c r="V51" s="445"/>
      <c r="W51" s="443" t="str">
        <f>Calcu!S24</f>
        <v/>
      </c>
      <c r="X51" s="444"/>
      <c r="Y51" s="444"/>
      <c r="Z51" s="445"/>
      <c r="AA51" s="443" t="str">
        <f>Calcu!T24</f>
        <v/>
      </c>
      <c r="AB51" s="444"/>
      <c r="AC51" s="444"/>
      <c r="AD51" s="445"/>
      <c r="AE51" s="443" t="str">
        <f>Calcu!U24</f>
        <v/>
      </c>
      <c r="AF51" s="444"/>
      <c r="AG51" s="444"/>
      <c r="AH51" s="445"/>
      <c r="AI51" s="443" t="str">
        <f>Calcu!V24</f>
        <v/>
      </c>
      <c r="AJ51" s="444"/>
      <c r="AK51" s="444"/>
      <c r="AL51" s="445"/>
      <c r="AM51" s="443" t="str">
        <f>Calcu!W24</f>
        <v/>
      </c>
      <c r="AN51" s="444"/>
      <c r="AO51" s="444"/>
      <c r="AP51" s="445"/>
      <c r="AQ51" s="443" t="str">
        <f>Calcu!X24</f>
        <v/>
      </c>
      <c r="AR51" s="444"/>
      <c r="AS51" s="444"/>
      <c r="AT51" s="445"/>
      <c r="AU51" s="443" t="str">
        <f>Calcu!Y24</f>
        <v/>
      </c>
      <c r="AV51" s="444"/>
      <c r="AW51" s="444"/>
      <c r="AX51" s="445"/>
      <c r="AY51" s="443" t="str">
        <f>Calcu!Z24</f>
        <v/>
      </c>
      <c r="AZ51" s="444"/>
      <c r="BA51" s="444"/>
      <c r="BB51" s="445"/>
      <c r="BC51" s="443" t="str">
        <f>Calcu!AA24</f>
        <v/>
      </c>
      <c r="BD51" s="444"/>
      <c r="BE51" s="444"/>
      <c r="BF51" s="445"/>
      <c r="BG51" s="443" t="str">
        <f>Calcu!AB24</f>
        <v/>
      </c>
      <c r="BH51" s="444"/>
      <c r="BI51" s="444"/>
      <c r="BJ51" s="445"/>
    </row>
    <row r="52" spans="1:62" ht="18.75" customHeight="1">
      <c r="A52" s="253"/>
      <c r="B52" s="443" t="str">
        <f t="shared" si="2"/>
        <v/>
      </c>
      <c r="C52" s="444"/>
      <c r="D52" s="444"/>
      <c r="E52" s="444"/>
      <c r="F52" s="445"/>
      <c r="G52" s="443" t="str">
        <f>Calcu!O25</f>
        <v/>
      </c>
      <c r="H52" s="444"/>
      <c r="I52" s="444"/>
      <c r="J52" s="445"/>
      <c r="K52" s="443" t="str">
        <f>Calcu!P25</f>
        <v/>
      </c>
      <c r="L52" s="444"/>
      <c r="M52" s="444"/>
      <c r="N52" s="445"/>
      <c r="O52" s="443" t="str">
        <f>Calcu!Q25</f>
        <v/>
      </c>
      <c r="P52" s="444"/>
      <c r="Q52" s="444"/>
      <c r="R52" s="445"/>
      <c r="S52" s="443" t="str">
        <f>Calcu!R25</f>
        <v/>
      </c>
      <c r="T52" s="444"/>
      <c r="U52" s="444"/>
      <c r="V52" s="445"/>
      <c r="W52" s="443" t="str">
        <f>Calcu!S25</f>
        <v/>
      </c>
      <c r="X52" s="444"/>
      <c r="Y52" s="444"/>
      <c r="Z52" s="445"/>
      <c r="AA52" s="443" t="str">
        <f>Calcu!T25</f>
        <v/>
      </c>
      <c r="AB52" s="444"/>
      <c r="AC52" s="444"/>
      <c r="AD52" s="445"/>
      <c r="AE52" s="443" t="str">
        <f>Calcu!U25</f>
        <v/>
      </c>
      <c r="AF52" s="444"/>
      <c r="AG52" s="444"/>
      <c r="AH52" s="445"/>
      <c r="AI52" s="443" t="str">
        <f>Calcu!V25</f>
        <v/>
      </c>
      <c r="AJ52" s="444"/>
      <c r="AK52" s="444"/>
      <c r="AL52" s="445"/>
      <c r="AM52" s="443" t="str">
        <f>Calcu!W25</f>
        <v/>
      </c>
      <c r="AN52" s="444"/>
      <c r="AO52" s="444"/>
      <c r="AP52" s="445"/>
      <c r="AQ52" s="443" t="str">
        <f>Calcu!X25</f>
        <v/>
      </c>
      <c r="AR52" s="444"/>
      <c r="AS52" s="444"/>
      <c r="AT52" s="445"/>
      <c r="AU52" s="443" t="str">
        <f>Calcu!Y25</f>
        <v/>
      </c>
      <c r="AV52" s="444"/>
      <c r="AW52" s="444"/>
      <c r="AX52" s="445"/>
      <c r="AY52" s="443" t="str">
        <f>Calcu!Z25</f>
        <v/>
      </c>
      <c r="AZ52" s="444"/>
      <c r="BA52" s="444"/>
      <c r="BB52" s="445"/>
      <c r="BC52" s="443" t="str">
        <f>Calcu!AA25</f>
        <v/>
      </c>
      <c r="BD52" s="444"/>
      <c r="BE52" s="444"/>
      <c r="BF52" s="445"/>
      <c r="BG52" s="443" t="str">
        <f>Calcu!AB25</f>
        <v/>
      </c>
      <c r="BH52" s="444"/>
      <c r="BI52" s="444"/>
      <c r="BJ52" s="445"/>
    </row>
    <row r="53" spans="1:62" ht="18.75" customHeight="1">
      <c r="A53" s="253"/>
      <c r="B53" s="443" t="str">
        <f t="shared" si="2"/>
        <v/>
      </c>
      <c r="C53" s="444"/>
      <c r="D53" s="444"/>
      <c r="E53" s="444"/>
      <c r="F53" s="445"/>
      <c r="G53" s="443" t="str">
        <f>Calcu!O26</f>
        <v/>
      </c>
      <c r="H53" s="444"/>
      <c r="I53" s="444"/>
      <c r="J53" s="445"/>
      <c r="K53" s="443" t="str">
        <f>Calcu!P26</f>
        <v/>
      </c>
      <c r="L53" s="444"/>
      <c r="M53" s="444"/>
      <c r="N53" s="445"/>
      <c r="O53" s="443" t="str">
        <f>Calcu!Q26</f>
        <v/>
      </c>
      <c r="P53" s="444"/>
      <c r="Q53" s="444"/>
      <c r="R53" s="445"/>
      <c r="S53" s="443" t="str">
        <f>Calcu!R26</f>
        <v/>
      </c>
      <c r="T53" s="444"/>
      <c r="U53" s="444"/>
      <c r="V53" s="445"/>
      <c r="W53" s="443" t="str">
        <f>Calcu!S26</f>
        <v/>
      </c>
      <c r="X53" s="444"/>
      <c r="Y53" s="444"/>
      <c r="Z53" s="445"/>
      <c r="AA53" s="443" t="str">
        <f>Calcu!T26</f>
        <v/>
      </c>
      <c r="AB53" s="444"/>
      <c r="AC53" s="444"/>
      <c r="AD53" s="445"/>
      <c r="AE53" s="443" t="str">
        <f>Calcu!U26</f>
        <v/>
      </c>
      <c r="AF53" s="444"/>
      <c r="AG53" s="444"/>
      <c r="AH53" s="445"/>
      <c r="AI53" s="443" t="str">
        <f>Calcu!V26</f>
        <v/>
      </c>
      <c r="AJ53" s="444"/>
      <c r="AK53" s="444"/>
      <c r="AL53" s="445"/>
      <c r="AM53" s="443" t="str">
        <f>Calcu!W26</f>
        <v/>
      </c>
      <c r="AN53" s="444"/>
      <c r="AO53" s="444"/>
      <c r="AP53" s="445"/>
      <c r="AQ53" s="443" t="str">
        <f>Calcu!X26</f>
        <v/>
      </c>
      <c r="AR53" s="444"/>
      <c r="AS53" s="444"/>
      <c r="AT53" s="445"/>
      <c r="AU53" s="443" t="str">
        <f>Calcu!Y26</f>
        <v/>
      </c>
      <c r="AV53" s="444"/>
      <c r="AW53" s="444"/>
      <c r="AX53" s="445"/>
      <c r="AY53" s="443" t="str">
        <f>Calcu!Z26</f>
        <v/>
      </c>
      <c r="AZ53" s="444"/>
      <c r="BA53" s="444"/>
      <c r="BB53" s="445"/>
      <c r="BC53" s="443" t="str">
        <f>Calcu!AA26</f>
        <v/>
      </c>
      <c r="BD53" s="444"/>
      <c r="BE53" s="444"/>
      <c r="BF53" s="445"/>
      <c r="BG53" s="443" t="str">
        <f>Calcu!AB26</f>
        <v/>
      </c>
      <c r="BH53" s="444"/>
      <c r="BI53" s="444"/>
      <c r="BJ53" s="445"/>
    </row>
    <row r="54" spans="1:62" ht="18.75" customHeight="1">
      <c r="A54" s="253"/>
      <c r="B54" s="443" t="str">
        <f t="shared" si="2"/>
        <v/>
      </c>
      <c r="C54" s="444"/>
      <c r="D54" s="444"/>
      <c r="E54" s="444"/>
      <c r="F54" s="445"/>
      <c r="G54" s="443" t="str">
        <f>Calcu!O27</f>
        <v/>
      </c>
      <c r="H54" s="444"/>
      <c r="I54" s="444"/>
      <c r="J54" s="445"/>
      <c r="K54" s="443" t="str">
        <f>Calcu!P27</f>
        <v/>
      </c>
      <c r="L54" s="444"/>
      <c r="M54" s="444"/>
      <c r="N54" s="445"/>
      <c r="O54" s="443" t="str">
        <f>Calcu!Q27</f>
        <v/>
      </c>
      <c r="P54" s="444"/>
      <c r="Q54" s="444"/>
      <c r="R54" s="445"/>
      <c r="S54" s="443" t="str">
        <f>Calcu!R27</f>
        <v/>
      </c>
      <c r="T54" s="444"/>
      <c r="U54" s="444"/>
      <c r="V54" s="445"/>
      <c r="W54" s="443" t="str">
        <f>Calcu!S27</f>
        <v/>
      </c>
      <c r="X54" s="444"/>
      <c r="Y54" s="444"/>
      <c r="Z54" s="445"/>
      <c r="AA54" s="443" t="str">
        <f>Calcu!T27</f>
        <v/>
      </c>
      <c r="AB54" s="444"/>
      <c r="AC54" s="444"/>
      <c r="AD54" s="445"/>
      <c r="AE54" s="443" t="str">
        <f>Calcu!U27</f>
        <v/>
      </c>
      <c r="AF54" s="444"/>
      <c r="AG54" s="444"/>
      <c r="AH54" s="445"/>
      <c r="AI54" s="443" t="str">
        <f>Calcu!V27</f>
        <v/>
      </c>
      <c r="AJ54" s="444"/>
      <c r="AK54" s="444"/>
      <c r="AL54" s="445"/>
      <c r="AM54" s="443" t="str">
        <f>Calcu!W27</f>
        <v/>
      </c>
      <c r="AN54" s="444"/>
      <c r="AO54" s="444"/>
      <c r="AP54" s="445"/>
      <c r="AQ54" s="443" t="str">
        <f>Calcu!X27</f>
        <v/>
      </c>
      <c r="AR54" s="444"/>
      <c r="AS54" s="444"/>
      <c r="AT54" s="445"/>
      <c r="AU54" s="443" t="str">
        <f>Calcu!Y27</f>
        <v/>
      </c>
      <c r="AV54" s="444"/>
      <c r="AW54" s="444"/>
      <c r="AX54" s="445"/>
      <c r="AY54" s="443" t="str">
        <f>Calcu!Z27</f>
        <v/>
      </c>
      <c r="AZ54" s="444"/>
      <c r="BA54" s="444"/>
      <c r="BB54" s="445"/>
      <c r="BC54" s="443" t="str">
        <f>Calcu!AA27</f>
        <v/>
      </c>
      <c r="BD54" s="444"/>
      <c r="BE54" s="444"/>
      <c r="BF54" s="445"/>
      <c r="BG54" s="443" t="str">
        <f>Calcu!AB27</f>
        <v/>
      </c>
      <c r="BH54" s="444"/>
      <c r="BI54" s="444"/>
      <c r="BJ54" s="445"/>
    </row>
    <row r="55" spans="1:62" ht="18.75" customHeight="1">
      <c r="A55" s="253"/>
      <c r="B55" s="443" t="str">
        <f t="shared" si="2"/>
        <v/>
      </c>
      <c r="C55" s="444"/>
      <c r="D55" s="444"/>
      <c r="E55" s="444"/>
      <c r="F55" s="445"/>
      <c r="G55" s="443" t="str">
        <f>Calcu!O28</f>
        <v/>
      </c>
      <c r="H55" s="444"/>
      <c r="I55" s="444"/>
      <c r="J55" s="445"/>
      <c r="K55" s="443" t="str">
        <f>Calcu!P28</f>
        <v/>
      </c>
      <c r="L55" s="444"/>
      <c r="M55" s="444"/>
      <c r="N55" s="445"/>
      <c r="O55" s="443" t="str">
        <f>Calcu!Q28</f>
        <v/>
      </c>
      <c r="P55" s="444"/>
      <c r="Q55" s="444"/>
      <c r="R55" s="445"/>
      <c r="S55" s="443" t="str">
        <f>Calcu!R28</f>
        <v/>
      </c>
      <c r="T55" s="444"/>
      <c r="U55" s="444"/>
      <c r="V55" s="445"/>
      <c r="W55" s="443" t="str">
        <f>Calcu!S28</f>
        <v/>
      </c>
      <c r="X55" s="444"/>
      <c r="Y55" s="444"/>
      <c r="Z55" s="445"/>
      <c r="AA55" s="443" t="str">
        <f>Calcu!T28</f>
        <v/>
      </c>
      <c r="AB55" s="444"/>
      <c r="AC55" s="444"/>
      <c r="AD55" s="445"/>
      <c r="AE55" s="443" t="str">
        <f>Calcu!U28</f>
        <v/>
      </c>
      <c r="AF55" s="444"/>
      <c r="AG55" s="444"/>
      <c r="AH55" s="445"/>
      <c r="AI55" s="443" t="str">
        <f>Calcu!V28</f>
        <v/>
      </c>
      <c r="AJ55" s="444"/>
      <c r="AK55" s="444"/>
      <c r="AL55" s="445"/>
      <c r="AM55" s="443" t="str">
        <f>Calcu!W28</f>
        <v/>
      </c>
      <c r="AN55" s="444"/>
      <c r="AO55" s="444"/>
      <c r="AP55" s="445"/>
      <c r="AQ55" s="443" t="str">
        <f>Calcu!X28</f>
        <v/>
      </c>
      <c r="AR55" s="444"/>
      <c r="AS55" s="444"/>
      <c r="AT55" s="445"/>
      <c r="AU55" s="443" t="str">
        <f>Calcu!Y28</f>
        <v/>
      </c>
      <c r="AV55" s="444"/>
      <c r="AW55" s="444"/>
      <c r="AX55" s="445"/>
      <c r="AY55" s="443" t="str">
        <f>Calcu!Z28</f>
        <v/>
      </c>
      <c r="AZ55" s="444"/>
      <c r="BA55" s="444"/>
      <c r="BB55" s="445"/>
      <c r="BC55" s="443" t="str">
        <f>Calcu!AA28</f>
        <v/>
      </c>
      <c r="BD55" s="444"/>
      <c r="BE55" s="444"/>
      <c r="BF55" s="445"/>
      <c r="BG55" s="443" t="str">
        <f>Calcu!AB28</f>
        <v/>
      </c>
      <c r="BH55" s="444"/>
      <c r="BI55" s="444"/>
      <c r="BJ55" s="445"/>
    </row>
    <row r="56" spans="1:62" ht="18.75" customHeight="1">
      <c r="A56" s="253"/>
      <c r="B56" s="443" t="str">
        <f t="shared" si="2"/>
        <v/>
      </c>
      <c r="C56" s="444"/>
      <c r="D56" s="444"/>
      <c r="E56" s="444"/>
      <c r="F56" s="445"/>
      <c r="G56" s="443" t="str">
        <f>Calcu!O29</f>
        <v/>
      </c>
      <c r="H56" s="444"/>
      <c r="I56" s="444"/>
      <c r="J56" s="445"/>
      <c r="K56" s="443" t="str">
        <f>Calcu!P29</f>
        <v/>
      </c>
      <c r="L56" s="444"/>
      <c r="M56" s="444"/>
      <c r="N56" s="445"/>
      <c r="O56" s="443" t="str">
        <f>Calcu!Q29</f>
        <v/>
      </c>
      <c r="P56" s="444"/>
      <c r="Q56" s="444"/>
      <c r="R56" s="445"/>
      <c r="S56" s="443" t="str">
        <f>Calcu!R29</f>
        <v/>
      </c>
      <c r="T56" s="444"/>
      <c r="U56" s="444"/>
      <c r="V56" s="445"/>
      <c r="W56" s="443" t="str">
        <f>Calcu!S29</f>
        <v/>
      </c>
      <c r="X56" s="444"/>
      <c r="Y56" s="444"/>
      <c r="Z56" s="445"/>
      <c r="AA56" s="443" t="str">
        <f>Calcu!T29</f>
        <v/>
      </c>
      <c r="AB56" s="444"/>
      <c r="AC56" s="444"/>
      <c r="AD56" s="445"/>
      <c r="AE56" s="443" t="str">
        <f>Calcu!U29</f>
        <v/>
      </c>
      <c r="AF56" s="444"/>
      <c r="AG56" s="444"/>
      <c r="AH56" s="445"/>
      <c r="AI56" s="443" t="str">
        <f>Calcu!V29</f>
        <v/>
      </c>
      <c r="AJ56" s="444"/>
      <c r="AK56" s="444"/>
      <c r="AL56" s="445"/>
      <c r="AM56" s="443" t="str">
        <f>Calcu!W29</f>
        <v/>
      </c>
      <c r="AN56" s="444"/>
      <c r="AO56" s="444"/>
      <c r="AP56" s="445"/>
      <c r="AQ56" s="443" t="str">
        <f>Calcu!X29</f>
        <v/>
      </c>
      <c r="AR56" s="444"/>
      <c r="AS56" s="444"/>
      <c r="AT56" s="445"/>
      <c r="AU56" s="443" t="str">
        <f>Calcu!Y29</f>
        <v/>
      </c>
      <c r="AV56" s="444"/>
      <c r="AW56" s="444"/>
      <c r="AX56" s="445"/>
      <c r="AY56" s="443" t="str">
        <f>Calcu!Z29</f>
        <v/>
      </c>
      <c r="AZ56" s="444"/>
      <c r="BA56" s="444"/>
      <c r="BB56" s="445"/>
      <c r="BC56" s="443" t="str">
        <f>Calcu!AA29</f>
        <v/>
      </c>
      <c r="BD56" s="444"/>
      <c r="BE56" s="444"/>
      <c r="BF56" s="445"/>
      <c r="BG56" s="443" t="str">
        <f>Calcu!AB29</f>
        <v/>
      </c>
      <c r="BH56" s="444"/>
      <c r="BI56" s="444"/>
      <c r="BJ56" s="445"/>
    </row>
    <row r="57" spans="1:62" ht="18.75" customHeight="1">
      <c r="A57" s="253"/>
      <c r="B57" s="443" t="str">
        <f t="shared" si="2"/>
        <v/>
      </c>
      <c r="C57" s="444"/>
      <c r="D57" s="444"/>
      <c r="E57" s="444"/>
      <c r="F57" s="445"/>
      <c r="G57" s="443" t="str">
        <f>Calcu!O30</f>
        <v/>
      </c>
      <c r="H57" s="444"/>
      <c r="I57" s="444"/>
      <c r="J57" s="445"/>
      <c r="K57" s="443" t="str">
        <f>Calcu!P30</f>
        <v/>
      </c>
      <c r="L57" s="444"/>
      <c r="M57" s="444"/>
      <c r="N57" s="445"/>
      <c r="O57" s="443" t="str">
        <f>Calcu!Q30</f>
        <v/>
      </c>
      <c r="P57" s="444"/>
      <c r="Q57" s="444"/>
      <c r="R57" s="445"/>
      <c r="S57" s="443" t="str">
        <f>Calcu!R30</f>
        <v/>
      </c>
      <c r="T57" s="444"/>
      <c r="U57" s="444"/>
      <c r="V57" s="445"/>
      <c r="W57" s="443" t="str">
        <f>Calcu!S30</f>
        <v/>
      </c>
      <c r="X57" s="444"/>
      <c r="Y57" s="444"/>
      <c r="Z57" s="445"/>
      <c r="AA57" s="443" t="str">
        <f>Calcu!T30</f>
        <v/>
      </c>
      <c r="AB57" s="444"/>
      <c r="AC57" s="444"/>
      <c r="AD57" s="445"/>
      <c r="AE57" s="443" t="str">
        <f>Calcu!U30</f>
        <v/>
      </c>
      <c r="AF57" s="444"/>
      <c r="AG57" s="444"/>
      <c r="AH57" s="445"/>
      <c r="AI57" s="443" t="str">
        <f>Calcu!V30</f>
        <v/>
      </c>
      <c r="AJ57" s="444"/>
      <c r="AK57" s="444"/>
      <c r="AL57" s="445"/>
      <c r="AM57" s="443" t="str">
        <f>Calcu!W30</f>
        <v/>
      </c>
      <c r="AN57" s="444"/>
      <c r="AO57" s="444"/>
      <c r="AP57" s="445"/>
      <c r="AQ57" s="443" t="str">
        <f>Calcu!X30</f>
        <v/>
      </c>
      <c r="AR57" s="444"/>
      <c r="AS57" s="444"/>
      <c r="AT57" s="445"/>
      <c r="AU57" s="443" t="str">
        <f>Calcu!Y30</f>
        <v/>
      </c>
      <c r="AV57" s="444"/>
      <c r="AW57" s="444"/>
      <c r="AX57" s="445"/>
      <c r="AY57" s="443" t="str">
        <f>Calcu!Z30</f>
        <v/>
      </c>
      <c r="AZ57" s="444"/>
      <c r="BA57" s="444"/>
      <c r="BB57" s="445"/>
      <c r="BC57" s="443" t="str">
        <f>Calcu!AA30</f>
        <v/>
      </c>
      <c r="BD57" s="444"/>
      <c r="BE57" s="444"/>
      <c r="BF57" s="445"/>
      <c r="BG57" s="443" t="str">
        <f>Calcu!AB30</f>
        <v/>
      </c>
      <c r="BH57" s="444"/>
      <c r="BI57" s="444"/>
      <c r="BJ57" s="445"/>
    </row>
    <row r="58" spans="1:62" ht="18.75" customHeight="1">
      <c r="A58" s="253"/>
      <c r="B58" s="443" t="str">
        <f t="shared" si="2"/>
        <v/>
      </c>
      <c r="C58" s="444"/>
      <c r="D58" s="444"/>
      <c r="E58" s="444"/>
      <c r="F58" s="445"/>
      <c r="G58" s="443" t="str">
        <f>Calcu!O31</f>
        <v/>
      </c>
      <c r="H58" s="444"/>
      <c r="I58" s="444"/>
      <c r="J58" s="445"/>
      <c r="K58" s="443" t="str">
        <f>Calcu!P31</f>
        <v/>
      </c>
      <c r="L58" s="444"/>
      <c r="M58" s="444"/>
      <c r="N58" s="445"/>
      <c r="O58" s="443" t="str">
        <f>Calcu!Q31</f>
        <v/>
      </c>
      <c r="P58" s="444"/>
      <c r="Q58" s="444"/>
      <c r="R58" s="445"/>
      <c r="S58" s="443" t="str">
        <f>Calcu!R31</f>
        <v/>
      </c>
      <c r="T58" s="444"/>
      <c r="U58" s="444"/>
      <c r="V58" s="445"/>
      <c r="W58" s="443" t="str">
        <f>Calcu!S31</f>
        <v/>
      </c>
      <c r="X58" s="444"/>
      <c r="Y58" s="444"/>
      <c r="Z58" s="445"/>
      <c r="AA58" s="443" t="str">
        <f>Calcu!T31</f>
        <v/>
      </c>
      <c r="AB58" s="444"/>
      <c r="AC58" s="444"/>
      <c r="AD58" s="445"/>
      <c r="AE58" s="443" t="str">
        <f>Calcu!U31</f>
        <v/>
      </c>
      <c r="AF58" s="444"/>
      <c r="AG58" s="444"/>
      <c r="AH58" s="445"/>
      <c r="AI58" s="443" t="str">
        <f>Calcu!V31</f>
        <v/>
      </c>
      <c r="AJ58" s="444"/>
      <c r="AK58" s="444"/>
      <c r="AL58" s="445"/>
      <c r="AM58" s="443" t="str">
        <f>Calcu!W31</f>
        <v/>
      </c>
      <c r="AN58" s="444"/>
      <c r="AO58" s="444"/>
      <c r="AP58" s="445"/>
      <c r="AQ58" s="443" t="str">
        <f>Calcu!X31</f>
        <v/>
      </c>
      <c r="AR58" s="444"/>
      <c r="AS58" s="444"/>
      <c r="AT58" s="445"/>
      <c r="AU58" s="443" t="str">
        <f>Calcu!Y31</f>
        <v/>
      </c>
      <c r="AV58" s="444"/>
      <c r="AW58" s="444"/>
      <c r="AX58" s="445"/>
      <c r="AY58" s="443" t="str">
        <f>Calcu!Z31</f>
        <v/>
      </c>
      <c r="AZ58" s="444"/>
      <c r="BA58" s="444"/>
      <c r="BB58" s="445"/>
      <c r="BC58" s="443" t="str">
        <f>Calcu!AA31</f>
        <v/>
      </c>
      <c r="BD58" s="444"/>
      <c r="BE58" s="444"/>
      <c r="BF58" s="445"/>
      <c r="BG58" s="443" t="str">
        <f>Calcu!AB31</f>
        <v/>
      </c>
      <c r="BH58" s="444"/>
      <c r="BI58" s="444"/>
      <c r="BJ58" s="445"/>
    </row>
    <row r="59" spans="1:62" ht="18.75" customHeight="1">
      <c r="A59" s="253"/>
      <c r="B59" s="443" t="str">
        <f t="shared" si="2"/>
        <v/>
      </c>
      <c r="C59" s="444"/>
      <c r="D59" s="444"/>
      <c r="E59" s="444"/>
      <c r="F59" s="445"/>
      <c r="G59" s="443" t="str">
        <f>Calcu!O32</f>
        <v/>
      </c>
      <c r="H59" s="444"/>
      <c r="I59" s="444"/>
      <c r="J59" s="445"/>
      <c r="K59" s="443" t="str">
        <f>Calcu!P32</f>
        <v/>
      </c>
      <c r="L59" s="444"/>
      <c r="M59" s="444"/>
      <c r="N59" s="445"/>
      <c r="O59" s="443" t="str">
        <f>Calcu!Q32</f>
        <v/>
      </c>
      <c r="P59" s="444"/>
      <c r="Q59" s="444"/>
      <c r="R59" s="445"/>
      <c r="S59" s="443" t="str">
        <f>Calcu!R32</f>
        <v/>
      </c>
      <c r="T59" s="444"/>
      <c r="U59" s="444"/>
      <c r="V59" s="445"/>
      <c r="W59" s="443" t="str">
        <f>Calcu!S32</f>
        <v/>
      </c>
      <c r="X59" s="444"/>
      <c r="Y59" s="444"/>
      <c r="Z59" s="445"/>
      <c r="AA59" s="443" t="str">
        <f>Calcu!T32</f>
        <v/>
      </c>
      <c r="AB59" s="444"/>
      <c r="AC59" s="444"/>
      <c r="AD59" s="445"/>
      <c r="AE59" s="443" t="str">
        <f>Calcu!U32</f>
        <v/>
      </c>
      <c r="AF59" s="444"/>
      <c r="AG59" s="444"/>
      <c r="AH59" s="445"/>
      <c r="AI59" s="443" t="str">
        <f>Calcu!V32</f>
        <v/>
      </c>
      <c r="AJ59" s="444"/>
      <c r="AK59" s="444"/>
      <c r="AL59" s="445"/>
      <c r="AM59" s="443" t="str">
        <f>Calcu!W32</f>
        <v/>
      </c>
      <c r="AN59" s="444"/>
      <c r="AO59" s="444"/>
      <c r="AP59" s="445"/>
      <c r="AQ59" s="443" t="str">
        <f>Calcu!X32</f>
        <v/>
      </c>
      <c r="AR59" s="444"/>
      <c r="AS59" s="444"/>
      <c r="AT59" s="445"/>
      <c r="AU59" s="443" t="str">
        <f>Calcu!Y32</f>
        <v/>
      </c>
      <c r="AV59" s="444"/>
      <c r="AW59" s="444"/>
      <c r="AX59" s="445"/>
      <c r="AY59" s="443" t="str">
        <f>Calcu!Z32</f>
        <v/>
      </c>
      <c r="AZ59" s="444"/>
      <c r="BA59" s="444"/>
      <c r="BB59" s="445"/>
      <c r="BC59" s="443" t="str">
        <f>Calcu!AA32</f>
        <v/>
      </c>
      <c r="BD59" s="444"/>
      <c r="BE59" s="444"/>
      <c r="BF59" s="445"/>
      <c r="BG59" s="443" t="str">
        <f>Calcu!AB32</f>
        <v/>
      </c>
      <c r="BH59" s="444"/>
      <c r="BI59" s="444"/>
      <c r="BJ59" s="445"/>
    </row>
    <row r="60" spans="1:62" ht="18.75" customHeight="1">
      <c r="A60" s="253"/>
      <c r="B60" s="443" t="str">
        <f t="shared" si="2"/>
        <v/>
      </c>
      <c r="C60" s="444"/>
      <c r="D60" s="444"/>
      <c r="E60" s="444"/>
      <c r="F60" s="445"/>
      <c r="G60" s="443" t="str">
        <f>Calcu!O33</f>
        <v/>
      </c>
      <c r="H60" s="444"/>
      <c r="I60" s="444"/>
      <c r="J60" s="445"/>
      <c r="K60" s="443" t="str">
        <f>Calcu!P33</f>
        <v/>
      </c>
      <c r="L60" s="444"/>
      <c r="M60" s="444"/>
      <c r="N60" s="445"/>
      <c r="O60" s="443" t="str">
        <f>Calcu!Q33</f>
        <v/>
      </c>
      <c r="P60" s="444"/>
      <c r="Q60" s="444"/>
      <c r="R60" s="445"/>
      <c r="S60" s="443" t="str">
        <f>Calcu!R33</f>
        <v/>
      </c>
      <c r="T60" s="444"/>
      <c r="U60" s="444"/>
      <c r="V60" s="445"/>
      <c r="W60" s="443" t="str">
        <f>Calcu!S33</f>
        <v/>
      </c>
      <c r="X60" s="444"/>
      <c r="Y60" s="444"/>
      <c r="Z60" s="445"/>
      <c r="AA60" s="443" t="str">
        <f>Calcu!T33</f>
        <v/>
      </c>
      <c r="AB60" s="444"/>
      <c r="AC60" s="444"/>
      <c r="AD60" s="445"/>
      <c r="AE60" s="443" t="str">
        <f>Calcu!U33</f>
        <v/>
      </c>
      <c r="AF60" s="444"/>
      <c r="AG60" s="444"/>
      <c r="AH60" s="445"/>
      <c r="AI60" s="443" t="str">
        <f>Calcu!V33</f>
        <v/>
      </c>
      <c r="AJ60" s="444"/>
      <c r="AK60" s="444"/>
      <c r="AL60" s="445"/>
      <c r="AM60" s="443" t="str">
        <f>Calcu!W33</f>
        <v/>
      </c>
      <c r="AN60" s="444"/>
      <c r="AO60" s="444"/>
      <c r="AP60" s="445"/>
      <c r="AQ60" s="443" t="str">
        <f>Calcu!X33</f>
        <v/>
      </c>
      <c r="AR60" s="444"/>
      <c r="AS60" s="444"/>
      <c r="AT60" s="445"/>
      <c r="AU60" s="443" t="str">
        <f>Calcu!Y33</f>
        <v/>
      </c>
      <c r="AV60" s="444"/>
      <c r="AW60" s="444"/>
      <c r="AX60" s="445"/>
      <c r="AY60" s="443" t="str">
        <f>Calcu!Z33</f>
        <v/>
      </c>
      <c r="AZ60" s="444"/>
      <c r="BA60" s="444"/>
      <c r="BB60" s="445"/>
      <c r="BC60" s="443" t="str">
        <f>Calcu!AA33</f>
        <v/>
      </c>
      <c r="BD60" s="444"/>
      <c r="BE60" s="444"/>
      <c r="BF60" s="445"/>
      <c r="BG60" s="443" t="str">
        <f>Calcu!AB33</f>
        <v/>
      </c>
      <c r="BH60" s="444"/>
      <c r="BI60" s="444"/>
      <c r="BJ60" s="445"/>
    </row>
    <row r="61" spans="1:62" ht="18.75" customHeight="1">
      <c r="A61" s="253"/>
      <c r="B61" s="316"/>
      <c r="C61" s="316"/>
      <c r="D61" s="316"/>
      <c r="E61" s="316"/>
      <c r="F61" s="316"/>
      <c r="G61" s="316"/>
      <c r="H61" s="316"/>
      <c r="I61" s="316"/>
      <c r="J61" s="316"/>
      <c r="K61" s="316"/>
      <c r="L61" s="316"/>
      <c r="M61" s="316"/>
      <c r="N61" s="316"/>
      <c r="O61" s="316"/>
      <c r="P61" s="316"/>
      <c r="Q61" s="316"/>
      <c r="R61" s="316"/>
      <c r="S61" s="316"/>
      <c r="T61" s="316"/>
      <c r="U61" s="316"/>
      <c r="V61" s="316"/>
      <c r="W61" s="316"/>
      <c r="X61" s="316"/>
      <c r="Y61" s="316"/>
      <c r="Z61" s="316"/>
      <c r="AA61" s="316"/>
      <c r="AB61" s="316"/>
      <c r="AC61" s="316"/>
      <c r="AD61" s="316"/>
      <c r="AE61" s="316"/>
      <c r="AF61" s="316"/>
      <c r="AG61" s="316"/>
      <c r="AH61" s="316"/>
      <c r="AI61" s="316"/>
      <c r="AJ61" s="316"/>
      <c r="AK61" s="316"/>
      <c r="AL61" s="316"/>
      <c r="AM61" s="316"/>
      <c r="AN61" s="316"/>
      <c r="AO61" s="316"/>
      <c r="AP61" s="316"/>
      <c r="AQ61" s="316"/>
      <c r="AR61" s="316"/>
      <c r="AS61" s="316"/>
      <c r="AT61" s="316"/>
    </row>
    <row r="62" spans="1:62" ht="18.75" customHeight="1">
      <c r="A62" s="253" t="s">
        <v>657</v>
      </c>
      <c r="B62" s="254"/>
      <c r="C62" s="254"/>
      <c r="D62" s="254"/>
      <c r="E62" s="254"/>
      <c r="F62" s="254"/>
      <c r="G62" s="254"/>
      <c r="H62" s="254"/>
      <c r="I62" s="254"/>
      <c r="J62" s="254"/>
      <c r="K62" s="254"/>
      <c r="L62" s="254"/>
      <c r="M62" s="254"/>
      <c r="N62" s="254"/>
      <c r="O62" s="254"/>
      <c r="P62" s="254"/>
      <c r="Q62" s="254"/>
      <c r="R62" s="254"/>
      <c r="S62" s="254"/>
      <c r="T62" s="254"/>
      <c r="U62" s="254"/>
      <c r="V62" s="254"/>
      <c r="W62" s="254"/>
      <c r="X62" s="254"/>
      <c r="Y62" s="254"/>
      <c r="Z62" s="254"/>
      <c r="AA62" s="254"/>
      <c r="AB62" s="254"/>
      <c r="AC62" s="254"/>
      <c r="AD62" s="254"/>
      <c r="AE62" s="254"/>
      <c r="AF62" s="254"/>
      <c r="AG62" s="254"/>
      <c r="AH62" s="254"/>
      <c r="AI62" s="254"/>
      <c r="AJ62" s="254"/>
      <c r="AK62" s="254"/>
      <c r="AL62" s="254"/>
      <c r="AM62" s="254"/>
      <c r="AN62" s="254"/>
      <c r="AO62" s="254"/>
      <c r="AP62" s="254"/>
      <c r="AQ62" s="254"/>
      <c r="AR62" s="254"/>
      <c r="AS62" s="254"/>
      <c r="AT62" s="254"/>
    </row>
    <row r="63" spans="1:62" ht="18.75" customHeight="1">
      <c r="A63" s="255"/>
      <c r="B63" s="254"/>
      <c r="C63" s="254"/>
      <c r="D63" s="254"/>
      <c r="E63" s="254"/>
      <c r="F63" s="254"/>
      <c r="G63" s="254"/>
      <c r="H63" s="254"/>
      <c r="I63" s="254"/>
      <c r="J63" s="254"/>
      <c r="K63" s="254"/>
      <c r="L63" s="254"/>
      <c r="M63" s="254"/>
      <c r="N63" s="254"/>
      <c r="O63" s="254"/>
      <c r="P63" s="254"/>
      <c r="Q63" s="254"/>
      <c r="R63" s="254"/>
      <c r="S63" s="254"/>
      <c r="T63" s="254"/>
      <c r="U63" s="254"/>
      <c r="V63" s="254"/>
      <c r="W63" s="254"/>
      <c r="X63" s="254"/>
      <c r="Y63" s="254"/>
      <c r="Z63" s="254"/>
      <c r="AA63" s="254"/>
      <c r="AB63" s="254"/>
      <c r="AC63" s="254"/>
      <c r="AD63" s="254"/>
      <c r="AE63" s="254"/>
      <c r="AF63" s="254"/>
      <c r="AG63" s="254"/>
      <c r="AH63" s="254"/>
      <c r="AI63" s="254"/>
      <c r="AJ63" s="254"/>
      <c r="AK63" s="254"/>
      <c r="AL63" s="254"/>
      <c r="AM63" s="254"/>
      <c r="AN63" s="254"/>
      <c r="AO63" s="254"/>
      <c r="AP63" s="254"/>
      <c r="AQ63" s="254"/>
      <c r="AR63" s="254"/>
      <c r="AS63" s="254"/>
      <c r="AT63" s="254"/>
    </row>
    <row r="64" spans="1:62" ht="18.75" customHeight="1">
      <c r="A64" s="255"/>
      <c r="B64" s="254"/>
      <c r="C64" s="254"/>
      <c r="D64" s="254"/>
      <c r="E64" s="254"/>
      <c r="F64" s="254"/>
      <c r="G64" s="254"/>
      <c r="H64" s="254"/>
      <c r="I64" s="254"/>
      <c r="J64" s="254"/>
      <c r="K64" s="254"/>
      <c r="L64" s="254"/>
      <c r="M64" s="254"/>
      <c r="N64" s="254"/>
      <c r="O64" s="254"/>
      <c r="P64" s="254"/>
      <c r="Q64" s="254"/>
      <c r="R64" s="254"/>
      <c r="S64" s="254"/>
      <c r="T64" s="254"/>
      <c r="U64" s="254"/>
      <c r="V64" s="254"/>
      <c r="W64" s="254"/>
      <c r="X64" s="254"/>
      <c r="Y64" s="254"/>
      <c r="Z64" s="254"/>
      <c r="AA64" s="254"/>
      <c r="AB64" s="254"/>
      <c r="AC64" s="254"/>
      <c r="AD64" s="254"/>
      <c r="AE64" s="254"/>
      <c r="AF64" s="254"/>
      <c r="AG64" s="254"/>
      <c r="AH64" s="254"/>
      <c r="AI64" s="254"/>
      <c r="AJ64" s="254"/>
      <c r="AK64" s="254"/>
      <c r="AL64" s="254"/>
      <c r="AM64" s="254"/>
      <c r="AN64" s="254"/>
      <c r="AO64" s="254"/>
      <c r="AP64" s="254"/>
      <c r="AQ64" s="254"/>
      <c r="AR64" s="254"/>
      <c r="AS64" s="254"/>
      <c r="AT64" s="254"/>
    </row>
    <row r="65" spans="1:54" ht="18.75" customHeight="1">
      <c r="A65" s="255"/>
      <c r="B65" s="254"/>
      <c r="C65" s="461" t="s">
        <v>658</v>
      </c>
      <c r="D65" s="461"/>
      <c r="E65" s="461"/>
      <c r="F65" s="316" t="s">
        <v>659</v>
      </c>
      <c r="G65" s="254" t="s">
        <v>660</v>
      </c>
      <c r="H65" s="254"/>
      <c r="I65" s="254"/>
      <c r="J65" s="254"/>
      <c r="K65" s="254"/>
      <c r="L65" s="254"/>
      <c r="M65" s="254"/>
      <c r="N65" s="254"/>
      <c r="O65" s="254"/>
      <c r="P65" s="254"/>
      <c r="Q65" s="254"/>
      <c r="R65" s="254"/>
      <c r="S65" s="254"/>
      <c r="W65" s="256"/>
      <c r="X65" s="256"/>
      <c r="Y65" s="256"/>
      <c r="Z65" s="254"/>
      <c r="AA65" s="254"/>
      <c r="AB65" s="254"/>
      <c r="AC65" s="254"/>
      <c r="AD65" s="254"/>
      <c r="AE65" s="254"/>
      <c r="AF65" s="254"/>
      <c r="AG65" s="254"/>
      <c r="AH65" s="254"/>
      <c r="AI65" s="254"/>
      <c r="AJ65" s="254"/>
      <c r="AK65" s="254"/>
      <c r="AL65" s="254"/>
      <c r="AM65" s="254"/>
      <c r="AN65" s="254"/>
      <c r="AO65" s="254"/>
      <c r="AP65" s="254"/>
      <c r="AQ65" s="254"/>
      <c r="AR65" s="254"/>
      <c r="AS65" s="254"/>
      <c r="AT65" s="254"/>
    </row>
    <row r="66" spans="1:54" ht="18.75" customHeight="1">
      <c r="A66" s="255"/>
      <c r="B66" s="254"/>
      <c r="C66" s="461" t="s">
        <v>661</v>
      </c>
      <c r="D66" s="461"/>
      <c r="E66" s="461"/>
      <c r="F66" s="316" t="s">
        <v>659</v>
      </c>
      <c r="G66" s="254" t="s">
        <v>662</v>
      </c>
      <c r="H66" s="254"/>
      <c r="I66" s="254"/>
      <c r="J66" s="254"/>
      <c r="K66" s="254"/>
      <c r="L66" s="254"/>
      <c r="M66" s="254"/>
      <c r="N66" s="254"/>
      <c r="O66" s="254"/>
      <c r="P66" s="254"/>
      <c r="Q66" s="254"/>
      <c r="R66" s="254"/>
      <c r="S66" s="254"/>
      <c r="T66" s="254"/>
      <c r="U66" s="254"/>
      <c r="V66" s="254"/>
      <c r="W66" s="254"/>
      <c r="X66" s="254"/>
      <c r="Y66" s="254"/>
      <c r="Z66" s="254"/>
      <c r="AA66" s="254"/>
      <c r="AB66" s="254"/>
      <c r="AC66" s="254"/>
      <c r="AD66" s="254"/>
      <c r="AE66" s="254"/>
      <c r="AF66" s="254"/>
      <c r="AG66" s="254"/>
      <c r="AH66" s="254"/>
      <c r="AI66" s="254"/>
      <c r="AJ66" s="254"/>
      <c r="AK66" s="254"/>
      <c r="AL66" s="254"/>
      <c r="AM66" s="254"/>
      <c r="AN66" s="254"/>
      <c r="AO66" s="254"/>
      <c r="AP66" s="254"/>
      <c r="AQ66" s="254"/>
      <c r="AR66" s="254"/>
      <c r="AS66" s="254"/>
      <c r="AT66" s="254"/>
      <c r="AU66" s="254"/>
      <c r="AV66" s="254"/>
      <c r="AW66" s="254"/>
      <c r="AX66" s="254"/>
      <c r="AY66" s="254"/>
      <c r="AZ66" s="254"/>
      <c r="BA66" s="254"/>
      <c r="BB66" s="254"/>
    </row>
    <row r="67" spans="1:54" ht="18.75" customHeight="1">
      <c r="A67" s="255"/>
      <c r="B67" s="254"/>
      <c r="C67" s="461" t="s">
        <v>663</v>
      </c>
      <c r="D67" s="461"/>
      <c r="E67" s="461"/>
      <c r="F67" s="316" t="s">
        <v>665</v>
      </c>
      <c r="G67" s="254" t="s">
        <v>666</v>
      </c>
      <c r="H67" s="254"/>
      <c r="I67" s="254"/>
      <c r="J67" s="254"/>
      <c r="K67" s="254"/>
      <c r="L67" s="254"/>
      <c r="M67" s="254"/>
      <c r="N67" s="254"/>
      <c r="O67" s="254"/>
      <c r="P67" s="254"/>
      <c r="Q67" s="254"/>
      <c r="U67" s="254"/>
      <c r="V67" s="254"/>
      <c r="W67" s="254"/>
      <c r="X67" s="254"/>
      <c r="Y67" s="254"/>
      <c r="Z67" s="254"/>
      <c r="AA67" s="254"/>
      <c r="AB67" s="254"/>
      <c r="AC67" s="254"/>
      <c r="AD67" s="254"/>
      <c r="AE67" s="254"/>
      <c r="AF67" s="254"/>
      <c r="AG67" s="254"/>
      <c r="AH67" s="254"/>
      <c r="AI67" s="254"/>
      <c r="AJ67" s="254"/>
      <c r="AK67" s="254"/>
      <c r="AL67" s="254"/>
      <c r="AM67" s="254"/>
      <c r="AN67" s="254"/>
      <c r="AO67" s="254"/>
      <c r="AP67" s="254"/>
      <c r="AQ67" s="254"/>
      <c r="AR67" s="254"/>
      <c r="AS67" s="254"/>
      <c r="AT67" s="254"/>
      <c r="AU67" s="254"/>
      <c r="AV67" s="254"/>
      <c r="AW67" s="254"/>
      <c r="AX67" s="254"/>
      <c r="AY67" s="254"/>
      <c r="AZ67" s="254"/>
      <c r="BA67" s="254"/>
      <c r="BB67" s="254"/>
    </row>
    <row r="68" spans="1:54" ht="18.75" customHeight="1">
      <c r="A68" s="255"/>
      <c r="B68" s="254"/>
      <c r="C68" s="461" t="s">
        <v>667</v>
      </c>
      <c r="D68" s="461"/>
      <c r="E68" s="461"/>
      <c r="F68" s="316" t="s">
        <v>665</v>
      </c>
      <c r="G68" s="254" t="s">
        <v>495</v>
      </c>
      <c r="H68" s="254"/>
      <c r="I68" s="254"/>
      <c r="J68" s="254"/>
      <c r="K68" s="254"/>
      <c r="L68" s="254"/>
      <c r="M68" s="254"/>
      <c r="N68" s="254"/>
      <c r="O68" s="254"/>
      <c r="P68" s="254"/>
      <c r="Q68" s="254"/>
      <c r="R68" s="254"/>
      <c r="S68" s="254"/>
      <c r="T68" s="254"/>
      <c r="U68" s="254"/>
      <c r="V68" s="254"/>
      <c r="W68" s="254"/>
      <c r="X68" s="254"/>
      <c r="Y68" s="254"/>
      <c r="Z68" s="254"/>
      <c r="AA68" s="254"/>
      <c r="AB68" s="254"/>
      <c r="AC68" s="254"/>
      <c r="AD68" s="254"/>
      <c r="AE68" s="254"/>
      <c r="AF68" s="254"/>
      <c r="AG68" s="254"/>
      <c r="AH68" s="254"/>
      <c r="AI68" s="254"/>
      <c r="AJ68" s="254"/>
      <c r="AK68" s="254"/>
      <c r="AL68" s="254"/>
      <c r="AM68" s="254"/>
      <c r="AN68" s="254"/>
      <c r="AO68" s="254"/>
      <c r="AP68" s="254"/>
      <c r="AQ68" s="254"/>
      <c r="AR68" s="254"/>
      <c r="AS68" s="254"/>
      <c r="AT68" s="254"/>
      <c r="AU68" s="254"/>
      <c r="AV68" s="254"/>
      <c r="AW68" s="254"/>
      <c r="AX68" s="254"/>
      <c r="AY68" s="254"/>
      <c r="AZ68" s="254"/>
      <c r="BA68" s="254"/>
      <c r="BB68" s="254"/>
    </row>
    <row r="69" spans="1:54" ht="18.75" customHeight="1">
      <c r="A69" s="255"/>
      <c r="B69" s="254"/>
      <c r="C69" s="461" t="s">
        <v>496</v>
      </c>
      <c r="D69" s="461"/>
      <c r="E69" s="461"/>
      <c r="F69" s="316" t="s">
        <v>664</v>
      </c>
      <c r="G69" s="254" t="s">
        <v>668</v>
      </c>
      <c r="H69" s="254"/>
      <c r="I69" s="254"/>
      <c r="J69" s="254"/>
      <c r="K69" s="254"/>
      <c r="L69" s="254"/>
      <c r="M69" s="254"/>
      <c r="N69" s="254"/>
      <c r="O69" s="254"/>
      <c r="P69" s="254"/>
      <c r="Q69" s="254"/>
      <c r="R69" s="254"/>
      <c r="S69" s="254"/>
      <c r="T69" s="254"/>
      <c r="U69" s="254"/>
      <c r="V69" s="254"/>
      <c r="W69" s="254"/>
      <c r="X69" s="254"/>
      <c r="Y69" s="254"/>
      <c r="Z69" s="254"/>
      <c r="AA69" s="254"/>
      <c r="AB69" s="254"/>
      <c r="AC69" s="254"/>
      <c r="AD69" s="254"/>
      <c r="AE69" s="254"/>
      <c r="AF69" s="254"/>
      <c r="AG69" s="254"/>
      <c r="AH69" s="254"/>
      <c r="AI69" s="254"/>
      <c r="AJ69" s="254"/>
      <c r="AK69" s="254"/>
      <c r="AL69" s="254"/>
      <c r="AM69" s="254"/>
      <c r="AN69" s="254"/>
      <c r="AO69" s="254"/>
      <c r="AP69" s="254"/>
      <c r="AQ69" s="254"/>
      <c r="AR69" s="254"/>
      <c r="AS69" s="254"/>
      <c r="AT69" s="254"/>
      <c r="AU69" s="254"/>
      <c r="AV69" s="254"/>
      <c r="AW69" s="254"/>
      <c r="AX69" s="254"/>
      <c r="AY69" s="254"/>
      <c r="AZ69" s="254"/>
      <c r="BA69" s="254"/>
      <c r="BB69" s="254"/>
    </row>
    <row r="70" spans="1:54" ht="18.75" customHeight="1">
      <c r="A70" s="255"/>
      <c r="B70" s="254"/>
      <c r="C70" s="461" t="s">
        <v>669</v>
      </c>
      <c r="D70" s="461"/>
      <c r="E70" s="461"/>
      <c r="F70" s="316" t="s">
        <v>664</v>
      </c>
      <c r="G70" s="254" t="s">
        <v>670</v>
      </c>
      <c r="H70" s="254"/>
      <c r="I70" s="254"/>
      <c r="J70" s="254"/>
      <c r="K70" s="254"/>
      <c r="L70" s="254"/>
      <c r="M70" s="254"/>
      <c r="N70" s="254"/>
      <c r="O70" s="254"/>
      <c r="P70" s="254"/>
      <c r="Q70" s="254"/>
      <c r="R70" s="254"/>
      <c r="S70" s="254"/>
      <c r="T70" s="254"/>
      <c r="U70" s="254"/>
      <c r="V70" s="254"/>
      <c r="W70" s="254"/>
      <c r="X70" s="254"/>
      <c r="Y70" s="254"/>
      <c r="Z70" s="254"/>
      <c r="AA70" s="254"/>
      <c r="AB70" s="254"/>
      <c r="AC70" s="254"/>
      <c r="AD70" s="254"/>
      <c r="AE70" s="254"/>
      <c r="AF70" s="254"/>
      <c r="AG70" s="254"/>
      <c r="AH70" s="254"/>
      <c r="AI70" s="254"/>
      <c r="AJ70" s="254"/>
      <c r="AK70" s="254"/>
      <c r="AL70" s="254"/>
      <c r="AM70" s="254"/>
      <c r="AN70" s="254"/>
      <c r="AO70" s="254"/>
      <c r="AP70" s="254"/>
      <c r="AQ70" s="254"/>
      <c r="AR70" s="254"/>
      <c r="AS70" s="254"/>
      <c r="AT70" s="254"/>
      <c r="AU70" s="254"/>
      <c r="AV70" s="254"/>
      <c r="AW70" s="254"/>
      <c r="AX70" s="254"/>
      <c r="AY70" s="254"/>
      <c r="AZ70" s="254"/>
      <c r="BA70" s="254"/>
      <c r="BB70" s="254"/>
    </row>
    <row r="71" spans="1:54" ht="18.75" customHeight="1">
      <c r="A71" s="255"/>
      <c r="B71" s="254"/>
      <c r="C71" s="256"/>
      <c r="D71" s="256"/>
      <c r="E71" s="256"/>
      <c r="F71" s="316"/>
      <c r="G71" s="254"/>
      <c r="H71" s="254"/>
      <c r="I71" s="254"/>
      <c r="J71" s="254"/>
      <c r="K71" s="254"/>
      <c r="L71" s="254"/>
      <c r="M71" s="254"/>
      <c r="N71" s="254"/>
      <c r="O71" s="254"/>
      <c r="P71" s="254"/>
      <c r="Q71" s="254"/>
      <c r="R71" s="254"/>
      <c r="S71" s="254"/>
      <c r="T71" s="254"/>
      <c r="U71" s="254"/>
      <c r="V71" s="254"/>
      <c r="W71" s="254"/>
      <c r="X71" s="254"/>
      <c r="Y71" s="254"/>
      <c r="Z71" s="254"/>
      <c r="AA71" s="254"/>
      <c r="AB71" s="254"/>
      <c r="AC71" s="254"/>
      <c r="AD71" s="254"/>
      <c r="AE71" s="254"/>
      <c r="AF71" s="254"/>
      <c r="AG71" s="254"/>
      <c r="AH71" s="254"/>
      <c r="AI71" s="254"/>
      <c r="AJ71" s="254"/>
      <c r="AK71" s="254"/>
      <c r="AL71" s="254"/>
      <c r="AM71" s="254"/>
      <c r="AN71" s="254"/>
      <c r="AO71" s="254"/>
      <c r="AP71" s="254"/>
      <c r="AQ71" s="254"/>
      <c r="AR71" s="254"/>
      <c r="AS71" s="254"/>
      <c r="AT71" s="254"/>
      <c r="AU71" s="254"/>
      <c r="AV71" s="254"/>
      <c r="AW71" s="254"/>
      <c r="AX71" s="254"/>
      <c r="AY71" s="254"/>
      <c r="AZ71" s="254"/>
      <c r="BA71" s="254"/>
      <c r="BB71" s="254"/>
    </row>
    <row r="72" spans="1:54" ht="18.75" customHeight="1">
      <c r="A72" s="253" t="s">
        <v>671</v>
      </c>
      <c r="B72" s="254"/>
      <c r="C72" s="254"/>
      <c r="D72" s="254"/>
      <c r="E72" s="254"/>
      <c r="F72" s="254"/>
      <c r="G72" s="254"/>
      <c r="H72" s="254"/>
      <c r="I72" s="254"/>
      <c r="J72" s="254"/>
      <c r="K72" s="254"/>
      <c r="L72" s="254"/>
      <c r="M72" s="254"/>
      <c r="N72" s="254"/>
      <c r="O72" s="254"/>
      <c r="P72" s="254"/>
      <c r="Q72" s="254"/>
      <c r="R72" s="254"/>
      <c r="S72" s="254"/>
      <c r="T72" s="254"/>
      <c r="U72" s="254"/>
      <c r="V72" s="254"/>
      <c r="W72" s="254"/>
      <c r="X72" s="254"/>
      <c r="Y72" s="254"/>
      <c r="Z72" s="254"/>
      <c r="AA72" s="254"/>
      <c r="AB72" s="254"/>
      <c r="AC72" s="254"/>
      <c r="AD72" s="254"/>
      <c r="AE72" s="254"/>
      <c r="AF72" s="254"/>
      <c r="AG72" s="254"/>
      <c r="AH72" s="254"/>
      <c r="AI72" s="254"/>
      <c r="AJ72" s="254"/>
      <c r="AK72" s="254"/>
      <c r="AL72" s="254"/>
      <c r="AM72" s="254"/>
      <c r="AN72" s="254"/>
      <c r="AO72" s="254"/>
      <c r="AP72" s="254"/>
      <c r="AQ72" s="254"/>
      <c r="AR72" s="254"/>
      <c r="AS72" s="254"/>
      <c r="AT72" s="254"/>
    </row>
    <row r="73" spans="1:54" ht="18.75" customHeight="1">
      <c r="A73" s="254"/>
      <c r="B73" s="254"/>
      <c r="C73" s="254"/>
      <c r="D73" s="254"/>
      <c r="E73" s="254"/>
      <c r="F73" s="254"/>
      <c r="G73" s="254"/>
      <c r="H73" s="254"/>
      <c r="I73" s="254"/>
      <c r="J73" s="254"/>
      <c r="K73" s="254"/>
      <c r="L73" s="254"/>
      <c r="M73" s="254"/>
      <c r="N73" s="254"/>
      <c r="O73" s="254"/>
      <c r="P73" s="254"/>
      <c r="Q73" s="254"/>
      <c r="R73" s="254"/>
      <c r="S73" s="254"/>
      <c r="T73" s="254"/>
      <c r="U73" s="254"/>
      <c r="V73" s="254"/>
      <c r="W73" s="254"/>
      <c r="X73" s="254"/>
      <c r="Y73" s="254"/>
      <c r="Z73" s="254"/>
      <c r="AA73" s="254"/>
      <c r="AB73" s="254"/>
      <c r="AC73" s="254"/>
      <c r="AD73" s="254"/>
      <c r="AE73" s="254"/>
      <c r="AF73" s="254"/>
      <c r="AG73" s="254"/>
      <c r="AH73" s="254"/>
      <c r="AI73" s="254"/>
      <c r="AJ73" s="254"/>
      <c r="AK73" s="254"/>
      <c r="AL73" s="254"/>
      <c r="AM73" s="254"/>
      <c r="AN73" s="254"/>
      <c r="AO73" s="254"/>
      <c r="AP73" s="254"/>
      <c r="AQ73" s="254"/>
      <c r="AR73" s="254"/>
      <c r="AS73" s="254"/>
      <c r="AT73" s="254"/>
    </row>
    <row r="74" spans="1:54" ht="18.75" customHeight="1">
      <c r="A74" s="254"/>
      <c r="B74" s="254"/>
      <c r="C74" s="254" t="s">
        <v>672</v>
      </c>
      <c r="D74" s="254"/>
      <c r="E74" s="254"/>
      <c r="F74" s="254"/>
      <c r="G74" s="254"/>
      <c r="H74" s="254"/>
      <c r="I74" s="254"/>
      <c r="J74" s="254"/>
      <c r="K74" s="254"/>
      <c r="L74" s="254"/>
      <c r="M74" s="254"/>
      <c r="N74" s="254"/>
      <c r="O74" s="254"/>
      <c r="P74" s="254"/>
      <c r="Q74" s="254"/>
      <c r="R74" s="254"/>
      <c r="S74" s="254"/>
      <c r="T74" s="254"/>
      <c r="U74" s="254"/>
      <c r="V74" s="254"/>
      <c r="W74" s="254"/>
      <c r="X74" s="254"/>
      <c r="Y74" s="254"/>
      <c r="Z74" s="254"/>
      <c r="AA74" s="254"/>
      <c r="AB74" s="254"/>
      <c r="AC74" s="254"/>
      <c r="AD74" s="254"/>
      <c r="AE74" s="254"/>
      <c r="AF74" s="254"/>
      <c r="AG74" s="254"/>
      <c r="AH74" s="254"/>
      <c r="AI74" s="254"/>
      <c r="AJ74" s="254"/>
      <c r="AK74" s="254"/>
      <c r="AL74" s="254"/>
      <c r="AM74" s="254"/>
      <c r="AN74" s="254"/>
      <c r="AO74" s="254"/>
      <c r="AP74" s="254"/>
      <c r="AQ74" s="254"/>
      <c r="AR74" s="254"/>
      <c r="AS74" s="254"/>
      <c r="AT74" s="254"/>
    </row>
    <row r="75" spans="1:54" ht="18.75" customHeight="1">
      <c r="A75" s="254"/>
      <c r="B75" s="254"/>
      <c r="C75" s="254"/>
      <c r="D75" s="254"/>
      <c r="E75" s="254"/>
      <c r="F75" s="254"/>
      <c r="G75" s="254"/>
      <c r="H75" s="254"/>
      <c r="I75" s="254"/>
      <c r="J75" s="254"/>
      <c r="K75" s="254"/>
      <c r="L75" s="254"/>
      <c r="M75" s="254"/>
      <c r="N75" s="254"/>
      <c r="O75" s="254"/>
      <c r="P75" s="254"/>
      <c r="Q75" s="254"/>
      <c r="R75" s="254"/>
      <c r="S75" s="254"/>
      <c r="T75" s="254"/>
      <c r="U75" s="254"/>
      <c r="V75" s="254"/>
      <c r="W75" s="254"/>
      <c r="X75" s="254"/>
      <c r="Y75" s="254"/>
      <c r="Z75" s="254"/>
      <c r="AA75" s="254"/>
      <c r="AB75" s="254"/>
      <c r="AC75" s="254"/>
      <c r="AD75" s="254"/>
      <c r="AE75" s="254"/>
      <c r="AF75" s="254"/>
      <c r="AG75" s="254"/>
      <c r="AH75" s="254"/>
      <c r="AI75" s="254"/>
      <c r="AJ75" s="254"/>
      <c r="AK75" s="254"/>
      <c r="AL75" s="254"/>
      <c r="AM75" s="254"/>
      <c r="AN75" s="254"/>
      <c r="AO75" s="254"/>
      <c r="AP75" s="254"/>
      <c r="AQ75" s="254"/>
      <c r="AR75" s="254"/>
      <c r="AS75" s="254"/>
      <c r="AT75" s="254"/>
    </row>
    <row r="76" spans="1:54" ht="18.75" customHeight="1">
      <c r="A76" s="254"/>
      <c r="B76" s="254"/>
      <c r="C76" s="254"/>
      <c r="D76" s="254"/>
      <c r="E76" s="254"/>
      <c r="F76" s="254"/>
      <c r="G76" s="254"/>
      <c r="H76" s="254"/>
      <c r="I76" s="254"/>
      <c r="J76" s="254"/>
      <c r="K76" s="254"/>
      <c r="L76" s="254"/>
      <c r="M76" s="254"/>
      <c r="N76" s="254"/>
      <c r="O76" s="254"/>
      <c r="P76" s="254"/>
      <c r="Q76" s="254"/>
      <c r="R76" s="254"/>
      <c r="S76" s="254"/>
      <c r="T76" s="254"/>
      <c r="U76" s="254"/>
      <c r="V76" s="254"/>
      <c r="W76" s="254"/>
      <c r="X76" s="254"/>
      <c r="Y76" s="254"/>
      <c r="Z76" s="254"/>
      <c r="AA76" s="254"/>
      <c r="AB76" s="254"/>
      <c r="AC76" s="254"/>
      <c r="AD76" s="254"/>
      <c r="AE76" s="254"/>
      <c r="AF76" s="254"/>
      <c r="AG76" s="254"/>
      <c r="AH76" s="254"/>
      <c r="AI76" s="254"/>
      <c r="AJ76" s="254"/>
      <c r="AK76" s="254"/>
      <c r="AL76" s="254"/>
      <c r="AM76" s="254"/>
      <c r="AN76" s="254"/>
      <c r="AO76" s="254"/>
      <c r="AP76" s="254"/>
      <c r="AQ76" s="254"/>
      <c r="AR76" s="254"/>
      <c r="AS76" s="254"/>
      <c r="AT76" s="254"/>
    </row>
    <row r="77" spans="1:54" ht="18.75" customHeight="1">
      <c r="A77" s="254"/>
      <c r="B77" s="254"/>
      <c r="C77" s="254"/>
      <c r="D77" s="254"/>
      <c r="E77" s="254"/>
      <c r="F77" s="254"/>
      <c r="G77" s="254"/>
      <c r="H77" s="254"/>
      <c r="I77" s="254"/>
      <c r="J77" s="254"/>
      <c r="K77" s="254"/>
      <c r="L77" s="254"/>
      <c r="M77" s="254"/>
      <c r="N77" s="254"/>
      <c r="O77" s="254"/>
      <c r="P77" s="254"/>
      <c r="Q77" s="254"/>
      <c r="R77" s="254"/>
      <c r="S77" s="254"/>
      <c r="T77" s="254"/>
      <c r="U77" s="254"/>
      <c r="V77" s="254"/>
      <c r="W77" s="254"/>
      <c r="X77" s="254"/>
      <c r="Y77" s="254"/>
      <c r="Z77" s="254"/>
      <c r="AA77" s="254"/>
      <c r="AB77" s="254"/>
      <c r="AC77" s="254"/>
      <c r="AD77" s="254"/>
      <c r="AE77" s="254"/>
      <c r="AF77" s="254"/>
      <c r="AG77" s="254"/>
      <c r="AH77" s="254"/>
      <c r="AI77" s="254"/>
      <c r="AJ77" s="254"/>
      <c r="AK77" s="254"/>
      <c r="AL77" s="254"/>
      <c r="AM77" s="254"/>
      <c r="AN77" s="254"/>
      <c r="AO77" s="254"/>
      <c r="AP77" s="254"/>
      <c r="AQ77" s="254"/>
      <c r="AR77" s="254"/>
      <c r="AS77" s="254"/>
      <c r="AT77" s="254"/>
    </row>
    <row r="78" spans="1:54" ht="18.75" customHeight="1">
      <c r="A78" s="257" t="s">
        <v>673</v>
      </c>
      <c r="B78" s="254"/>
      <c r="C78" s="254"/>
      <c r="D78" s="254"/>
      <c r="E78" s="254"/>
      <c r="F78" s="254"/>
      <c r="G78" s="254"/>
      <c r="H78" s="254"/>
      <c r="I78" s="254"/>
      <c r="J78" s="254"/>
      <c r="K78" s="254"/>
      <c r="L78" s="254"/>
      <c r="M78" s="254"/>
      <c r="N78" s="254"/>
      <c r="O78" s="254"/>
      <c r="P78" s="254"/>
      <c r="Q78" s="254"/>
      <c r="R78" s="254"/>
      <c r="S78" s="254"/>
      <c r="T78" s="254"/>
      <c r="U78" s="254"/>
      <c r="V78" s="254"/>
      <c r="W78" s="254"/>
      <c r="X78" s="254"/>
      <c r="Y78" s="254"/>
      <c r="Z78" s="254"/>
      <c r="AA78" s="254"/>
      <c r="AB78" s="254"/>
      <c r="AC78" s="254"/>
      <c r="AD78" s="254"/>
      <c r="AE78" s="254"/>
      <c r="AF78" s="254"/>
      <c r="AG78" s="254"/>
      <c r="AH78" s="254"/>
      <c r="AI78" s="254"/>
      <c r="AJ78" s="254"/>
      <c r="AK78" s="254"/>
      <c r="AL78" s="254"/>
      <c r="AM78" s="254"/>
      <c r="AN78" s="254"/>
      <c r="AO78" s="254"/>
      <c r="AP78" s="254"/>
      <c r="AQ78" s="254"/>
      <c r="AR78" s="254"/>
      <c r="AS78" s="254"/>
      <c r="AT78" s="254"/>
    </row>
    <row r="79" spans="1:54" ht="18.75" customHeight="1">
      <c r="A79" s="254"/>
      <c r="B79" s="472"/>
      <c r="C79" s="473"/>
      <c r="D79" s="474"/>
      <c r="E79" s="481"/>
      <c r="F79" s="482"/>
      <c r="G79" s="482"/>
      <c r="H79" s="482"/>
      <c r="I79" s="483"/>
      <c r="J79" s="471">
        <v>1</v>
      </c>
      <c r="K79" s="471"/>
      <c r="L79" s="471"/>
      <c r="M79" s="471"/>
      <c r="N79" s="471"/>
      <c r="O79" s="471"/>
      <c r="P79" s="471"/>
      <c r="Q79" s="471"/>
      <c r="R79" s="471"/>
      <c r="S79" s="471">
        <v>2</v>
      </c>
      <c r="T79" s="471"/>
      <c r="U79" s="471"/>
      <c r="V79" s="471"/>
      <c r="W79" s="471"/>
      <c r="X79" s="471"/>
      <c r="Y79" s="471"/>
      <c r="Z79" s="471"/>
      <c r="AA79" s="471"/>
      <c r="AB79" s="468">
        <v>3</v>
      </c>
      <c r="AC79" s="469"/>
      <c r="AD79" s="469"/>
      <c r="AE79" s="469"/>
      <c r="AF79" s="470"/>
      <c r="AG79" s="468">
        <v>4</v>
      </c>
      <c r="AH79" s="469"/>
      <c r="AI79" s="469"/>
      <c r="AJ79" s="469"/>
      <c r="AK79" s="470"/>
      <c r="AL79" s="471">
        <v>5</v>
      </c>
      <c r="AM79" s="471"/>
      <c r="AN79" s="471"/>
      <c r="AO79" s="471"/>
      <c r="AP79" s="471"/>
      <c r="AQ79" s="471"/>
      <c r="AR79" s="471"/>
      <c r="AS79" s="471"/>
      <c r="AT79" s="471"/>
      <c r="AU79" s="468">
        <v>6</v>
      </c>
      <c r="AV79" s="469"/>
      <c r="AW79" s="469"/>
      <c r="AX79" s="469"/>
      <c r="AY79" s="470"/>
    </row>
    <row r="80" spans="1:54" ht="18.75" customHeight="1">
      <c r="A80" s="254"/>
      <c r="B80" s="475"/>
      <c r="C80" s="476"/>
      <c r="D80" s="477"/>
      <c r="E80" s="472" t="s">
        <v>674</v>
      </c>
      <c r="F80" s="473"/>
      <c r="G80" s="473"/>
      <c r="H80" s="473"/>
      <c r="I80" s="474"/>
      <c r="J80" s="472" t="s">
        <v>675</v>
      </c>
      <c r="K80" s="473"/>
      <c r="L80" s="473"/>
      <c r="M80" s="473"/>
      <c r="N80" s="473"/>
      <c r="O80" s="473"/>
      <c r="P80" s="473"/>
      <c r="Q80" s="473"/>
      <c r="R80" s="474"/>
      <c r="S80" s="472" t="s">
        <v>497</v>
      </c>
      <c r="T80" s="473"/>
      <c r="U80" s="473"/>
      <c r="V80" s="473"/>
      <c r="W80" s="473"/>
      <c r="X80" s="473"/>
      <c r="Y80" s="473"/>
      <c r="Z80" s="473"/>
      <c r="AA80" s="474"/>
      <c r="AB80" s="472" t="s">
        <v>515</v>
      </c>
      <c r="AC80" s="473"/>
      <c r="AD80" s="473"/>
      <c r="AE80" s="473"/>
      <c r="AF80" s="474"/>
      <c r="AG80" s="472" t="s">
        <v>677</v>
      </c>
      <c r="AH80" s="473"/>
      <c r="AI80" s="473"/>
      <c r="AJ80" s="473"/>
      <c r="AK80" s="474"/>
      <c r="AL80" s="472" t="s">
        <v>678</v>
      </c>
      <c r="AM80" s="473"/>
      <c r="AN80" s="473"/>
      <c r="AO80" s="473"/>
      <c r="AP80" s="473"/>
      <c r="AQ80" s="473"/>
      <c r="AR80" s="473"/>
      <c r="AS80" s="473"/>
      <c r="AT80" s="474"/>
      <c r="AU80" s="472" t="s">
        <v>498</v>
      </c>
      <c r="AV80" s="473"/>
      <c r="AW80" s="473"/>
      <c r="AX80" s="473"/>
      <c r="AY80" s="474"/>
    </row>
    <row r="81" spans="1:59" ht="18.75" customHeight="1">
      <c r="A81" s="254"/>
      <c r="B81" s="478"/>
      <c r="C81" s="479"/>
      <c r="D81" s="480"/>
      <c r="E81" s="484" t="s">
        <v>679</v>
      </c>
      <c r="F81" s="485"/>
      <c r="G81" s="485"/>
      <c r="H81" s="485"/>
      <c r="I81" s="486"/>
      <c r="J81" s="465" t="s">
        <v>680</v>
      </c>
      <c r="K81" s="466"/>
      <c r="L81" s="466"/>
      <c r="M81" s="466"/>
      <c r="N81" s="466"/>
      <c r="O81" s="466"/>
      <c r="P81" s="466"/>
      <c r="Q81" s="466"/>
      <c r="R81" s="467"/>
      <c r="S81" s="465" t="s">
        <v>681</v>
      </c>
      <c r="T81" s="466"/>
      <c r="U81" s="466"/>
      <c r="V81" s="466"/>
      <c r="W81" s="466"/>
      <c r="X81" s="466"/>
      <c r="Y81" s="466"/>
      <c r="Z81" s="466"/>
      <c r="AA81" s="467"/>
      <c r="AB81" s="462"/>
      <c r="AC81" s="463"/>
      <c r="AD81" s="463"/>
      <c r="AE81" s="463"/>
      <c r="AF81" s="464"/>
      <c r="AG81" s="462" t="s">
        <v>499</v>
      </c>
      <c r="AH81" s="463"/>
      <c r="AI81" s="463"/>
      <c r="AJ81" s="463"/>
      <c r="AK81" s="464"/>
      <c r="AL81" s="465" t="s">
        <v>500</v>
      </c>
      <c r="AM81" s="466"/>
      <c r="AN81" s="466"/>
      <c r="AO81" s="466"/>
      <c r="AP81" s="466"/>
      <c r="AQ81" s="466"/>
      <c r="AR81" s="466"/>
      <c r="AS81" s="466"/>
      <c r="AT81" s="467"/>
      <c r="AU81" s="462"/>
      <c r="AV81" s="463"/>
      <c r="AW81" s="463"/>
      <c r="AX81" s="463"/>
      <c r="AY81" s="464"/>
    </row>
    <row r="82" spans="1:59" ht="21" customHeight="1">
      <c r="A82" s="254"/>
      <c r="B82" s="468" t="s">
        <v>682</v>
      </c>
      <c r="C82" s="469"/>
      <c r="D82" s="470"/>
      <c r="E82" s="491" t="s">
        <v>683</v>
      </c>
      <c r="F82" s="492"/>
      <c r="G82" s="492"/>
      <c r="H82" s="492"/>
      <c r="I82" s="493"/>
      <c r="J82" s="494" t="e">
        <f ca="1">Calcu!E67</f>
        <v>#N/A</v>
      </c>
      <c r="K82" s="495"/>
      <c r="L82" s="495"/>
      <c r="M82" s="495"/>
      <c r="N82" s="495"/>
      <c r="O82" s="487" t="str">
        <f>Calcu!F67</f>
        <v>μm/m</v>
      </c>
      <c r="P82" s="487"/>
      <c r="Q82" s="487"/>
      <c r="R82" s="488"/>
      <c r="S82" s="489" t="e">
        <f ca="1">Calcu!M67</f>
        <v>#N/A</v>
      </c>
      <c r="T82" s="490"/>
      <c r="U82" s="490"/>
      <c r="V82" s="490" t="e">
        <v>#REF!</v>
      </c>
      <c r="W82" s="490"/>
      <c r="X82" s="487" t="str">
        <f>Calcu!N67</f>
        <v>˝</v>
      </c>
      <c r="Y82" s="487"/>
      <c r="Z82" s="487"/>
      <c r="AA82" s="488"/>
      <c r="AB82" s="468" t="str">
        <f>Calcu!O67</f>
        <v>정규</v>
      </c>
      <c r="AC82" s="469"/>
      <c r="AD82" s="469"/>
      <c r="AE82" s="469"/>
      <c r="AF82" s="470"/>
      <c r="AG82" s="468">
        <f>Calcu!P67</f>
        <v>1</v>
      </c>
      <c r="AH82" s="469"/>
      <c r="AI82" s="469"/>
      <c r="AJ82" s="469"/>
      <c r="AK82" s="470"/>
      <c r="AL82" s="489" t="e">
        <f ca="1">Calcu!Q67</f>
        <v>#N/A</v>
      </c>
      <c r="AM82" s="490"/>
      <c r="AN82" s="490"/>
      <c r="AO82" s="490"/>
      <c r="AP82" s="490"/>
      <c r="AQ82" s="487" t="str">
        <f>Calcu!R67</f>
        <v>˝</v>
      </c>
      <c r="AR82" s="487"/>
      <c r="AS82" s="487"/>
      <c r="AT82" s="488"/>
      <c r="AU82" s="468" t="str">
        <f>Calcu!S67</f>
        <v>∞</v>
      </c>
      <c r="AV82" s="469"/>
      <c r="AW82" s="469"/>
      <c r="AX82" s="469"/>
      <c r="AY82" s="470"/>
    </row>
    <row r="83" spans="1:59" ht="18.75" customHeight="1">
      <c r="A83" s="254"/>
      <c r="B83" s="468" t="s">
        <v>684</v>
      </c>
      <c r="C83" s="469"/>
      <c r="D83" s="470"/>
      <c r="E83" s="491" t="s">
        <v>685</v>
      </c>
      <c r="F83" s="492"/>
      <c r="G83" s="492"/>
      <c r="H83" s="492"/>
      <c r="I83" s="493"/>
      <c r="J83" s="494" t="e">
        <f ca="1">Calcu!E68</f>
        <v>#N/A</v>
      </c>
      <c r="K83" s="495"/>
      <c r="L83" s="495"/>
      <c r="M83" s="495"/>
      <c r="N83" s="495"/>
      <c r="O83" s="487" t="str">
        <f>Calcu!F68</f>
        <v>μm/m</v>
      </c>
      <c r="P83" s="487"/>
      <c r="Q83" s="487"/>
      <c r="R83" s="488"/>
      <c r="S83" s="489">
        <f>Calcu!M68</f>
        <v>0</v>
      </c>
      <c r="T83" s="490"/>
      <c r="U83" s="490"/>
      <c r="V83" s="490" t="e">
        <v>#REF!</v>
      </c>
      <c r="W83" s="490"/>
      <c r="X83" s="487" t="str">
        <f>Calcu!N68</f>
        <v>˝</v>
      </c>
      <c r="Y83" s="487"/>
      <c r="Z83" s="487"/>
      <c r="AA83" s="488"/>
      <c r="AB83" s="468" t="str">
        <f>Calcu!O68</f>
        <v>t</v>
      </c>
      <c r="AC83" s="469"/>
      <c r="AD83" s="469"/>
      <c r="AE83" s="469"/>
      <c r="AF83" s="470"/>
      <c r="AG83" s="468">
        <f>Calcu!P68</f>
        <v>-1</v>
      </c>
      <c r="AH83" s="469"/>
      <c r="AI83" s="469"/>
      <c r="AJ83" s="469"/>
      <c r="AK83" s="470"/>
      <c r="AL83" s="489">
        <f>Calcu!Q68</f>
        <v>0</v>
      </c>
      <c r="AM83" s="490"/>
      <c r="AN83" s="490"/>
      <c r="AO83" s="490"/>
      <c r="AP83" s="490"/>
      <c r="AQ83" s="487" t="str">
        <f>Calcu!R68</f>
        <v>˝</v>
      </c>
      <c r="AR83" s="487"/>
      <c r="AS83" s="487"/>
      <c r="AT83" s="488"/>
      <c r="AU83" s="468">
        <f>Calcu!S68</f>
        <v>4</v>
      </c>
      <c r="AV83" s="469"/>
      <c r="AW83" s="469"/>
      <c r="AX83" s="469"/>
      <c r="AY83" s="470"/>
    </row>
    <row r="84" spans="1:59" ht="21" customHeight="1">
      <c r="A84" s="254"/>
      <c r="B84" s="468" t="s">
        <v>686</v>
      </c>
      <c r="C84" s="469"/>
      <c r="D84" s="470"/>
      <c r="E84" s="491" t="s">
        <v>687</v>
      </c>
      <c r="F84" s="492"/>
      <c r="G84" s="492"/>
      <c r="H84" s="492"/>
      <c r="I84" s="493"/>
      <c r="J84" s="494">
        <f>Calcu!E69</f>
        <v>0</v>
      </c>
      <c r="K84" s="495"/>
      <c r="L84" s="495"/>
      <c r="M84" s="495"/>
      <c r="N84" s="495"/>
      <c r="O84" s="487"/>
      <c r="P84" s="487"/>
      <c r="Q84" s="487"/>
      <c r="R84" s="488"/>
      <c r="S84" s="489">
        <f>Calcu!M69</f>
        <v>0</v>
      </c>
      <c r="T84" s="490"/>
      <c r="U84" s="490"/>
      <c r="V84" s="490" t="e">
        <v>#REF!</v>
      </c>
      <c r="W84" s="490"/>
      <c r="X84" s="487" t="str">
        <f>Calcu!N69</f>
        <v>˝</v>
      </c>
      <c r="Y84" s="487"/>
      <c r="Z84" s="487"/>
      <c r="AA84" s="488"/>
      <c r="AB84" s="468" t="str">
        <f>Calcu!O69</f>
        <v>직사각형</v>
      </c>
      <c r="AC84" s="469"/>
      <c r="AD84" s="469"/>
      <c r="AE84" s="469"/>
      <c r="AF84" s="470"/>
      <c r="AG84" s="468">
        <f>Calcu!P69</f>
        <v>1</v>
      </c>
      <c r="AH84" s="469"/>
      <c r="AI84" s="469"/>
      <c r="AJ84" s="469"/>
      <c r="AK84" s="470"/>
      <c r="AL84" s="489">
        <f>Calcu!Q69</f>
        <v>0</v>
      </c>
      <c r="AM84" s="490"/>
      <c r="AN84" s="490"/>
      <c r="AO84" s="490"/>
      <c r="AP84" s="490"/>
      <c r="AQ84" s="487" t="str">
        <f>Calcu!R69</f>
        <v>˝</v>
      </c>
      <c r="AR84" s="487"/>
      <c r="AS84" s="487"/>
      <c r="AT84" s="488"/>
      <c r="AU84" s="468" t="str">
        <f>Calcu!S69</f>
        <v>∞</v>
      </c>
      <c r="AV84" s="469"/>
      <c r="AW84" s="469"/>
      <c r="AX84" s="469"/>
      <c r="AY84" s="470"/>
    </row>
    <row r="85" spans="1:59" ht="18.75" customHeight="1">
      <c r="A85" s="254"/>
      <c r="B85" s="468" t="s">
        <v>688</v>
      </c>
      <c r="C85" s="469"/>
      <c r="D85" s="470"/>
      <c r="E85" s="491" t="s">
        <v>689</v>
      </c>
      <c r="F85" s="492"/>
      <c r="G85" s="492"/>
      <c r="H85" s="492"/>
      <c r="I85" s="493"/>
      <c r="J85" s="494">
        <f>Calcu!E70</f>
        <v>0</v>
      </c>
      <c r="K85" s="495"/>
      <c r="L85" s="495"/>
      <c r="M85" s="495"/>
      <c r="N85" s="495"/>
      <c r="O85" s="497"/>
      <c r="P85" s="497"/>
      <c r="Q85" s="497"/>
      <c r="R85" s="498"/>
      <c r="S85" s="489">
        <f>Calcu!M70</f>
        <v>0</v>
      </c>
      <c r="T85" s="490"/>
      <c r="U85" s="490"/>
      <c r="V85" s="490" t="e">
        <v>#REF!</v>
      </c>
      <c r="W85" s="490"/>
      <c r="X85" s="487" t="str">
        <f>Calcu!N70</f>
        <v>˝</v>
      </c>
      <c r="Y85" s="487"/>
      <c r="Z85" s="487"/>
      <c r="AA85" s="488"/>
      <c r="AB85" s="468" t="str">
        <f>Calcu!O70</f>
        <v>직사각형</v>
      </c>
      <c r="AC85" s="469"/>
      <c r="AD85" s="469"/>
      <c r="AE85" s="469"/>
      <c r="AF85" s="470"/>
      <c r="AG85" s="468">
        <f>Calcu!P70</f>
        <v>1</v>
      </c>
      <c r="AH85" s="469"/>
      <c r="AI85" s="469"/>
      <c r="AJ85" s="469"/>
      <c r="AK85" s="470"/>
      <c r="AL85" s="489">
        <f>Calcu!Q70</f>
        <v>0</v>
      </c>
      <c r="AM85" s="490"/>
      <c r="AN85" s="490"/>
      <c r="AO85" s="490"/>
      <c r="AP85" s="490"/>
      <c r="AQ85" s="487" t="str">
        <f>Calcu!R70</f>
        <v>˝</v>
      </c>
      <c r="AR85" s="487"/>
      <c r="AS85" s="487"/>
      <c r="AT85" s="488"/>
      <c r="AU85" s="468">
        <f>Calcu!S70</f>
        <v>12</v>
      </c>
      <c r="AV85" s="469"/>
      <c r="AW85" s="469"/>
      <c r="AX85" s="469"/>
      <c r="AY85" s="470"/>
    </row>
    <row r="86" spans="1:59" ht="18.75" customHeight="1">
      <c r="A86" s="254"/>
      <c r="B86" s="468" t="s">
        <v>691</v>
      </c>
      <c r="C86" s="469"/>
      <c r="D86" s="470"/>
      <c r="E86" s="491" t="s">
        <v>692</v>
      </c>
      <c r="F86" s="492"/>
      <c r="G86" s="492"/>
      <c r="H86" s="492"/>
      <c r="I86" s="493"/>
      <c r="J86" s="494">
        <f>Calcu!E71</f>
        <v>0</v>
      </c>
      <c r="K86" s="495"/>
      <c r="L86" s="495"/>
      <c r="M86" s="495"/>
      <c r="N86" s="495"/>
      <c r="O86" s="497"/>
      <c r="P86" s="497"/>
      <c r="Q86" s="497"/>
      <c r="R86" s="498"/>
      <c r="S86" s="489">
        <f>Calcu!M71</f>
        <v>5.7735026918962581E-2</v>
      </c>
      <c r="T86" s="490"/>
      <c r="U86" s="490"/>
      <c r="V86" s="490" t="e">
        <v>#REF!</v>
      </c>
      <c r="W86" s="490"/>
      <c r="X86" s="487" t="str">
        <f>Calcu!N71</f>
        <v>˝</v>
      </c>
      <c r="Y86" s="487"/>
      <c r="Z86" s="487"/>
      <c r="AA86" s="488"/>
      <c r="AB86" s="468" t="str">
        <f>Calcu!O71</f>
        <v>직사각형</v>
      </c>
      <c r="AC86" s="469"/>
      <c r="AD86" s="469"/>
      <c r="AE86" s="469"/>
      <c r="AF86" s="470"/>
      <c r="AG86" s="468">
        <f>Calcu!P71</f>
        <v>1</v>
      </c>
      <c r="AH86" s="469"/>
      <c r="AI86" s="469"/>
      <c r="AJ86" s="469"/>
      <c r="AK86" s="470"/>
      <c r="AL86" s="489">
        <f>Calcu!Q71</f>
        <v>5.7735026918962581E-2</v>
      </c>
      <c r="AM86" s="490"/>
      <c r="AN86" s="490"/>
      <c r="AO86" s="490"/>
      <c r="AP86" s="490"/>
      <c r="AQ86" s="487" t="str">
        <f>Calcu!R71</f>
        <v>˝</v>
      </c>
      <c r="AR86" s="487"/>
      <c r="AS86" s="487"/>
      <c r="AT86" s="488"/>
      <c r="AU86" s="468" t="str">
        <f>Calcu!S71</f>
        <v>∞</v>
      </c>
      <c r="AV86" s="469"/>
      <c r="AW86" s="469"/>
      <c r="AX86" s="469"/>
      <c r="AY86" s="470"/>
    </row>
    <row r="87" spans="1:59" ht="21" customHeight="1">
      <c r="A87" s="254"/>
      <c r="B87" s="468" t="s">
        <v>693</v>
      </c>
      <c r="C87" s="469"/>
      <c r="D87" s="470"/>
      <c r="E87" s="491" t="s">
        <v>694</v>
      </c>
      <c r="F87" s="492"/>
      <c r="G87" s="492"/>
      <c r="H87" s="492"/>
      <c r="I87" s="493"/>
      <c r="J87" s="494" t="e">
        <f ca="1">Calcu!E72</f>
        <v>#N/A</v>
      </c>
      <c r="K87" s="495"/>
      <c r="L87" s="495"/>
      <c r="M87" s="495"/>
      <c r="N87" s="495"/>
      <c r="O87" s="487" t="str">
        <f>Calcu!F72</f>
        <v>μm/m</v>
      </c>
      <c r="P87" s="487"/>
      <c r="Q87" s="487"/>
      <c r="R87" s="488"/>
      <c r="S87" s="443" t="s">
        <v>695</v>
      </c>
      <c r="T87" s="444"/>
      <c r="U87" s="444"/>
      <c r="V87" s="444"/>
      <c r="W87" s="444"/>
      <c r="X87" s="444"/>
      <c r="Y87" s="444"/>
      <c r="Z87" s="444"/>
      <c r="AA87" s="445"/>
      <c r="AB87" s="468" t="s">
        <v>695</v>
      </c>
      <c r="AC87" s="469"/>
      <c r="AD87" s="469"/>
      <c r="AE87" s="469"/>
      <c r="AF87" s="470"/>
      <c r="AG87" s="468" t="s">
        <v>696</v>
      </c>
      <c r="AH87" s="469"/>
      <c r="AI87" s="469"/>
      <c r="AJ87" s="469"/>
      <c r="AK87" s="470"/>
      <c r="AL87" s="489" t="e">
        <f ca="1">Calcu!Q72</f>
        <v>#N/A</v>
      </c>
      <c r="AM87" s="490"/>
      <c r="AN87" s="490"/>
      <c r="AO87" s="490"/>
      <c r="AP87" s="490"/>
      <c r="AQ87" s="487" t="str">
        <f>Calcu!R72</f>
        <v>˝</v>
      </c>
      <c r="AR87" s="487"/>
      <c r="AS87" s="487"/>
      <c r="AT87" s="488"/>
      <c r="AU87" s="468" t="str">
        <f>Calcu!S72</f>
        <v>∞</v>
      </c>
      <c r="AV87" s="469"/>
      <c r="AW87" s="469"/>
      <c r="AX87" s="469"/>
      <c r="AY87" s="470"/>
    </row>
    <row r="88" spans="1:59" ht="18.75" customHeight="1">
      <c r="A88" s="254"/>
      <c r="B88" s="254"/>
      <c r="C88" s="254"/>
      <c r="D88" s="254"/>
      <c r="E88" s="254"/>
      <c r="F88" s="254"/>
      <c r="G88" s="254"/>
      <c r="H88" s="254"/>
      <c r="I88" s="254"/>
      <c r="J88" s="254"/>
      <c r="K88" s="254"/>
      <c r="L88" s="254"/>
      <c r="M88" s="254"/>
      <c r="N88" s="254"/>
      <c r="O88" s="254"/>
      <c r="P88" s="254"/>
      <c r="Q88" s="254"/>
      <c r="R88" s="254"/>
      <c r="S88" s="254"/>
      <c r="T88" s="254"/>
      <c r="U88" s="254"/>
      <c r="V88" s="254"/>
      <c r="W88" s="254"/>
      <c r="X88" s="254"/>
      <c r="Y88" s="254"/>
      <c r="Z88" s="254"/>
      <c r="AA88" s="254"/>
      <c r="AB88" s="254"/>
      <c r="AC88" s="254"/>
      <c r="AD88" s="254"/>
      <c r="AE88" s="254"/>
      <c r="AF88" s="254"/>
      <c r="AG88" s="319"/>
      <c r="AH88" s="254"/>
      <c r="AI88" s="254"/>
      <c r="AJ88" s="254"/>
      <c r="AK88" s="254"/>
      <c r="AL88" s="254"/>
      <c r="AM88" s="254"/>
      <c r="AN88" s="254"/>
      <c r="AO88" s="254"/>
      <c r="AQ88" s="254"/>
      <c r="AR88" s="254"/>
      <c r="AS88" s="254"/>
      <c r="AT88" s="254"/>
    </row>
    <row r="89" spans="1:59" ht="18.75" customHeight="1">
      <c r="A89" s="253" t="s">
        <v>697</v>
      </c>
      <c r="B89" s="254"/>
      <c r="C89" s="254"/>
      <c r="D89" s="254"/>
      <c r="E89" s="254"/>
      <c r="F89" s="254"/>
      <c r="G89" s="254"/>
      <c r="H89" s="254"/>
      <c r="I89" s="254"/>
      <c r="J89" s="254"/>
      <c r="K89" s="254"/>
      <c r="L89" s="254"/>
      <c r="M89" s="254"/>
      <c r="N89" s="254"/>
      <c r="O89" s="254"/>
      <c r="P89" s="254"/>
      <c r="Q89" s="254"/>
      <c r="R89" s="254"/>
      <c r="S89" s="254"/>
      <c r="T89" s="254"/>
      <c r="U89" s="254"/>
      <c r="V89" s="254"/>
      <c r="W89" s="254"/>
      <c r="X89" s="254"/>
      <c r="Y89" s="254"/>
      <c r="Z89" s="254"/>
      <c r="AA89" s="254"/>
      <c r="AB89" s="254"/>
      <c r="AC89" s="254"/>
      <c r="AD89" s="254"/>
      <c r="AE89" s="254"/>
      <c r="AF89" s="254"/>
      <c r="AG89" s="254"/>
      <c r="AH89" s="254"/>
      <c r="AI89" s="254"/>
      <c r="AJ89" s="254"/>
      <c r="AK89" s="254"/>
      <c r="AL89" s="254"/>
      <c r="AM89" s="254"/>
      <c r="AN89" s="254"/>
      <c r="AO89" s="254"/>
      <c r="AP89" s="254"/>
      <c r="AQ89" s="254"/>
      <c r="AR89" s="254"/>
      <c r="AS89" s="254"/>
      <c r="AT89" s="254"/>
    </row>
    <row r="90" spans="1:59" s="251" customFormat="1" ht="18.75" customHeight="1">
      <c r="A90" s="253"/>
      <c r="B90" s="253" t="s">
        <v>698</v>
      </c>
      <c r="C90" s="319"/>
      <c r="D90" s="319"/>
      <c r="E90" s="319"/>
      <c r="F90" s="319"/>
      <c r="G90" s="319"/>
      <c r="H90" s="319"/>
      <c r="I90" s="319"/>
      <c r="J90" s="319"/>
      <c r="K90" s="319"/>
      <c r="L90" s="319"/>
      <c r="M90" s="319"/>
      <c r="N90" s="319"/>
      <c r="O90" s="319"/>
      <c r="P90" s="319"/>
      <c r="Q90" s="319"/>
      <c r="R90" s="319"/>
      <c r="S90" s="319"/>
      <c r="T90" s="319"/>
      <c r="U90" s="319"/>
      <c r="V90" s="319"/>
      <c r="W90" s="319"/>
      <c r="X90" s="319"/>
      <c r="Y90" s="319"/>
      <c r="Z90" s="319"/>
      <c r="AA90" s="319"/>
      <c r="AB90" s="319"/>
      <c r="AC90" s="319"/>
      <c r="AD90" s="319"/>
      <c r="AE90" s="319"/>
      <c r="AF90" s="319"/>
      <c r="AG90" s="319"/>
      <c r="AH90" s="319"/>
      <c r="AI90" s="319"/>
      <c r="AJ90" s="319"/>
      <c r="AK90" s="319"/>
      <c r="AL90" s="319"/>
      <c r="AM90" s="319"/>
      <c r="AN90" s="319"/>
      <c r="AO90" s="319"/>
      <c r="AP90" s="319"/>
      <c r="AQ90" s="319"/>
      <c r="AR90" s="319"/>
      <c r="AS90" s="319"/>
      <c r="AT90" s="319"/>
      <c r="AU90" s="319"/>
      <c r="AV90" s="319"/>
      <c r="AW90" s="319"/>
      <c r="AX90" s="319"/>
      <c r="AY90" s="319"/>
      <c r="AZ90" s="319"/>
      <c r="BA90" s="319"/>
      <c r="BB90" s="319"/>
      <c r="BC90" s="319"/>
      <c r="BD90" s="319"/>
      <c r="BE90" s="319"/>
      <c r="BF90" s="319"/>
    </row>
    <row r="91" spans="1:59" s="251" customFormat="1" ht="18.75" customHeight="1">
      <c r="B91" s="253"/>
      <c r="C91" s="319" t="s">
        <v>517</v>
      </c>
      <c r="D91" s="319"/>
      <c r="E91" s="319"/>
      <c r="F91" s="319"/>
      <c r="G91" s="319"/>
      <c r="H91" s="496" t="e">
        <f ca="1">J82</f>
        <v>#N/A</v>
      </c>
      <c r="I91" s="496"/>
      <c r="J91" s="496"/>
      <c r="K91" s="496"/>
      <c r="L91" s="496" t="str">
        <f>O82</f>
        <v>μm/m</v>
      </c>
      <c r="M91" s="496"/>
      <c r="N91" s="496"/>
      <c r="O91" s="496"/>
      <c r="P91" s="258"/>
      <c r="Q91" s="258"/>
      <c r="R91" s="258"/>
      <c r="S91" s="258"/>
      <c r="T91" s="258"/>
      <c r="U91" s="319"/>
      <c r="V91" s="319"/>
      <c r="W91" s="319"/>
      <c r="X91" s="258"/>
      <c r="Y91" s="258"/>
      <c r="Z91" s="319"/>
      <c r="AA91" s="319"/>
      <c r="AB91" s="319"/>
      <c r="AC91" s="319"/>
      <c r="AD91" s="319"/>
      <c r="AE91" s="319"/>
      <c r="AF91" s="319"/>
      <c r="AG91" s="319"/>
      <c r="AH91" s="319"/>
      <c r="AI91" s="319"/>
      <c r="AJ91" s="319"/>
      <c r="AK91" s="319"/>
      <c r="AL91" s="319"/>
      <c r="AM91" s="319"/>
      <c r="AN91" s="319"/>
      <c r="AO91" s="319"/>
      <c r="AP91" s="319"/>
      <c r="AQ91" s="319"/>
      <c r="AR91" s="319"/>
      <c r="AS91" s="258"/>
      <c r="AT91" s="319"/>
      <c r="AU91" s="319"/>
      <c r="AV91" s="319"/>
      <c r="AW91" s="319"/>
      <c r="AX91" s="319"/>
      <c r="AY91" s="319"/>
      <c r="AZ91" s="319"/>
      <c r="BA91" s="319"/>
      <c r="BB91" s="319"/>
      <c r="BC91" s="319"/>
      <c r="BD91" s="319"/>
      <c r="BE91" s="319"/>
      <c r="BF91" s="319"/>
      <c r="BG91" s="319"/>
    </row>
    <row r="92" spans="1:59" s="251" customFormat="1" ht="18.75" customHeight="1">
      <c r="B92" s="253"/>
      <c r="C92" s="319" t="s">
        <v>699</v>
      </c>
      <c r="D92" s="319"/>
      <c r="E92" s="319"/>
      <c r="F92" s="319"/>
      <c r="G92" s="319"/>
      <c r="H92" s="319"/>
      <c r="I92" s="319"/>
      <c r="J92" s="319"/>
      <c r="K92" s="319" t="s">
        <v>700</v>
      </c>
      <c r="M92" s="259"/>
      <c r="N92" s="319"/>
      <c r="O92" s="319"/>
      <c r="P92" s="319"/>
      <c r="Q92" s="319"/>
      <c r="R92" s="319"/>
      <c r="S92" s="319"/>
      <c r="T92" s="319"/>
      <c r="U92" s="319"/>
      <c r="V92" s="319"/>
      <c r="W92" s="319"/>
      <c r="X92" s="319"/>
      <c r="Y92" s="258"/>
      <c r="Z92" s="258"/>
      <c r="AA92" s="258"/>
      <c r="AB92" s="258"/>
      <c r="AC92" s="258"/>
      <c r="AD92" s="502">
        <f>Calcu!G67</f>
        <v>0</v>
      </c>
      <c r="AE92" s="502"/>
      <c r="AF92" s="502">
        <f>Calcu!H67</f>
        <v>0</v>
      </c>
      <c r="AG92" s="502"/>
      <c r="AH92" s="502"/>
      <c r="AI92" s="502"/>
      <c r="AJ92" s="319"/>
      <c r="AK92" s="319"/>
      <c r="AL92" s="260"/>
      <c r="AM92" s="258"/>
      <c r="AN92" s="258" t="s">
        <v>701</v>
      </c>
      <c r="AP92" s="258"/>
      <c r="AQ92" s="258"/>
      <c r="AR92" s="258"/>
      <c r="AS92" s="318"/>
      <c r="AT92" s="258"/>
      <c r="AU92" s="261"/>
      <c r="AV92" s="261"/>
      <c r="AW92" s="261"/>
      <c r="AX92" s="261"/>
      <c r="AY92" s="262"/>
      <c r="AZ92" s="258"/>
      <c r="BA92" s="258"/>
      <c r="BB92" s="319"/>
      <c r="BC92" s="319"/>
      <c r="BD92" s="319"/>
      <c r="BE92" s="319"/>
      <c r="BF92" s="319"/>
      <c r="BG92" s="319"/>
    </row>
    <row r="93" spans="1:59" s="251" customFormat="1" ht="18.75" customHeight="1">
      <c r="B93" s="253"/>
      <c r="C93" s="319"/>
      <c r="D93" s="319"/>
      <c r="E93" s="319"/>
      <c r="F93" s="319"/>
      <c r="G93" s="319"/>
      <c r="H93" s="319"/>
      <c r="I93" s="319"/>
      <c r="J93" s="319"/>
      <c r="K93" s="319" t="s">
        <v>702</v>
      </c>
      <c r="M93" s="259"/>
      <c r="N93" s="319"/>
      <c r="O93" s="319"/>
      <c r="P93" s="319"/>
      <c r="Q93" s="319"/>
      <c r="R93" s="319"/>
      <c r="S93" s="319"/>
      <c r="T93" s="319"/>
      <c r="U93" s="319"/>
      <c r="V93" s="319"/>
      <c r="W93" s="319"/>
      <c r="X93" s="319"/>
      <c r="Y93" s="258"/>
      <c r="Z93" s="258"/>
      <c r="AA93" s="258"/>
      <c r="AB93" s="258"/>
      <c r="AC93" s="258"/>
      <c r="AD93" s="327"/>
      <c r="AE93" s="327"/>
      <c r="AF93" s="327"/>
      <c r="AG93" s="327"/>
      <c r="AH93" s="327"/>
      <c r="AI93" s="327"/>
      <c r="AJ93" s="327"/>
      <c r="AK93" s="319"/>
      <c r="AL93" s="260"/>
      <c r="AM93" s="258"/>
      <c r="AN93" s="258"/>
      <c r="AO93" s="258"/>
      <c r="AP93" s="258"/>
      <c r="AQ93" s="258"/>
      <c r="AR93" s="258"/>
      <c r="AS93" s="318"/>
      <c r="AT93" s="258"/>
      <c r="AU93" s="261"/>
      <c r="AV93" s="261"/>
      <c r="AW93" s="261"/>
      <c r="AX93" s="261"/>
      <c r="AY93" s="262"/>
      <c r="AZ93" s="258"/>
      <c r="BA93" s="258"/>
      <c r="BB93" s="319"/>
      <c r="BC93" s="319"/>
      <c r="BD93" s="319"/>
      <c r="BE93" s="319"/>
      <c r="BF93" s="319"/>
      <c r="BG93" s="319"/>
    </row>
    <row r="94" spans="1:59" s="251" customFormat="1" ht="18.75" customHeight="1">
      <c r="B94" s="253"/>
      <c r="C94" s="319"/>
      <c r="D94" s="319"/>
      <c r="E94" s="319"/>
      <c r="F94" s="319"/>
      <c r="G94" s="319"/>
      <c r="H94" s="319"/>
      <c r="I94" s="319"/>
      <c r="J94" s="319"/>
      <c r="K94" s="319" t="s">
        <v>703</v>
      </c>
      <c r="M94" s="259"/>
      <c r="N94" s="319"/>
      <c r="O94" s="319"/>
      <c r="P94" s="319"/>
      <c r="Q94" s="319"/>
      <c r="R94" s="319"/>
      <c r="S94" s="319"/>
      <c r="T94" s="319"/>
      <c r="U94" s="319"/>
      <c r="V94" s="319"/>
      <c r="W94" s="319"/>
      <c r="X94" s="319"/>
      <c r="Y94" s="258"/>
      <c r="Z94" s="258"/>
      <c r="AA94" s="258"/>
      <c r="AB94" s="258"/>
      <c r="AC94" s="258"/>
      <c r="AD94" s="327"/>
      <c r="AE94" s="327"/>
      <c r="AF94" s="327"/>
      <c r="AG94" s="327"/>
      <c r="AH94" s="327"/>
      <c r="AI94" s="327"/>
      <c r="AJ94" s="327"/>
      <c r="AK94" s="319"/>
      <c r="AL94" s="260"/>
      <c r="AM94" s="258"/>
      <c r="AN94" s="258"/>
      <c r="AO94" s="261"/>
      <c r="AP94" s="503" t="str">
        <f>Calcu!D15</f>
        <v/>
      </c>
      <c r="AQ94" s="503"/>
      <c r="AR94" s="503"/>
      <c r="AS94" s="258" t="s">
        <v>704</v>
      </c>
      <c r="AT94" s="318"/>
      <c r="AU94" s="258"/>
      <c r="AV94" s="261"/>
      <c r="AW94" s="261"/>
      <c r="AX94" s="261"/>
      <c r="AY94" s="262"/>
      <c r="AZ94" s="258"/>
      <c r="BA94" s="258"/>
      <c r="BB94" s="319"/>
      <c r="BC94" s="319"/>
      <c r="BD94" s="319"/>
      <c r="BE94" s="319"/>
      <c r="BF94" s="319"/>
      <c r="BG94" s="319"/>
    </row>
    <row r="95" spans="1:59" s="251" customFormat="1" ht="18.75" customHeight="1">
      <c r="B95" s="253"/>
      <c r="C95" s="319"/>
      <c r="D95" s="319"/>
      <c r="E95" s="319"/>
      <c r="F95" s="319"/>
      <c r="G95" s="319"/>
      <c r="H95" s="319"/>
      <c r="I95" s="319"/>
      <c r="J95" s="319"/>
      <c r="K95" s="504" t="s">
        <v>705</v>
      </c>
      <c r="L95" s="504"/>
      <c r="M95" s="504"/>
      <c r="N95" s="476" t="s">
        <v>509</v>
      </c>
      <c r="O95" s="325" t="s">
        <v>706</v>
      </c>
      <c r="P95" s="476" t="s">
        <v>509</v>
      </c>
      <c r="Q95" s="320"/>
      <c r="R95" s="505">
        <f>AD92</f>
        <v>0</v>
      </c>
      <c r="S95" s="505"/>
      <c r="T95" s="506">
        <f>AF92</f>
        <v>0</v>
      </c>
      <c r="U95" s="506"/>
      <c r="V95" s="506"/>
      <c r="W95" s="506"/>
      <c r="X95" s="263"/>
      <c r="Y95" s="507" t="str">
        <f>AP94</f>
        <v/>
      </c>
      <c r="Z95" s="507"/>
      <c r="AA95" s="507"/>
      <c r="AB95" s="264"/>
      <c r="AC95" s="265"/>
      <c r="AD95" s="476" t="s">
        <v>509</v>
      </c>
      <c r="AE95" s="499" t="e">
        <f ca="1">S82</f>
        <v>#N/A</v>
      </c>
      <c r="AF95" s="499"/>
      <c r="AG95" s="499"/>
      <c r="AH95" s="499"/>
      <c r="AI95" s="261"/>
      <c r="AJ95" s="261"/>
      <c r="AK95" s="261"/>
      <c r="AL95" s="262"/>
      <c r="AM95" s="258"/>
      <c r="AN95" s="258"/>
      <c r="AO95" s="319"/>
      <c r="AP95" s="319"/>
      <c r="AQ95" s="319"/>
      <c r="AR95" s="319"/>
      <c r="AS95" s="319"/>
      <c r="AT95" s="319"/>
    </row>
    <row r="96" spans="1:59" s="251" customFormat="1" ht="18.75" customHeight="1">
      <c r="B96" s="253"/>
      <c r="C96" s="319"/>
      <c r="D96" s="319"/>
      <c r="E96" s="319"/>
      <c r="F96" s="319"/>
      <c r="G96" s="319"/>
      <c r="H96" s="319"/>
      <c r="I96" s="319"/>
      <c r="J96" s="319"/>
      <c r="K96" s="504"/>
      <c r="L96" s="504"/>
      <c r="M96" s="504"/>
      <c r="N96" s="476"/>
      <c r="O96" s="324" t="s">
        <v>348</v>
      </c>
      <c r="P96" s="476"/>
      <c r="Q96" s="473">
        <v>2</v>
      </c>
      <c r="R96" s="473"/>
      <c r="S96" s="473"/>
      <c r="T96" s="473"/>
      <c r="U96" s="473"/>
      <c r="V96" s="473"/>
      <c r="W96" s="473"/>
      <c r="X96" s="473"/>
      <c r="Y96" s="473"/>
      <c r="Z96" s="473"/>
      <c r="AA96" s="473"/>
      <c r="AB96" s="473"/>
      <c r="AC96" s="473"/>
      <c r="AD96" s="476"/>
      <c r="AE96" s="499"/>
      <c r="AF96" s="499"/>
      <c r="AG96" s="499"/>
      <c r="AH96" s="499"/>
      <c r="AI96" s="261"/>
      <c r="AJ96" s="261"/>
      <c r="AK96" s="261"/>
      <c r="AL96" s="262"/>
      <c r="AM96" s="258"/>
      <c r="AN96" s="258"/>
      <c r="AO96" s="319"/>
      <c r="AP96" s="319"/>
      <c r="AQ96" s="319"/>
      <c r="AR96" s="319"/>
      <c r="AS96" s="319"/>
      <c r="AT96" s="319"/>
    </row>
    <row r="97" spans="1:61" s="251" customFormat="1" ht="18.75" customHeight="1">
      <c r="B97" s="253"/>
      <c r="C97" s="319" t="s">
        <v>707</v>
      </c>
      <c r="D97" s="319"/>
      <c r="E97" s="319"/>
      <c r="F97" s="319"/>
      <c r="G97" s="319"/>
      <c r="H97" s="319"/>
      <c r="I97" s="496" t="str">
        <f>AB82</f>
        <v>정규</v>
      </c>
      <c r="J97" s="496"/>
      <c r="K97" s="496"/>
      <c r="L97" s="496"/>
      <c r="M97" s="496"/>
      <c r="N97" s="319"/>
      <c r="O97" s="319"/>
      <c r="P97" s="319"/>
      <c r="Q97" s="319"/>
      <c r="R97" s="319"/>
      <c r="S97" s="319"/>
      <c r="T97" s="319"/>
      <c r="U97" s="319"/>
      <c r="V97" s="319"/>
      <c r="W97" s="319"/>
      <c r="X97" s="319"/>
      <c r="Y97" s="319"/>
      <c r="Z97" s="319"/>
      <c r="AA97" s="319"/>
      <c r="AB97" s="319"/>
      <c r="AC97" s="319"/>
      <c r="AD97" s="319"/>
      <c r="AE97" s="319"/>
      <c r="AF97" s="319"/>
      <c r="AG97" s="319"/>
      <c r="AH97" s="319"/>
      <c r="AI97" s="319"/>
      <c r="AJ97" s="319"/>
      <c r="AK97" s="319"/>
      <c r="AL97" s="319"/>
      <c r="AM97" s="319"/>
      <c r="AN97" s="319"/>
      <c r="AO97" s="319"/>
      <c r="AP97" s="319"/>
      <c r="AQ97" s="319"/>
      <c r="AR97" s="319"/>
      <c r="AS97" s="319"/>
      <c r="AT97" s="319"/>
      <c r="AU97" s="319"/>
      <c r="AV97" s="319"/>
      <c r="AW97" s="319"/>
      <c r="AX97" s="319"/>
      <c r="AY97" s="319"/>
      <c r="AZ97" s="319"/>
      <c r="BA97" s="319"/>
      <c r="BB97" s="319"/>
      <c r="BC97" s="319"/>
      <c r="BD97" s="319"/>
      <c r="BE97" s="319"/>
      <c r="BF97" s="319"/>
      <c r="BG97" s="319"/>
    </row>
    <row r="98" spans="1:61" s="251" customFormat="1" ht="18.75" customHeight="1">
      <c r="B98" s="253"/>
      <c r="C98" s="496" t="s">
        <v>708</v>
      </c>
      <c r="D98" s="496"/>
      <c r="E98" s="496"/>
      <c r="F98" s="496"/>
      <c r="G98" s="496"/>
      <c r="H98" s="496"/>
      <c r="I98" s="319"/>
      <c r="J98" s="319"/>
      <c r="K98" s="319"/>
      <c r="L98" s="319"/>
      <c r="M98" s="319"/>
      <c r="N98" s="319"/>
      <c r="O98" s="319"/>
      <c r="P98" s="319"/>
      <c r="Q98" s="319"/>
      <c r="R98" s="319"/>
      <c r="S98" s="319"/>
      <c r="T98" s="319"/>
      <c r="U98" s="319"/>
      <c r="V98" s="319"/>
      <c r="W98" s="319"/>
      <c r="X98" s="319"/>
      <c r="Y98" s="319"/>
      <c r="Z98" s="319"/>
      <c r="AA98" s="319"/>
      <c r="AB98" s="319"/>
      <c r="AC98" s="319"/>
      <c r="AD98" s="319"/>
      <c r="AE98" s="319"/>
      <c r="AF98" s="319"/>
      <c r="AG98" s="319"/>
      <c r="AH98" s="319"/>
      <c r="AI98" s="319"/>
      <c r="AJ98" s="319"/>
      <c r="AK98" s="319"/>
      <c r="AL98" s="319"/>
      <c r="AM98" s="319"/>
      <c r="AN98" s="319"/>
      <c r="AO98" s="319"/>
      <c r="AP98" s="319"/>
      <c r="AQ98" s="319"/>
      <c r="AR98" s="319"/>
      <c r="AS98" s="319"/>
      <c r="AT98" s="319"/>
      <c r="AU98" s="319"/>
      <c r="AV98" s="319"/>
      <c r="AW98" s="319"/>
      <c r="AX98" s="319"/>
      <c r="AY98" s="319"/>
      <c r="AZ98" s="319"/>
      <c r="BA98" s="319"/>
      <c r="BB98" s="319"/>
      <c r="BC98" s="319"/>
      <c r="BD98" s="319"/>
      <c r="BE98" s="319"/>
      <c r="BF98" s="319"/>
      <c r="BG98" s="319"/>
    </row>
    <row r="99" spans="1:61" s="251" customFormat="1" ht="18.75" customHeight="1">
      <c r="B99" s="253"/>
      <c r="C99" s="496"/>
      <c r="D99" s="496"/>
      <c r="E99" s="496"/>
      <c r="F99" s="496"/>
      <c r="G99" s="496"/>
      <c r="H99" s="496"/>
      <c r="I99" s="319"/>
      <c r="J99" s="319"/>
      <c r="K99" s="319"/>
      <c r="L99" s="319"/>
      <c r="M99" s="319"/>
      <c r="N99" s="319"/>
      <c r="O99" s="319"/>
      <c r="P99" s="319"/>
      <c r="Q99" s="319"/>
      <c r="R99" s="319"/>
      <c r="S99" s="319"/>
      <c r="T99" s="319"/>
      <c r="U99" s="319"/>
      <c r="V99" s="319"/>
      <c r="W99" s="319"/>
      <c r="X99" s="319"/>
      <c r="Y99" s="319"/>
      <c r="Z99" s="319"/>
      <c r="AA99" s="319"/>
      <c r="AB99" s="319"/>
      <c r="AC99" s="319"/>
      <c r="AD99" s="319"/>
      <c r="AE99" s="319"/>
      <c r="AF99" s="319"/>
      <c r="AG99" s="319"/>
      <c r="AH99" s="319"/>
      <c r="AI99" s="319"/>
      <c r="AJ99" s="319"/>
      <c r="AK99" s="319"/>
      <c r="AL99" s="319"/>
      <c r="AM99" s="319"/>
      <c r="AN99" s="319"/>
      <c r="AO99" s="319"/>
      <c r="AP99" s="319"/>
      <c r="AQ99" s="319"/>
      <c r="AR99" s="319"/>
      <c r="AS99" s="319"/>
      <c r="AT99" s="319"/>
      <c r="AU99" s="319"/>
      <c r="AV99" s="319"/>
      <c r="AW99" s="319"/>
      <c r="AX99" s="319"/>
      <c r="AY99" s="319"/>
      <c r="AZ99" s="319"/>
      <c r="BA99" s="319"/>
      <c r="BB99" s="319"/>
      <c r="BC99" s="319"/>
      <c r="BD99" s="319"/>
      <c r="BE99" s="319"/>
      <c r="BF99" s="319"/>
      <c r="BG99" s="319"/>
      <c r="BH99" s="319"/>
    </row>
    <row r="100" spans="1:61" s="251" customFormat="1" ht="18.75" customHeight="1">
      <c r="B100" s="253"/>
      <c r="C100" s="319" t="s">
        <v>709</v>
      </c>
      <c r="D100" s="319"/>
      <c r="E100" s="319"/>
      <c r="F100" s="319"/>
      <c r="G100" s="319"/>
      <c r="H100" s="319"/>
      <c r="I100" s="319"/>
      <c r="J100" s="319"/>
      <c r="K100" s="327" t="s">
        <v>506</v>
      </c>
      <c r="L100" s="327">
        <f>AG82</f>
        <v>1</v>
      </c>
      <c r="M100" s="266" t="s">
        <v>505</v>
      </c>
      <c r="N100" s="500" t="e">
        <f ca="1">AE95</f>
        <v>#N/A</v>
      </c>
      <c r="O100" s="501"/>
      <c r="P100" s="501"/>
      <c r="Q100" s="501"/>
      <c r="R100" s="501"/>
      <c r="S100" s="327" t="s">
        <v>506</v>
      </c>
      <c r="T100" s="319" t="s">
        <v>509</v>
      </c>
      <c r="U100" s="500" t="e">
        <f ca="1">AL82</f>
        <v>#N/A</v>
      </c>
      <c r="V100" s="500"/>
      <c r="W100" s="500"/>
      <c r="X100" s="500"/>
      <c r="Y100" s="500"/>
      <c r="Z100" s="319"/>
      <c r="AA100" s="319"/>
      <c r="AD100" s="319"/>
      <c r="AE100" s="318"/>
      <c r="AF100" s="318"/>
      <c r="AG100" s="318"/>
      <c r="AH100" s="258"/>
      <c r="AI100" s="261"/>
      <c r="AJ100" s="261"/>
      <c r="AK100" s="261"/>
      <c r="AL100" s="261"/>
      <c r="AM100" s="262"/>
      <c r="AN100" s="258"/>
      <c r="AO100" s="258"/>
      <c r="AP100" s="319"/>
      <c r="AQ100" s="319"/>
      <c r="AR100" s="319"/>
      <c r="AS100" s="319"/>
      <c r="AT100" s="319"/>
      <c r="AU100" s="319"/>
      <c r="AV100" s="319"/>
      <c r="AW100" s="319"/>
      <c r="AX100" s="319"/>
      <c r="AY100" s="319"/>
      <c r="AZ100" s="319"/>
      <c r="BA100" s="319"/>
      <c r="BB100" s="319"/>
      <c r="BC100" s="319"/>
      <c r="BD100" s="319"/>
      <c r="BE100" s="319"/>
      <c r="BF100" s="319"/>
      <c r="BG100" s="319"/>
      <c r="BH100" s="319"/>
      <c r="BI100" s="319"/>
    </row>
    <row r="101" spans="1:61" s="251" customFormat="1" ht="18.75" customHeight="1">
      <c r="B101" s="253"/>
      <c r="C101" s="319" t="s">
        <v>520</v>
      </c>
      <c r="D101" s="319"/>
      <c r="E101" s="319"/>
      <c r="F101" s="319"/>
      <c r="G101" s="319"/>
      <c r="H101" s="319"/>
      <c r="I101" s="268" t="s">
        <v>710</v>
      </c>
      <c r="J101" s="269"/>
      <c r="K101" s="269"/>
      <c r="L101" s="319"/>
      <c r="M101" s="319"/>
      <c r="N101" s="319"/>
      <c r="O101" s="319"/>
      <c r="P101" s="319"/>
      <c r="Q101" s="319"/>
      <c r="R101" s="270"/>
      <c r="S101" s="270"/>
      <c r="T101" s="270"/>
      <c r="U101" s="270"/>
      <c r="V101" s="270"/>
      <c r="W101" s="270"/>
      <c r="X101" s="270"/>
      <c r="Y101" s="270"/>
      <c r="Z101" s="270"/>
      <c r="AA101" s="270"/>
      <c r="AB101" s="270"/>
      <c r="AC101" s="270"/>
      <c r="AD101" s="270"/>
      <c r="AE101" s="270"/>
      <c r="AF101" s="270"/>
      <c r="AG101" s="319"/>
      <c r="AH101" s="320"/>
      <c r="AI101" s="320"/>
      <c r="AJ101" s="320"/>
      <c r="AK101" s="320"/>
      <c r="AL101" s="319"/>
      <c r="AM101" s="319"/>
      <c r="AN101" s="316"/>
      <c r="AO101" s="319"/>
      <c r="AP101" s="321"/>
      <c r="AQ101" s="321"/>
      <c r="AR101" s="321"/>
      <c r="AS101" s="319"/>
      <c r="AT101" s="319"/>
      <c r="AU101" s="319"/>
      <c r="AV101" s="319"/>
      <c r="AW101" s="319"/>
      <c r="AX101" s="319"/>
      <c r="AY101" s="319"/>
      <c r="AZ101" s="319"/>
      <c r="BA101" s="319"/>
      <c r="BB101" s="319"/>
      <c r="BC101" s="319"/>
      <c r="BD101" s="319"/>
      <c r="BE101" s="319"/>
      <c r="BF101" s="319"/>
      <c r="BG101" s="319"/>
      <c r="BH101" s="319"/>
    </row>
    <row r="102" spans="1:61" s="251" customFormat="1" ht="18.75" customHeight="1">
      <c r="B102" s="253"/>
      <c r="C102" s="319"/>
      <c r="D102" s="319"/>
      <c r="E102" s="319"/>
      <c r="F102" s="319"/>
      <c r="G102" s="319"/>
      <c r="H102" s="269"/>
      <c r="I102" s="269"/>
      <c r="J102" s="269"/>
      <c r="K102" s="269"/>
      <c r="L102" s="319"/>
      <c r="M102" s="319"/>
      <c r="N102" s="319"/>
      <c r="O102" s="319"/>
      <c r="P102" s="319"/>
      <c r="Q102" s="319"/>
      <c r="R102" s="270"/>
      <c r="S102" s="270"/>
      <c r="T102" s="270"/>
      <c r="U102" s="270"/>
      <c r="V102" s="320"/>
      <c r="W102" s="270"/>
      <c r="X102" s="270"/>
      <c r="Y102" s="270"/>
      <c r="Z102" s="270"/>
      <c r="AA102" s="320"/>
      <c r="AB102" s="270"/>
      <c r="AC102" s="270"/>
      <c r="AD102" s="270"/>
      <c r="AE102" s="270"/>
      <c r="AF102" s="319"/>
      <c r="AG102" s="320"/>
      <c r="AH102" s="320"/>
      <c r="AI102" s="320"/>
      <c r="AJ102" s="320"/>
      <c r="AK102" s="319"/>
      <c r="AL102" s="319"/>
      <c r="AM102" s="316"/>
      <c r="AN102" s="321"/>
      <c r="AO102" s="321"/>
      <c r="AP102" s="321"/>
      <c r="AQ102" s="321"/>
      <c r="AR102" s="319"/>
      <c r="AS102" s="319"/>
      <c r="AT102" s="319"/>
      <c r="AU102" s="319"/>
      <c r="AV102" s="319"/>
      <c r="AW102" s="319"/>
      <c r="AX102" s="319"/>
      <c r="AY102" s="319"/>
      <c r="AZ102" s="319"/>
      <c r="BA102" s="319"/>
      <c r="BB102" s="319"/>
      <c r="BC102" s="319"/>
      <c r="BD102" s="319"/>
      <c r="BE102" s="319"/>
      <c r="BF102" s="319"/>
      <c r="BG102" s="319"/>
    </row>
    <row r="103" spans="1:61" ht="18.75" customHeight="1">
      <c r="A103" s="254"/>
      <c r="B103" s="257" t="s">
        <v>711</v>
      </c>
      <c r="C103" s="254"/>
      <c r="D103" s="254"/>
      <c r="E103" s="254"/>
      <c r="F103" s="254"/>
      <c r="G103" s="254"/>
      <c r="H103" s="254"/>
      <c r="I103" s="254"/>
      <c r="J103" s="254"/>
      <c r="K103" s="254"/>
      <c r="L103" s="254"/>
      <c r="M103" s="254"/>
      <c r="N103" s="254"/>
      <c r="O103" s="254"/>
      <c r="P103" s="254"/>
      <c r="Q103" s="254"/>
      <c r="R103" s="254"/>
      <c r="S103" s="254"/>
      <c r="T103" s="254"/>
      <c r="U103" s="254"/>
      <c r="V103" s="254"/>
      <c r="W103" s="254"/>
      <c r="X103" s="254"/>
      <c r="Y103" s="254"/>
      <c r="Z103" s="254"/>
      <c r="AA103" s="254"/>
      <c r="AB103" s="254"/>
      <c r="AC103" s="254"/>
      <c r="AD103" s="254"/>
      <c r="AE103" s="254"/>
      <c r="AF103" s="254"/>
      <c r="AG103" s="254"/>
      <c r="AH103" s="254"/>
      <c r="AI103" s="254"/>
      <c r="AJ103" s="254"/>
      <c r="AK103" s="254"/>
      <c r="AL103" s="254"/>
      <c r="AM103" s="254"/>
      <c r="AN103" s="254"/>
      <c r="AO103" s="254"/>
      <c r="AP103" s="254"/>
      <c r="AQ103" s="254"/>
      <c r="AR103" s="254"/>
      <c r="AS103" s="254"/>
      <c r="AT103" s="254"/>
    </row>
    <row r="104" spans="1:61" ht="18.75" customHeight="1">
      <c r="A104" s="254"/>
      <c r="B104" s="257"/>
      <c r="C104" s="254" t="s">
        <v>712</v>
      </c>
      <c r="D104" s="271"/>
      <c r="F104" s="254"/>
      <c r="G104" s="254"/>
      <c r="H104" s="254"/>
      <c r="I104" s="254"/>
      <c r="J104" s="254"/>
      <c r="K104" s="254"/>
      <c r="L104" s="254"/>
      <c r="M104" s="254"/>
      <c r="N104" s="254"/>
      <c r="O104" s="254"/>
      <c r="P104" s="254"/>
      <c r="Q104" s="254"/>
      <c r="R104" s="254"/>
      <c r="S104" s="254"/>
      <c r="T104" s="254"/>
      <c r="U104" s="254"/>
      <c r="V104" s="254"/>
      <c r="W104" s="254"/>
      <c r="X104" s="254"/>
      <c r="Y104" s="254"/>
      <c r="Z104" s="254"/>
      <c r="AA104" s="254"/>
      <c r="AB104" s="254"/>
      <c r="AC104" s="254"/>
      <c r="AD104" s="254"/>
      <c r="AE104" s="254"/>
      <c r="AF104" s="254"/>
      <c r="AG104" s="254"/>
      <c r="AH104" s="254"/>
      <c r="AI104" s="254"/>
      <c r="AJ104" s="254"/>
      <c r="AK104" s="254"/>
      <c r="AL104" s="254"/>
      <c r="AM104" s="254"/>
      <c r="AN104" s="254"/>
      <c r="AO104" s="254"/>
      <c r="AP104" s="254"/>
      <c r="AQ104" s="254"/>
      <c r="AR104" s="254"/>
      <c r="AS104" s="254"/>
      <c r="AT104" s="254"/>
    </row>
    <row r="105" spans="1:61" ht="18.75" customHeight="1">
      <c r="A105" s="254"/>
      <c r="B105" s="257"/>
      <c r="D105" s="254" t="s">
        <v>713</v>
      </c>
      <c r="F105" s="254"/>
      <c r="G105" s="254"/>
      <c r="H105" s="254"/>
      <c r="I105" s="254"/>
      <c r="J105" s="254"/>
      <c r="K105" s="254"/>
      <c r="L105" s="254"/>
      <c r="M105" s="254"/>
      <c r="N105" s="254"/>
      <c r="O105" s="254"/>
      <c r="P105" s="254"/>
      <c r="Q105" s="254"/>
      <c r="R105" s="254"/>
      <c r="S105" s="254"/>
      <c r="T105" s="254"/>
      <c r="U105" s="254"/>
      <c r="V105" s="254"/>
      <c r="W105" s="254"/>
      <c r="X105" s="254"/>
      <c r="Y105" s="254"/>
      <c r="Z105" s="254"/>
      <c r="AA105" s="254"/>
      <c r="AB105" s="254"/>
      <c r="AC105" s="254"/>
      <c r="AD105" s="254"/>
      <c r="AE105" s="254"/>
      <c r="AF105" s="254"/>
      <c r="AG105" s="254"/>
      <c r="AH105" s="254"/>
      <c r="AI105" s="254"/>
      <c r="AJ105" s="254"/>
      <c r="AK105" s="254"/>
      <c r="AL105" s="254"/>
      <c r="AM105" s="254"/>
      <c r="AN105" s="254"/>
      <c r="AO105" s="254"/>
      <c r="AP105" s="254"/>
      <c r="AQ105" s="254"/>
      <c r="AR105" s="254"/>
      <c r="AS105" s="254"/>
      <c r="AT105" s="254"/>
    </row>
    <row r="106" spans="1:61" ht="18.75" customHeight="1">
      <c r="B106" s="254"/>
      <c r="C106" s="254" t="s">
        <v>714</v>
      </c>
      <c r="D106" s="254"/>
      <c r="E106" s="254"/>
      <c r="F106" s="254"/>
      <c r="G106" s="254"/>
      <c r="H106" s="496" t="e">
        <f ca="1">J83</f>
        <v>#N/A</v>
      </c>
      <c r="I106" s="496"/>
      <c r="J106" s="496"/>
      <c r="K106" s="496"/>
      <c r="L106" s="496" t="str">
        <f>O83</f>
        <v>μm/m</v>
      </c>
      <c r="M106" s="496"/>
      <c r="N106" s="496"/>
      <c r="O106" s="496"/>
      <c r="P106" s="258"/>
      <c r="Q106" s="258"/>
      <c r="R106" s="258"/>
      <c r="S106" s="258"/>
      <c r="T106" s="258"/>
      <c r="U106" s="319"/>
      <c r="V106" s="319"/>
      <c r="W106" s="254"/>
      <c r="X106" s="254"/>
      <c r="Y106" s="254"/>
      <c r="Z106" s="254"/>
      <c r="AA106" s="254"/>
      <c r="AB106" s="254"/>
      <c r="AC106" s="254"/>
      <c r="AD106" s="254"/>
      <c r="AE106" s="254"/>
      <c r="AF106" s="254"/>
      <c r="AG106" s="254"/>
      <c r="AH106" s="254"/>
      <c r="AI106" s="254"/>
      <c r="AJ106" s="254"/>
      <c r="AK106" s="254"/>
      <c r="AL106" s="254"/>
      <c r="AM106" s="254"/>
      <c r="AN106" s="254"/>
      <c r="AO106" s="254"/>
      <c r="AP106" s="254"/>
      <c r="AQ106" s="254"/>
      <c r="AR106" s="254"/>
      <c r="AS106" s="254"/>
      <c r="AT106" s="254"/>
      <c r="AU106" s="254"/>
    </row>
    <row r="107" spans="1:61" ht="18.75" customHeight="1">
      <c r="B107" s="254"/>
      <c r="C107" s="254" t="s">
        <v>521</v>
      </c>
      <c r="D107" s="254"/>
      <c r="E107" s="254"/>
      <c r="F107" s="254"/>
      <c r="G107" s="254"/>
      <c r="H107" s="254"/>
      <c r="I107" s="254"/>
      <c r="J107" s="272" t="s">
        <v>715</v>
      </c>
      <c r="K107" s="254"/>
      <c r="L107" s="254"/>
      <c r="M107" s="254"/>
      <c r="N107" s="254"/>
      <c r="O107" s="254"/>
      <c r="P107" s="513">
        <f>Calcu!G68</f>
        <v>0</v>
      </c>
      <c r="Q107" s="513"/>
      <c r="R107" s="513"/>
      <c r="S107" s="496" t="str">
        <f>Calcu!I68</f>
        <v>μm/m</v>
      </c>
      <c r="T107" s="496"/>
      <c r="U107" s="496"/>
      <c r="V107" s="327" t="s">
        <v>716</v>
      </c>
      <c r="W107" s="499">
        <f>Calcu!J68</f>
        <v>0</v>
      </c>
      <c r="X107" s="499"/>
      <c r="Y107" s="499"/>
      <c r="Z107" s="499"/>
      <c r="AA107" s="254"/>
      <c r="AB107" s="254"/>
      <c r="AC107" s="254"/>
      <c r="AD107" s="254"/>
      <c r="AE107" s="254"/>
      <c r="AF107" s="254"/>
      <c r="AG107" s="254"/>
      <c r="AH107" s="254"/>
      <c r="AI107" s="254"/>
      <c r="AJ107" s="254"/>
      <c r="AK107" s="254"/>
      <c r="AL107" s="254"/>
      <c r="AM107" s="254"/>
      <c r="AN107" s="254"/>
      <c r="AO107" s="254"/>
      <c r="AP107" s="254"/>
      <c r="AQ107" s="254"/>
      <c r="AR107" s="254"/>
      <c r="AS107" s="254"/>
      <c r="AT107" s="254"/>
    </row>
    <row r="108" spans="1:61" ht="18.75" customHeight="1">
      <c r="B108" s="254"/>
      <c r="C108" s="254"/>
      <c r="D108" s="254"/>
      <c r="E108" s="254"/>
      <c r="F108" s="254"/>
      <c r="G108" s="254"/>
      <c r="H108" s="254"/>
      <c r="I108" s="254"/>
      <c r="J108" s="514" t="s">
        <v>717</v>
      </c>
      <c r="K108" s="514"/>
      <c r="L108" s="514"/>
      <c r="M108" s="461" t="s">
        <v>509</v>
      </c>
      <c r="N108" s="485" t="s">
        <v>719</v>
      </c>
      <c r="O108" s="485"/>
      <c r="P108" s="461" t="s">
        <v>509</v>
      </c>
      <c r="Q108" s="512">
        <f>W107</f>
        <v>0</v>
      </c>
      <c r="R108" s="512"/>
      <c r="S108" s="512"/>
      <c r="T108" s="512"/>
      <c r="U108" s="461" t="s">
        <v>716</v>
      </c>
      <c r="V108" s="499">
        <f>S83</f>
        <v>0</v>
      </c>
      <c r="W108" s="499"/>
      <c r="X108" s="499"/>
      <c r="Y108" s="499"/>
      <c r="AA108" s="273"/>
      <c r="AB108" s="273"/>
      <c r="AC108" s="273"/>
      <c r="AD108" s="254"/>
      <c r="AE108" s="254"/>
      <c r="AG108" s="317"/>
      <c r="AH108" s="317"/>
      <c r="AI108" s="317"/>
      <c r="AJ108" s="273"/>
      <c r="AK108" s="273"/>
      <c r="AL108" s="254"/>
      <c r="AM108" s="254"/>
      <c r="AN108" s="254"/>
      <c r="AO108" s="254"/>
      <c r="AP108" s="254"/>
      <c r="AQ108" s="254"/>
      <c r="AR108" s="254"/>
      <c r="AS108" s="254"/>
      <c r="AT108" s="254"/>
      <c r="AU108" s="254"/>
    </row>
    <row r="109" spans="1:61" ht="18.75" customHeight="1">
      <c r="B109" s="254"/>
      <c r="C109" s="254"/>
      <c r="D109" s="254"/>
      <c r="E109" s="254"/>
      <c r="F109" s="254"/>
      <c r="G109" s="254"/>
      <c r="H109" s="254"/>
      <c r="I109" s="254"/>
      <c r="J109" s="514"/>
      <c r="K109" s="514"/>
      <c r="L109" s="514"/>
      <c r="M109" s="461"/>
      <c r="N109" s="508"/>
      <c r="O109" s="508"/>
      <c r="P109" s="461"/>
      <c r="Q109" s="274"/>
      <c r="R109" s="274"/>
      <c r="S109" s="274"/>
      <c r="T109" s="274"/>
      <c r="U109" s="461"/>
      <c r="V109" s="499"/>
      <c r="W109" s="499"/>
      <c r="X109" s="499"/>
      <c r="Y109" s="499"/>
      <c r="AA109" s="273"/>
      <c r="AB109" s="273"/>
      <c r="AC109" s="273"/>
      <c r="AD109" s="254"/>
      <c r="AE109" s="254"/>
      <c r="AG109" s="317"/>
      <c r="AH109" s="317"/>
      <c r="AI109" s="317"/>
      <c r="AJ109" s="273"/>
      <c r="AK109" s="273"/>
      <c r="AL109" s="254"/>
      <c r="AM109" s="254"/>
      <c r="AN109" s="254"/>
      <c r="AO109" s="254"/>
      <c r="AP109" s="254"/>
      <c r="AQ109" s="254"/>
      <c r="AR109" s="254"/>
      <c r="AS109" s="254"/>
      <c r="AT109" s="254"/>
      <c r="AU109" s="254"/>
    </row>
    <row r="110" spans="1:61" ht="18.75" customHeight="1">
      <c r="B110" s="254"/>
      <c r="C110" s="254" t="s">
        <v>720</v>
      </c>
      <c r="D110" s="254"/>
      <c r="E110" s="254"/>
      <c r="F110" s="254"/>
      <c r="G110" s="254"/>
      <c r="H110" s="254"/>
      <c r="I110" s="509" t="str">
        <f>AB83</f>
        <v>t</v>
      </c>
      <c r="J110" s="509"/>
      <c r="K110" s="509"/>
      <c r="L110" s="509"/>
      <c r="M110" s="509"/>
      <c r="N110" s="509"/>
      <c r="O110" s="509"/>
      <c r="P110" s="509"/>
      <c r="Q110" s="254"/>
      <c r="R110" s="254"/>
      <c r="S110" s="254"/>
      <c r="T110" s="254"/>
      <c r="U110" s="254"/>
      <c r="V110" s="254"/>
      <c r="W110" s="254"/>
      <c r="X110" s="254"/>
      <c r="Y110" s="254"/>
      <c r="Z110" s="254"/>
      <c r="AA110" s="254"/>
      <c r="AB110" s="254"/>
      <c r="AC110" s="254"/>
      <c r="AD110" s="254"/>
      <c r="AE110" s="254"/>
      <c r="AF110" s="254"/>
      <c r="AG110" s="254"/>
      <c r="AH110" s="254"/>
      <c r="AI110" s="254"/>
      <c r="AJ110" s="254"/>
      <c r="AK110" s="254"/>
      <c r="AL110" s="254"/>
      <c r="AM110" s="254"/>
      <c r="AN110" s="254"/>
      <c r="AO110" s="254"/>
      <c r="AP110" s="254"/>
      <c r="AQ110" s="254"/>
      <c r="AR110" s="254"/>
      <c r="AS110" s="254"/>
      <c r="AT110" s="254"/>
      <c r="AU110" s="254"/>
    </row>
    <row r="111" spans="1:61" ht="18.75" customHeight="1">
      <c r="B111" s="254"/>
      <c r="C111" s="510" t="s">
        <v>721</v>
      </c>
      <c r="D111" s="510"/>
      <c r="E111" s="510"/>
      <c r="F111" s="510"/>
      <c r="G111" s="510"/>
      <c r="H111" s="510"/>
      <c r="I111" s="320"/>
      <c r="J111" s="320"/>
      <c r="K111" s="254"/>
      <c r="L111" s="254"/>
      <c r="M111" s="320"/>
      <c r="N111" s="320"/>
      <c r="O111" s="254"/>
      <c r="P111" s="254"/>
      <c r="Q111" s="254"/>
      <c r="R111" s="254"/>
      <c r="S111" s="254"/>
      <c r="T111" s="254"/>
      <c r="U111" s="254"/>
      <c r="V111" s="254"/>
      <c r="W111" s="254"/>
      <c r="X111" s="254"/>
      <c r="Y111" s="254"/>
      <c r="Z111" s="254"/>
      <c r="AA111" s="254"/>
      <c r="AB111" s="254"/>
      <c r="AC111" s="254"/>
      <c r="AD111" s="254"/>
      <c r="AE111" s="254"/>
      <c r="AF111" s="254"/>
      <c r="AG111" s="254"/>
      <c r="AH111" s="254"/>
      <c r="AI111" s="254"/>
      <c r="AJ111" s="254"/>
      <c r="AK111" s="254"/>
      <c r="AL111" s="254"/>
      <c r="AM111" s="254"/>
      <c r="AN111" s="254"/>
      <c r="AO111" s="254"/>
      <c r="AP111" s="254"/>
      <c r="AQ111" s="254"/>
      <c r="AR111" s="254"/>
      <c r="AS111" s="254"/>
      <c r="AT111" s="254"/>
      <c r="AU111" s="254"/>
    </row>
    <row r="112" spans="1:61" ht="18.75" customHeight="1">
      <c r="B112" s="254"/>
      <c r="C112" s="510"/>
      <c r="D112" s="510"/>
      <c r="E112" s="510"/>
      <c r="F112" s="510"/>
      <c r="G112" s="510"/>
      <c r="H112" s="510"/>
      <c r="I112" s="321"/>
      <c r="J112" s="321"/>
      <c r="K112" s="254"/>
      <c r="L112" s="254"/>
      <c r="M112" s="320"/>
      <c r="N112" s="320"/>
      <c r="O112" s="254"/>
      <c r="P112" s="254"/>
      <c r="Q112" s="254"/>
      <c r="R112" s="254"/>
      <c r="S112" s="254"/>
      <c r="T112" s="254"/>
      <c r="U112" s="254"/>
      <c r="V112" s="254"/>
      <c r="W112" s="254"/>
      <c r="X112" s="254"/>
      <c r="Y112" s="254"/>
      <c r="Z112" s="254"/>
      <c r="AA112" s="254"/>
      <c r="AB112" s="254"/>
      <c r="AC112" s="254"/>
      <c r="AD112" s="254"/>
      <c r="AE112" s="254"/>
      <c r="AF112" s="254"/>
      <c r="AG112" s="254"/>
      <c r="AH112" s="254"/>
      <c r="AI112" s="254"/>
      <c r="AJ112" s="254"/>
      <c r="AK112" s="254"/>
      <c r="AL112" s="254"/>
      <c r="AM112" s="254"/>
      <c r="AN112" s="254"/>
      <c r="AO112" s="254"/>
      <c r="AP112" s="254"/>
      <c r="AQ112" s="254"/>
      <c r="AR112" s="254"/>
      <c r="AS112" s="254"/>
      <c r="AT112" s="254"/>
      <c r="AU112" s="254"/>
    </row>
    <row r="113" spans="2:60" ht="18.75" customHeight="1">
      <c r="B113" s="254"/>
      <c r="C113" s="254" t="s">
        <v>722</v>
      </c>
      <c r="D113" s="254"/>
      <c r="E113" s="254"/>
      <c r="F113" s="254"/>
      <c r="G113" s="254"/>
      <c r="H113" s="254"/>
      <c r="I113" s="254"/>
      <c r="J113" s="254"/>
      <c r="K113" s="323" t="s">
        <v>723</v>
      </c>
      <c r="L113" s="511">
        <f>AG83</f>
        <v>-1</v>
      </c>
      <c r="M113" s="511"/>
      <c r="N113" s="320" t="s">
        <v>505</v>
      </c>
      <c r="O113" s="512">
        <f>V108</f>
        <v>0</v>
      </c>
      <c r="P113" s="512"/>
      <c r="Q113" s="512"/>
      <c r="R113" s="512"/>
      <c r="S113" s="323" t="s">
        <v>506</v>
      </c>
      <c r="T113" s="275" t="s">
        <v>716</v>
      </c>
      <c r="U113" s="499">
        <f>AL83</f>
        <v>0</v>
      </c>
      <c r="V113" s="499"/>
      <c r="W113" s="499"/>
      <c r="X113" s="499"/>
      <c r="Y113" s="271"/>
      <c r="AA113" s="271"/>
      <c r="AB113" s="254"/>
      <c r="AC113" s="254"/>
      <c r="AD113" s="254"/>
      <c r="AE113" s="254"/>
      <c r="AF113" s="254"/>
      <c r="AP113" s="254"/>
      <c r="AQ113" s="254"/>
      <c r="AR113" s="254"/>
      <c r="AS113" s="254"/>
      <c r="AT113" s="254"/>
      <c r="AU113" s="254"/>
      <c r="AV113" s="254"/>
    </row>
    <row r="114" spans="2:60" ht="18.75" customHeight="1">
      <c r="B114" s="254"/>
      <c r="C114" s="254" t="s">
        <v>724</v>
      </c>
      <c r="D114" s="254"/>
      <c r="E114" s="254"/>
      <c r="F114" s="254"/>
      <c r="G114" s="254"/>
      <c r="H114" s="254"/>
      <c r="I114" s="276" t="s">
        <v>725</v>
      </c>
      <c r="J114" s="269"/>
      <c r="L114" s="277"/>
      <c r="M114" s="277"/>
      <c r="N114" s="277"/>
      <c r="O114" s="277"/>
      <c r="P114" s="277"/>
      <c r="Q114" s="277"/>
      <c r="R114" s="277"/>
      <c r="S114" s="277"/>
      <c r="T114" s="277"/>
      <c r="U114" s="277"/>
      <c r="V114" s="277"/>
      <c r="W114" s="277"/>
      <c r="X114" s="277"/>
      <c r="Y114" s="277"/>
      <c r="Z114" s="277"/>
      <c r="AA114" s="254"/>
      <c r="AB114" s="254"/>
      <c r="AC114" s="254"/>
      <c r="AD114" s="254"/>
      <c r="AE114" s="254"/>
      <c r="AF114" s="254"/>
    </row>
    <row r="115" spans="2:60" ht="18.75" customHeight="1">
      <c r="B115" s="254"/>
      <c r="C115" s="254"/>
      <c r="D115" s="254"/>
      <c r="E115" s="254"/>
      <c r="F115" s="254"/>
      <c r="G115" s="254"/>
      <c r="H115" s="254"/>
      <c r="I115" s="269"/>
      <c r="J115" s="278"/>
      <c r="K115" s="269"/>
      <c r="L115" s="277"/>
      <c r="M115" s="277"/>
      <c r="N115" s="277"/>
      <c r="O115" s="277"/>
      <c r="P115" s="277"/>
      <c r="Q115" s="277"/>
      <c r="R115" s="277"/>
      <c r="S115" s="277"/>
      <c r="T115" s="277"/>
      <c r="U115" s="277"/>
      <c r="V115" s="277"/>
      <c r="W115" s="277"/>
      <c r="X115" s="277"/>
      <c r="Y115" s="277"/>
      <c r="Z115" s="277"/>
      <c r="AA115" s="254"/>
      <c r="AB115" s="254"/>
      <c r="AC115" s="254"/>
      <c r="AD115" s="254"/>
      <c r="AE115" s="254"/>
      <c r="AF115" s="254"/>
    </row>
    <row r="116" spans="2:60" s="279" customFormat="1" ht="18.75" customHeight="1">
      <c r="B116" s="253" t="s">
        <v>726</v>
      </c>
      <c r="D116" s="320"/>
      <c r="E116" s="320"/>
      <c r="F116" s="320"/>
      <c r="G116" s="316"/>
      <c r="H116" s="320"/>
      <c r="I116" s="320"/>
      <c r="J116" s="320"/>
      <c r="K116" s="320"/>
      <c r="L116" s="320"/>
      <c r="M116" s="320"/>
      <c r="N116" s="320"/>
      <c r="O116" s="320"/>
      <c r="P116" s="320"/>
      <c r="Q116" s="320"/>
      <c r="R116" s="320"/>
      <c r="S116" s="320"/>
      <c r="T116" s="320"/>
      <c r="U116" s="320"/>
      <c r="V116" s="320"/>
      <c r="W116" s="320"/>
      <c r="X116" s="320"/>
      <c r="Y116" s="320"/>
      <c r="Z116" s="320"/>
      <c r="AA116" s="320"/>
      <c r="AB116" s="320"/>
      <c r="AC116" s="320"/>
      <c r="AD116" s="320"/>
      <c r="AE116" s="316"/>
      <c r="AF116" s="320"/>
      <c r="AG116" s="316"/>
      <c r="AH116" s="316"/>
      <c r="AI116" s="316"/>
      <c r="AJ116" s="316"/>
      <c r="AK116" s="316"/>
      <c r="AL116" s="316"/>
      <c r="AM116" s="316"/>
      <c r="AN116" s="316"/>
      <c r="AO116" s="316"/>
      <c r="AP116" s="316"/>
      <c r="AQ116" s="316"/>
      <c r="AR116" s="316"/>
      <c r="AS116" s="316"/>
      <c r="AT116" s="316"/>
      <c r="AU116" s="316"/>
      <c r="AV116" s="316"/>
      <c r="AW116" s="316"/>
      <c r="AX116" s="316"/>
      <c r="AY116" s="316"/>
      <c r="AZ116" s="316"/>
      <c r="BA116" s="316"/>
      <c r="BB116" s="316"/>
      <c r="BC116" s="316"/>
      <c r="BD116" s="316"/>
      <c r="BE116" s="316"/>
      <c r="BF116" s="316"/>
      <c r="BG116" s="316"/>
    </row>
    <row r="117" spans="2:60" s="279" customFormat="1" ht="18.75" customHeight="1">
      <c r="B117" s="316"/>
      <c r="C117" s="321" t="s">
        <v>727</v>
      </c>
      <c r="D117" s="316"/>
      <c r="E117" s="316"/>
      <c r="F117" s="316"/>
      <c r="G117" s="316"/>
      <c r="H117" s="509">
        <f>J84</f>
        <v>0</v>
      </c>
      <c r="I117" s="509"/>
      <c r="J117" s="509"/>
      <c r="K117" s="509"/>
      <c r="L117" s="509"/>
      <c r="M117" s="509"/>
      <c r="N117" s="509"/>
      <c r="O117" s="509"/>
      <c r="P117" s="271"/>
      <c r="Q117" s="320"/>
      <c r="R117" s="320"/>
      <c r="S117" s="320"/>
      <c r="T117" s="320"/>
      <c r="U117" s="320"/>
      <c r="AD117" s="320"/>
      <c r="AE117" s="320"/>
      <c r="AF117" s="320"/>
      <c r="AG117" s="320"/>
      <c r="AH117" s="320"/>
      <c r="AI117" s="316"/>
      <c r="AJ117" s="316"/>
      <c r="AK117" s="316"/>
      <c r="AL117" s="316"/>
      <c r="AM117" s="316"/>
      <c r="AN117" s="316"/>
      <c r="AO117" s="316"/>
      <c r="AP117" s="316"/>
      <c r="AQ117" s="316"/>
      <c r="AR117" s="316"/>
      <c r="AS117" s="320"/>
      <c r="AT117" s="320"/>
      <c r="AU117" s="320"/>
      <c r="AV117" s="320"/>
      <c r="AW117" s="320"/>
      <c r="AX117" s="320"/>
      <c r="AY117" s="316"/>
      <c r="AZ117" s="316"/>
      <c r="BA117" s="316"/>
      <c r="BB117" s="316"/>
      <c r="BC117" s="316"/>
      <c r="BD117" s="316"/>
      <c r="BE117" s="316"/>
      <c r="BF117" s="316"/>
      <c r="BG117" s="316"/>
    </row>
    <row r="118" spans="2:60" s="279" customFormat="1" ht="18.75" customHeight="1">
      <c r="B118" s="316"/>
      <c r="C118" s="320" t="s">
        <v>728</v>
      </c>
      <c r="D118" s="320"/>
      <c r="E118" s="320"/>
      <c r="F118" s="320"/>
      <c r="G118" s="320"/>
      <c r="H118" s="320"/>
      <c r="I118" s="316"/>
      <c r="J118" s="320" t="s">
        <v>729</v>
      </c>
      <c r="K118" s="320"/>
      <c r="L118" s="320"/>
      <c r="M118" s="320"/>
      <c r="N118" s="320"/>
      <c r="O118" s="320"/>
      <c r="P118" s="496">
        <f>Calcu!G69</f>
        <v>0</v>
      </c>
      <c r="Q118" s="496"/>
      <c r="R118" s="496"/>
      <c r="S118" s="496" t="str">
        <f>Calcu!I69</f>
        <v>μm/m</v>
      </c>
      <c r="T118" s="496"/>
      <c r="U118" s="496"/>
      <c r="V118" s="327" t="s">
        <v>730</v>
      </c>
      <c r="W118" s="499">
        <f>Calcu!J69</f>
        <v>0</v>
      </c>
      <c r="X118" s="499"/>
      <c r="Y118" s="499"/>
      <c r="Z118" s="499"/>
      <c r="AC118" s="320"/>
      <c r="AD118" s="320"/>
      <c r="AE118" s="320"/>
      <c r="AF118" s="316"/>
      <c r="AG118" s="316"/>
      <c r="AH118" s="316"/>
      <c r="AI118" s="316"/>
      <c r="AJ118" s="316"/>
      <c r="AK118" s="316"/>
      <c r="AL118" s="316"/>
      <c r="AM118" s="316"/>
      <c r="AN118" s="320"/>
      <c r="AO118" s="320"/>
      <c r="AP118" s="320"/>
      <c r="AQ118" s="320"/>
      <c r="AR118" s="320"/>
      <c r="AS118" s="320"/>
      <c r="AT118" s="320"/>
      <c r="AU118" s="320"/>
      <c r="AV118" s="320"/>
      <c r="AW118" s="320"/>
      <c r="AX118" s="320"/>
      <c r="AY118" s="316"/>
      <c r="AZ118" s="316"/>
      <c r="BA118" s="316"/>
      <c r="BB118" s="316"/>
      <c r="BC118" s="316"/>
      <c r="BD118" s="316"/>
      <c r="BE118" s="316"/>
      <c r="BF118" s="316"/>
      <c r="BG118" s="316"/>
    </row>
    <row r="119" spans="2:60" s="279" customFormat="1" ht="18.75" customHeight="1">
      <c r="B119" s="316"/>
      <c r="C119" s="320"/>
      <c r="D119" s="320"/>
      <c r="E119" s="320"/>
      <c r="F119" s="320"/>
      <c r="G119" s="320"/>
      <c r="H119" s="320"/>
      <c r="I119" s="320"/>
      <c r="K119" s="516" t="s">
        <v>731</v>
      </c>
      <c r="L119" s="516"/>
      <c r="M119" s="516"/>
      <c r="N119" s="476" t="s">
        <v>732</v>
      </c>
      <c r="O119" s="485" t="s">
        <v>733</v>
      </c>
      <c r="P119" s="479"/>
      <c r="Q119" s="479"/>
      <c r="R119" s="479"/>
      <c r="S119" s="476" t="s">
        <v>732</v>
      </c>
      <c r="T119" s="512">
        <f>W118</f>
        <v>0</v>
      </c>
      <c r="U119" s="512"/>
      <c r="V119" s="512"/>
      <c r="W119" s="512"/>
      <c r="X119" s="517" t="s">
        <v>509</v>
      </c>
      <c r="Y119" s="499">
        <f>S84</f>
        <v>0</v>
      </c>
      <c r="Z119" s="499"/>
      <c r="AA119" s="499"/>
      <c r="AB119" s="499"/>
      <c r="AC119" s="54"/>
      <c r="AD119" s="273"/>
      <c r="AE119" s="273"/>
      <c r="AF119" s="273"/>
      <c r="AG119" s="254"/>
      <c r="AH119" s="254"/>
      <c r="AI119" s="54"/>
      <c r="AJ119" s="316"/>
      <c r="AK119" s="316"/>
      <c r="AL119" s="316"/>
      <c r="AM119" s="316"/>
      <c r="AN119" s="316"/>
      <c r="AO119" s="316"/>
      <c r="AP119" s="316"/>
      <c r="AQ119" s="316"/>
      <c r="AR119" s="320"/>
      <c r="AS119" s="320"/>
      <c r="AT119" s="320"/>
      <c r="AU119" s="320"/>
      <c r="AV119" s="320"/>
      <c r="AW119" s="320"/>
      <c r="AX119" s="320"/>
      <c r="AY119" s="320"/>
      <c r="AZ119" s="316"/>
      <c r="BA119" s="316"/>
      <c r="BB119" s="316"/>
      <c r="BC119" s="316"/>
      <c r="BD119" s="316"/>
      <c r="BE119" s="316"/>
      <c r="BF119" s="316"/>
      <c r="BG119" s="316"/>
      <c r="BH119" s="316"/>
    </row>
    <row r="120" spans="2:60" s="279" customFormat="1" ht="18.75" customHeight="1">
      <c r="B120" s="316"/>
      <c r="C120" s="320"/>
      <c r="D120" s="320"/>
      <c r="E120" s="320"/>
      <c r="F120" s="320"/>
      <c r="G120" s="320"/>
      <c r="H120" s="320"/>
      <c r="I120" s="320"/>
      <c r="J120" s="280"/>
      <c r="K120" s="516"/>
      <c r="L120" s="516"/>
      <c r="M120" s="516"/>
      <c r="N120" s="476"/>
      <c r="O120" s="515"/>
      <c r="P120" s="515"/>
      <c r="Q120" s="515"/>
      <c r="R120" s="515"/>
      <c r="S120" s="476"/>
      <c r="T120" s="515"/>
      <c r="U120" s="515"/>
      <c r="V120" s="515"/>
      <c r="W120" s="515"/>
      <c r="X120" s="517"/>
      <c r="Y120" s="499"/>
      <c r="Z120" s="499"/>
      <c r="AA120" s="499"/>
      <c r="AB120" s="499"/>
      <c r="AC120" s="54"/>
      <c r="AD120" s="273"/>
      <c r="AE120" s="273"/>
      <c r="AF120" s="273"/>
      <c r="AG120" s="254"/>
      <c r="AH120" s="254"/>
      <c r="AI120" s="54"/>
      <c r="AJ120" s="316"/>
      <c r="AK120" s="316"/>
      <c r="AL120" s="316"/>
      <c r="AM120" s="316"/>
      <c r="AN120" s="316"/>
      <c r="AO120" s="316"/>
      <c r="AP120" s="316"/>
      <c r="AQ120" s="316"/>
      <c r="AR120" s="320"/>
      <c r="AS120" s="320"/>
      <c r="AT120" s="320"/>
      <c r="AU120" s="320"/>
      <c r="AV120" s="320"/>
      <c r="AW120" s="320"/>
      <c r="AX120" s="320"/>
      <c r="AY120" s="320"/>
      <c r="AZ120" s="316"/>
      <c r="BA120" s="316"/>
      <c r="BB120" s="316"/>
      <c r="BC120" s="316"/>
      <c r="BD120" s="316"/>
      <c r="BE120" s="316"/>
      <c r="BF120" s="316"/>
      <c r="BG120" s="316"/>
      <c r="BH120" s="316"/>
    </row>
    <row r="121" spans="2:60" s="279" customFormat="1" ht="18.75" customHeight="1">
      <c r="B121" s="316"/>
      <c r="C121" s="320" t="s">
        <v>734</v>
      </c>
      <c r="D121" s="320"/>
      <c r="E121" s="320"/>
      <c r="F121" s="320"/>
      <c r="G121" s="320"/>
      <c r="H121" s="320"/>
      <c r="I121" s="509" t="str">
        <f>AB84</f>
        <v>직사각형</v>
      </c>
      <c r="J121" s="509"/>
      <c r="K121" s="509"/>
      <c r="L121" s="509"/>
      <c r="M121" s="509"/>
      <c r="N121" s="509"/>
      <c r="O121" s="509"/>
      <c r="P121" s="509"/>
      <c r="Q121" s="320"/>
      <c r="R121" s="320"/>
      <c r="S121" s="320"/>
      <c r="T121" s="320"/>
      <c r="U121" s="320"/>
      <c r="V121" s="320"/>
      <c r="W121" s="320"/>
      <c r="X121" s="320"/>
      <c r="Y121" s="320"/>
      <c r="Z121" s="316"/>
      <c r="AA121" s="316"/>
      <c r="AB121" s="316"/>
      <c r="AC121" s="316"/>
      <c r="AD121" s="316"/>
      <c r="AE121" s="316"/>
      <c r="AF121" s="316"/>
      <c r="AG121" s="316"/>
      <c r="AH121" s="320"/>
      <c r="AI121" s="320"/>
      <c r="AJ121" s="320"/>
      <c r="AK121" s="320"/>
      <c r="AL121" s="320"/>
      <c r="AM121" s="320"/>
      <c r="AN121" s="320"/>
      <c r="AO121" s="320"/>
      <c r="AP121" s="320"/>
      <c r="AQ121" s="320"/>
      <c r="AR121" s="320"/>
      <c r="AS121" s="320"/>
      <c r="AT121" s="320"/>
      <c r="AU121" s="320"/>
      <c r="AV121" s="320"/>
      <c r="AW121" s="320"/>
      <c r="AX121" s="320"/>
      <c r="AY121" s="316"/>
      <c r="AZ121" s="316"/>
      <c r="BA121" s="316"/>
      <c r="BB121" s="316"/>
      <c r="BC121" s="316"/>
      <c r="BD121" s="316"/>
      <c r="BE121" s="316"/>
      <c r="BF121" s="316"/>
      <c r="BG121" s="316"/>
    </row>
    <row r="122" spans="2:60" s="279" customFormat="1" ht="18.75" customHeight="1">
      <c r="B122" s="316"/>
      <c r="C122" s="510" t="s">
        <v>525</v>
      </c>
      <c r="D122" s="510"/>
      <c r="E122" s="510"/>
      <c r="F122" s="510"/>
      <c r="G122" s="510"/>
      <c r="H122" s="510"/>
      <c r="I122" s="320"/>
      <c r="J122" s="320"/>
      <c r="K122" s="320"/>
      <c r="L122" s="320"/>
      <c r="M122" s="320"/>
      <c r="N122" s="320"/>
      <c r="O122" s="316"/>
      <c r="P122" s="281"/>
      <c r="Q122" s="281"/>
      <c r="R122" s="281"/>
      <c r="S122" s="320"/>
      <c r="T122" s="320"/>
      <c r="U122" s="320"/>
      <c r="V122" s="320"/>
      <c r="W122" s="320"/>
      <c r="X122" s="320"/>
      <c r="Y122" s="320"/>
      <c r="Z122" s="282"/>
      <c r="AA122" s="282"/>
      <c r="AB122" s="320"/>
      <c r="AC122" s="320"/>
      <c r="AD122" s="320"/>
      <c r="AE122" s="320"/>
      <c r="AF122" s="320"/>
      <c r="AG122" s="320"/>
      <c r="AH122" s="320"/>
      <c r="AI122" s="320"/>
      <c r="AJ122" s="320"/>
      <c r="AK122" s="320"/>
      <c r="AL122" s="316"/>
      <c r="AM122" s="316"/>
      <c r="AN122" s="316"/>
      <c r="AO122" s="320"/>
      <c r="AP122" s="320"/>
      <c r="AQ122" s="320"/>
      <c r="AR122" s="320"/>
      <c r="AS122" s="320"/>
      <c r="AT122" s="320"/>
      <c r="AU122" s="320"/>
      <c r="AV122" s="320"/>
      <c r="AW122" s="320"/>
      <c r="AX122" s="320"/>
      <c r="AY122" s="316"/>
      <c r="AZ122" s="316"/>
      <c r="BA122" s="316"/>
      <c r="BB122" s="316"/>
      <c r="BC122" s="316"/>
      <c r="BD122" s="316"/>
      <c r="BE122" s="316"/>
      <c r="BF122" s="316"/>
      <c r="BG122" s="316"/>
    </row>
    <row r="123" spans="2:60" s="279" customFormat="1" ht="18.75" customHeight="1">
      <c r="B123" s="316"/>
      <c r="C123" s="510"/>
      <c r="D123" s="510"/>
      <c r="E123" s="510"/>
      <c r="F123" s="510"/>
      <c r="G123" s="510"/>
      <c r="H123" s="510"/>
      <c r="I123" s="320"/>
      <c r="J123" s="320"/>
      <c r="K123" s="320"/>
      <c r="L123" s="320"/>
      <c r="M123" s="320"/>
      <c r="N123" s="320"/>
      <c r="O123" s="320"/>
      <c r="P123" s="281"/>
      <c r="Q123" s="281"/>
      <c r="R123" s="281"/>
      <c r="S123" s="320"/>
      <c r="T123" s="320"/>
      <c r="U123" s="320"/>
      <c r="V123" s="320"/>
      <c r="W123" s="320"/>
      <c r="X123" s="320"/>
      <c r="Y123" s="320"/>
      <c r="Z123" s="282"/>
      <c r="AA123" s="282"/>
      <c r="AB123" s="320"/>
      <c r="AC123" s="320"/>
      <c r="AD123" s="320"/>
      <c r="AE123" s="320"/>
      <c r="AF123" s="320"/>
      <c r="AG123" s="320"/>
      <c r="AH123" s="320"/>
      <c r="AI123" s="320"/>
      <c r="AJ123" s="320"/>
      <c r="AK123" s="320"/>
      <c r="AL123" s="316"/>
      <c r="AM123" s="316"/>
      <c r="AN123" s="316"/>
      <c r="AO123" s="320"/>
      <c r="AP123" s="320"/>
      <c r="AQ123" s="320"/>
      <c r="AR123" s="320"/>
      <c r="AS123" s="320"/>
      <c r="AT123" s="320"/>
      <c r="AU123" s="320"/>
      <c r="AV123" s="320"/>
      <c r="AW123" s="320"/>
      <c r="AX123" s="320"/>
      <c r="AY123" s="316"/>
      <c r="AZ123" s="316"/>
      <c r="BA123" s="316"/>
      <c r="BB123" s="316"/>
      <c r="BC123" s="316"/>
      <c r="BD123" s="316"/>
      <c r="BE123" s="316"/>
      <c r="BF123" s="316"/>
      <c r="BG123" s="316"/>
    </row>
    <row r="124" spans="2:60" s="279" customFormat="1" ht="18.75" customHeight="1">
      <c r="B124" s="316"/>
      <c r="C124" s="320" t="s">
        <v>735</v>
      </c>
      <c r="D124" s="320"/>
      <c r="E124" s="320"/>
      <c r="F124" s="320"/>
      <c r="G124" s="320"/>
      <c r="H124" s="320"/>
      <c r="I124" s="320"/>
      <c r="J124" s="316"/>
      <c r="K124" s="316" t="s">
        <v>723</v>
      </c>
      <c r="L124" s="316">
        <f>AG84</f>
        <v>1</v>
      </c>
      <c r="M124" s="283" t="s">
        <v>505</v>
      </c>
      <c r="N124" s="512">
        <f>Y119</f>
        <v>0</v>
      </c>
      <c r="O124" s="512"/>
      <c r="P124" s="512"/>
      <c r="Q124" s="512">
        <f>AB119</f>
        <v>0</v>
      </c>
      <c r="R124" s="323" t="s">
        <v>736</v>
      </c>
      <c r="S124" s="275" t="s">
        <v>716</v>
      </c>
      <c r="T124" s="499">
        <f>AL84</f>
        <v>0</v>
      </c>
      <c r="U124" s="499"/>
      <c r="V124" s="499"/>
      <c r="W124" s="499">
        <f>Q124</f>
        <v>0</v>
      </c>
      <c r="X124" s="271"/>
      <c r="Y124" s="54"/>
      <c r="Z124" s="499"/>
      <c r="AA124" s="499"/>
      <c r="AB124" s="251"/>
      <c r="AC124" s="320"/>
      <c r="AD124" s="316"/>
      <c r="AE124" s="320"/>
      <c r="AF124" s="316"/>
      <c r="AG124" s="316"/>
      <c r="AH124" s="316"/>
      <c r="AI124" s="316"/>
      <c r="AJ124" s="316"/>
      <c r="AK124" s="320"/>
      <c r="AL124" s="316"/>
      <c r="AM124" s="316"/>
      <c r="AN124" s="316"/>
      <c r="AO124" s="320"/>
      <c r="AP124" s="320"/>
      <c r="AQ124" s="320"/>
      <c r="AR124" s="320"/>
      <c r="AS124" s="320"/>
      <c r="AT124" s="320"/>
      <c r="AU124" s="320"/>
      <c r="AV124" s="320"/>
      <c r="AW124" s="320"/>
      <c r="AX124" s="320"/>
      <c r="AY124" s="316"/>
      <c r="AZ124" s="316"/>
      <c r="BA124" s="316"/>
      <c r="BB124" s="316"/>
      <c r="BC124" s="316"/>
      <c r="BD124" s="316"/>
      <c r="BE124" s="316"/>
      <c r="BF124" s="316"/>
      <c r="BG124" s="316"/>
    </row>
    <row r="125" spans="2:60" s="279" customFormat="1" ht="18.75" customHeight="1">
      <c r="B125" s="316"/>
      <c r="C125" s="510" t="s">
        <v>737</v>
      </c>
      <c r="D125" s="510"/>
      <c r="E125" s="510"/>
      <c r="F125" s="510"/>
      <c r="G125" s="510"/>
      <c r="H125" s="320"/>
      <c r="J125" s="320"/>
      <c r="K125" s="320"/>
      <c r="L125" s="320"/>
      <c r="M125" s="320"/>
      <c r="N125" s="320"/>
      <c r="O125" s="320"/>
      <c r="P125" s="320"/>
      <c r="Q125" s="320"/>
      <c r="R125" s="320"/>
      <c r="S125" s="320"/>
      <c r="T125" s="320"/>
      <c r="U125" s="320"/>
      <c r="W125" s="320"/>
      <c r="X125" s="254" t="s">
        <v>507</v>
      </c>
      <c r="Y125" s="320"/>
      <c r="Z125" s="320"/>
      <c r="AA125" s="320"/>
      <c r="AB125" s="320"/>
      <c r="AC125" s="320"/>
      <c r="AD125" s="320"/>
      <c r="AE125" s="316"/>
      <c r="AF125" s="316"/>
      <c r="AG125" s="316"/>
      <c r="AH125" s="316"/>
      <c r="AI125" s="316"/>
      <c r="AJ125" s="316"/>
      <c r="AK125" s="316"/>
      <c r="AL125" s="316"/>
      <c r="AM125" s="316"/>
      <c r="AN125" s="316"/>
      <c r="AO125" s="316"/>
      <c r="AP125" s="316"/>
      <c r="AQ125" s="316"/>
      <c r="AR125" s="316"/>
      <c r="AS125" s="316"/>
      <c r="AT125" s="316"/>
      <c r="AU125" s="316"/>
      <c r="AV125" s="316"/>
      <c r="AW125" s="316"/>
      <c r="AX125" s="316"/>
      <c r="AY125" s="316"/>
      <c r="AZ125" s="316"/>
      <c r="BA125" s="316"/>
      <c r="BB125" s="316"/>
      <c r="BC125" s="316"/>
      <c r="BD125" s="316"/>
      <c r="BE125" s="316"/>
      <c r="BF125" s="316"/>
      <c r="BG125" s="316"/>
    </row>
    <row r="126" spans="2:60" s="279" customFormat="1" ht="18.75" customHeight="1">
      <c r="B126" s="316"/>
      <c r="C126" s="510"/>
      <c r="D126" s="510"/>
      <c r="E126" s="510"/>
      <c r="F126" s="510"/>
      <c r="G126" s="510"/>
      <c r="H126" s="320"/>
      <c r="I126" s="320"/>
      <c r="J126" s="320"/>
      <c r="K126" s="320"/>
      <c r="L126" s="320"/>
      <c r="M126" s="320"/>
      <c r="N126" s="320"/>
      <c r="O126" s="320"/>
      <c r="P126" s="320"/>
      <c r="Q126" s="320"/>
      <c r="R126" s="320"/>
      <c r="S126" s="320"/>
      <c r="T126" s="320"/>
      <c r="U126" s="320"/>
      <c r="V126" s="320"/>
      <c r="W126" s="320"/>
      <c r="X126" s="320"/>
      <c r="Y126" s="320"/>
      <c r="Z126" s="320"/>
      <c r="AA126" s="320"/>
      <c r="AB126" s="320"/>
      <c r="AC126" s="320"/>
      <c r="AD126" s="320"/>
      <c r="AE126" s="316"/>
      <c r="AF126" s="316"/>
      <c r="AG126" s="316"/>
      <c r="AH126" s="316"/>
      <c r="AI126" s="316"/>
      <c r="AJ126" s="316"/>
      <c r="AK126" s="316"/>
      <c r="AL126" s="316"/>
      <c r="AM126" s="316"/>
      <c r="AN126" s="316"/>
      <c r="AO126" s="316"/>
      <c r="AP126" s="316"/>
      <c r="AQ126" s="316"/>
      <c r="AR126" s="316"/>
      <c r="AS126" s="316"/>
      <c r="AT126" s="316"/>
      <c r="AU126" s="316"/>
      <c r="AV126" s="316"/>
      <c r="AW126" s="316"/>
      <c r="AX126" s="316"/>
      <c r="AY126" s="316"/>
      <c r="AZ126" s="316"/>
      <c r="BA126" s="316"/>
      <c r="BB126" s="316"/>
      <c r="BC126" s="316"/>
      <c r="BD126" s="316"/>
      <c r="BE126" s="316"/>
      <c r="BF126" s="316"/>
      <c r="BG126" s="316"/>
    </row>
    <row r="127" spans="2:60" s="279" customFormat="1" ht="18.75" customHeight="1">
      <c r="B127" s="316"/>
      <c r="C127" s="253"/>
      <c r="D127" s="320"/>
      <c r="E127" s="320"/>
      <c r="F127" s="320"/>
      <c r="G127" s="316"/>
      <c r="H127" s="320"/>
      <c r="I127" s="320"/>
      <c r="J127" s="320"/>
      <c r="K127" s="320"/>
      <c r="L127" s="320"/>
      <c r="M127" s="320"/>
      <c r="N127" s="320"/>
      <c r="O127" s="320"/>
      <c r="P127" s="320"/>
      <c r="Q127" s="320"/>
      <c r="R127" s="320"/>
      <c r="S127" s="320"/>
      <c r="T127" s="320"/>
      <c r="U127" s="320"/>
      <c r="V127" s="320"/>
      <c r="W127" s="320"/>
      <c r="X127" s="320"/>
      <c r="Y127" s="320"/>
      <c r="Z127" s="320"/>
      <c r="AA127" s="320"/>
      <c r="AB127" s="320"/>
      <c r="AC127" s="320"/>
      <c r="AD127" s="320"/>
      <c r="AE127" s="316"/>
      <c r="AF127" s="320"/>
      <c r="AG127" s="316"/>
      <c r="AH127" s="316"/>
      <c r="AI127" s="316"/>
      <c r="AJ127" s="316"/>
      <c r="AK127" s="316"/>
      <c r="AL127" s="316"/>
      <c r="AM127" s="316"/>
      <c r="AN127" s="316"/>
      <c r="AO127" s="316"/>
      <c r="AP127" s="316"/>
      <c r="AQ127" s="316"/>
      <c r="AR127" s="316"/>
      <c r="AS127" s="316"/>
      <c r="AT127" s="316"/>
      <c r="AU127" s="316"/>
      <c r="AV127" s="316"/>
      <c r="AW127" s="316"/>
      <c r="AX127" s="316"/>
      <c r="AY127" s="316"/>
      <c r="AZ127" s="316"/>
      <c r="BA127" s="316"/>
      <c r="BB127" s="316"/>
      <c r="BC127" s="316"/>
      <c r="BD127" s="316"/>
      <c r="BE127" s="316"/>
      <c r="BF127" s="316"/>
      <c r="BG127" s="316"/>
    </row>
    <row r="128" spans="2:60" s="279" customFormat="1" ht="18.75" customHeight="1">
      <c r="B128" s="253" t="s">
        <v>738</v>
      </c>
      <c r="D128" s="320"/>
      <c r="E128" s="320"/>
      <c r="F128" s="320"/>
      <c r="G128" s="316"/>
      <c r="H128" s="320"/>
      <c r="I128" s="320"/>
      <c r="J128" s="320"/>
      <c r="K128" s="320"/>
      <c r="L128" s="320"/>
      <c r="M128" s="320"/>
      <c r="N128" s="320"/>
      <c r="O128" s="320"/>
      <c r="P128" s="320"/>
      <c r="Q128" s="320"/>
      <c r="R128" s="320"/>
      <c r="S128" s="320"/>
      <c r="T128" s="320"/>
      <c r="U128" s="320"/>
      <c r="V128" s="320"/>
      <c r="W128" s="320"/>
      <c r="X128" s="320"/>
      <c r="Y128" s="320"/>
      <c r="Z128" s="320"/>
      <c r="AA128" s="320"/>
      <c r="AB128" s="320"/>
      <c r="AP128" s="316"/>
      <c r="AQ128" s="316"/>
      <c r="AR128" s="316"/>
      <c r="AS128" s="316"/>
      <c r="AT128" s="316"/>
      <c r="AU128" s="316"/>
      <c r="AV128" s="316"/>
      <c r="AW128" s="316"/>
      <c r="AX128" s="316"/>
      <c r="AY128" s="316"/>
      <c r="AZ128" s="316"/>
      <c r="BA128" s="316"/>
      <c r="BB128" s="316"/>
      <c r="BC128" s="316"/>
      <c r="BD128" s="316"/>
      <c r="BE128" s="316"/>
      <c r="BF128" s="316"/>
      <c r="BG128" s="316"/>
    </row>
    <row r="129" spans="2:59" s="279" customFormat="1" ht="18.75" customHeight="1">
      <c r="B129" s="316"/>
      <c r="C129" s="321" t="s">
        <v>739</v>
      </c>
      <c r="D129" s="316"/>
      <c r="E129" s="316"/>
      <c r="F129" s="316"/>
      <c r="G129" s="316"/>
      <c r="H129" s="509">
        <f>J85</f>
        <v>0</v>
      </c>
      <c r="I129" s="509"/>
      <c r="J129" s="509"/>
      <c r="K129" s="509"/>
      <c r="L129" s="509"/>
      <c r="M129" s="509"/>
      <c r="N129" s="509"/>
      <c r="O129" s="509"/>
      <c r="P129" s="271"/>
      <c r="Q129" s="320"/>
      <c r="R129" s="320"/>
      <c r="S129" s="320"/>
      <c r="T129" s="320"/>
      <c r="U129" s="320"/>
      <c r="AJ129" s="316"/>
      <c r="AK129" s="316"/>
      <c r="AL129" s="316"/>
      <c r="AM129" s="316"/>
      <c r="AN129" s="316"/>
      <c r="AO129" s="316"/>
      <c r="AP129" s="316"/>
      <c r="AQ129" s="316"/>
      <c r="AR129" s="316"/>
      <c r="AS129" s="320"/>
      <c r="AT129" s="320"/>
      <c r="AU129" s="320"/>
      <c r="AV129" s="320"/>
      <c r="AW129" s="320"/>
      <c r="AX129" s="320"/>
      <c r="AY129" s="316"/>
      <c r="AZ129" s="316"/>
      <c r="BA129" s="316"/>
      <c r="BB129" s="316"/>
      <c r="BC129" s="316"/>
      <c r="BD129" s="316"/>
      <c r="BE129" s="316"/>
      <c r="BF129" s="316"/>
      <c r="BG129" s="316"/>
    </row>
    <row r="130" spans="2:59" s="279" customFormat="1" ht="18.75" customHeight="1">
      <c r="B130" s="316"/>
      <c r="C130" s="320" t="s">
        <v>740</v>
      </c>
      <c r="D130" s="320"/>
      <c r="E130" s="320"/>
      <c r="F130" s="320"/>
      <c r="G130" s="320"/>
      <c r="H130" s="320"/>
      <c r="I130" s="316"/>
      <c r="J130" s="320" t="s">
        <v>741</v>
      </c>
      <c r="K130" s="320"/>
      <c r="L130" s="320"/>
      <c r="M130" s="320"/>
      <c r="N130" s="320"/>
      <c r="O130" s="320"/>
      <c r="T130" s="518">
        <f>Calcu!G70</f>
        <v>0</v>
      </c>
      <c r="U130" s="518"/>
      <c r="V130" s="518"/>
      <c r="W130" s="518"/>
      <c r="X130" s="518"/>
      <c r="Y130" s="284" t="s">
        <v>742</v>
      </c>
      <c r="AC130" s="320"/>
      <c r="AD130" s="320"/>
      <c r="AE130" s="320"/>
      <c r="AF130" s="316"/>
      <c r="AG130" s="316"/>
      <c r="AH130" s="316"/>
      <c r="AI130" s="316"/>
      <c r="AJ130" s="316"/>
      <c r="AK130" s="316"/>
      <c r="AL130" s="316"/>
      <c r="AM130" s="316"/>
      <c r="AN130" s="320"/>
      <c r="AO130" s="320"/>
      <c r="AP130" s="320"/>
      <c r="AQ130" s="320"/>
      <c r="AR130" s="320"/>
      <c r="AS130" s="320"/>
      <c r="AT130" s="320"/>
      <c r="AU130" s="320"/>
      <c r="AV130" s="320"/>
      <c r="AW130" s="320"/>
      <c r="AX130" s="320"/>
      <c r="AY130" s="316"/>
      <c r="AZ130" s="316"/>
      <c r="BA130" s="316"/>
      <c r="BB130" s="316"/>
      <c r="BC130" s="316"/>
      <c r="BD130" s="316"/>
      <c r="BE130" s="316"/>
      <c r="BF130" s="316"/>
      <c r="BG130" s="316"/>
    </row>
    <row r="131" spans="2:59" s="279" customFormat="1" ht="18.75" customHeight="1">
      <c r="B131" s="316"/>
      <c r="C131" s="320"/>
      <c r="D131" s="320"/>
      <c r="E131" s="320"/>
      <c r="F131" s="320"/>
      <c r="G131" s="320"/>
      <c r="H131" s="320"/>
      <c r="I131" s="316"/>
      <c r="J131" s="320" t="s">
        <v>743</v>
      </c>
      <c r="K131" s="496">
        <f>Calcu!G70</f>
        <v>0</v>
      </c>
      <c r="L131" s="496"/>
      <c r="M131" s="496"/>
      <c r="N131" s="496" t="str">
        <f>Calcu!I70</f>
        <v>μm/m</v>
      </c>
      <c r="O131" s="496"/>
      <c r="P131" s="496"/>
      <c r="Q131" s="327" t="s">
        <v>509</v>
      </c>
      <c r="R131" s="499">
        <f>Calcu!J70</f>
        <v>0</v>
      </c>
      <c r="S131" s="499"/>
      <c r="T131" s="499"/>
      <c r="U131" s="499"/>
      <c r="V131" s="331"/>
      <c r="W131" s="331"/>
      <c r="X131" s="331"/>
      <c r="Y131" s="284"/>
      <c r="AC131" s="320"/>
      <c r="AD131" s="320"/>
      <c r="AE131" s="320"/>
      <c r="AF131" s="316"/>
      <c r="AG131" s="316"/>
      <c r="AH131" s="316"/>
      <c r="AI131" s="316"/>
      <c r="AJ131" s="316"/>
      <c r="AK131" s="316"/>
      <c r="AL131" s="316"/>
      <c r="AM131" s="316"/>
      <c r="AN131" s="320"/>
      <c r="AO131" s="320"/>
      <c r="AP131" s="320"/>
      <c r="AQ131" s="320"/>
      <c r="AR131" s="320"/>
      <c r="AS131" s="320"/>
      <c r="AT131" s="320"/>
      <c r="AU131" s="320"/>
      <c r="AV131" s="320"/>
      <c r="AW131" s="320"/>
      <c r="AX131" s="320"/>
      <c r="AY131" s="316"/>
      <c r="AZ131" s="316"/>
      <c r="BA131" s="316"/>
      <c r="BB131" s="316"/>
      <c r="BC131" s="316"/>
      <c r="BD131" s="316"/>
      <c r="BE131" s="316"/>
      <c r="BF131" s="316"/>
      <c r="BG131" s="316"/>
    </row>
    <row r="132" spans="2:59" s="279" customFormat="1" ht="18.75" customHeight="1">
      <c r="B132" s="316"/>
      <c r="C132" s="320"/>
      <c r="D132" s="320"/>
      <c r="E132" s="320"/>
      <c r="F132" s="320"/>
      <c r="G132" s="320"/>
      <c r="H132" s="320"/>
      <c r="I132" s="320"/>
      <c r="K132" s="516" t="s">
        <v>744</v>
      </c>
      <c r="L132" s="516"/>
      <c r="M132" s="516"/>
      <c r="N132" s="517" t="s">
        <v>716</v>
      </c>
      <c r="O132" s="512">
        <f>R131</f>
        <v>0</v>
      </c>
      <c r="P132" s="512"/>
      <c r="Q132" s="512"/>
      <c r="R132" s="512"/>
      <c r="S132" s="517" t="s">
        <v>745</v>
      </c>
      <c r="T132" s="499">
        <f>S85</f>
        <v>0</v>
      </c>
      <c r="U132" s="499"/>
      <c r="V132" s="499"/>
      <c r="W132" s="499"/>
      <c r="X132" s="54"/>
      <c r="Y132" s="273"/>
      <c r="Z132" s="273"/>
      <c r="AA132" s="273"/>
      <c r="AB132" s="254"/>
      <c r="AC132" s="254"/>
      <c r="AD132" s="54"/>
      <c r="AE132" s="316"/>
      <c r="AF132" s="316"/>
      <c r="AG132" s="316"/>
      <c r="AH132" s="316"/>
      <c r="AI132" s="316"/>
      <c r="AJ132" s="316"/>
      <c r="AK132" s="316"/>
      <c r="AL132" s="316"/>
      <c r="AM132" s="320"/>
      <c r="AN132" s="320"/>
      <c r="AO132" s="320"/>
      <c r="AP132" s="320"/>
      <c r="AQ132" s="320"/>
      <c r="AR132" s="320"/>
      <c r="AS132" s="320"/>
      <c r="AT132" s="320"/>
      <c r="AU132" s="316"/>
      <c r="AV132" s="316"/>
      <c r="AW132" s="316"/>
      <c r="AX132" s="316"/>
      <c r="AY132" s="316"/>
      <c r="AZ132" s="316"/>
      <c r="BA132" s="316"/>
      <c r="BB132" s="316"/>
      <c r="BC132" s="316"/>
    </row>
    <row r="133" spans="2:59" s="279" customFormat="1" ht="18.75" customHeight="1">
      <c r="B133" s="316"/>
      <c r="C133" s="320"/>
      <c r="D133" s="320"/>
      <c r="E133" s="320"/>
      <c r="F133" s="320"/>
      <c r="G133" s="320"/>
      <c r="H133" s="320"/>
      <c r="I133" s="320"/>
      <c r="J133" s="280"/>
      <c r="K133" s="516"/>
      <c r="L133" s="516"/>
      <c r="M133" s="516"/>
      <c r="N133" s="517"/>
      <c r="O133" s="515"/>
      <c r="P133" s="515"/>
      <c r="Q133" s="515"/>
      <c r="R133" s="515"/>
      <c r="S133" s="517"/>
      <c r="T133" s="499"/>
      <c r="U133" s="499"/>
      <c r="V133" s="499"/>
      <c r="W133" s="499"/>
      <c r="X133" s="54"/>
      <c r="Y133" s="273"/>
      <c r="Z133" s="273"/>
      <c r="AA133" s="273"/>
      <c r="AB133" s="254"/>
      <c r="AC133" s="254"/>
      <c r="AD133" s="54"/>
      <c r="AE133" s="316"/>
      <c r="AF133" s="316"/>
      <c r="AG133" s="316"/>
      <c r="AH133" s="316"/>
      <c r="AI133" s="316"/>
      <c r="AJ133" s="316"/>
      <c r="AK133" s="316"/>
      <c r="AL133" s="316"/>
      <c r="AM133" s="320"/>
      <c r="AN133" s="320"/>
      <c r="AO133" s="320"/>
      <c r="AP133" s="320"/>
      <c r="AQ133" s="320"/>
      <c r="AR133" s="320"/>
      <c r="AS133" s="320"/>
      <c r="AT133" s="320"/>
      <c r="AU133" s="316"/>
      <c r="AV133" s="316"/>
      <c r="AW133" s="316"/>
      <c r="AX133" s="316"/>
      <c r="AY133" s="316"/>
      <c r="AZ133" s="316"/>
      <c r="BA133" s="316"/>
      <c r="BB133" s="316"/>
      <c r="BC133" s="316"/>
    </row>
    <row r="134" spans="2:59" s="279" customFormat="1" ht="18.75" customHeight="1">
      <c r="B134" s="316"/>
      <c r="C134" s="320" t="s">
        <v>747</v>
      </c>
      <c r="D134" s="320"/>
      <c r="E134" s="320"/>
      <c r="F134" s="320"/>
      <c r="G134" s="320"/>
      <c r="H134" s="320"/>
      <c r="I134" s="509" t="str">
        <f>AB85</f>
        <v>직사각형</v>
      </c>
      <c r="J134" s="509"/>
      <c r="K134" s="509"/>
      <c r="L134" s="509"/>
      <c r="M134" s="509"/>
      <c r="N134" s="509"/>
      <c r="O134" s="509"/>
      <c r="P134" s="509"/>
      <c r="Q134" s="320"/>
      <c r="R134" s="320"/>
      <c r="S134" s="320"/>
      <c r="T134" s="320"/>
      <c r="U134" s="320"/>
      <c r="V134" s="320"/>
      <c r="W134" s="320"/>
      <c r="X134" s="320"/>
      <c r="Y134" s="320"/>
      <c r="Z134" s="316"/>
      <c r="AA134" s="316"/>
      <c r="AB134" s="316"/>
      <c r="AC134" s="316"/>
      <c r="AD134" s="316"/>
      <c r="AE134" s="316"/>
      <c r="AF134" s="316"/>
      <c r="AG134" s="316"/>
      <c r="AH134" s="320"/>
      <c r="AI134" s="320"/>
      <c r="AJ134" s="320"/>
      <c r="AK134" s="320"/>
      <c r="AL134" s="320"/>
      <c r="AM134" s="320"/>
      <c r="AN134" s="320"/>
      <c r="AO134" s="320"/>
      <c r="AP134" s="320"/>
      <c r="AQ134" s="320"/>
      <c r="AR134" s="320"/>
      <c r="AS134" s="320"/>
      <c r="AT134" s="320"/>
      <c r="AU134" s="320"/>
      <c r="AV134" s="320"/>
      <c r="AW134" s="320"/>
      <c r="AX134" s="320"/>
      <c r="AY134" s="316"/>
      <c r="AZ134" s="316"/>
      <c r="BA134" s="316"/>
      <c r="BB134" s="316"/>
      <c r="BC134" s="316"/>
      <c r="BD134" s="316"/>
      <c r="BE134" s="316"/>
      <c r="BF134" s="316"/>
      <c r="BG134" s="316"/>
    </row>
    <row r="135" spans="2:59" s="279" customFormat="1" ht="18.75" customHeight="1">
      <c r="B135" s="316"/>
      <c r="C135" s="510" t="s">
        <v>748</v>
      </c>
      <c r="D135" s="510"/>
      <c r="E135" s="510"/>
      <c r="F135" s="510"/>
      <c r="G135" s="510"/>
      <c r="H135" s="510"/>
      <c r="I135" s="320"/>
      <c r="J135" s="320"/>
      <c r="K135" s="320"/>
      <c r="L135" s="320"/>
      <c r="M135" s="320"/>
      <c r="N135" s="320"/>
      <c r="O135" s="316"/>
      <c r="P135" s="281"/>
      <c r="Q135" s="281"/>
      <c r="R135" s="281"/>
      <c r="S135" s="320"/>
      <c r="T135" s="320"/>
      <c r="U135" s="320"/>
      <c r="V135" s="320"/>
      <c r="W135" s="320"/>
      <c r="X135" s="320"/>
      <c r="Y135" s="320"/>
      <c r="Z135" s="282"/>
      <c r="AA135" s="282"/>
      <c r="AB135" s="320"/>
      <c r="AC135" s="320"/>
      <c r="AD135" s="320"/>
      <c r="AE135" s="320"/>
      <c r="AF135" s="320"/>
      <c r="AG135" s="320"/>
      <c r="AH135" s="320"/>
      <c r="AI135" s="320"/>
      <c r="AJ135" s="320"/>
      <c r="AK135" s="320"/>
      <c r="AL135" s="316"/>
      <c r="AM135" s="316"/>
      <c r="AN135" s="316"/>
      <c r="AO135" s="320"/>
      <c r="AP135" s="320"/>
      <c r="AQ135" s="320"/>
      <c r="AR135" s="320"/>
      <c r="AS135" s="320"/>
      <c r="AT135" s="320"/>
      <c r="AU135" s="320"/>
      <c r="AV135" s="320"/>
      <c r="AW135" s="320"/>
      <c r="AX135" s="320"/>
      <c r="AY135" s="316"/>
      <c r="AZ135" s="316"/>
      <c r="BA135" s="316"/>
      <c r="BB135" s="316"/>
      <c r="BC135" s="316"/>
      <c r="BD135" s="316"/>
      <c r="BE135" s="316"/>
      <c r="BF135" s="316"/>
      <c r="BG135" s="316"/>
    </row>
    <row r="136" spans="2:59" s="279" customFormat="1" ht="18.75" customHeight="1">
      <c r="B136" s="316"/>
      <c r="C136" s="510"/>
      <c r="D136" s="510"/>
      <c r="E136" s="510"/>
      <c r="F136" s="510"/>
      <c r="G136" s="510"/>
      <c r="H136" s="510"/>
      <c r="I136" s="320"/>
      <c r="J136" s="320"/>
      <c r="K136" s="320"/>
      <c r="L136" s="320"/>
      <c r="M136" s="320"/>
      <c r="N136" s="320"/>
      <c r="O136" s="320"/>
      <c r="P136" s="281"/>
      <c r="Q136" s="281"/>
      <c r="R136" s="281"/>
      <c r="S136" s="320"/>
      <c r="T136" s="320"/>
      <c r="U136" s="320"/>
      <c r="V136" s="320"/>
      <c r="W136" s="320"/>
      <c r="X136" s="320"/>
      <c r="Y136" s="320"/>
      <c r="Z136" s="282"/>
      <c r="AA136" s="282"/>
      <c r="AB136" s="320"/>
      <c r="AC136" s="320"/>
      <c r="AD136" s="320"/>
      <c r="AE136" s="320"/>
      <c r="AF136" s="320"/>
      <c r="AG136" s="320"/>
      <c r="AH136" s="320"/>
      <c r="AI136" s="320"/>
      <c r="AJ136" s="320"/>
      <c r="AK136" s="320"/>
      <c r="AL136" s="316"/>
      <c r="AM136" s="316"/>
      <c r="AN136" s="316"/>
      <c r="AO136" s="320"/>
      <c r="AP136" s="320"/>
      <c r="AQ136" s="320"/>
      <c r="AR136" s="320"/>
      <c r="AS136" s="320"/>
      <c r="AT136" s="320"/>
      <c r="AU136" s="320"/>
      <c r="AV136" s="320"/>
      <c r="AW136" s="320"/>
      <c r="AX136" s="320"/>
      <c r="AY136" s="316"/>
      <c r="AZ136" s="316"/>
      <c r="BA136" s="316"/>
      <c r="BB136" s="316"/>
      <c r="BC136" s="316"/>
      <c r="BD136" s="316"/>
      <c r="BE136" s="316"/>
      <c r="BF136" s="316"/>
      <c r="BG136" s="316"/>
    </row>
    <row r="137" spans="2:59" s="279" customFormat="1" ht="18.75" customHeight="1">
      <c r="B137" s="316"/>
      <c r="C137" s="320" t="s">
        <v>749</v>
      </c>
      <c r="D137" s="320"/>
      <c r="E137" s="320"/>
      <c r="F137" s="320"/>
      <c r="G137" s="320"/>
      <c r="H137" s="320"/>
      <c r="I137" s="320"/>
      <c r="J137" s="316"/>
      <c r="K137" s="316" t="s">
        <v>723</v>
      </c>
      <c r="L137" s="316">
        <f>AG85</f>
        <v>1</v>
      </c>
      <c r="M137" s="283" t="s">
        <v>750</v>
      </c>
      <c r="N137" s="512">
        <f>T132</f>
        <v>0</v>
      </c>
      <c r="O137" s="512"/>
      <c r="P137" s="512"/>
      <c r="Q137" s="512">
        <f>W132</f>
        <v>0</v>
      </c>
      <c r="R137" s="323" t="s">
        <v>751</v>
      </c>
      <c r="S137" s="275" t="s">
        <v>509</v>
      </c>
      <c r="T137" s="499">
        <f>AL85</f>
        <v>0</v>
      </c>
      <c r="U137" s="499"/>
      <c r="V137" s="499"/>
      <c r="W137" s="499">
        <f>Q137</f>
        <v>0</v>
      </c>
      <c r="X137" s="271"/>
      <c r="Y137" s="54"/>
      <c r="Z137" s="499"/>
      <c r="AA137" s="499"/>
      <c r="AB137" s="251"/>
      <c r="AC137" s="320"/>
      <c r="AD137" s="316"/>
      <c r="AE137" s="320"/>
      <c r="AF137" s="316"/>
      <c r="AG137" s="316"/>
      <c r="AH137" s="316"/>
      <c r="AI137" s="316"/>
      <c r="AJ137" s="316"/>
      <c r="AK137" s="320"/>
      <c r="AL137" s="316"/>
      <c r="AM137" s="316"/>
      <c r="AN137" s="316"/>
      <c r="AO137" s="320"/>
      <c r="AP137" s="320"/>
      <c r="AQ137" s="320"/>
      <c r="AR137" s="320"/>
      <c r="AS137" s="320"/>
      <c r="AT137" s="320"/>
      <c r="AU137" s="320"/>
      <c r="AV137" s="320"/>
      <c r="AW137" s="320"/>
      <c r="AX137" s="320"/>
      <c r="AY137" s="316"/>
      <c r="AZ137" s="316"/>
      <c r="BA137" s="316"/>
      <c r="BB137" s="316"/>
      <c r="BC137" s="316"/>
      <c r="BD137" s="316"/>
      <c r="BE137" s="316"/>
      <c r="BF137" s="316"/>
      <c r="BG137" s="316"/>
    </row>
    <row r="138" spans="2:59" s="279" customFormat="1" ht="18.75" customHeight="1">
      <c r="B138" s="316"/>
      <c r="C138" s="510" t="s">
        <v>752</v>
      </c>
      <c r="D138" s="510"/>
      <c r="E138" s="510"/>
      <c r="F138" s="510"/>
      <c r="G138" s="510"/>
      <c r="H138" s="320"/>
      <c r="J138" s="320"/>
      <c r="K138" s="320"/>
      <c r="L138" s="320"/>
      <c r="M138" s="320"/>
      <c r="N138" s="320"/>
      <c r="O138" s="320"/>
      <c r="P138" s="320"/>
      <c r="Q138" s="320"/>
      <c r="R138" s="320"/>
      <c r="S138" s="320"/>
      <c r="T138" s="320"/>
      <c r="U138" s="320"/>
      <c r="W138" s="320"/>
      <c r="X138" s="254" t="s">
        <v>753</v>
      </c>
      <c r="Y138" s="320"/>
      <c r="Z138" s="320"/>
      <c r="AA138" s="320"/>
      <c r="AB138" s="320"/>
      <c r="AC138" s="320"/>
      <c r="AD138" s="320"/>
      <c r="AE138" s="316"/>
      <c r="AF138" s="316"/>
      <c r="AG138" s="316"/>
      <c r="AH138" s="316"/>
      <c r="AI138" s="316"/>
      <c r="AJ138" s="316"/>
      <c r="AK138" s="316"/>
      <c r="AL138" s="316"/>
      <c r="AM138" s="316"/>
      <c r="AN138" s="316"/>
      <c r="AO138" s="316"/>
      <c r="AP138" s="316"/>
      <c r="AQ138" s="316"/>
      <c r="AR138" s="316"/>
      <c r="AS138" s="316"/>
      <c r="AT138" s="316"/>
      <c r="AU138" s="316"/>
      <c r="AV138" s="316"/>
      <c r="AW138" s="316"/>
      <c r="AX138" s="316"/>
      <c r="AY138" s="316"/>
      <c r="AZ138" s="316"/>
      <c r="BA138" s="316"/>
      <c r="BB138" s="316"/>
      <c r="BC138" s="316"/>
      <c r="BD138" s="316"/>
      <c r="BE138" s="316"/>
      <c r="BF138" s="316"/>
      <c r="BG138" s="316"/>
    </row>
    <row r="139" spans="2:59" s="279" customFormat="1" ht="18.75" customHeight="1">
      <c r="B139" s="316"/>
      <c r="C139" s="510"/>
      <c r="D139" s="510"/>
      <c r="E139" s="510"/>
      <c r="F139" s="510"/>
      <c r="G139" s="510"/>
      <c r="H139" s="320"/>
      <c r="I139" s="320"/>
      <c r="J139" s="320"/>
      <c r="K139" s="320"/>
      <c r="L139" s="320"/>
      <c r="M139" s="320"/>
      <c r="N139" s="320"/>
      <c r="O139" s="320"/>
      <c r="P139" s="320"/>
      <c r="Q139" s="320"/>
      <c r="R139" s="320"/>
      <c r="S139" s="320"/>
      <c r="T139" s="320"/>
      <c r="U139" s="320"/>
      <c r="V139" s="320"/>
      <c r="W139" s="320"/>
      <c r="X139" s="320"/>
      <c r="Y139" s="320"/>
      <c r="Z139" s="320"/>
      <c r="AA139" s="320"/>
      <c r="AB139" s="320"/>
      <c r="AC139" s="320"/>
      <c r="AD139" s="320"/>
      <c r="AE139" s="316"/>
      <c r="AF139" s="316"/>
      <c r="AG139" s="316"/>
      <c r="AH139" s="316"/>
      <c r="AI139" s="316"/>
      <c r="AJ139" s="316"/>
      <c r="AK139" s="316"/>
      <c r="AL139" s="316"/>
      <c r="AM139" s="316"/>
      <c r="AN139" s="316"/>
      <c r="AO139" s="316"/>
      <c r="AP139" s="316"/>
      <c r="AQ139" s="316"/>
      <c r="AR139" s="316"/>
      <c r="AS139" s="316"/>
      <c r="AT139" s="316"/>
      <c r="AU139" s="316"/>
      <c r="AV139" s="316"/>
      <c r="AW139" s="316"/>
      <c r="AX139" s="316"/>
      <c r="AY139" s="316"/>
      <c r="AZ139" s="316"/>
      <c r="BA139" s="316"/>
      <c r="BB139" s="316"/>
      <c r="BC139" s="316"/>
      <c r="BD139" s="316"/>
      <c r="BE139" s="316"/>
      <c r="BF139" s="316"/>
      <c r="BG139" s="316"/>
    </row>
    <row r="140" spans="2:59" s="279" customFormat="1" ht="18.75" customHeight="1">
      <c r="B140" s="316"/>
      <c r="C140" s="253"/>
      <c r="D140" s="320"/>
      <c r="E140" s="320"/>
      <c r="F140" s="320"/>
      <c r="G140" s="316"/>
      <c r="H140" s="320"/>
      <c r="I140" s="320"/>
      <c r="J140" s="320"/>
      <c r="K140" s="320"/>
      <c r="L140" s="320"/>
      <c r="M140" s="320"/>
      <c r="N140" s="320"/>
      <c r="O140" s="320"/>
      <c r="P140" s="320"/>
      <c r="Q140" s="320"/>
      <c r="R140" s="320"/>
      <c r="S140" s="320"/>
      <c r="T140" s="320"/>
      <c r="U140" s="320"/>
      <c r="V140" s="320"/>
      <c r="W140" s="320"/>
      <c r="X140" s="320"/>
      <c r="Y140" s="320"/>
      <c r="Z140" s="320"/>
      <c r="AA140" s="320"/>
      <c r="AB140" s="320"/>
      <c r="AC140" s="320"/>
      <c r="AD140" s="320"/>
      <c r="AE140" s="316"/>
      <c r="AF140" s="320"/>
      <c r="AG140" s="316"/>
      <c r="AH140" s="316"/>
      <c r="AI140" s="316"/>
      <c r="AJ140" s="316"/>
      <c r="AK140" s="316"/>
      <c r="AL140" s="316"/>
      <c r="AM140" s="316"/>
      <c r="AN140" s="316"/>
      <c r="AO140" s="316"/>
      <c r="AP140" s="316"/>
      <c r="AQ140" s="316"/>
      <c r="AR140" s="316"/>
      <c r="AS140" s="316"/>
      <c r="AT140" s="316"/>
      <c r="AU140" s="316"/>
      <c r="AV140" s="316"/>
      <c r="AW140" s="316"/>
      <c r="AX140" s="316"/>
      <c r="AY140" s="316"/>
      <c r="AZ140" s="316"/>
      <c r="BA140" s="316"/>
      <c r="BB140" s="316"/>
      <c r="BC140" s="316"/>
      <c r="BD140" s="316"/>
      <c r="BE140" s="316"/>
      <c r="BF140" s="316"/>
      <c r="BG140" s="316"/>
    </row>
    <row r="141" spans="2:59" s="279" customFormat="1" ht="18.75" customHeight="1">
      <c r="B141" s="253" t="s">
        <v>754</v>
      </c>
      <c r="D141" s="320"/>
      <c r="E141" s="320"/>
      <c r="F141" s="320"/>
      <c r="G141" s="316"/>
      <c r="H141" s="320"/>
      <c r="I141" s="320"/>
      <c r="J141" s="320"/>
      <c r="K141" s="320"/>
      <c r="L141" s="320"/>
      <c r="M141" s="320"/>
      <c r="N141" s="320"/>
      <c r="O141" s="320"/>
      <c r="P141" s="320"/>
      <c r="Q141" s="320"/>
      <c r="R141" s="320"/>
      <c r="S141" s="320"/>
      <c r="T141" s="320"/>
      <c r="U141" s="320"/>
      <c r="V141" s="320"/>
      <c r="W141" s="320"/>
      <c r="X141" s="320"/>
      <c r="Y141" s="320"/>
      <c r="Z141" s="320"/>
      <c r="AA141" s="320"/>
      <c r="AB141" s="320"/>
      <c r="AP141" s="316"/>
      <c r="AQ141" s="316"/>
      <c r="AR141" s="316"/>
      <c r="AS141" s="316"/>
      <c r="AT141" s="316"/>
      <c r="AU141" s="316"/>
      <c r="AV141" s="316"/>
      <c r="AW141" s="316"/>
      <c r="AX141" s="316"/>
      <c r="AY141" s="316"/>
      <c r="AZ141" s="316"/>
      <c r="BA141" s="316"/>
      <c r="BB141" s="316"/>
      <c r="BC141" s="316"/>
      <c r="BD141" s="316"/>
      <c r="BE141" s="316"/>
      <c r="BF141" s="316"/>
      <c r="BG141" s="316"/>
    </row>
    <row r="142" spans="2:59" s="279" customFormat="1" ht="18.75" customHeight="1">
      <c r="B142" s="316"/>
      <c r="C142" s="321" t="s">
        <v>503</v>
      </c>
      <c r="D142" s="316"/>
      <c r="E142" s="316"/>
      <c r="F142" s="316"/>
      <c r="G142" s="316"/>
      <c r="H142" s="509">
        <f>J86</f>
        <v>0</v>
      </c>
      <c r="I142" s="509"/>
      <c r="J142" s="509"/>
      <c r="K142" s="509"/>
      <c r="L142" s="509"/>
      <c r="M142" s="509"/>
      <c r="N142" s="509"/>
      <c r="O142" s="509"/>
      <c r="P142" s="271"/>
      <c r="Q142" s="320"/>
      <c r="R142" s="320"/>
      <c r="S142" s="320"/>
      <c r="T142" s="320"/>
      <c r="U142" s="320"/>
      <c r="AJ142" s="316"/>
      <c r="AK142" s="316"/>
      <c r="AL142" s="316"/>
      <c r="AM142" s="316"/>
      <c r="AN142" s="316"/>
      <c r="AO142" s="316"/>
      <c r="AP142" s="316"/>
      <c r="AQ142" s="316"/>
      <c r="AR142" s="316"/>
      <c r="AS142" s="320"/>
      <c r="AT142" s="320"/>
      <c r="AU142" s="320"/>
      <c r="AV142" s="320"/>
      <c r="AW142" s="320"/>
      <c r="AX142" s="320"/>
      <c r="AY142" s="316"/>
      <c r="AZ142" s="316"/>
      <c r="BA142" s="316"/>
      <c r="BB142" s="316"/>
      <c r="BC142" s="316"/>
      <c r="BD142" s="316"/>
      <c r="BE142" s="316"/>
      <c r="BF142" s="316"/>
      <c r="BG142" s="316"/>
    </row>
    <row r="143" spans="2:59" s="279" customFormat="1" ht="18.75" customHeight="1">
      <c r="B143" s="316"/>
      <c r="C143" s="320" t="s">
        <v>755</v>
      </c>
      <c r="D143" s="320"/>
      <c r="E143" s="320"/>
      <c r="F143" s="320"/>
      <c r="G143" s="320"/>
      <c r="H143" s="320"/>
      <c r="I143" s="316"/>
      <c r="J143" s="320" t="s">
        <v>756</v>
      </c>
      <c r="K143" s="320"/>
      <c r="L143" s="320"/>
      <c r="M143" s="320"/>
      <c r="N143" s="320"/>
      <c r="O143" s="320"/>
      <c r="T143" s="285"/>
      <c r="U143" s="285"/>
      <c r="V143" s="285"/>
      <c r="W143" s="285"/>
      <c r="X143" s="285"/>
      <c r="Y143" s="284"/>
      <c r="AC143" s="519">
        <f>Calcu!G71</f>
        <v>0.2</v>
      </c>
      <c r="AD143" s="519"/>
      <c r="AE143" s="519"/>
      <c r="AF143" s="320" t="s">
        <v>757</v>
      </c>
      <c r="AG143" s="316"/>
      <c r="AH143" s="316"/>
      <c r="AI143" s="316"/>
      <c r="AJ143" s="316"/>
      <c r="AK143" s="316"/>
      <c r="AL143" s="316"/>
      <c r="AM143" s="316"/>
      <c r="AN143" s="320"/>
      <c r="AO143" s="320"/>
      <c r="AP143" s="320"/>
      <c r="AQ143" s="320"/>
      <c r="AR143" s="320"/>
      <c r="AS143" s="320"/>
      <c r="AT143" s="320"/>
      <c r="AU143" s="320"/>
      <c r="AV143" s="320"/>
      <c r="AW143" s="320"/>
      <c r="AX143" s="320"/>
      <c r="AY143" s="316"/>
      <c r="AZ143" s="316"/>
      <c r="BA143" s="316"/>
      <c r="BB143" s="316"/>
      <c r="BC143" s="316"/>
      <c r="BD143" s="316"/>
      <c r="BE143" s="316"/>
      <c r="BF143" s="316"/>
      <c r="BG143" s="316"/>
    </row>
    <row r="144" spans="2:59" s="279" customFormat="1" ht="18.75" customHeight="1">
      <c r="B144" s="316"/>
      <c r="C144" s="320"/>
      <c r="D144" s="320"/>
      <c r="E144" s="320"/>
      <c r="F144" s="320"/>
      <c r="G144" s="320"/>
      <c r="H144" s="320"/>
      <c r="I144" s="316"/>
      <c r="K144" s="320" t="s">
        <v>758</v>
      </c>
      <c r="L144" s="319"/>
      <c r="M144" s="319"/>
      <c r="N144" s="319"/>
      <c r="O144" s="319"/>
      <c r="P144" s="319"/>
      <c r="Q144" s="327"/>
      <c r="R144" s="286"/>
      <c r="S144" s="286"/>
      <c r="T144" s="286"/>
      <c r="U144" s="286"/>
      <c r="V144" s="331"/>
      <c r="W144" s="331"/>
      <c r="X144" s="331"/>
      <c r="Y144" s="284"/>
      <c r="AC144" s="320"/>
      <c r="AD144" s="320"/>
      <c r="AE144" s="320"/>
      <c r="AF144" s="316"/>
      <c r="AG144" s="316"/>
      <c r="AH144" s="316"/>
      <c r="AI144" s="316"/>
      <c r="AJ144" s="316"/>
      <c r="AK144" s="316"/>
      <c r="AL144" s="316"/>
      <c r="AM144" s="316"/>
      <c r="AN144" s="320"/>
      <c r="AO144" s="320"/>
      <c r="AP144" s="320"/>
      <c r="AQ144" s="320"/>
      <c r="AR144" s="320"/>
      <c r="AS144" s="320"/>
      <c r="AT144" s="320"/>
      <c r="AU144" s="320"/>
      <c r="AV144" s="320"/>
      <c r="AW144" s="320"/>
      <c r="AX144" s="320"/>
      <c r="AY144" s="316"/>
      <c r="AZ144" s="316"/>
      <c r="BA144" s="316"/>
      <c r="BB144" s="316"/>
      <c r="BC144" s="316"/>
      <c r="BD144" s="316"/>
      <c r="BE144" s="316"/>
      <c r="BF144" s="316"/>
      <c r="BG144" s="316"/>
    </row>
    <row r="145" spans="1:60" s="279" customFormat="1" ht="18.75" customHeight="1">
      <c r="B145" s="316"/>
      <c r="C145" s="320"/>
      <c r="D145" s="320"/>
      <c r="E145" s="320"/>
      <c r="F145" s="320"/>
      <c r="G145" s="320"/>
      <c r="H145" s="320"/>
      <c r="I145" s="316"/>
      <c r="K145" s="320" t="s">
        <v>759</v>
      </c>
      <c r="L145" s="319"/>
      <c r="M145" s="319"/>
      <c r="N145" s="319"/>
      <c r="O145" s="319"/>
      <c r="P145" s="319"/>
      <c r="Q145" s="327"/>
      <c r="R145" s="286"/>
      <c r="S145" s="286"/>
      <c r="T145" s="286"/>
      <c r="U145" s="286"/>
      <c r="V145" s="331"/>
      <c r="W145" s="331"/>
      <c r="X145" s="331"/>
      <c r="Y145" s="284"/>
      <c r="AC145" s="320"/>
      <c r="AD145" s="320"/>
      <c r="AE145" s="320"/>
      <c r="AF145" s="316"/>
      <c r="AG145" s="316"/>
      <c r="AH145" s="316"/>
      <c r="AI145" s="316"/>
      <c r="AJ145" s="316"/>
      <c r="AK145" s="316"/>
      <c r="AL145" s="316"/>
      <c r="AM145" s="316"/>
      <c r="AN145" s="320"/>
      <c r="AO145" s="320"/>
      <c r="AP145" s="320"/>
      <c r="AQ145" s="320"/>
      <c r="AR145" s="320"/>
      <c r="AS145" s="320"/>
      <c r="AT145" s="320"/>
      <c r="AU145" s="320"/>
      <c r="AV145" s="320"/>
      <c r="AW145" s="320"/>
      <c r="AX145" s="320"/>
      <c r="AY145" s="316"/>
      <c r="AZ145" s="316"/>
      <c r="BA145" s="316"/>
      <c r="BB145" s="316"/>
      <c r="BC145" s="316"/>
      <c r="BD145" s="316"/>
      <c r="BE145" s="316"/>
      <c r="BF145" s="316"/>
      <c r="BG145" s="316"/>
    </row>
    <row r="146" spans="1:60" s="279" customFormat="1" ht="18.75" customHeight="1">
      <c r="B146" s="316"/>
      <c r="C146" s="320"/>
      <c r="D146" s="320"/>
      <c r="E146" s="320"/>
      <c r="F146" s="320"/>
      <c r="G146" s="320"/>
      <c r="H146" s="320"/>
      <c r="I146" s="320"/>
      <c r="K146" s="516" t="s">
        <v>760</v>
      </c>
      <c r="L146" s="516"/>
      <c r="M146" s="516"/>
      <c r="N146" s="517" t="s">
        <v>761</v>
      </c>
      <c r="O146" s="519">
        <f>AC143</f>
        <v>0.2</v>
      </c>
      <c r="P146" s="519"/>
      <c r="Q146" s="519"/>
      <c r="R146" s="519"/>
      <c r="S146" s="517" t="s">
        <v>762</v>
      </c>
      <c r="T146" s="499">
        <f>S86</f>
        <v>5.7735026918962581E-2</v>
      </c>
      <c r="U146" s="499"/>
      <c r="V146" s="499"/>
      <c r="W146" s="499"/>
      <c r="X146" s="54"/>
      <c r="Y146" s="273"/>
      <c r="Z146" s="273"/>
      <c r="AA146" s="273"/>
      <c r="AB146" s="254"/>
      <c r="AC146" s="254"/>
      <c r="AD146" s="54"/>
      <c r="AE146" s="316"/>
      <c r="AF146" s="316"/>
      <c r="AG146" s="316"/>
      <c r="AH146" s="316"/>
      <c r="AI146" s="316"/>
      <c r="AJ146" s="316"/>
      <c r="AK146" s="316"/>
      <c r="AL146" s="316"/>
      <c r="AM146" s="320"/>
      <c r="AN146" s="320"/>
      <c r="AO146" s="320"/>
      <c r="AP146" s="320"/>
      <c r="AQ146" s="320"/>
      <c r="AR146" s="320"/>
      <c r="AS146" s="320"/>
      <c r="AT146" s="320"/>
      <c r="AU146" s="316"/>
      <c r="AV146" s="316"/>
      <c r="AW146" s="316"/>
      <c r="AX146" s="316"/>
      <c r="AY146" s="316"/>
      <c r="AZ146" s="316"/>
      <c r="BA146" s="316"/>
      <c r="BB146" s="316"/>
      <c r="BC146" s="316"/>
    </row>
    <row r="147" spans="1:60" s="279" customFormat="1" ht="18.75" customHeight="1">
      <c r="B147" s="316"/>
      <c r="C147" s="320"/>
      <c r="D147" s="320"/>
      <c r="E147" s="320"/>
      <c r="F147" s="320"/>
      <c r="G147" s="320"/>
      <c r="H147" s="320"/>
      <c r="I147" s="320"/>
      <c r="K147" s="516"/>
      <c r="L147" s="516"/>
      <c r="M147" s="516"/>
      <c r="N147" s="517"/>
      <c r="O147" s="515"/>
      <c r="P147" s="515"/>
      <c r="Q147" s="515"/>
      <c r="R147" s="515"/>
      <c r="S147" s="517"/>
      <c r="T147" s="499"/>
      <c r="U147" s="499"/>
      <c r="V147" s="499"/>
      <c r="W147" s="499"/>
      <c r="X147" s="54"/>
      <c r="Y147" s="273"/>
      <c r="Z147" s="273"/>
      <c r="AA147" s="273"/>
      <c r="AB147" s="254"/>
      <c r="AC147" s="254"/>
      <c r="AD147" s="54"/>
      <c r="AE147" s="316"/>
      <c r="AF147" s="316"/>
      <c r="AG147" s="316"/>
      <c r="AH147" s="316"/>
      <c r="AI147" s="316"/>
      <c r="AJ147" s="316"/>
      <c r="AK147" s="316"/>
      <c r="AL147" s="316"/>
      <c r="AM147" s="320"/>
      <c r="AN147" s="320"/>
      <c r="AO147" s="320"/>
      <c r="AP147" s="320"/>
      <c r="AQ147" s="320"/>
      <c r="AR147" s="320"/>
      <c r="AS147" s="320"/>
      <c r="AT147" s="320"/>
      <c r="AU147" s="316"/>
      <c r="AV147" s="316"/>
      <c r="AW147" s="316"/>
      <c r="AX147" s="316"/>
      <c r="AY147" s="316"/>
      <c r="AZ147" s="316"/>
      <c r="BA147" s="316"/>
      <c r="BB147" s="316"/>
      <c r="BC147" s="316"/>
    </row>
    <row r="148" spans="1:60" s="279" customFormat="1" ht="18.75" customHeight="1">
      <c r="B148" s="316"/>
      <c r="C148" s="320" t="s">
        <v>763</v>
      </c>
      <c r="D148" s="320"/>
      <c r="E148" s="320"/>
      <c r="F148" s="320"/>
      <c r="G148" s="320"/>
      <c r="H148" s="320"/>
      <c r="I148" s="509" t="str">
        <f>AB86</f>
        <v>직사각형</v>
      </c>
      <c r="J148" s="509"/>
      <c r="K148" s="509"/>
      <c r="L148" s="509"/>
      <c r="M148" s="509"/>
      <c r="N148" s="509"/>
      <c r="O148" s="509"/>
      <c r="P148" s="509"/>
      <c r="Q148" s="320"/>
      <c r="R148" s="320"/>
      <c r="S148" s="320"/>
      <c r="T148" s="320"/>
      <c r="U148" s="320"/>
      <c r="V148" s="320"/>
      <c r="W148" s="320"/>
      <c r="X148" s="320"/>
      <c r="Y148" s="320"/>
      <c r="Z148" s="316"/>
      <c r="AA148" s="316"/>
      <c r="AB148" s="316"/>
      <c r="AC148" s="316"/>
      <c r="AD148" s="316"/>
      <c r="AE148" s="316"/>
      <c r="AF148" s="316"/>
      <c r="AG148" s="316"/>
      <c r="AH148" s="320"/>
      <c r="AI148" s="320"/>
      <c r="AJ148" s="320"/>
      <c r="AK148" s="320"/>
      <c r="AL148" s="320"/>
      <c r="AM148" s="320"/>
      <c r="AN148" s="320"/>
      <c r="AO148" s="320"/>
      <c r="AP148" s="320"/>
      <c r="AQ148" s="320"/>
      <c r="AR148" s="320"/>
      <c r="AS148" s="320"/>
      <c r="AT148" s="320"/>
      <c r="AU148" s="320"/>
      <c r="AV148" s="320"/>
      <c r="AW148" s="320"/>
      <c r="AX148" s="320"/>
      <c r="AY148" s="316"/>
      <c r="AZ148" s="316"/>
      <c r="BA148" s="316"/>
      <c r="BB148" s="316"/>
      <c r="BC148" s="316"/>
      <c r="BD148" s="316"/>
      <c r="BE148" s="316"/>
      <c r="BF148" s="316"/>
      <c r="BG148" s="316"/>
    </row>
    <row r="149" spans="1:60" s="279" customFormat="1" ht="18.75" customHeight="1">
      <c r="B149" s="316"/>
      <c r="C149" s="510" t="s">
        <v>764</v>
      </c>
      <c r="D149" s="510"/>
      <c r="E149" s="510"/>
      <c r="F149" s="510"/>
      <c r="G149" s="510"/>
      <c r="H149" s="510"/>
      <c r="I149" s="320"/>
      <c r="J149" s="320"/>
      <c r="K149" s="320"/>
      <c r="L149" s="320"/>
      <c r="M149" s="320"/>
      <c r="N149" s="320"/>
      <c r="O149" s="316"/>
      <c r="P149" s="281"/>
      <c r="Q149" s="281"/>
      <c r="R149" s="281"/>
      <c r="S149" s="320"/>
      <c r="T149" s="320"/>
      <c r="U149" s="320"/>
      <c r="V149" s="320"/>
      <c r="W149" s="320"/>
      <c r="X149" s="320"/>
      <c r="Y149" s="320"/>
      <c r="Z149" s="282"/>
      <c r="AA149" s="282"/>
      <c r="AB149" s="320"/>
      <c r="AC149" s="320"/>
      <c r="AD149" s="320"/>
      <c r="AE149" s="320"/>
      <c r="AF149" s="320"/>
      <c r="AG149" s="320"/>
      <c r="AH149" s="320"/>
      <c r="AI149" s="320"/>
      <c r="AJ149" s="320"/>
      <c r="AK149" s="320"/>
      <c r="AL149" s="316"/>
      <c r="AM149" s="316"/>
      <c r="AN149" s="316"/>
      <c r="AO149" s="320"/>
      <c r="AP149" s="320"/>
      <c r="AQ149" s="320"/>
      <c r="AR149" s="320"/>
      <c r="AS149" s="320"/>
      <c r="AT149" s="320"/>
      <c r="AU149" s="320"/>
      <c r="AV149" s="320"/>
      <c r="AW149" s="320"/>
      <c r="AX149" s="320"/>
      <c r="AY149" s="316"/>
      <c r="AZ149" s="316"/>
      <c r="BA149" s="316"/>
      <c r="BB149" s="316"/>
      <c r="BC149" s="316"/>
      <c r="BD149" s="316"/>
      <c r="BE149" s="316"/>
      <c r="BF149" s="316"/>
      <c r="BG149" s="316"/>
    </row>
    <row r="150" spans="1:60" s="279" customFormat="1" ht="18.75" customHeight="1">
      <c r="B150" s="316"/>
      <c r="C150" s="510"/>
      <c r="D150" s="510"/>
      <c r="E150" s="510"/>
      <c r="F150" s="510"/>
      <c r="G150" s="510"/>
      <c r="H150" s="510"/>
      <c r="I150" s="320"/>
      <c r="J150" s="320"/>
      <c r="K150" s="320"/>
      <c r="L150" s="320"/>
      <c r="M150" s="320"/>
      <c r="N150" s="320"/>
      <c r="O150" s="320"/>
      <c r="P150" s="281"/>
      <c r="Q150" s="281"/>
      <c r="R150" s="281"/>
      <c r="S150" s="320"/>
      <c r="T150" s="320"/>
      <c r="U150" s="320"/>
      <c r="V150" s="320"/>
      <c r="W150" s="320"/>
      <c r="X150" s="320"/>
      <c r="Y150" s="320"/>
      <c r="Z150" s="282"/>
      <c r="AA150" s="282"/>
      <c r="AB150" s="320"/>
      <c r="AC150" s="320"/>
      <c r="AD150" s="320"/>
      <c r="AE150" s="320"/>
      <c r="AF150" s="320"/>
      <c r="AG150" s="320"/>
      <c r="AH150" s="320"/>
      <c r="AI150" s="320"/>
      <c r="AJ150" s="320"/>
      <c r="AK150" s="320"/>
      <c r="AL150" s="316"/>
      <c r="AM150" s="316"/>
      <c r="AN150" s="316"/>
      <c r="AO150" s="320"/>
      <c r="AP150" s="320"/>
      <c r="AQ150" s="320"/>
      <c r="AR150" s="320"/>
      <c r="AS150" s="320"/>
      <c r="AT150" s="320"/>
      <c r="AU150" s="320"/>
      <c r="AV150" s="320"/>
      <c r="AW150" s="320"/>
      <c r="AX150" s="320"/>
      <c r="AY150" s="316"/>
      <c r="AZ150" s="316"/>
      <c r="BA150" s="316"/>
      <c r="BB150" s="316"/>
      <c r="BC150" s="316"/>
      <c r="BD150" s="316"/>
      <c r="BE150" s="316"/>
      <c r="BF150" s="316"/>
      <c r="BG150" s="316"/>
    </row>
    <row r="151" spans="1:60" s="279" customFormat="1" ht="18.75" customHeight="1">
      <c r="B151" s="316"/>
      <c r="C151" s="320" t="s">
        <v>765</v>
      </c>
      <c r="D151" s="320"/>
      <c r="E151" s="320"/>
      <c r="F151" s="320"/>
      <c r="G151" s="320"/>
      <c r="H151" s="320"/>
      <c r="I151" s="320"/>
      <c r="J151" s="316"/>
      <c r="K151" s="316" t="s">
        <v>751</v>
      </c>
      <c r="L151" s="316">
        <f>AG86</f>
        <v>1</v>
      </c>
      <c r="M151" s="283" t="s">
        <v>750</v>
      </c>
      <c r="N151" s="512">
        <f>T146</f>
        <v>5.7735026918962581E-2</v>
      </c>
      <c r="O151" s="512"/>
      <c r="P151" s="512"/>
      <c r="Q151" s="512">
        <f>W146</f>
        <v>0</v>
      </c>
      <c r="R151" s="323" t="s">
        <v>766</v>
      </c>
      <c r="S151" s="275" t="s">
        <v>745</v>
      </c>
      <c r="T151" s="499">
        <f>AL86</f>
        <v>5.7735026918962581E-2</v>
      </c>
      <c r="U151" s="499"/>
      <c r="V151" s="499"/>
      <c r="W151" s="499">
        <f>Q151</f>
        <v>0</v>
      </c>
      <c r="X151" s="271"/>
      <c r="Y151" s="54"/>
      <c r="Z151" s="499"/>
      <c r="AA151" s="499"/>
      <c r="AB151" s="251"/>
      <c r="AC151" s="320"/>
      <c r="AD151" s="316"/>
      <c r="AE151" s="320"/>
      <c r="AF151" s="316"/>
      <c r="AG151" s="316"/>
      <c r="AH151" s="316"/>
      <c r="AI151" s="316"/>
      <c r="AJ151" s="316"/>
      <c r="AK151" s="320"/>
      <c r="AL151" s="316"/>
      <c r="AM151" s="316"/>
      <c r="AN151" s="316"/>
      <c r="AO151" s="320"/>
      <c r="AP151" s="320"/>
      <c r="AQ151" s="320"/>
      <c r="AR151" s="320"/>
      <c r="AS151" s="320"/>
      <c r="AT151" s="320"/>
      <c r="AU151" s="320"/>
      <c r="AV151" s="320"/>
      <c r="AW151" s="320"/>
      <c r="AX151" s="320"/>
      <c r="AY151" s="316"/>
      <c r="AZ151" s="316"/>
      <c r="BA151" s="316"/>
      <c r="BB151" s="316"/>
      <c r="BC151" s="316"/>
      <c r="BD151" s="316"/>
      <c r="BE151" s="316"/>
      <c r="BF151" s="316"/>
      <c r="BG151" s="316"/>
    </row>
    <row r="152" spans="1:60" s="279" customFormat="1" ht="18.75" customHeight="1">
      <c r="B152" s="316"/>
      <c r="C152" s="510" t="s">
        <v>767</v>
      </c>
      <c r="D152" s="510"/>
      <c r="E152" s="510"/>
      <c r="F152" s="510"/>
      <c r="G152" s="510"/>
      <c r="H152" s="320"/>
      <c r="J152" s="320"/>
      <c r="K152" s="320"/>
      <c r="L152" s="320"/>
      <c r="M152" s="320"/>
      <c r="N152" s="320"/>
      <c r="O152" s="320"/>
      <c r="P152" s="320"/>
      <c r="Q152" s="320"/>
      <c r="R152" s="320"/>
      <c r="S152" s="320"/>
      <c r="T152" s="320"/>
      <c r="U152" s="320"/>
      <c r="W152" s="320"/>
      <c r="X152" s="254" t="s">
        <v>768</v>
      </c>
      <c r="Y152" s="320"/>
      <c r="Z152" s="320"/>
      <c r="AA152" s="320"/>
      <c r="AB152" s="320"/>
      <c r="AC152" s="320"/>
      <c r="AD152" s="320"/>
      <c r="AE152" s="316"/>
      <c r="AF152" s="316"/>
      <c r="AG152" s="316"/>
      <c r="AH152" s="316"/>
      <c r="AI152" s="316"/>
      <c r="AJ152" s="316"/>
      <c r="AK152" s="316"/>
      <c r="AL152" s="316"/>
      <c r="AM152" s="316"/>
      <c r="AN152" s="316"/>
      <c r="AO152" s="316"/>
      <c r="AP152" s="316"/>
      <c r="AQ152" s="316"/>
      <c r="AR152" s="316"/>
      <c r="AS152" s="316"/>
      <c r="AT152" s="316"/>
      <c r="AU152" s="316"/>
      <c r="AV152" s="316"/>
      <c r="AW152" s="316"/>
      <c r="AX152" s="316"/>
      <c r="AY152" s="316"/>
      <c r="AZ152" s="316"/>
      <c r="BA152" s="316"/>
      <c r="BB152" s="316"/>
      <c r="BC152" s="316"/>
      <c r="BD152" s="316"/>
      <c r="BE152" s="316"/>
      <c r="BF152" s="316"/>
      <c r="BG152" s="316"/>
    </row>
    <row r="153" spans="1:60" s="279" customFormat="1" ht="18.75" customHeight="1">
      <c r="B153" s="316"/>
      <c r="C153" s="510"/>
      <c r="D153" s="510"/>
      <c r="E153" s="510"/>
      <c r="F153" s="510"/>
      <c r="G153" s="510"/>
      <c r="H153" s="320"/>
      <c r="I153" s="320"/>
      <c r="J153" s="320"/>
      <c r="K153" s="320"/>
      <c r="L153" s="320"/>
      <c r="M153" s="320"/>
      <c r="N153" s="320"/>
      <c r="O153" s="320"/>
      <c r="P153" s="320"/>
      <c r="Q153" s="320"/>
      <c r="R153" s="320"/>
      <c r="S153" s="320"/>
      <c r="T153" s="320"/>
      <c r="U153" s="320"/>
      <c r="V153" s="320"/>
      <c r="W153" s="320"/>
      <c r="X153" s="320"/>
      <c r="Y153" s="320"/>
      <c r="Z153" s="320"/>
      <c r="AA153" s="320"/>
      <c r="AB153" s="320"/>
      <c r="AC153" s="320"/>
      <c r="AD153" s="320"/>
      <c r="AE153" s="316"/>
      <c r="AF153" s="316"/>
      <c r="AG153" s="316"/>
      <c r="AH153" s="316"/>
      <c r="AI153" s="316"/>
      <c r="AJ153" s="316"/>
      <c r="AK153" s="316"/>
      <c r="AL153" s="316"/>
      <c r="AM153" s="316"/>
      <c r="AN153" s="316"/>
      <c r="AO153" s="316"/>
      <c r="AP153" s="316"/>
      <c r="AQ153" s="316"/>
      <c r="AR153" s="316"/>
      <c r="AS153" s="316"/>
      <c r="AT153" s="316"/>
      <c r="AU153" s="316"/>
      <c r="AV153" s="316"/>
      <c r="AW153" s="316"/>
      <c r="AX153" s="316"/>
      <c r="AY153" s="316"/>
      <c r="AZ153" s="316"/>
      <c r="BA153" s="316"/>
      <c r="BB153" s="316"/>
      <c r="BC153" s="316"/>
      <c r="BD153" s="316"/>
      <c r="BE153" s="316"/>
      <c r="BF153" s="316"/>
      <c r="BG153" s="316"/>
    </row>
    <row r="154" spans="1:60" s="279" customFormat="1" ht="18.75" customHeight="1">
      <c r="B154" s="316"/>
      <c r="C154" s="253"/>
      <c r="D154" s="320"/>
      <c r="E154" s="320"/>
      <c r="F154" s="320"/>
      <c r="G154" s="316"/>
      <c r="H154" s="320"/>
      <c r="I154" s="320"/>
      <c r="J154" s="320"/>
      <c r="K154" s="320"/>
      <c r="L154" s="320"/>
      <c r="M154" s="320"/>
      <c r="N154" s="320"/>
      <c r="O154" s="320"/>
      <c r="P154" s="320"/>
      <c r="Q154" s="320"/>
      <c r="R154" s="320"/>
      <c r="S154" s="320"/>
      <c r="T154" s="320"/>
      <c r="U154" s="320"/>
      <c r="V154" s="320"/>
      <c r="W154" s="320"/>
      <c r="X154" s="320"/>
      <c r="Y154" s="320"/>
      <c r="Z154" s="320"/>
      <c r="AA154" s="320"/>
      <c r="AB154" s="320"/>
      <c r="AC154" s="320"/>
      <c r="AD154" s="320"/>
      <c r="AE154" s="316"/>
      <c r="AF154" s="320"/>
      <c r="AG154" s="316"/>
      <c r="AH154" s="316"/>
      <c r="AI154" s="316"/>
      <c r="AJ154" s="316"/>
      <c r="AK154" s="316"/>
      <c r="AL154" s="316"/>
      <c r="AM154" s="316"/>
      <c r="AN154" s="316"/>
      <c r="AO154" s="316"/>
      <c r="AP154" s="316"/>
      <c r="AQ154" s="316"/>
      <c r="AR154" s="316"/>
      <c r="AS154" s="316"/>
      <c r="AT154" s="316"/>
      <c r="AU154" s="316"/>
      <c r="AV154" s="316"/>
      <c r="AW154" s="316"/>
      <c r="AX154" s="316"/>
      <c r="AY154" s="316"/>
      <c r="AZ154" s="316"/>
      <c r="BA154" s="316"/>
      <c r="BB154" s="316"/>
      <c r="BC154" s="316"/>
      <c r="BD154" s="316"/>
      <c r="BE154" s="316"/>
      <c r="BF154" s="316"/>
      <c r="BG154" s="316"/>
    </row>
    <row r="155" spans="1:60" s="279" customFormat="1" ht="18.75" customHeight="1">
      <c r="A155" s="253" t="s">
        <v>769</v>
      </c>
      <c r="B155" s="316"/>
      <c r="C155" s="316"/>
      <c r="D155" s="316"/>
      <c r="E155" s="316"/>
      <c r="F155" s="316"/>
      <c r="G155" s="316"/>
      <c r="H155" s="316"/>
      <c r="I155" s="316"/>
      <c r="J155" s="316"/>
      <c r="K155" s="316"/>
      <c r="L155" s="316"/>
      <c r="M155" s="316"/>
      <c r="N155" s="316"/>
      <c r="O155" s="316"/>
      <c r="P155" s="316"/>
      <c r="Q155" s="316"/>
      <c r="R155" s="316"/>
      <c r="S155" s="316"/>
      <c r="T155" s="316"/>
      <c r="U155" s="316"/>
      <c r="V155" s="316"/>
      <c r="W155" s="316"/>
      <c r="X155" s="316"/>
      <c r="Y155" s="316"/>
      <c r="Z155" s="316"/>
      <c r="AA155" s="316"/>
      <c r="AB155" s="316"/>
      <c r="AC155" s="316"/>
      <c r="AD155" s="316"/>
      <c r="AE155" s="316"/>
      <c r="AF155" s="316"/>
      <c r="AG155" s="316"/>
      <c r="AH155" s="316"/>
      <c r="AI155" s="316"/>
      <c r="AJ155" s="316"/>
      <c r="AK155" s="316"/>
      <c r="AL155" s="316"/>
      <c r="AM155" s="316"/>
      <c r="AN155" s="316"/>
      <c r="AO155" s="316"/>
      <c r="AP155" s="316"/>
      <c r="AQ155" s="316"/>
      <c r="AR155" s="316"/>
      <c r="AS155" s="316"/>
      <c r="AT155" s="316"/>
      <c r="AU155" s="316"/>
      <c r="AV155" s="316"/>
      <c r="AW155" s="316"/>
      <c r="AX155" s="316"/>
      <c r="AY155" s="316"/>
      <c r="AZ155" s="316"/>
      <c r="BA155" s="316"/>
      <c r="BB155" s="316"/>
      <c r="BC155" s="316"/>
      <c r="BD155" s="316"/>
      <c r="BE155" s="316"/>
      <c r="BF155" s="316"/>
    </row>
    <row r="156" spans="1:60" s="279" customFormat="1" ht="18.75" customHeight="1">
      <c r="A156" s="316"/>
      <c r="B156" s="316"/>
      <c r="C156" s="316"/>
      <c r="D156" s="316"/>
      <c r="E156" s="316"/>
      <c r="F156" s="316"/>
      <c r="G156" s="316"/>
      <c r="H156" s="316"/>
      <c r="I156" s="316"/>
      <c r="J156" s="316"/>
      <c r="K156" s="316"/>
      <c r="L156" s="316"/>
      <c r="M156" s="316"/>
      <c r="N156" s="316"/>
      <c r="O156" s="316"/>
      <c r="P156" s="316"/>
      <c r="Q156" s="316"/>
      <c r="R156" s="316"/>
      <c r="S156" s="316"/>
      <c r="T156" s="316"/>
      <c r="U156" s="316"/>
      <c r="V156" s="316"/>
      <c r="W156" s="316"/>
      <c r="X156" s="316"/>
      <c r="Y156" s="316"/>
      <c r="Z156" s="316"/>
      <c r="AA156" s="316"/>
      <c r="AB156" s="316"/>
      <c r="AC156" s="316"/>
      <c r="AD156" s="316"/>
      <c r="AE156" s="320"/>
      <c r="AF156" s="316"/>
      <c r="AG156" s="316"/>
      <c r="AH156" s="316"/>
      <c r="AI156" s="316"/>
      <c r="AJ156" s="316"/>
      <c r="AK156" s="316"/>
      <c r="AL156" s="316"/>
      <c r="AM156" s="316"/>
      <c r="AN156" s="316"/>
      <c r="AO156" s="316"/>
      <c r="AP156" s="316"/>
      <c r="AQ156" s="316"/>
      <c r="AR156" s="316"/>
      <c r="AS156" s="316"/>
      <c r="AT156" s="316"/>
      <c r="AU156" s="316"/>
      <c r="AV156" s="316"/>
      <c r="AW156" s="316"/>
      <c r="AX156" s="316"/>
      <c r="AY156" s="316"/>
      <c r="AZ156" s="316"/>
      <c r="BA156" s="316"/>
      <c r="BB156" s="316"/>
      <c r="BC156" s="316"/>
      <c r="BD156" s="316"/>
      <c r="BE156" s="316"/>
      <c r="BF156" s="316"/>
    </row>
    <row r="157" spans="1:60" s="284" customFormat="1" ht="18.75" customHeight="1">
      <c r="C157" s="320"/>
      <c r="D157" s="320"/>
      <c r="E157" s="316" t="s">
        <v>509</v>
      </c>
      <c r="G157" s="512" t="e">
        <f ca="1">AL82</f>
        <v>#N/A</v>
      </c>
      <c r="H157" s="512"/>
      <c r="I157" s="512"/>
      <c r="J157" s="317"/>
      <c r="K157" s="316" t="s">
        <v>770</v>
      </c>
      <c r="M157" s="512">
        <f>AL83</f>
        <v>0</v>
      </c>
      <c r="N157" s="512"/>
      <c r="O157" s="512"/>
      <c r="P157" s="317"/>
      <c r="Q157" s="287" t="s">
        <v>508</v>
      </c>
      <c r="S157" s="512">
        <f>AL84</f>
        <v>0</v>
      </c>
      <c r="T157" s="512"/>
      <c r="U157" s="512"/>
      <c r="V157" s="317"/>
      <c r="W157" s="287" t="s">
        <v>508</v>
      </c>
      <c r="Y157" s="512">
        <f>AL85</f>
        <v>0</v>
      </c>
      <c r="Z157" s="512"/>
      <c r="AA157" s="512"/>
      <c r="AB157" s="317"/>
      <c r="AC157" s="287" t="s">
        <v>771</v>
      </c>
      <c r="AE157" s="512">
        <f>AL86</f>
        <v>5.7735026918962581E-2</v>
      </c>
      <c r="AF157" s="512"/>
      <c r="AG157" s="512"/>
      <c r="AH157" s="317"/>
      <c r="AI157" s="320"/>
      <c r="AJ157" s="320"/>
      <c r="AL157" s="320"/>
      <c r="AM157" s="320"/>
      <c r="AN157" s="288"/>
      <c r="AT157" s="320"/>
      <c r="AV157" s="320"/>
      <c r="AW157" s="320"/>
      <c r="AX157" s="288"/>
      <c r="BD157" s="320"/>
      <c r="BF157" s="320"/>
      <c r="BG157" s="320"/>
      <c r="BH157" s="320"/>
    </row>
    <row r="158" spans="1:60" s="284" customFormat="1" ht="18.75" customHeight="1">
      <c r="C158" s="320"/>
      <c r="D158" s="320"/>
      <c r="E158" s="316" t="s">
        <v>716</v>
      </c>
      <c r="G158" s="512" t="e">
        <f ca="1">AL87</f>
        <v>#N/A</v>
      </c>
      <c r="H158" s="512"/>
      <c r="I158" s="512"/>
      <c r="J158" s="317"/>
      <c r="K158" s="320"/>
      <c r="L158" s="320"/>
      <c r="M158" s="288"/>
      <c r="S158" s="320"/>
      <c r="U158" s="320"/>
      <c r="V158" s="320"/>
      <c r="W158" s="320"/>
      <c r="X158" s="320"/>
      <c r="Y158" s="320"/>
      <c r="Z158" s="320"/>
      <c r="AA158" s="320"/>
      <c r="AB158" s="320"/>
      <c r="AC158" s="320"/>
      <c r="AD158" s="320"/>
      <c r="AE158" s="320"/>
      <c r="AF158" s="320"/>
      <c r="AG158" s="316"/>
      <c r="AH158" s="320"/>
      <c r="AI158" s="320"/>
      <c r="AJ158" s="320"/>
      <c r="AK158" s="320"/>
      <c r="AL158" s="320"/>
      <c r="AM158" s="320"/>
      <c r="AN158" s="320"/>
      <c r="AO158" s="320"/>
      <c r="AP158" s="320"/>
      <c r="AQ158" s="320"/>
      <c r="AR158" s="320"/>
      <c r="AS158" s="320"/>
      <c r="AT158" s="320"/>
      <c r="AU158" s="320"/>
      <c r="AV158" s="320"/>
      <c r="AW158" s="320"/>
      <c r="AX158" s="320"/>
      <c r="AY158" s="320"/>
      <c r="AZ158" s="320"/>
      <c r="BA158" s="320"/>
      <c r="BB158" s="320"/>
      <c r="BC158" s="320"/>
      <c r="BD158" s="320"/>
      <c r="BE158" s="320"/>
      <c r="BF158" s="320"/>
      <c r="BG158" s="320"/>
      <c r="BH158" s="320"/>
    </row>
    <row r="159" spans="1:60" s="284" customFormat="1" ht="18.75" customHeight="1">
      <c r="C159" s="320"/>
      <c r="D159" s="320"/>
      <c r="E159" s="316"/>
      <c r="J159" s="317"/>
      <c r="K159" s="320"/>
      <c r="L159" s="320"/>
      <c r="M159" s="288"/>
      <c r="S159" s="320"/>
      <c r="U159" s="320"/>
      <c r="V159" s="320"/>
      <c r="W159" s="320"/>
      <c r="X159" s="320"/>
      <c r="Y159" s="320"/>
      <c r="Z159" s="320"/>
      <c r="AA159" s="320"/>
      <c r="AB159" s="320"/>
      <c r="AC159" s="320"/>
      <c r="AD159" s="320"/>
      <c r="AE159" s="320"/>
      <c r="AF159" s="320"/>
      <c r="AG159" s="316"/>
      <c r="AH159" s="320"/>
      <c r="AI159" s="320"/>
      <c r="AJ159" s="320"/>
      <c r="AK159" s="320"/>
      <c r="AL159" s="320"/>
      <c r="AM159" s="320"/>
      <c r="AN159" s="320"/>
      <c r="AO159" s="320"/>
      <c r="AP159" s="320"/>
      <c r="AQ159" s="320"/>
      <c r="AR159" s="320"/>
      <c r="AS159" s="320"/>
      <c r="AT159" s="320"/>
      <c r="AU159" s="320"/>
      <c r="AV159" s="320"/>
      <c r="AW159" s="320"/>
      <c r="AX159" s="320"/>
      <c r="AY159" s="320"/>
      <c r="AZ159" s="320"/>
      <c r="BA159" s="320"/>
      <c r="BB159" s="320"/>
      <c r="BC159" s="320"/>
      <c r="BD159" s="320"/>
      <c r="BE159" s="320"/>
      <c r="BF159" s="320"/>
      <c r="BG159" s="320"/>
      <c r="BH159" s="320"/>
    </row>
    <row r="160" spans="1:60" s="279" customFormat="1" ht="18.75" customHeight="1">
      <c r="A160" s="316"/>
      <c r="B160" s="316"/>
      <c r="C160" s="316"/>
      <c r="D160" s="283" t="s">
        <v>772</v>
      </c>
      <c r="E160" s="316" t="s">
        <v>716</v>
      </c>
      <c r="F160" s="512" t="e">
        <f ca="1">AL87</f>
        <v>#N/A</v>
      </c>
      <c r="G160" s="512"/>
      <c r="H160" s="512"/>
      <c r="J160" s="317"/>
      <c r="K160" s="289"/>
      <c r="L160" s="289"/>
      <c r="M160" s="289"/>
      <c r="N160" s="254"/>
      <c r="O160" s="254"/>
      <c r="P160" s="273"/>
      <c r="Q160" s="273"/>
      <c r="R160" s="320"/>
      <c r="S160" s="284"/>
      <c r="T160" s="316"/>
      <c r="U160" s="316"/>
      <c r="V160" s="316"/>
      <c r="W160" s="316"/>
      <c r="X160" s="316"/>
      <c r="Y160" s="316"/>
      <c r="Z160" s="316"/>
      <c r="AA160" s="316"/>
      <c r="AB160" s="316"/>
      <c r="AC160" s="316"/>
      <c r="AD160" s="316"/>
      <c r="AE160" s="320"/>
      <c r="AF160" s="316"/>
      <c r="AG160" s="316"/>
      <c r="AH160" s="316"/>
      <c r="AI160" s="316"/>
      <c r="AJ160" s="316"/>
      <c r="AK160" s="316"/>
      <c r="AL160" s="316"/>
      <c r="AM160" s="316"/>
      <c r="AN160" s="316"/>
      <c r="AO160" s="316"/>
      <c r="AP160" s="316"/>
      <c r="AQ160" s="316"/>
      <c r="AR160" s="316"/>
      <c r="AS160" s="316"/>
      <c r="AT160" s="316"/>
      <c r="AU160" s="316"/>
      <c r="AV160" s="316"/>
      <c r="AW160" s="316"/>
      <c r="AX160" s="316"/>
      <c r="AY160" s="316"/>
      <c r="AZ160" s="316"/>
      <c r="BE160" s="316"/>
      <c r="BF160" s="316"/>
    </row>
    <row r="161" spans="1:58" s="320" customFormat="1" ht="18.75" customHeight="1"/>
    <row r="162" spans="1:58" ht="18.75" customHeight="1">
      <c r="A162" s="253" t="s">
        <v>773</v>
      </c>
      <c r="B162" s="254"/>
      <c r="C162" s="254"/>
      <c r="D162" s="254"/>
      <c r="E162" s="254"/>
      <c r="F162" s="254"/>
      <c r="G162" s="254"/>
      <c r="H162" s="254"/>
      <c r="I162" s="254"/>
      <c r="J162" s="254"/>
      <c r="K162" s="254"/>
      <c r="L162" s="254"/>
      <c r="M162" s="254"/>
      <c r="N162" s="254"/>
      <c r="O162" s="254"/>
      <c r="P162" s="254"/>
      <c r="Q162" s="254"/>
      <c r="R162" s="254"/>
      <c r="S162" s="254"/>
      <c r="T162" s="254"/>
      <c r="U162" s="254"/>
      <c r="V162" s="254"/>
      <c r="W162" s="254"/>
      <c r="X162" s="254"/>
      <c r="Y162" s="254"/>
      <c r="Z162" s="254"/>
      <c r="AA162" s="254"/>
      <c r="AB162" s="254"/>
      <c r="AC162" s="254"/>
      <c r="AD162" s="254"/>
      <c r="AE162" s="254"/>
      <c r="AF162" s="254"/>
      <c r="AG162" s="254"/>
      <c r="AH162" s="254"/>
      <c r="AI162" s="254"/>
      <c r="AJ162" s="254"/>
      <c r="AK162" s="254"/>
      <c r="AL162" s="254"/>
      <c r="AM162" s="254"/>
      <c r="AN162" s="254"/>
      <c r="AO162" s="254"/>
      <c r="AP162" s="254"/>
      <c r="AQ162" s="254"/>
      <c r="AR162" s="254"/>
      <c r="AS162" s="254"/>
      <c r="AT162" s="254"/>
      <c r="AU162" s="254"/>
      <c r="AV162" s="254"/>
      <c r="AW162" s="254"/>
      <c r="AX162" s="254"/>
      <c r="AY162" s="254"/>
      <c r="AZ162" s="254"/>
      <c r="BA162" s="254"/>
      <c r="BB162" s="254"/>
      <c r="BC162" s="254"/>
      <c r="BD162" s="254"/>
      <c r="BE162" s="254"/>
      <c r="BF162" s="254"/>
    </row>
    <row r="163" spans="1:58" ht="18.75" customHeight="1">
      <c r="A163" s="254"/>
      <c r="B163" s="254"/>
      <c r="C163" s="254"/>
      <c r="D163" s="254"/>
      <c r="E163" s="254"/>
      <c r="F163" s="254"/>
      <c r="G163" s="254"/>
      <c r="H163" s="254"/>
      <c r="I163" s="254"/>
      <c r="J163" s="254"/>
      <c r="K163" s="254"/>
      <c r="L163" s="521" t="e">
        <f ca="1">AL87</f>
        <v>#N/A</v>
      </c>
      <c r="M163" s="521"/>
      <c r="N163" s="521"/>
      <c r="O163" s="521"/>
      <c r="P163" s="521"/>
      <c r="Q163" s="521"/>
      <c r="R163" s="521"/>
      <c r="S163" s="521"/>
      <c r="T163" s="521"/>
      <c r="U163" s="521"/>
      <c r="V163" s="521"/>
      <c r="W163" s="521"/>
      <c r="X163" s="521"/>
      <c r="Y163" s="521"/>
      <c r="Z163" s="521"/>
      <c r="AA163" s="521"/>
      <c r="AB163" s="521"/>
      <c r="AC163" s="521"/>
      <c r="AD163" s="521"/>
      <c r="AE163" s="521"/>
      <c r="AF163" s="521"/>
      <c r="AG163" s="521"/>
      <c r="AH163" s="521"/>
      <c r="AI163" s="521"/>
      <c r="AJ163" s="521"/>
      <c r="AK163" s="521"/>
      <c r="AL163" s="521"/>
      <c r="AM163" s="521"/>
      <c r="AN163" s="521"/>
      <c r="AO163" s="476" t="s">
        <v>730</v>
      </c>
      <c r="AP163" s="522" t="str">
        <f>AU87</f>
        <v>∞</v>
      </c>
      <c r="AQ163" s="522"/>
      <c r="AR163" s="522"/>
      <c r="AS163" s="522"/>
      <c r="AT163" s="522"/>
      <c r="AU163" s="284"/>
      <c r="AV163" s="284"/>
      <c r="AW163" s="284"/>
      <c r="AX163" s="284"/>
      <c r="AY163" s="284"/>
      <c r="AZ163" s="284"/>
      <c r="BA163" s="284"/>
      <c r="BB163" s="284"/>
      <c r="BC163" s="284"/>
    </row>
    <row r="164" spans="1:58" ht="18.75" customHeight="1">
      <c r="A164" s="254"/>
      <c r="B164" s="254"/>
      <c r="C164" s="254"/>
      <c r="D164" s="254"/>
      <c r="E164" s="254"/>
      <c r="F164" s="254"/>
      <c r="G164" s="254"/>
      <c r="H164" s="254"/>
      <c r="I164" s="254"/>
      <c r="J164" s="254"/>
      <c r="K164" s="254"/>
      <c r="L164" s="330"/>
      <c r="M164" s="520" t="e">
        <f ca="1">AL82</f>
        <v>#N/A</v>
      </c>
      <c r="N164" s="520"/>
      <c r="O164" s="520"/>
      <c r="P164" s="329"/>
      <c r="Q164" s="473" t="s">
        <v>774</v>
      </c>
      <c r="R164" s="330"/>
      <c r="S164" s="520">
        <f>AL83</f>
        <v>0</v>
      </c>
      <c r="T164" s="520"/>
      <c r="U164" s="520"/>
      <c r="V164" s="329"/>
      <c r="W164" s="473" t="s">
        <v>771</v>
      </c>
      <c r="X164" s="330"/>
      <c r="Y164" s="520">
        <f>AL84</f>
        <v>0</v>
      </c>
      <c r="Z164" s="520"/>
      <c r="AA164" s="520"/>
      <c r="AB164" s="329"/>
      <c r="AC164" s="473" t="s">
        <v>775</v>
      </c>
      <c r="AD164" s="330"/>
      <c r="AE164" s="520">
        <f>AL85</f>
        <v>0</v>
      </c>
      <c r="AF164" s="520"/>
      <c r="AG164" s="520"/>
      <c r="AH164" s="329"/>
      <c r="AI164" s="473" t="s">
        <v>771</v>
      </c>
      <c r="AJ164" s="330"/>
      <c r="AK164" s="520">
        <f>AL86</f>
        <v>5.7735026918962581E-2</v>
      </c>
      <c r="AL164" s="520"/>
      <c r="AM164" s="520"/>
      <c r="AN164" s="329"/>
      <c r="AO164" s="476"/>
      <c r="AP164" s="522"/>
      <c r="AQ164" s="522"/>
      <c r="AR164" s="522"/>
      <c r="AS164" s="522"/>
      <c r="AT164" s="522"/>
    </row>
    <row r="165" spans="1:58" ht="18.75" customHeight="1">
      <c r="A165" s="254"/>
      <c r="B165" s="254"/>
      <c r="C165" s="254"/>
      <c r="D165" s="254"/>
      <c r="E165" s="254"/>
      <c r="F165" s="254"/>
      <c r="G165" s="254"/>
      <c r="H165" s="254"/>
      <c r="I165" s="254"/>
      <c r="J165" s="254"/>
      <c r="K165" s="254"/>
      <c r="L165" s="473" t="str">
        <f>AU82</f>
        <v>∞</v>
      </c>
      <c r="M165" s="473"/>
      <c r="N165" s="473"/>
      <c r="O165" s="473"/>
      <c r="P165" s="473"/>
      <c r="Q165" s="476"/>
      <c r="R165" s="473">
        <f>AU83</f>
        <v>4</v>
      </c>
      <c r="S165" s="473"/>
      <c r="T165" s="473"/>
      <c r="U165" s="473"/>
      <c r="V165" s="473"/>
      <c r="W165" s="476"/>
      <c r="X165" s="473" t="str">
        <f>AU84</f>
        <v>∞</v>
      </c>
      <c r="Y165" s="473"/>
      <c r="Z165" s="473"/>
      <c r="AA165" s="473"/>
      <c r="AB165" s="473"/>
      <c r="AC165" s="476"/>
      <c r="AD165" s="473">
        <f>AU85</f>
        <v>12</v>
      </c>
      <c r="AE165" s="473"/>
      <c r="AF165" s="473"/>
      <c r="AG165" s="473"/>
      <c r="AH165" s="473"/>
      <c r="AI165" s="476"/>
      <c r="AJ165" s="473" t="str">
        <f>AU86</f>
        <v>∞</v>
      </c>
      <c r="AK165" s="473"/>
      <c r="AL165" s="473"/>
      <c r="AM165" s="473"/>
      <c r="AN165" s="473"/>
    </row>
    <row r="166" spans="1:58" ht="18.75" customHeight="1">
      <c r="A166" s="254"/>
      <c r="B166" s="254"/>
      <c r="C166" s="254"/>
      <c r="D166" s="254"/>
      <c r="E166" s="254"/>
      <c r="F166" s="254"/>
      <c r="G166" s="254"/>
      <c r="H166" s="254"/>
      <c r="I166" s="254"/>
      <c r="J166" s="254"/>
      <c r="K166" s="254"/>
      <c r="L166" s="254"/>
      <c r="M166" s="254"/>
      <c r="N166" s="254"/>
      <c r="O166" s="254"/>
      <c r="P166" s="254"/>
      <c r="Q166" s="254"/>
      <c r="R166" s="254"/>
      <c r="S166" s="254"/>
      <c r="T166" s="254"/>
      <c r="U166" s="254"/>
      <c r="V166" s="254"/>
      <c r="W166" s="254"/>
      <c r="X166" s="254"/>
      <c r="Y166" s="254"/>
      <c r="Z166" s="254"/>
      <c r="AA166" s="254"/>
      <c r="AB166" s="254"/>
      <c r="AC166" s="254"/>
      <c r="AD166" s="254"/>
      <c r="AE166" s="254"/>
      <c r="AF166" s="254"/>
      <c r="AG166" s="254"/>
      <c r="AH166" s="254"/>
      <c r="AI166" s="254"/>
      <c r="AJ166" s="254"/>
      <c r="AK166" s="254"/>
      <c r="AL166" s="254"/>
      <c r="AM166" s="254"/>
      <c r="AN166" s="254"/>
      <c r="AO166" s="254"/>
      <c r="AP166" s="254"/>
      <c r="AQ166" s="254"/>
      <c r="AR166" s="254"/>
      <c r="AS166" s="254"/>
      <c r="AT166" s="254"/>
      <c r="AU166" s="254"/>
      <c r="AV166" s="254"/>
      <c r="AW166" s="254"/>
      <c r="AX166" s="254"/>
      <c r="AY166" s="254"/>
      <c r="AZ166" s="254"/>
      <c r="BA166" s="254"/>
      <c r="BB166" s="254"/>
      <c r="BC166" s="254"/>
      <c r="BD166" s="254"/>
      <c r="BE166" s="254"/>
      <c r="BF166" s="254"/>
    </row>
    <row r="167" spans="1:58" ht="18.75" customHeight="1">
      <c r="A167" s="253" t="s">
        <v>776</v>
      </c>
      <c r="B167" s="254"/>
      <c r="C167" s="254"/>
      <c r="D167" s="254"/>
      <c r="E167" s="254"/>
      <c r="F167" s="254"/>
      <c r="G167" s="254"/>
      <c r="H167" s="254"/>
      <c r="I167" s="254"/>
      <c r="J167" s="254"/>
      <c r="K167" s="254"/>
      <c r="L167" s="254"/>
      <c r="M167" s="254"/>
      <c r="N167" s="254"/>
      <c r="O167" s="254"/>
      <c r="P167" s="254"/>
      <c r="Q167" s="254"/>
      <c r="R167" s="254"/>
      <c r="S167" s="254"/>
      <c r="T167" s="254"/>
      <c r="U167" s="254"/>
      <c r="V167" s="254"/>
      <c r="W167" s="254"/>
      <c r="X167" s="254"/>
      <c r="Y167" s="254"/>
      <c r="Z167" s="254"/>
      <c r="AA167" s="254"/>
      <c r="AB167" s="254"/>
      <c r="AC167" s="254"/>
      <c r="AD167" s="254"/>
      <c r="AE167" s="254"/>
      <c r="AF167" s="254"/>
      <c r="AG167" s="254"/>
      <c r="AH167" s="254"/>
      <c r="AI167" s="254"/>
      <c r="AJ167" s="254"/>
      <c r="AK167" s="254"/>
      <c r="AL167" s="254"/>
      <c r="AM167" s="254"/>
      <c r="AN167" s="254"/>
      <c r="AO167" s="254"/>
      <c r="AP167" s="254"/>
      <c r="AQ167" s="254"/>
      <c r="AR167" s="254"/>
      <c r="AS167" s="254"/>
      <c r="AT167" s="254"/>
      <c r="AU167" s="254"/>
      <c r="AV167" s="254"/>
      <c r="AW167" s="254"/>
      <c r="AX167" s="254"/>
      <c r="AY167" s="254"/>
      <c r="AZ167" s="254"/>
      <c r="BA167" s="254"/>
      <c r="BB167" s="254"/>
      <c r="BC167" s="254"/>
      <c r="BD167" s="254"/>
    </row>
    <row r="168" spans="1:58" ht="18.75" customHeight="1">
      <c r="A168" s="253"/>
      <c r="B168" s="254" t="s">
        <v>777</v>
      </c>
      <c r="C168" s="254"/>
      <c r="D168" s="254"/>
      <c r="E168" s="254"/>
      <c r="F168" s="254"/>
      <c r="G168" s="254"/>
      <c r="H168" s="254"/>
      <c r="I168" s="254"/>
      <c r="J168" s="254"/>
      <c r="K168" s="254"/>
      <c r="L168" s="254"/>
      <c r="M168" s="254"/>
      <c r="N168" s="254"/>
      <c r="O168" s="254"/>
      <c r="P168" s="254"/>
      <c r="Q168" s="254"/>
      <c r="R168" s="254"/>
      <c r="S168" s="254"/>
      <c r="T168" s="254"/>
      <c r="U168" s="254"/>
      <c r="V168" s="254"/>
      <c r="W168" s="254"/>
      <c r="X168" s="254"/>
      <c r="Y168" s="254"/>
      <c r="Z168" s="254"/>
      <c r="AA168" s="254"/>
      <c r="AB168" s="254"/>
      <c r="AC168" s="254"/>
      <c r="AD168" s="254"/>
      <c r="AE168" s="254"/>
      <c r="AF168" s="254"/>
      <c r="AG168" s="254"/>
      <c r="AH168" s="254"/>
      <c r="AI168" s="254"/>
      <c r="AJ168" s="254"/>
      <c r="AK168" s="254"/>
      <c r="AL168" s="254"/>
      <c r="AM168" s="254"/>
      <c r="AN168" s="254"/>
      <c r="AO168" s="254"/>
      <c r="AP168" s="254"/>
      <c r="AQ168" s="254"/>
      <c r="AR168" s="254"/>
      <c r="AS168" s="254"/>
      <c r="AT168" s="254"/>
      <c r="AU168" s="254"/>
      <c r="AV168" s="254"/>
      <c r="AW168" s="254"/>
      <c r="AX168" s="254"/>
      <c r="AY168" s="254"/>
      <c r="AZ168" s="254"/>
      <c r="BA168" s="254"/>
      <c r="BB168" s="254"/>
      <c r="BC168" s="254"/>
      <c r="BD168" s="254"/>
    </row>
    <row r="169" spans="1:58" ht="18.75" customHeight="1">
      <c r="A169" s="253"/>
      <c r="B169" s="254"/>
      <c r="C169" s="320" t="s">
        <v>779</v>
      </c>
      <c r="D169" s="254"/>
      <c r="E169" s="254"/>
      <c r="F169" s="254"/>
      <c r="G169" s="254"/>
      <c r="H169" s="254"/>
      <c r="I169" s="254"/>
      <c r="J169" s="254"/>
      <c r="K169" s="254"/>
      <c r="L169" s="254"/>
      <c r="M169" s="254"/>
      <c r="N169" s="254"/>
      <c r="O169" s="254"/>
      <c r="P169" s="254"/>
      <c r="Q169" s="254"/>
      <c r="R169" s="254"/>
      <c r="S169" s="254"/>
      <c r="T169" s="254"/>
      <c r="U169" s="254"/>
      <c r="V169" s="254"/>
      <c r="W169" s="254"/>
      <c r="X169" s="254"/>
      <c r="Y169" s="254"/>
      <c r="Z169" s="254"/>
      <c r="AA169" s="254"/>
      <c r="AB169" s="254"/>
      <c r="AC169" s="254"/>
      <c r="AD169" s="254"/>
      <c r="AE169" s="254"/>
      <c r="AF169" s="254"/>
      <c r="AG169" s="254"/>
      <c r="AH169" s="254"/>
      <c r="AI169" s="254"/>
      <c r="AJ169" s="254"/>
      <c r="AK169" s="254"/>
      <c r="AL169" s="254"/>
      <c r="AM169" s="254"/>
      <c r="AN169" s="254"/>
      <c r="AO169" s="254"/>
      <c r="AP169" s="254"/>
      <c r="AQ169" s="254"/>
      <c r="AR169" s="254"/>
      <c r="AS169" s="254"/>
      <c r="AT169" s="254"/>
      <c r="AU169" s="254"/>
      <c r="AV169" s="254"/>
      <c r="AW169" s="254"/>
      <c r="AX169" s="254"/>
      <c r="AY169" s="254"/>
      <c r="AZ169" s="254"/>
      <c r="BA169" s="254"/>
      <c r="BB169" s="254"/>
      <c r="BC169" s="254"/>
      <c r="BD169" s="254"/>
    </row>
    <row r="170" spans="1:58" ht="18.75" customHeight="1">
      <c r="A170" s="253"/>
      <c r="B170" s="254"/>
      <c r="C170" s="254"/>
      <c r="D170" s="254"/>
      <c r="E170" s="256"/>
      <c r="F170" s="254"/>
      <c r="G170" s="254"/>
      <c r="H170" s="332" t="s">
        <v>510</v>
      </c>
      <c r="I170" s="476">
        <f ca="1">Calcu!C78</f>
        <v>2</v>
      </c>
      <c r="J170" s="476"/>
      <c r="K170" s="476"/>
      <c r="L170" s="323" t="s">
        <v>511</v>
      </c>
      <c r="M170" s="512" t="e">
        <f ca="1">AL87</f>
        <v>#N/A</v>
      </c>
      <c r="N170" s="512"/>
      <c r="O170" s="512"/>
      <c r="P170" s="286" t="s">
        <v>730</v>
      </c>
      <c r="Q170" s="519" t="e">
        <f ca="1">I170*M170</f>
        <v>#N/A</v>
      </c>
      <c r="R170" s="519"/>
      <c r="S170" s="519"/>
      <c r="T170" s="290"/>
      <c r="U170" s="290"/>
      <c r="V170" s="290"/>
      <c r="W170" s="290"/>
      <c r="X170" s="290"/>
      <c r="Y170" s="320"/>
      <c r="Z170" s="273"/>
      <c r="AB170" s="270"/>
      <c r="AC170" s="270"/>
      <c r="AD170" s="270"/>
      <c r="AE170" s="270"/>
      <c r="AF170" s="317"/>
      <c r="AG170" s="317"/>
      <c r="AH170" s="317"/>
      <c r="AI170" s="317"/>
      <c r="AJ170" s="320"/>
      <c r="AL170" s="273"/>
      <c r="AM170" s="273"/>
      <c r="AN170" s="316"/>
      <c r="AO170" s="320"/>
      <c r="AP170" s="320"/>
      <c r="AQ170" s="320"/>
      <c r="AR170" s="320"/>
      <c r="AS170" s="320"/>
      <c r="AT170" s="320"/>
      <c r="AU170" s="254"/>
      <c r="AV170" s="254"/>
      <c r="AW170" s="254"/>
      <c r="AX170" s="254"/>
      <c r="AY170" s="254"/>
      <c r="AZ170" s="254"/>
      <c r="BA170" s="254"/>
      <c r="BB170" s="254"/>
      <c r="BC170" s="254"/>
      <c r="BD170" s="254"/>
    </row>
    <row r="171" spans="1:58" ht="18.75" customHeight="1">
      <c r="A171" s="253"/>
      <c r="B171" s="254"/>
      <c r="D171" s="254"/>
      <c r="E171" s="283"/>
      <c r="F171" s="254"/>
      <c r="G171" s="332"/>
      <c r="H171" s="316"/>
      <c r="I171" s="316"/>
      <c r="J171" s="316"/>
      <c r="R171" s="283"/>
      <c r="S171" s="320"/>
      <c r="T171" s="320"/>
      <c r="U171" s="320"/>
      <c r="V171" s="320"/>
      <c r="W171" s="320"/>
      <c r="X171" s="254"/>
      <c r="Y171" s="254"/>
      <c r="Z171" s="254"/>
      <c r="AA171" s="254"/>
      <c r="AB171" s="254"/>
      <c r="AC171" s="254"/>
      <c r="AD171" s="254"/>
      <c r="AE171" s="254"/>
      <c r="AF171" s="254"/>
      <c r="AG171" s="254"/>
      <c r="AH171" s="254"/>
      <c r="AI171" s="254"/>
      <c r="AJ171" s="254"/>
      <c r="AK171" s="254"/>
      <c r="AL171" s="254"/>
      <c r="AM171" s="254"/>
      <c r="AN171" s="254"/>
      <c r="AO171" s="254"/>
      <c r="AP171" s="254"/>
      <c r="AQ171" s="254"/>
      <c r="AR171" s="254"/>
      <c r="AS171" s="254"/>
      <c r="AT171" s="254"/>
      <c r="AU171" s="254"/>
      <c r="AV171" s="254"/>
      <c r="AW171" s="254"/>
      <c r="AX171" s="254"/>
      <c r="AY171" s="254"/>
      <c r="AZ171" s="254"/>
      <c r="BA171" s="254"/>
      <c r="BB171" s="254"/>
      <c r="BC171" s="254"/>
      <c r="BD171" s="254"/>
    </row>
    <row r="175" spans="1:58" s="251" customFormat="1" ht="18.75" customHeight="1">
      <c r="A175" s="252" t="s">
        <v>371</v>
      </c>
    </row>
    <row r="176" spans="1:58" ht="18.75" customHeight="1">
      <c r="A176" s="253" t="s">
        <v>780</v>
      </c>
      <c r="B176" s="316"/>
      <c r="C176" s="316"/>
      <c r="D176" s="316"/>
      <c r="E176" s="316"/>
      <c r="F176" s="316"/>
      <c r="G176" s="316"/>
      <c r="H176" s="316"/>
      <c r="I176" s="316"/>
      <c r="J176" s="316"/>
      <c r="K176" s="316"/>
      <c r="L176" s="316"/>
      <c r="M176" s="316"/>
      <c r="N176" s="316"/>
      <c r="O176" s="316"/>
      <c r="P176" s="316"/>
      <c r="Q176" s="316"/>
      <c r="R176" s="316"/>
      <c r="S176" s="316"/>
      <c r="T176" s="316"/>
      <c r="U176" s="316"/>
      <c r="V176" s="316"/>
      <c r="W176" s="316"/>
      <c r="X176" s="316"/>
      <c r="Y176" s="316"/>
      <c r="Z176" s="316"/>
      <c r="AA176" s="316"/>
      <c r="AB176" s="316"/>
      <c r="AC176" s="316"/>
      <c r="AD176" s="316"/>
      <c r="AE176" s="316"/>
      <c r="AF176" s="316"/>
      <c r="AG176" s="316"/>
      <c r="AH176" s="316"/>
      <c r="AI176" s="316"/>
      <c r="AJ176" s="316"/>
      <c r="AK176" s="316"/>
      <c r="AL176" s="316"/>
      <c r="AM176" s="316"/>
      <c r="AN176" s="316"/>
      <c r="AO176" s="316"/>
      <c r="AP176" s="316"/>
      <c r="AQ176" s="316"/>
      <c r="AR176" s="316"/>
    </row>
    <row r="177" spans="1:51" ht="18.75" customHeight="1">
      <c r="A177" s="253"/>
      <c r="B177" s="446" t="s">
        <v>533</v>
      </c>
      <c r="C177" s="447"/>
      <c r="D177" s="447"/>
      <c r="E177" s="447"/>
      <c r="F177" s="448"/>
      <c r="G177" s="460" t="s">
        <v>512</v>
      </c>
      <c r="H177" s="456"/>
      <c r="I177" s="456"/>
      <c r="J177" s="456"/>
      <c r="K177" s="457"/>
      <c r="L177" s="446" t="s">
        <v>513</v>
      </c>
      <c r="M177" s="447"/>
      <c r="N177" s="447"/>
      <c r="O177" s="447"/>
      <c r="P177" s="448"/>
      <c r="Q177" s="460" t="s">
        <v>781</v>
      </c>
      <c r="R177" s="456"/>
      <c r="S177" s="456"/>
      <c r="T177" s="456"/>
      <c r="U177" s="456"/>
      <c r="V177" s="456"/>
      <c r="W177" s="456"/>
      <c r="X177" s="456"/>
      <c r="Y177" s="456"/>
      <c r="Z177" s="456"/>
      <c r="AA177" s="456"/>
      <c r="AB177" s="456"/>
      <c r="AC177" s="456"/>
      <c r="AD177" s="456"/>
      <c r="AE177" s="456"/>
      <c r="AF177" s="456"/>
      <c r="AG177" s="456"/>
      <c r="AH177" s="456"/>
      <c r="AI177" s="456"/>
      <c r="AJ177" s="456"/>
      <c r="AK177" s="456"/>
      <c r="AL177" s="456"/>
      <c r="AM177" s="456"/>
      <c r="AN177" s="456"/>
      <c r="AO177" s="457"/>
      <c r="AP177" s="446" t="s">
        <v>782</v>
      </c>
      <c r="AQ177" s="447"/>
      <c r="AR177" s="447"/>
      <c r="AS177" s="447"/>
      <c r="AT177" s="448"/>
      <c r="AU177" s="446" t="s">
        <v>73</v>
      </c>
      <c r="AV177" s="447"/>
      <c r="AW177" s="447"/>
      <c r="AX177" s="447"/>
      <c r="AY177" s="448"/>
    </row>
    <row r="178" spans="1:51" ht="18.75" customHeight="1">
      <c r="A178" s="253"/>
      <c r="B178" s="452"/>
      <c r="C178" s="453"/>
      <c r="D178" s="453"/>
      <c r="E178" s="453"/>
      <c r="F178" s="454"/>
      <c r="G178" s="460"/>
      <c r="H178" s="456"/>
      <c r="I178" s="456"/>
      <c r="J178" s="456"/>
      <c r="K178" s="457"/>
      <c r="L178" s="452"/>
      <c r="M178" s="453"/>
      <c r="N178" s="453"/>
      <c r="O178" s="453"/>
      <c r="P178" s="454"/>
      <c r="Q178" s="460" t="s">
        <v>328</v>
      </c>
      <c r="R178" s="456"/>
      <c r="S178" s="456"/>
      <c r="T178" s="456"/>
      <c r="U178" s="457"/>
      <c r="V178" s="460" t="s">
        <v>176</v>
      </c>
      <c r="W178" s="456"/>
      <c r="X178" s="456"/>
      <c r="Y178" s="456"/>
      <c r="Z178" s="457"/>
      <c r="AA178" s="460" t="s">
        <v>177</v>
      </c>
      <c r="AB178" s="456"/>
      <c r="AC178" s="456"/>
      <c r="AD178" s="456"/>
      <c r="AE178" s="457"/>
      <c r="AF178" s="460" t="s">
        <v>178</v>
      </c>
      <c r="AG178" s="456"/>
      <c r="AH178" s="456"/>
      <c r="AI178" s="456"/>
      <c r="AJ178" s="457"/>
      <c r="AK178" s="460" t="s">
        <v>179</v>
      </c>
      <c r="AL178" s="456"/>
      <c r="AM178" s="456"/>
      <c r="AN178" s="456"/>
      <c r="AO178" s="457"/>
      <c r="AP178" s="449"/>
      <c r="AQ178" s="450"/>
      <c r="AR178" s="450"/>
      <c r="AS178" s="450"/>
      <c r="AT178" s="451"/>
      <c r="AU178" s="449"/>
      <c r="AV178" s="450"/>
      <c r="AW178" s="450"/>
      <c r="AX178" s="450"/>
      <c r="AY178" s="451"/>
    </row>
    <row r="179" spans="1:51" ht="18.75" customHeight="1">
      <c r="A179" s="253"/>
      <c r="B179" s="449"/>
      <c r="C179" s="450"/>
      <c r="D179" s="450"/>
      <c r="E179" s="450"/>
      <c r="F179" s="451"/>
      <c r="G179" s="460" t="str">
        <f>Calcu!E89</f>
        <v/>
      </c>
      <c r="H179" s="456"/>
      <c r="I179" s="456"/>
      <c r="J179" s="456"/>
      <c r="K179" s="457"/>
      <c r="L179" s="449"/>
      <c r="M179" s="450"/>
      <c r="N179" s="450"/>
      <c r="O179" s="450"/>
      <c r="P179" s="451"/>
      <c r="Q179" s="460" t="str">
        <f>Calcu!G88</f>
        <v>μm</v>
      </c>
      <c r="R179" s="456"/>
      <c r="S179" s="456"/>
      <c r="T179" s="456"/>
      <c r="U179" s="457"/>
      <c r="V179" s="460" t="str">
        <f>Calcu!H88</f>
        <v>μm</v>
      </c>
      <c r="W179" s="456"/>
      <c r="X179" s="456"/>
      <c r="Y179" s="456"/>
      <c r="Z179" s="457"/>
      <c r="AA179" s="460" t="str">
        <f>Calcu!I88</f>
        <v>μm</v>
      </c>
      <c r="AB179" s="456"/>
      <c r="AC179" s="456"/>
      <c r="AD179" s="456"/>
      <c r="AE179" s="457"/>
      <c r="AF179" s="460" t="str">
        <f>Calcu!J88</f>
        <v>μm</v>
      </c>
      <c r="AG179" s="456"/>
      <c r="AH179" s="456"/>
      <c r="AI179" s="456"/>
      <c r="AJ179" s="457"/>
      <c r="AK179" s="460" t="str">
        <f>Calcu!K88</f>
        <v>μm</v>
      </c>
      <c r="AL179" s="456"/>
      <c r="AM179" s="456"/>
      <c r="AN179" s="456"/>
      <c r="AO179" s="457"/>
      <c r="AP179" s="460" t="str">
        <f>Calcu!L88</f>
        <v>μm</v>
      </c>
      <c r="AQ179" s="456"/>
      <c r="AR179" s="456"/>
      <c r="AS179" s="456"/>
      <c r="AT179" s="457"/>
      <c r="AU179" s="460" t="str">
        <f>Calcu!M88</f>
        <v>μm</v>
      </c>
      <c r="AV179" s="456"/>
      <c r="AW179" s="456"/>
      <c r="AX179" s="456"/>
      <c r="AY179" s="457"/>
    </row>
    <row r="180" spans="1:51" ht="18.75" customHeight="1">
      <c r="A180" s="253"/>
      <c r="B180" s="529" t="str">
        <f>Calcu!C89</f>
        <v/>
      </c>
      <c r="C180" s="515"/>
      <c r="D180" s="515"/>
      <c r="E180" s="515"/>
      <c r="F180" s="530"/>
      <c r="G180" s="529" t="str">
        <f>Calcu!D89</f>
        <v/>
      </c>
      <c r="H180" s="515"/>
      <c r="I180" s="515"/>
      <c r="J180" s="515"/>
      <c r="K180" s="530"/>
      <c r="L180" s="443" t="s">
        <v>514</v>
      </c>
      <c r="M180" s="444"/>
      <c r="N180" s="444"/>
      <c r="O180" s="444"/>
      <c r="P180" s="445"/>
      <c r="Q180" s="443" t="str">
        <f>Calcu!G89</f>
        <v/>
      </c>
      <c r="R180" s="444"/>
      <c r="S180" s="444"/>
      <c r="T180" s="444"/>
      <c r="U180" s="445"/>
      <c r="V180" s="443" t="str">
        <f>Calcu!H89</f>
        <v/>
      </c>
      <c r="W180" s="444"/>
      <c r="X180" s="444"/>
      <c r="Y180" s="444"/>
      <c r="Z180" s="445"/>
      <c r="AA180" s="443" t="str">
        <f>Calcu!I89</f>
        <v/>
      </c>
      <c r="AB180" s="444"/>
      <c r="AC180" s="444"/>
      <c r="AD180" s="444"/>
      <c r="AE180" s="445"/>
      <c r="AF180" s="443" t="str">
        <f>Calcu!J89</f>
        <v/>
      </c>
      <c r="AG180" s="444"/>
      <c r="AH180" s="444"/>
      <c r="AI180" s="444"/>
      <c r="AJ180" s="445"/>
      <c r="AK180" s="443" t="str">
        <f>Calcu!K89</f>
        <v/>
      </c>
      <c r="AL180" s="444"/>
      <c r="AM180" s="444"/>
      <c r="AN180" s="444"/>
      <c r="AO180" s="445"/>
      <c r="AP180" s="523" t="str">
        <f>Calcu!L89</f>
        <v/>
      </c>
      <c r="AQ180" s="524"/>
      <c r="AR180" s="524"/>
      <c r="AS180" s="524"/>
      <c r="AT180" s="525"/>
      <c r="AU180" s="526" t="str">
        <f>Calcu!M89</f>
        <v/>
      </c>
      <c r="AV180" s="527"/>
      <c r="AW180" s="527"/>
      <c r="AX180" s="527"/>
      <c r="AY180" s="528"/>
    </row>
    <row r="181" spans="1:51" ht="18.75" customHeight="1">
      <c r="A181" s="253"/>
      <c r="B181" s="531"/>
      <c r="C181" s="532"/>
      <c r="D181" s="532"/>
      <c r="E181" s="532"/>
      <c r="F181" s="533"/>
      <c r="G181" s="531"/>
      <c r="H181" s="532"/>
      <c r="I181" s="532"/>
      <c r="J181" s="532"/>
      <c r="K181" s="533"/>
      <c r="L181" s="443" t="s">
        <v>783</v>
      </c>
      <c r="M181" s="444"/>
      <c r="N181" s="444"/>
      <c r="O181" s="444"/>
      <c r="P181" s="445"/>
      <c r="Q181" s="443" t="str">
        <f>Calcu!G90</f>
        <v/>
      </c>
      <c r="R181" s="444"/>
      <c r="S181" s="444"/>
      <c r="T181" s="444"/>
      <c r="U181" s="445"/>
      <c r="V181" s="443" t="str">
        <f>Calcu!H90</f>
        <v/>
      </c>
      <c r="W181" s="444"/>
      <c r="X181" s="444"/>
      <c r="Y181" s="444"/>
      <c r="Z181" s="445"/>
      <c r="AA181" s="443" t="str">
        <f>Calcu!I90</f>
        <v/>
      </c>
      <c r="AB181" s="444"/>
      <c r="AC181" s="444"/>
      <c r="AD181" s="444"/>
      <c r="AE181" s="445"/>
      <c r="AF181" s="443" t="str">
        <f>Calcu!J90</f>
        <v/>
      </c>
      <c r="AG181" s="444"/>
      <c r="AH181" s="444"/>
      <c r="AI181" s="444"/>
      <c r="AJ181" s="445"/>
      <c r="AK181" s="443" t="str">
        <f>Calcu!K90</f>
        <v/>
      </c>
      <c r="AL181" s="444"/>
      <c r="AM181" s="444"/>
      <c r="AN181" s="444"/>
      <c r="AO181" s="445"/>
      <c r="AP181" s="523" t="str">
        <f>Calcu!L90</f>
        <v/>
      </c>
      <c r="AQ181" s="524"/>
      <c r="AR181" s="524"/>
      <c r="AS181" s="524"/>
      <c r="AT181" s="525"/>
      <c r="AU181" s="526" t="str">
        <f>Calcu!M90</f>
        <v/>
      </c>
      <c r="AV181" s="527"/>
      <c r="AW181" s="527"/>
      <c r="AX181" s="527"/>
      <c r="AY181" s="528"/>
    </row>
    <row r="182" spans="1:51" ht="18.75" customHeight="1">
      <c r="A182" s="253"/>
      <c r="B182" s="529" t="str">
        <f>Calcu!C91</f>
        <v/>
      </c>
      <c r="C182" s="515"/>
      <c r="D182" s="515"/>
      <c r="E182" s="515"/>
      <c r="F182" s="530"/>
      <c r="G182" s="529" t="str">
        <f>Calcu!D91</f>
        <v/>
      </c>
      <c r="H182" s="515"/>
      <c r="I182" s="515"/>
      <c r="J182" s="515"/>
      <c r="K182" s="530"/>
      <c r="L182" s="443" t="s">
        <v>784</v>
      </c>
      <c r="M182" s="444"/>
      <c r="N182" s="444"/>
      <c r="O182" s="444"/>
      <c r="P182" s="445"/>
      <c r="Q182" s="443" t="str">
        <f>Calcu!G91</f>
        <v/>
      </c>
      <c r="R182" s="444"/>
      <c r="S182" s="444"/>
      <c r="T182" s="444"/>
      <c r="U182" s="445"/>
      <c r="V182" s="443" t="str">
        <f>Calcu!H91</f>
        <v/>
      </c>
      <c r="W182" s="444"/>
      <c r="X182" s="444"/>
      <c r="Y182" s="444"/>
      <c r="Z182" s="445"/>
      <c r="AA182" s="443" t="str">
        <f>Calcu!I91</f>
        <v/>
      </c>
      <c r="AB182" s="444"/>
      <c r="AC182" s="444"/>
      <c r="AD182" s="444"/>
      <c r="AE182" s="445"/>
      <c r="AF182" s="443" t="str">
        <f>Calcu!J91</f>
        <v/>
      </c>
      <c r="AG182" s="444"/>
      <c r="AH182" s="444"/>
      <c r="AI182" s="444"/>
      <c r="AJ182" s="445"/>
      <c r="AK182" s="443" t="str">
        <f>Calcu!K91</f>
        <v/>
      </c>
      <c r="AL182" s="444"/>
      <c r="AM182" s="444"/>
      <c r="AN182" s="444"/>
      <c r="AO182" s="445"/>
      <c r="AP182" s="523" t="str">
        <f>Calcu!L91</f>
        <v/>
      </c>
      <c r="AQ182" s="524"/>
      <c r="AR182" s="524"/>
      <c r="AS182" s="524"/>
      <c r="AT182" s="525"/>
      <c r="AU182" s="526" t="str">
        <f>Calcu!M91</f>
        <v/>
      </c>
      <c r="AV182" s="527"/>
      <c r="AW182" s="527"/>
      <c r="AX182" s="527"/>
      <c r="AY182" s="528"/>
    </row>
    <row r="183" spans="1:51" ht="18.75" customHeight="1">
      <c r="A183" s="253"/>
      <c r="B183" s="531"/>
      <c r="C183" s="532"/>
      <c r="D183" s="532"/>
      <c r="E183" s="532"/>
      <c r="F183" s="533"/>
      <c r="G183" s="531"/>
      <c r="H183" s="532"/>
      <c r="I183" s="532"/>
      <c r="J183" s="532"/>
      <c r="K183" s="533"/>
      <c r="L183" s="443" t="s">
        <v>785</v>
      </c>
      <c r="M183" s="444"/>
      <c r="N183" s="444"/>
      <c r="O183" s="444"/>
      <c r="P183" s="445"/>
      <c r="Q183" s="443" t="str">
        <f>Calcu!G92</f>
        <v/>
      </c>
      <c r="R183" s="444"/>
      <c r="S183" s="444"/>
      <c r="T183" s="444"/>
      <c r="U183" s="445"/>
      <c r="V183" s="443" t="str">
        <f>Calcu!H92</f>
        <v/>
      </c>
      <c r="W183" s="444"/>
      <c r="X183" s="444"/>
      <c r="Y183" s="444"/>
      <c r="Z183" s="445"/>
      <c r="AA183" s="443" t="str">
        <f>Calcu!I92</f>
        <v/>
      </c>
      <c r="AB183" s="444"/>
      <c r="AC183" s="444"/>
      <c r="AD183" s="444"/>
      <c r="AE183" s="445"/>
      <c r="AF183" s="443" t="str">
        <f>Calcu!J92</f>
        <v/>
      </c>
      <c r="AG183" s="444"/>
      <c r="AH183" s="444"/>
      <c r="AI183" s="444"/>
      <c r="AJ183" s="445"/>
      <c r="AK183" s="443" t="str">
        <f>Calcu!K92</f>
        <v/>
      </c>
      <c r="AL183" s="444"/>
      <c r="AM183" s="444"/>
      <c r="AN183" s="444"/>
      <c r="AO183" s="445"/>
      <c r="AP183" s="523" t="str">
        <f>Calcu!L92</f>
        <v/>
      </c>
      <c r="AQ183" s="524"/>
      <c r="AR183" s="524"/>
      <c r="AS183" s="524"/>
      <c r="AT183" s="525"/>
      <c r="AU183" s="526" t="str">
        <f>Calcu!M92</f>
        <v/>
      </c>
      <c r="AV183" s="527"/>
      <c r="AW183" s="527"/>
      <c r="AX183" s="527"/>
      <c r="AY183" s="528"/>
    </row>
    <row r="184" spans="1:51" ht="18.75" customHeight="1">
      <c r="A184" s="253"/>
      <c r="B184" s="446" t="str">
        <f>Calcu!B93</f>
        <v/>
      </c>
      <c r="C184" s="447"/>
      <c r="D184" s="447"/>
      <c r="E184" s="447"/>
      <c r="F184" s="448"/>
      <c r="G184" s="460" t="s">
        <v>786</v>
      </c>
      <c r="H184" s="456"/>
      <c r="I184" s="456"/>
      <c r="J184" s="456"/>
      <c r="K184" s="456"/>
      <c r="L184" s="456"/>
      <c r="M184" s="456"/>
      <c r="N184" s="456"/>
      <c r="O184" s="456"/>
      <c r="P184" s="457"/>
      <c r="Q184" s="443" t="e">
        <f>Calcu!G93</f>
        <v>#VALUE!</v>
      </c>
      <c r="R184" s="444"/>
      <c r="S184" s="444"/>
      <c r="T184" s="444"/>
      <c r="U184" s="445"/>
      <c r="V184" s="443" t="e">
        <f>Calcu!H93</f>
        <v>#VALUE!</v>
      </c>
      <c r="W184" s="444"/>
      <c r="X184" s="444"/>
      <c r="Y184" s="444"/>
      <c r="Z184" s="445"/>
      <c r="AA184" s="443" t="e">
        <f>Calcu!I93</f>
        <v>#VALUE!</v>
      </c>
      <c r="AB184" s="444"/>
      <c r="AC184" s="444"/>
      <c r="AD184" s="444"/>
      <c r="AE184" s="445"/>
      <c r="AF184" s="443" t="e">
        <f>Calcu!J93</f>
        <v>#VALUE!</v>
      </c>
      <c r="AG184" s="444"/>
      <c r="AH184" s="444"/>
      <c r="AI184" s="444"/>
      <c r="AJ184" s="445"/>
      <c r="AK184" s="443" t="e">
        <f>Calcu!K93</f>
        <v>#VALUE!</v>
      </c>
      <c r="AL184" s="444"/>
      <c r="AM184" s="444"/>
      <c r="AN184" s="444"/>
      <c r="AO184" s="445"/>
      <c r="AP184" s="523" t="e">
        <f>Calcu!L93</f>
        <v>#VALUE!</v>
      </c>
      <c r="AQ184" s="524"/>
      <c r="AR184" s="524"/>
      <c r="AS184" s="524"/>
      <c r="AT184" s="525"/>
      <c r="AU184" s="526" t="e">
        <f>Calcu!M93</f>
        <v>#VALUE!</v>
      </c>
      <c r="AV184" s="527"/>
      <c r="AW184" s="527"/>
      <c r="AX184" s="527"/>
      <c r="AY184" s="528"/>
    </row>
    <row r="185" spans="1:51" ht="18.75" customHeight="1">
      <c r="A185" s="253"/>
      <c r="B185" s="449"/>
      <c r="C185" s="450"/>
      <c r="D185" s="450"/>
      <c r="E185" s="450"/>
      <c r="F185" s="451"/>
      <c r="G185" s="460" t="s">
        <v>787</v>
      </c>
      <c r="H185" s="456"/>
      <c r="I185" s="456"/>
      <c r="J185" s="456"/>
      <c r="K185" s="456"/>
      <c r="L185" s="456"/>
      <c r="M185" s="456"/>
      <c r="N185" s="456"/>
      <c r="O185" s="456"/>
      <c r="P185" s="457"/>
      <c r="Q185" s="443" t="e">
        <f>Calcu!G94</f>
        <v>#VALUE!</v>
      </c>
      <c r="R185" s="444"/>
      <c r="S185" s="444"/>
      <c r="T185" s="444"/>
      <c r="U185" s="445"/>
      <c r="V185" s="443" t="e">
        <f>Calcu!H94</f>
        <v>#VALUE!</v>
      </c>
      <c r="W185" s="444"/>
      <c r="X185" s="444"/>
      <c r="Y185" s="444"/>
      <c r="Z185" s="445"/>
      <c r="AA185" s="443" t="e">
        <f>Calcu!I94</f>
        <v>#VALUE!</v>
      </c>
      <c r="AB185" s="444"/>
      <c r="AC185" s="444"/>
      <c r="AD185" s="444"/>
      <c r="AE185" s="445"/>
      <c r="AF185" s="443" t="e">
        <f>Calcu!J94</f>
        <v>#VALUE!</v>
      </c>
      <c r="AG185" s="444"/>
      <c r="AH185" s="444"/>
      <c r="AI185" s="444"/>
      <c r="AJ185" s="445"/>
      <c r="AK185" s="443" t="e">
        <f>Calcu!K94</f>
        <v>#VALUE!</v>
      </c>
      <c r="AL185" s="444"/>
      <c r="AM185" s="444"/>
      <c r="AN185" s="444"/>
      <c r="AO185" s="445"/>
      <c r="AP185" s="523" t="e">
        <f>Calcu!L94</f>
        <v>#VALUE!</v>
      </c>
      <c r="AQ185" s="524"/>
      <c r="AR185" s="524"/>
      <c r="AS185" s="524"/>
      <c r="AT185" s="525"/>
      <c r="AU185" s="526" t="e">
        <f>Calcu!M94</f>
        <v>#VALUE!</v>
      </c>
      <c r="AV185" s="527"/>
      <c r="AW185" s="527"/>
      <c r="AX185" s="527"/>
      <c r="AY185" s="528"/>
    </row>
    <row r="186" spans="1:51" ht="18.75" customHeight="1">
      <c r="A186" s="253"/>
      <c r="B186" s="446" t="str">
        <f>Calcu!B95</f>
        <v/>
      </c>
      <c r="C186" s="447"/>
      <c r="D186" s="447"/>
      <c r="E186" s="447"/>
      <c r="F186" s="448"/>
      <c r="G186" s="460" t="s">
        <v>788</v>
      </c>
      <c r="H186" s="456"/>
      <c r="I186" s="456"/>
      <c r="J186" s="456"/>
      <c r="K186" s="456"/>
      <c r="L186" s="456"/>
      <c r="M186" s="456"/>
      <c r="N186" s="456"/>
      <c r="O186" s="456"/>
      <c r="P186" s="457"/>
      <c r="Q186" s="443" t="e">
        <f>Calcu!G95</f>
        <v>#VALUE!</v>
      </c>
      <c r="R186" s="444"/>
      <c r="S186" s="444"/>
      <c r="T186" s="444"/>
      <c r="U186" s="445"/>
      <c r="V186" s="443" t="e">
        <f>Calcu!H95</f>
        <v>#VALUE!</v>
      </c>
      <c r="W186" s="444"/>
      <c r="X186" s="444"/>
      <c r="Y186" s="444"/>
      <c r="Z186" s="445"/>
      <c r="AA186" s="443" t="e">
        <f>Calcu!I95</f>
        <v>#VALUE!</v>
      </c>
      <c r="AB186" s="444"/>
      <c r="AC186" s="444"/>
      <c r="AD186" s="444"/>
      <c r="AE186" s="445"/>
      <c r="AF186" s="443" t="e">
        <f>Calcu!J95</f>
        <v>#VALUE!</v>
      </c>
      <c r="AG186" s="444"/>
      <c r="AH186" s="444"/>
      <c r="AI186" s="444"/>
      <c r="AJ186" s="445"/>
      <c r="AK186" s="443" t="e">
        <f>Calcu!K95</f>
        <v>#VALUE!</v>
      </c>
      <c r="AL186" s="444"/>
      <c r="AM186" s="444"/>
      <c r="AN186" s="444"/>
      <c r="AO186" s="445"/>
      <c r="AP186" s="523" t="e">
        <f>Calcu!L95</f>
        <v>#VALUE!</v>
      </c>
      <c r="AQ186" s="524"/>
      <c r="AR186" s="524"/>
      <c r="AS186" s="524"/>
      <c r="AT186" s="525"/>
      <c r="AU186" s="526" t="e">
        <f>Calcu!M95</f>
        <v>#VALUE!</v>
      </c>
      <c r="AV186" s="527"/>
      <c r="AW186" s="527"/>
      <c r="AX186" s="527"/>
      <c r="AY186" s="528"/>
    </row>
    <row r="187" spans="1:51" ht="18.75" customHeight="1">
      <c r="A187" s="253"/>
      <c r="B187" s="449"/>
      <c r="C187" s="450"/>
      <c r="D187" s="450"/>
      <c r="E187" s="450"/>
      <c r="F187" s="451"/>
      <c r="G187" s="460" t="s">
        <v>789</v>
      </c>
      <c r="H187" s="456"/>
      <c r="I187" s="456"/>
      <c r="J187" s="456"/>
      <c r="K187" s="456"/>
      <c r="L187" s="456"/>
      <c r="M187" s="456"/>
      <c r="N187" s="456"/>
      <c r="O187" s="456"/>
      <c r="P187" s="457"/>
      <c r="Q187" s="443" t="e">
        <f>Calcu!G96</f>
        <v>#VALUE!</v>
      </c>
      <c r="R187" s="444"/>
      <c r="S187" s="444"/>
      <c r="T187" s="444"/>
      <c r="U187" s="445"/>
      <c r="V187" s="443" t="e">
        <f>Calcu!H96</f>
        <v>#VALUE!</v>
      </c>
      <c r="W187" s="444"/>
      <c r="X187" s="444"/>
      <c r="Y187" s="444"/>
      <c r="Z187" s="445"/>
      <c r="AA187" s="443" t="e">
        <f>Calcu!I96</f>
        <v>#VALUE!</v>
      </c>
      <c r="AB187" s="444"/>
      <c r="AC187" s="444"/>
      <c r="AD187" s="444"/>
      <c r="AE187" s="445"/>
      <c r="AF187" s="443" t="e">
        <f>Calcu!J96</f>
        <v>#VALUE!</v>
      </c>
      <c r="AG187" s="444"/>
      <c r="AH187" s="444"/>
      <c r="AI187" s="444"/>
      <c r="AJ187" s="445"/>
      <c r="AK187" s="443" t="e">
        <f>Calcu!K96</f>
        <v>#VALUE!</v>
      </c>
      <c r="AL187" s="444"/>
      <c r="AM187" s="444"/>
      <c r="AN187" s="444"/>
      <c r="AO187" s="445"/>
      <c r="AP187" s="523" t="e">
        <f>Calcu!L96</f>
        <v>#VALUE!</v>
      </c>
      <c r="AQ187" s="524"/>
      <c r="AR187" s="524"/>
      <c r="AS187" s="524"/>
      <c r="AT187" s="525"/>
      <c r="AU187" s="526" t="e">
        <f>Calcu!M96</f>
        <v>#VALUE!</v>
      </c>
      <c r="AV187" s="527"/>
      <c r="AW187" s="527"/>
      <c r="AX187" s="527"/>
      <c r="AY187" s="528"/>
    </row>
    <row r="188" spans="1:51" ht="18.75" customHeight="1">
      <c r="A188" s="253"/>
      <c r="B188" s="316"/>
      <c r="C188" s="316"/>
      <c r="D188" s="316"/>
      <c r="E188" s="316"/>
      <c r="F188" s="316"/>
      <c r="G188" s="316"/>
      <c r="H188" s="316"/>
      <c r="I188" s="316"/>
      <c r="J188" s="316"/>
      <c r="K188" s="316"/>
      <c r="L188" s="316"/>
      <c r="M188" s="316"/>
      <c r="N188" s="316"/>
      <c r="O188" s="316"/>
      <c r="P188" s="316"/>
      <c r="Q188" s="316"/>
      <c r="R188" s="316"/>
      <c r="S188" s="316"/>
      <c r="T188" s="316"/>
      <c r="U188" s="316"/>
      <c r="V188" s="316"/>
      <c r="W188" s="316"/>
      <c r="X188" s="316"/>
      <c r="Y188" s="316"/>
      <c r="Z188" s="316"/>
      <c r="AA188" s="316"/>
      <c r="AB188" s="316"/>
      <c r="AC188" s="316"/>
      <c r="AD188" s="316"/>
      <c r="AE188" s="316"/>
      <c r="AF188" s="316"/>
      <c r="AG188" s="316"/>
      <c r="AH188" s="316"/>
      <c r="AI188" s="316"/>
      <c r="AJ188" s="316"/>
      <c r="AK188" s="316"/>
      <c r="AL188" s="316"/>
      <c r="AM188" s="316"/>
      <c r="AN188" s="316"/>
      <c r="AO188" s="316"/>
      <c r="AP188" s="316"/>
      <c r="AQ188" s="316"/>
      <c r="AR188" s="316"/>
      <c r="AS188" s="316"/>
      <c r="AT188" s="316"/>
    </row>
    <row r="189" spans="1:51" ht="18.75" customHeight="1">
      <c r="A189" s="253" t="s">
        <v>790</v>
      </c>
      <c r="B189" s="254"/>
      <c r="C189" s="254"/>
      <c r="D189" s="254"/>
      <c r="E189" s="254"/>
      <c r="F189" s="254"/>
      <c r="G189" s="254"/>
      <c r="H189" s="254"/>
      <c r="I189" s="254"/>
      <c r="J189" s="254"/>
      <c r="K189" s="254"/>
      <c r="L189" s="254"/>
      <c r="M189" s="254"/>
      <c r="N189" s="254"/>
      <c r="O189" s="254"/>
      <c r="P189" s="254"/>
      <c r="Q189" s="254"/>
      <c r="R189" s="254"/>
      <c r="S189" s="254"/>
      <c r="T189" s="254"/>
      <c r="U189" s="254"/>
      <c r="V189" s="254"/>
      <c r="W189" s="254"/>
      <c r="X189" s="254"/>
      <c r="Y189" s="254"/>
      <c r="Z189" s="254"/>
      <c r="AA189" s="254"/>
      <c r="AB189" s="254"/>
      <c r="AC189" s="254"/>
      <c r="AD189" s="254"/>
      <c r="AE189" s="254"/>
      <c r="AF189" s="254"/>
      <c r="AG189" s="254"/>
      <c r="AH189" s="254"/>
      <c r="AI189" s="254"/>
      <c r="AJ189" s="254"/>
      <c r="AK189" s="254"/>
      <c r="AL189" s="254"/>
      <c r="AM189" s="254"/>
      <c r="AN189" s="254"/>
      <c r="AO189" s="254"/>
      <c r="AP189" s="254"/>
      <c r="AQ189" s="254"/>
      <c r="AR189" s="254"/>
      <c r="AS189" s="254"/>
      <c r="AT189" s="254"/>
    </row>
    <row r="190" spans="1:51" ht="18.75" customHeight="1">
      <c r="A190" s="255"/>
      <c r="B190" s="254"/>
      <c r="C190" s="254"/>
      <c r="D190" s="254"/>
      <c r="E190" s="254"/>
      <c r="F190" s="254"/>
      <c r="G190" s="254"/>
      <c r="H190" s="254"/>
      <c r="I190" s="254"/>
      <c r="J190" s="254"/>
      <c r="K190" s="254"/>
      <c r="L190" s="254"/>
      <c r="M190" s="254"/>
      <c r="N190" s="254"/>
      <c r="O190" s="254"/>
      <c r="P190" s="254"/>
      <c r="Q190" s="254"/>
      <c r="R190" s="254"/>
      <c r="S190" s="254"/>
      <c r="T190" s="254"/>
      <c r="U190" s="254"/>
      <c r="V190" s="254"/>
      <c r="W190" s="254"/>
      <c r="X190" s="254"/>
      <c r="Y190" s="254"/>
      <c r="Z190" s="254"/>
      <c r="AA190" s="254"/>
      <c r="AB190" s="254"/>
      <c r="AC190" s="254"/>
      <c r="AD190" s="254"/>
      <c r="AE190" s="254"/>
      <c r="AF190" s="254"/>
      <c r="AG190" s="254"/>
      <c r="AH190" s="254"/>
      <c r="AI190" s="254"/>
      <c r="AJ190" s="254"/>
      <c r="AK190" s="254"/>
      <c r="AL190" s="254"/>
      <c r="AM190" s="254"/>
      <c r="AN190" s="254"/>
      <c r="AO190" s="254"/>
      <c r="AP190" s="254"/>
      <c r="AQ190" s="254"/>
      <c r="AR190" s="254"/>
      <c r="AS190" s="254"/>
      <c r="AT190" s="254"/>
    </row>
    <row r="191" spans="1:51" ht="18.75" customHeight="1">
      <c r="A191" s="255"/>
      <c r="B191" s="254"/>
      <c r="C191" s="254"/>
      <c r="D191" s="254"/>
      <c r="E191" s="254"/>
      <c r="F191" s="254"/>
      <c r="G191" s="254"/>
      <c r="H191" s="254"/>
      <c r="I191" s="254"/>
      <c r="J191" s="254"/>
      <c r="K191" s="254"/>
      <c r="L191" s="254"/>
      <c r="M191" s="254"/>
      <c r="N191" s="254"/>
      <c r="O191" s="254"/>
      <c r="P191" s="254"/>
      <c r="Q191" s="254"/>
      <c r="R191" s="254"/>
      <c r="S191" s="254"/>
      <c r="T191" s="254"/>
      <c r="U191" s="254"/>
      <c r="V191" s="254"/>
      <c r="W191" s="254"/>
      <c r="X191" s="254"/>
      <c r="Y191" s="254"/>
      <c r="Z191" s="254"/>
      <c r="AA191" s="254"/>
      <c r="AB191" s="254"/>
      <c r="AC191" s="254"/>
      <c r="AD191" s="254"/>
      <c r="AE191" s="254"/>
      <c r="AF191" s="254"/>
      <c r="AG191" s="254"/>
      <c r="AH191" s="254"/>
      <c r="AI191" s="254"/>
      <c r="AJ191" s="254"/>
      <c r="AK191" s="254"/>
      <c r="AL191" s="254"/>
      <c r="AM191" s="254"/>
      <c r="AN191" s="254"/>
      <c r="AO191" s="254"/>
      <c r="AP191" s="254"/>
      <c r="AQ191" s="254"/>
      <c r="AR191" s="254"/>
      <c r="AS191" s="254"/>
      <c r="AT191" s="254"/>
    </row>
    <row r="192" spans="1:51" ht="18.75" customHeight="1">
      <c r="A192" s="255"/>
      <c r="B192" s="254"/>
      <c r="C192" s="254"/>
      <c r="D192" s="254"/>
      <c r="E192" s="254"/>
      <c r="F192" s="254"/>
      <c r="G192" s="254"/>
      <c r="H192" s="254"/>
      <c r="I192" s="254"/>
      <c r="J192" s="254"/>
      <c r="K192" s="254"/>
      <c r="L192" s="254"/>
      <c r="M192" s="254"/>
      <c r="N192" s="254"/>
      <c r="O192" s="254"/>
      <c r="P192" s="254"/>
      <c r="Q192" s="254"/>
      <c r="R192" s="254"/>
      <c r="S192" s="254"/>
      <c r="T192" s="254"/>
      <c r="U192" s="254"/>
      <c r="V192" s="254"/>
      <c r="W192" s="254"/>
      <c r="X192" s="254"/>
      <c r="Y192" s="254"/>
      <c r="Z192" s="254"/>
      <c r="AA192" s="254"/>
      <c r="AB192" s="254"/>
      <c r="AC192" s="254"/>
      <c r="AD192" s="254"/>
      <c r="AE192" s="254"/>
      <c r="AF192" s="254"/>
      <c r="AG192" s="254"/>
      <c r="AH192" s="254"/>
      <c r="AI192" s="254"/>
      <c r="AJ192" s="254"/>
      <c r="AK192" s="254"/>
      <c r="AL192" s="254"/>
      <c r="AM192" s="254"/>
      <c r="AN192" s="254"/>
      <c r="AO192" s="254"/>
      <c r="AP192" s="254"/>
      <c r="AQ192" s="254"/>
      <c r="AR192" s="254"/>
      <c r="AS192" s="254"/>
      <c r="AT192" s="254"/>
    </row>
    <row r="193" spans="1:54" ht="18.75" customHeight="1">
      <c r="A193" s="255"/>
      <c r="B193" s="254"/>
      <c r="C193" s="461" t="s">
        <v>791</v>
      </c>
      <c r="D193" s="461"/>
      <c r="E193" s="461"/>
      <c r="F193" s="316" t="s">
        <v>792</v>
      </c>
      <c r="G193" s="254" t="s">
        <v>793</v>
      </c>
      <c r="H193" s="254"/>
      <c r="I193" s="254"/>
      <c r="J193" s="254"/>
      <c r="K193" s="254"/>
      <c r="L193" s="254"/>
      <c r="M193" s="254"/>
      <c r="N193" s="254"/>
      <c r="O193" s="254"/>
      <c r="P193" s="254"/>
      <c r="Q193" s="254"/>
      <c r="R193" s="254"/>
      <c r="S193" s="254"/>
      <c r="W193" s="256"/>
      <c r="X193" s="256"/>
      <c r="Y193" s="256"/>
      <c r="Z193" s="254"/>
      <c r="AA193" s="254"/>
      <c r="AB193" s="254"/>
      <c r="AC193" s="254"/>
      <c r="AD193" s="254"/>
      <c r="AE193" s="254"/>
      <c r="AF193" s="254"/>
      <c r="AG193" s="254"/>
      <c r="AH193" s="254"/>
      <c r="AI193" s="254"/>
      <c r="AJ193" s="254"/>
      <c r="AK193" s="254"/>
      <c r="AL193" s="254"/>
      <c r="AM193" s="254"/>
      <c r="AN193" s="254"/>
      <c r="AO193" s="254"/>
      <c r="AP193" s="254"/>
      <c r="AQ193" s="254"/>
      <c r="AR193" s="254"/>
      <c r="AS193" s="254"/>
      <c r="AT193" s="254"/>
    </row>
    <row r="194" spans="1:54" ht="18.75" customHeight="1">
      <c r="A194" s="255"/>
      <c r="B194" s="254"/>
      <c r="C194" s="461" t="s">
        <v>794</v>
      </c>
      <c r="D194" s="461"/>
      <c r="E194" s="461"/>
      <c r="F194" s="316" t="s">
        <v>665</v>
      </c>
      <c r="G194" s="254" t="s">
        <v>795</v>
      </c>
      <c r="H194" s="254"/>
      <c r="I194" s="254"/>
      <c r="J194" s="254"/>
      <c r="K194" s="254"/>
      <c r="L194" s="254"/>
      <c r="M194" s="254"/>
      <c r="N194" s="254"/>
      <c r="O194" s="254"/>
      <c r="P194" s="254"/>
      <c r="Q194" s="254"/>
      <c r="R194" s="254"/>
      <c r="S194" s="254"/>
      <c r="T194" s="254"/>
      <c r="U194" s="254"/>
      <c r="V194" s="254"/>
      <c r="W194" s="254"/>
      <c r="X194" s="254"/>
      <c r="Y194" s="254"/>
      <c r="Z194" s="254"/>
      <c r="AA194" s="254"/>
      <c r="AB194" s="254"/>
      <c r="AC194" s="254"/>
      <c r="AD194" s="254"/>
      <c r="AE194" s="254"/>
      <c r="AF194" s="254"/>
      <c r="AG194" s="254"/>
      <c r="AH194" s="254"/>
      <c r="AI194" s="254"/>
      <c r="AJ194" s="254"/>
      <c r="AK194" s="254"/>
      <c r="AL194" s="254"/>
      <c r="AM194" s="254"/>
      <c r="AN194" s="254"/>
      <c r="AO194" s="254"/>
      <c r="AP194" s="254"/>
      <c r="AQ194" s="254"/>
      <c r="AR194" s="254"/>
      <c r="AS194" s="254"/>
      <c r="AT194" s="254"/>
      <c r="AU194" s="254"/>
      <c r="AV194" s="254"/>
      <c r="AW194" s="254"/>
      <c r="AX194" s="254"/>
      <c r="AY194" s="254"/>
      <c r="AZ194" s="254"/>
      <c r="BA194" s="254"/>
      <c r="BB194" s="254"/>
    </row>
    <row r="195" spans="1:54" ht="18.75" customHeight="1">
      <c r="A195" s="255"/>
      <c r="B195" s="254"/>
      <c r="C195" s="461" t="s">
        <v>796</v>
      </c>
      <c r="D195" s="461"/>
      <c r="E195" s="461"/>
      <c r="F195" s="316" t="s">
        <v>665</v>
      </c>
      <c r="G195" s="254" t="s">
        <v>797</v>
      </c>
      <c r="H195" s="254"/>
      <c r="I195" s="254"/>
      <c r="J195" s="254"/>
      <c r="K195" s="254"/>
      <c r="L195" s="254"/>
      <c r="M195" s="254"/>
      <c r="N195" s="254"/>
      <c r="O195" s="254"/>
      <c r="P195" s="254"/>
      <c r="Q195" s="254"/>
      <c r="U195" s="254"/>
      <c r="V195" s="254"/>
      <c r="W195" s="254"/>
      <c r="X195" s="254"/>
      <c r="Y195" s="254"/>
      <c r="Z195" s="254"/>
      <c r="AA195" s="254"/>
      <c r="AB195" s="254"/>
      <c r="AC195" s="254"/>
      <c r="AD195" s="254"/>
      <c r="AE195" s="254"/>
      <c r="AF195" s="254"/>
      <c r="AG195" s="254"/>
      <c r="AH195" s="254"/>
      <c r="AI195" s="254"/>
      <c r="AJ195" s="254"/>
      <c r="AK195" s="254"/>
      <c r="AL195" s="254"/>
      <c r="AM195" s="254"/>
      <c r="AN195" s="254"/>
      <c r="AO195" s="254"/>
      <c r="AP195" s="254"/>
      <c r="AQ195" s="254"/>
      <c r="AR195" s="254"/>
      <c r="AS195" s="254"/>
      <c r="AT195" s="254"/>
      <c r="AU195" s="254"/>
      <c r="AV195" s="254"/>
      <c r="AW195" s="254"/>
      <c r="AX195" s="254"/>
      <c r="AY195" s="254"/>
      <c r="AZ195" s="254"/>
      <c r="BA195" s="254"/>
      <c r="BB195" s="254"/>
    </row>
    <row r="196" spans="1:54" ht="18.75" customHeight="1">
      <c r="A196" s="255"/>
      <c r="B196" s="254"/>
      <c r="C196" s="461" t="s">
        <v>798</v>
      </c>
      <c r="D196" s="461"/>
      <c r="E196" s="461"/>
      <c r="F196" s="316" t="s">
        <v>665</v>
      </c>
      <c r="G196" s="254" t="s">
        <v>799</v>
      </c>
      <c r="H196" s="254"/>
      <c r="I196" s="254"/>
      <c r="J196" s="254"/>
      <c r="K196" s="254"/>
      <c r="L196" s="254"/>
      <c r="M196" s="254"/>
      <c r="N196" s="254"/>
      <c r="O196" s="254"/>
      <c r="P196" s="254"/>
      <c r="Q196" s="254"/>
      <c r="R196" s="254"/>
      <c r="S196" s="254"/>
      <c r="T196" s="254"/>
      <c r="U196" s="254"/>
      <c r="V196" s="254"/>
      <c r="W196" s="254"/>
      <c r="X196" s="254"/>
      <c r="Y196" s="254"/>
      <c r="Z196" s="254"/>
      <c r="AA196" s="254"/>
      <c r="AB196" s="254"/>
      <c r="AC196" s="254"/>
      <c r="AD196" s="254"/>
      <c r="AE196" s="254"/>
      <c r="AF196" s="254"/>
      <c r="AG196" s="254"/>
      <c r="AH196" s="254"/>
      <c r="AI196" s="254"/>
      <c r="AJ196" s="254"/>
      <c r="AK196" s="254"/>
      <c r="AL196" s="254"/>
      <c r="AM196" s="254"/>
      <c r="AN196" s="254"/>
      <c r="AO196" s="254"/>
      <c r="AP196" s="254"/>
      <c r="AQ196" s="254"/>
      <c r="AR196" s="254"/>
      <c r="AS196" s="254"/>
      <c r="AT196" s="254"/>
      <c r="AU196" s="254"/>
      <c r="AV196" s="254"/>
      <c r="AW196" s="254"/>
      <c r="AX196" s="254"/>
      <c r="AY196" s="254"/>
      <c r="AZ196" s="254"/>
      <c r="BA196" s="254"/>
      <c r="BB196" s="254"/>
    </row>
    <row r="197" spans="1:54" ht="18.75" customHeight="1">
      <c r="A197" s="255"/>
      <c r="B197" s="254"/>
      <c r="C197" s="461" t="s">
        <v>800</v>
      </c>
      <c r="D197" s="461"/>
      <c r="E197" s="461"/>
      <c r="F197" s="316" t="s">
        <v>792</v>
      </c>
      <c r="G197" s="254" t="s">
        <v>801</v>
      </c>
      <c r="H197" s="254"/>
      <c r="I197" s="254"/>
      <c r="J197" s="254"/>
      <c r="K197" s="254"/>
      <c r="L197" s="254"/>
      <c r="M197" s="254"/>
      <c r="N197" s="254"/>
      <c r="O197" s="254"/>
      <c r="P197" s="254"/>
      <c r="Q197" s="254"/>
      <c r="R197" s="254"/>
      <c r="S197" s="254"/>
      <c r="T197" s="254"/>
      <c r="U197" s="254"/>
      <c r="V197" s="254"/>
      <c r="W197" s="254"/>
      <c r="X197" s="254"/>
      <c r="Y197" s="254"/>
      <c r="Z197" s="254"/>
      <c r="AA197" s="254"/>
      <c r="AB197" s="254"/>
      <c r="AC197" s="254"/>
      <c r="AD197" s="254"/>
      <c r="AE197" s="254"/>
      <c r="AF197" s="254"/>
      <c r="AG197" s="254"/>
      <c r="AH197" s="254"/>
      <c r="AI197" s="254"/>
      <c r="AJ197" s="254"/>
      <c r="AK197" s="254"/>
      <c r="AL197" s="254"/>
      <c r="AM197" s="254"/>
      <c r="AN197" s="254"/>
      <c r="AO197" s="254"/>
      <c r="AP197" s="254"/>
      <c r="AQ197" s="254"/>
      <c r="AR197" s="254"/>
      <c r="AS197" s="254"/>
      <c r="AT197" s="254"/>
      <c r="AU197" s="254"/>
      <c r="AV197" s="254"/>
      <c r="AW197" s="254"/>
      <c r="AX197" s="254"/>
      <c r="AY197" s="254"/>
      <c r="AZ197" s="254"/>
      <c r="BA197" s="254"/>
      <c r="BB197" s="254"/>
    </row>
    <row r="198" spans="1:54" ht="18.75" customHeight="1">
      <c r="A198" s="255"/>
      <c r="B198" s="254"/>
      <c r="C198" s="256"/>
      <c r="D198" s="256"/>
      <c r="E198" s="256"/>
      <c r="F198" s="316"/>
      <c r="G198" s="254"/>
      <c r="H198" s="254"/>
      <c r="I198" s="254"/>
      <c r="J198" s="254"/>
      <c r="K198" s="254"/>
      <c r="L198" s="254"/>
      <c r="M198" s="254"/>
      <c r="N198" s="254"/>
      <c r="O198" s="254"/>
      <c r="P198" s="254"/>
      <c r="Q198" s="254"/>
      <c r="R198" s="254"/>
      <c r="S198" s="254"/>
      <c r="T198" s="254"/>
      <c r="U198" s="254"/>
      <c r="V198" s="254"/>
      <c r="W198" s="254"/>
      <c r="X198" s="254"/>
      <c r="Y198" s="254"/>
      <c r="Z198" s="254"/>
      <c r="AA198" s="254"/>
      <c r="AB198" s="254"/>
      <c r="AC198" s="254"/>
      <c r="AD198" s="254"/>
      <c r="AE198" s="254"/>
      <c r="AF198" s="254"/>
      <c r="AG198" s="254"/>
      <c r="AH198" s="254"/>
      <c r="AI198" s="254"/>
      <c r="AJ198" s="254"/>
      <c r="AK198" s="254"/>
      <c r="AL198" s="254"/>
      <c r="AM198" s="254"/>
      <c r="AN198" s="254"/>
      <c r="AO198" s="254"/>
      <c r="AP198" s="254"/>
      <c r="AQ198" s="254"/>
      <c r="AR198" s="254"/>
      <c r="AS198" s="254"/>
      <c r="AT198" s="254"/>
      <c r="AU198" s="254"/>
      <c r="AV198" s="254"/>
      <c r="AW198" s="254"/>
      <c r="AX198" s="254"/>
      <c r="AY198" s="254"/>
      <c r="AZ198" s="254"/>
      <c r="BA198" s="254"/>
      <c r="BB198" s="254"/>
    </row>
    <row r="199" spans="1:54" ht="18.75" customHeight="1">
      <c r="A199" s="253" t="s">
        <v>671</v>
      </c>
      <c r="B199" s="254"/>
      <c r="C199" s="254"/>
      <c r="D199" s="254"/>
      <c r="E199" s="254"/>
      <c r="F199" s="254"/>
      <c r="G199" s="254"/>
      <c r="H199" s="254"/>
      <c r="I199" s="254"/>
      <c r="J199" s="254"/>
      <c r="K199" s="254"/>
      <c r="L199" s="254"/>
      <c r="M199" s="254"/>
      <c r="N199" s="254"/>
      <c r="O199" s="254"/>
      <c r="P199" s="254"/>
      <c r="Q199" s="254"/>
      <c r="R199" s="254"/>
      <c r="S199" s="254"/>
      <c r="T199" s="254"/>
      <c r="U199" s="254"/>
      <c r="V199" s="254"/>
      <c r="W199" s="254"/>
      <c r="X199" s="254"/>
      <c r="Y199" s="254"/>
      <c r="Z199" s="254"/>
      <c r="AA199" s="254"/>
      <c r="AB199" s="254"/>
      <c r="AC199" s="254"/>
      <c r="AD199" s="254"/>
      <c r="AE199" s="254"/>
      <c r="AF199" s="254"/>
      <c r="AG199" s="254"/>
      <c r="AH199" s="254"/>
      <c r="AI199" s="254"/>
      <c r="AJ199" s="254"/>
      <c r="AK199" s="254"/>
      <c r="AL199" s="254"/>
      <c r="AM199" s="254"/>
      <c r="AN199" s="254"/>
      <c r="AO199" s="254"/>
      <c r="AP199" s="254"/>
      <c r="AQ199" s="254"/>
      <c r="AR199" s="254"/>
      <c r="AS199" s="254"/>
      <c r="AT199" s="254"/>
    </row>
    <row r="200" spans="1:54" ht="18.75" customHeight="1">
      <c r="A200" s="254"/>
      <c r="B200" s="254"/>
      <c r="C200" s="254"/>
      <c r="D200" s="254"/>
      <c r="E200" s="254"/>
      <c r="F200" s="254"/>
      <c r="G200" s="254"/>
      <c r="H200" s="254"/>
      <c r="I200" s="254"/>
      <c r="J200" s="254"/>
      <c r="K200" s="254"/>
      <c r="L200" s="254"/>
      <c r="M200" s="254"/>
      <c r="N200" s="254"/>
      <c r="O200" s="254"/>
      <c r="P200" s="254"/>
      <c r="Q200" s="254"/>
      <c r="R200" s="254"/>
      <c r="S200" s="254"/>
      <c r="T200" s="254"/>
      <c r="U200" s="254"/>
      <c r="V200" s="254"/>
      <c r="W200" s="254"/>
      <c r="X200" s="254"/>
      <c r="Y200" s="254"/>
      <c r="Z200" s="254"/>
      <c r="AA200" s="254"/>
      <c r="AB200" s="254"/>
      <c r="AC200" s="254"/>
      <c r="AD200" s="254"/>
      <c r="AE200" s="254"/>
      <c r="AF200" s="254"/>
      <c r="AG200" s="254"/>
      <c r="AH200" s="254"/>
      <c r="AI200" s="254"/>
      <c r="AJ200" s="254"/>
      <c r="AK200" s="254"/>
      <c r="AL200" s="254"/>
      <c r="AM200" s="254"/>
      <c r="AN200" s="254"/>
      <c r="AO200" s="254"/>
      <c r="AP200" s="254"/>
      <c r="AQ200" s="254"/>
      <c r="AR200" s="254"/>
      <c r="AS200" s="254"/>
      <c r="AT200" s="254"/>
    </row>
    <row r="201" spans="1:54" ht="18.75" customHeight="1">
      <c r="A201" s="254"/>
      <c r="B201" s="254"/>
      <c r="C201" s="254" t="s">
        <v>672</v>
      </c>
      <c r="D201" s="254"/>
      <c r="E201" s="254"/>
      <c r="F201" s="254"/>
      <c r="G201" s="254"/>
      <c r="H201" s="254"/>
      <c r="I201" s="254"/>
      <c r="J201" s="254"/>
      <c r="K201" s="254"/>
      <c r="L201" s="254"/>
      <c r="M201" s="254"/>
      <c r="N201" s="254"/>
      <c r="O201" s="254"/>
      <c r="P201" s="254"/>
      <c r="Q201" s="254"/>
      <c r="R201" s="254"/>
      <c r="S201" s="254"/>
      <c r="T201" s="254"/>
      <c r="U201" s="254"/>
      <c r="V201" s="254"/>
      <c r="W201" s="254"/>
      <c r="X201" s="254"/>
      <c r="Y201" s="254"/>
      <c r="Z201" s="254"/>
      <c r="AA201" s="254"/>
      <c r="AB201" s="254"/>
      <c r="AC201" s="254"/>
      <c r="AD201" s="254"/>
      <c r="AE201" s="254"/>
      <c r="AF201" s="254"/>
      <c r="AG201" s="254"/>
      <c r="AH201" s="254"/>
      <c r="AI201" s="254"/>
      <c r="AJ201" s="254"/>
      <c r="AK201" s="254"/>
      <c r="AL201" s="254"/>
      <c r="AM201" s="254"/>
      <c r="AN201" s="254"/>
      <c r="AO201" s="254"/>
      <c r="AP201" s="254"/>
      <c r="AQ201" s="254"/>
      <c r="AR201" s="254"/>
      <c r="AS201" s="254"/>
      <c r="AT201" s="254"/>
    </row>
    <row r="202" spans="1:54" ht="18.75" customHeight="1">
      <c r="A202" s="254"/>
      <c r="B202" s="254"/>
      <c r="C202" s="254"/>
      <c r="D202" s="254"/>
      <c r="E202" s="254"/>
      <c r="F202" s="254"/>
      <c r="G202" s="254"/>
      <c r="H202" s="254"/>
      <c r="I202" s="254"/>
      <c r="J202" s="254"/>
      <c r="K202" s="254"/>
      <c r="L202" s="254"/>
      <c r="M202" s="254"/>
      <c r="N202" s="254"/>
      <c r="O202" s="254"/>
      <c r="P202" s="254"/>
      <c r="Q202" s="254"/>
      <c r="R202" s="254"/>
      <c r="S202" s="254"/>
      <c r="T202" s="254"/>
      <c r="U202" s="254"/>
      <c r="V202" s="254"/>
      <c r="W202" s="254"/>
      <c r="X202" s="254"/>
      <c r="Y202" s="254"/>
      <c r="Z202" s="254"/>
      <c r="AA202" s="254"/>
      <c r="AB202" s="254"/>
      <c r="AC202" s="254"/>
      <c r="AD202" s="254"/>
      <c r="AE202" s="254"/>
      <c r="AF202" s="254"/>
      <c r="AG202" s="254"/>
      <c r="AH202" s="254"/>
      <c r="AI202" s="254"/>
      <c r="AJ202" s="254"/>
      <c r="AK202" s="254"/>
      <c r="AL202" s="254"/>
      <c r="AM202" s="254"/>
      <c r="AN202" s="254"/>
      <c r="AO202" s="254"/>
      <c r="AP202" s="254"/>
      <c r="AQ202" s="254"/>
      <c r="AR202" s="254"/>
      <c r="AS202" s="254"/>
      <c r="AT202" s="254"/>
    </row>
    <row r="203" spans="1:54" ht="18.75" customHeight="1">
      <c r="A203" s="254"/>
      <c r="B203" s="254"/>
      <c r="C203" s="254"/>
      <c r="D203" s="254"/>
      <c r="E203" s="254"/>
      <c r="F203" s="254"/>
      <c r="G203" s="254"/>
      <c r="H203" s="254"/>
      <c r="I203" s="254"/>
      <c r="J203" s="254"/>
      <c r="K203" s="254"/>
      <c r="L203" s="254"/>
      <c r="M203" s="254"/>
      <c r="N203" s="254"/>
      <c r="O203" s="254"/>
      <c r="P203" s="254"/>
      <c r="Q203" s="254"/>
      <c r="R203" s="254"/>
      <c r="S203" s="254"/>
      <c r="T203" s="254"/>
      <c r="U203" s="254"/>
      <c r="V203" s="254"/>
      <c r="W203" s="254"/>
      <c r="X203" s="254"/>
      <c r="Y203" s="254"/>
      <c r="Z203" s="254"/>
      <c r="AA203" s="254"/>
      <c r="AB203" s="254"/>
      <c r="AC203" s="254"/>
      <c r="AD203" s="254"/>
      <c r="AE203" s="254"/>
      <c r="AF203" s="254"/>
      <c r="AG203" s="254"/>
      <c r="AH203" s="254"/>
      <c r="AI203" s="254"/>
      <c r="AJ203" s="254"/>
      <c r="AK203" s="254"/>
      <c r="AL203" s="254"/>
      <c r="AM203" s="254"/>
      <c r="AN203" s="254"/>
      <c r="AO203" s="254"/>
      <c r="AP203" s="254"/>
      <c r="AQ203" s="254"/>
      <c r="AR203" s="254"/>
      <c r="AS203" s="254"/>
      <c r="AT203" s="254"/>
    </row>
    <row r="204" spans="1:54" ht="18.75" customHeight="1">
      <c r="A204" s="254"/>
      <c r="B204" s="254"/>
      <c r="C204" s="254"/>
      <c r="D204" s="254"/>
      <c r="E204" s="254"/>
      <c r="F204" s="254"/>
      <c r="G204" s="254"/>
      <c r="H204" s="254"/>
      <c r="I204" s="254"/>
      <c r="J204" s="254"/>
      <c r="K204" s="254"/>
      <c r="L204" s="254"/>
      <c r="M204" s="254"/>
      <c r="N204" s="254"/>
      <c r="O204" s="254"/>
      <c r="P204" s="254"/>
      <c r="Q204" s="254"/>
      <c r="R204" s="254"/>
      <c r="S204" s="254"/>
      <c r="T204" s="254"/>
      <c r="U204" s="254"/>
      <c r="V204" s="254"/>
      <c r="W204" s="254"/>
      <c r="X204" s="254"/>
      <c r="Y204" s="254"/>
      <c r="Z204" s="254"/>
      <c r="AA204" s="254"/>
      <c r="AB204" s="254"/>
      <c r="AC204" s="254"/>
      <c r="AD204" s="254"/>
      <c r="AE204" s="254"/>
      <c r="AF204" s="254"/>
      <c r="AG204" s="254"/>
      <c r="AH204" s="254"/>
      <c r="AI204" s="254"/>
      <c r="AJ204" s="254"/>
      <c r="AK204" s="254"/>
      <c r="AL204" s="254"/>
      <c r="AM204" s="254"/>
      <c r="AN204" s="254"/>
      <c r="AO204" s="254"/>
      <c r="AP204" s="254"/>
      <c r="AQ204" s="254"/>
      <c r="AR204" s="254"/>
      <c r="AS204" s="254"/>
      <c r="AT204" s="254"/>
    </row>
    <row r="205" spans="1:54" ht="18.75" customHeight="1">
      <c r="A205" s="257" t="s">
        <v>802</v>
      </c>
      <c r="B205" s="254"/>
      <c r="C205" s="254"/>
      <c r="D205" s="254"/>
      <c r="E205" s="254"/>
      <c r="F205" s="254"/>
      <c r="G205" s="254"/>
      <c r="H205" s="254"/>
      <c r="I205" s="254"/>
      <c r="J205" s="254"/>
      <c r="K205" s="254"/>
      <c r="L205" s="254"/>
      <c r="M205" s="254"/>
      <c r="N205" s="254"/>
      <c r="O205" s="254"/>
      <c r="P205" s="254"/>
      <c r="Q205" s="254"/>
      <c r="R205" s="254"/>
      <c r="S205" s="254"/>
      <c r="T205" s="254"/>
      <c r="U205" s="254"/>
      <c r="V205" s="254"/>
      <c r="W205" s="254"/>
      <c r="X205" s="254"/>
      <c r="Y205" s="254"/>
      <c r="Z205" s="254"/>
      <c r="AA205" s="254"/>
      <c r="AB205" s="254"/>
      <c r="AC205" s="254"/>
      <c r="AD205" s="254"/>
      <c r="AE205" s="254"/>
      <c r="AF205" s="254"/>
      <c r="AG205" s="254"/>
      <c r="AH205" s="254"/>
      <c r="AI205" s="254"/>
      <c r="AJ205" s="254"/>
      <c r="AK205" s="254"/>
      <c r="AL205" s="254"/>
      <c r="AM205" s="254"/>
      <c r="AN205" s="254"/>
      <c r="AO205" s="254"/>
      <c r="AP205" s="254"/>
      <c r="AQ205" s="254"/>
      <c r="AR205" s="254"/>
      <c r="AS205" s="254"/>
      <c r="AT205" s="254"/>
    </row>
    <row r="206" spans="1:54" ht="18.75" customHeight="1">
      <c r="A206" s="254"/>
      <c r="B206" s="472"/>
      <c r="C206" s="473"/>
      <c r="D206" s="474"/>
      <c r="E206" s="481"/>
      <c r="F206" s="482"/>
      <c r="G206" s="482"/>
      <c r="H206" s="482"/>
      <c r="I206" s="483"/>
      <c r="J206" s="471">
        <v>1</v>
      </c>
      <c r="K206" s="471"/>
      <c r="L206" s="471"/>
      <c r="M206" s="471"/>
      <c r="N206" s="471"/>
      <c r="O206" s="471"/>
      <c r="P206" s="471"/>
      <c r="Q206" s="471"/>
      <c r="R206" s="471"/>
      <c r="S206" s="471">
        <v>2</v>
      </c>
      <c r="T206" s="471"/>
      <c r="U206" s="471"/>
      <c r="V206" s="471"/>
      <c r="W206" s="471"/>
      <c r="X206" s="471"/>
      <c r="Y206" s="471"/>
      <c r="Z206" s="471"/>
      <c r="AA206" s="471"/>
      <c r="AB206" s="468">
        <v>3</v>
      </c>
      <c r="AC206" s="469"/>
      <c r="AD206" s="469"/>
      <c r="AE206" s="469"/>
      <c r="AF206" s="470"/>
      <c r="AG206" s="468">
        <v>4</v>
      </c>
      <c r="AH206" s="469"/>
      <c r="AI206" s="469"/>
      <c r="AJ206" s="469"/>
      <c r="AK206" s="470"/>
      <c r="AL206" s="471">
        <v>5</v>
      </c>
      <c r="AM206" s="471"/>
      <c r="AN206" s="471"/>
      <c r="AO206" s="471"/>
      <c r="AP206" s="471"/>
      <c r="AQ206" s="471"/>
      <c r="AR206" s="471"/>
      <c r="AS206" s="471"/>
      <c r="AT206" s="471"/>
      <c r="AU206" s="468">
        <v>6</v>
      </c>
      <c r="AV206" s="469"/>
      <c r="AW206" s="469"/>
      <c r="AX206" s="469"/>
      <c r="AY206" s="470"/>
    </row>
    <row r="207" spans="1:54" ht="18.75" customHeight="1">
      <c r="A207" s="254"/>
      <c r="B207" s="475"/>
      <c r="C207" s="476"/>
      <c r="D207" s="477"/>
      <c r="E207" s="472" t="s">
        <v>803</v>
      </c>
      <c r="F207" s="473"/>
      <c r="G207" s="473"/>
      <c r="H207" s="473"/>
      <c r="I207" s="474"/>
      <c r="J207" s="472" t="s">
        <v>675</v>
      </c>
      <c r="K207" s="473"/>
      <c r="L207" s="473"/>
      <c r="M207" s="473"/>
      <c r="N207" s="473"/>
      <c r="O207" s="473"/>
      <c r="P207" s="473"/>
      <c r="Q207" s="473"/>
      <c r="R207" s="474"/>
      <c r="S207" s="472" t="s">
        <v>804</v>
      </c>
      <c r="T207" s="473"/>
      <c r="U207" s="473"/>
      <c r="V207" s="473"/>
      <c r="W207" s="473"/>
      <c r="X207" s="473"/>
      <c r="Y207" s="473"/>
      <c r="Z207" s="473"/>
      <c r="AA207" s="474"/>
      <c r="AB207" s="472" t="s">
        <v>676</v>
      </c>
      <c r="AC207" s="473"/>
      <c r="AD207" s="473"/>
      <c r="AE207" s="473"/>
      <c r="AF207" s="474"/>
      <c r="AG207" s="472" t="s">
        <v>805</v>
      </c>
      <c r="AH207" s="473"/>
      <c r="AI207" s="473"/>
      <c r="AJ207" s="473"/>
      <c r="AK207" s="474"/>
      <c r="AL207" s="472" t="s">
        <v>678</v>
      </c>
      <c r="AM207" s="473"/>
      <c r="AN207" s="473"/>
      <c r="AO207" s="473"/>
      <c r="AP207" s="473"/>
      <c r="AQ207" s="473"/>
      <c r="AR207" s="473"/>
      <c r="AS207" s="473"/>
      <c r="AT207" s="474"/>
      <c r="AU207" s="472" t="s">
        <v>806</v>
      </c>
      <c r="AV207" s="473"/>
      <c r="AW207" s="473"/>
      <c r="AX207" s="473"/>
      <c r="AY207" s="474"/>
    </row>
    <row r="208" spans="1:54" ht="18.75" customHeight="1">
      <c r="A208" s="254"/>
      <c r="B208" s="478"/>
      <c r="C208" s="479"/>
      <c r="D208" s="480"/>
      <c r="E208" s="484" t="s">
        <v>807</v>
      </c>
      <c r="F208" s="485"/>
      <c r="G208" s="485"/>
      <c r="H208" s="485"/>
      <c r="I208" s="486"/>
      <c r="J208" s="465" t="s">
        <v>680</v>
      </c>
      <c r="K208" s="466"/>
      <c r="L208" s="466"/>
      <c r="M208" s="466"/>
      <c r="N208" s="466"/>
      <c r="O208" s="466"/>
      <c r="P208" s="466"/>
      <c r="Q208" s="466"/>
      <c r="R208" s="467"/>
      <c r="S208" s="465" t="s">
        <v>681</v>
      </c>
      <c r="T208" s="466"/>
      <c r="U208" s="466"/>
      <c r="V208" s="466"/>
      <c r="W208" s="466"/>
      <c r="X208" s="466"/>
      <c r="Y208" s="466"/>
      <c r="Z208" s="466"/>
      <c r="AA208" s="467"/>
      <c r="AB208" s="462"/>
      <c r="AC208" s="463"/>
      <c r="AD208" s="463"/>
      <c r="AE208" s="463"/>
      <c r="AF208" s="464"/>
      <c r="AG208" s="462" t="s">
        <v>808</v>
      </c>
      <c r="AH208" s="463"/>
      <c r="AI208" s="463"/>
      <c r="AJ208" s="463"/>
      <c r="AK208" s="464"/>
      <c r="AL208" s="465" t="s">
        <v>809</v>
      </c>
      <c r="AM208" s="466"/>
      <c r="AN208" s="466"/>
      <c r="AO208" s="466"/>
      <c r="AP208" s="466"/>
      <c r="AQ208" s="466"/>
      <c r="AR208" s="466"/>
      <c r="AS208" s="466"/>
      <c r="AT208" s="467"/>
      <c r="AU208" s="462"/>
      <c r="AV208" s="463"/>
      <c r="AW208" s="463"/>
      <c r="AX208" s="463"/>
      <c r="AY208" s="464"/>
    </row>
    <row r="209" spans="1:61" ht="21" customHeight="1">
      <c r="A209" s="254"/>
      <c r="B209" s="468" t="s">
        <v>810</v>
      </c>
      <c r="C209" s="469"/>
      <c r="D209" s="470"/>
      <c r="E209" s="491" t="s">
        <v>796</v>
      </c>
      <c r="F209" s="492"/>
      <c r="G209" s="492"/>
      <c r="H209" s="492"/>
      <c r="I209" s="493"/>
      <c r="J209" s="494" t="e">
        <f>Calcu!E101</f>
        <v>#VALUE!</v>
      </c>
      <c r="K209" s="495"/>
      <c r="L209" s="495"/>
      <c r="M209" s="495"/>
      <c r="N209" s="495"/>
      <c r="O209" s="487" t="str">
        <f>Calcu!F101</f>
        <v>μm/m</v>
      </c>
      <c r="P209" s="487"/>
      <c r="Q209" s="487"/>
      <c r="R209" s="488"/>
      <c r="S209" s="489" t="e">
        <f>Calcu!J101</f>
        <v>#DIV/0!</v>
      </c>
      <c r="T209" s="490"/>
      <c r="U209" s="490"/>
      <c r="V209" s="490" t="e">
        <v>#REF!</v>
      </c>
      <c r="W209" s="490"/>
      <c r="X209" s="487" t="str">
        <f>Calcu!K101</f>
        <v>μm</v>
      </c>
      <c r="Y209" s="487"/>
      <c r="Z209" s="487"/>
      <c r="AA209" s="488"/>
      <c r="AB209" s="468" t="str">
        <f>Calcu!L101</f>
        <v>정규</v>
      </c>
      <c r="AC209" s="469"/>
      <c r="AD209" s="469"/>
      <c r="AE209" s="469"/>
      <c r="AF209" s="470"/>
      <c r="AG209" s="537" t="e">
        <f>Calcu!M101</f>
        <v>#VALUE!</v>
      </c>
      <c r="AH209" s="487"/>
      <c r="AI209" s="487"/>
      <c r="AJ209" s="291" t="s">
        <v>811</v>
      </c>
      <c r="AK209" s="292"/>
      <c r="AL209" s="489" t="str">
        <f>Calcu!N101</f>
        <v>/m</v>
      </c>
      <c r="AM209" s="490"/>
      <c r="AN209" s="490"/>
      <c r="AO209" s="490"/>
      <c r="AP209" s="490"/>
      <c r="AQ209" s="487" t="e">
        <f>Calcu!O101</f>
        <v>#DIV/0!</v>
      </c>
      <c r="AR209" s="487"/>
      <c r="AS209" s="487"/>
      <c r="AT209" s="488"/>
      <c r="AU209" s="468" t="str">
        <f>Calcu!P101</f>
        <v>μm/m</v>
      </c>
      <c r="AV209" s="469"/>
      <c r="AW209" s="469"/>
      <c r="AX209" s="469"/>
      <c r="AY209" s="470"/>
    </row>
    <row r="210" spans="1:61" ht="18.75" customHeight="1">
      <c r="A210" s="254"/>
      <c r="B210" s="468" t="s">
        <v>812</v>
      </c>
      <c r="C210" s="469"/>
      <c r="D210" s="470"/>
      <c r="E210" s="538" t="s">
        <v>813</v>
      </c>
      <c r="F210" s="539"/>
      <c r="G210" s="539"/>
      <c r="H210" s="539"/>
      <c r="I210" s="540"/>
      <c r="J210" s="494" t="e">
        <f>Calcu!E102</f>
        <v>#VALUE!</v>
      </c>
      <c r="K210" s="495"/>
      <c r="L210" s="495"/>
      <c r="M210" s="495"/>
      <c r="N210" s="495"/>
      <c r="O210" s="495"/>
      <c r="P210" s="487" t="str">
        <f>Calcu!F102</f>
        <v>μm/m</v>
      </c>
      <c r="Q210" s="487"/>
      <c r="R210" s="488"/>
      <c r="S210" s="489">
        <f>Calcu!J102</f>
        <v>0</v>
      </c>
      <c r="T210" s="490"/>
      <c r="U210" s="490"/>
      <c r="V210" s="490"/>
      <c r="W210" s="490"/>
      <c r="X210" s="490"/>
      <c r="Y210" s="490"/>
      <c r="Z210" s="487" t="str">
        <f>Calcu!K102</f>
        <v>μm</v>
      </c>
      <c r="AA210" s="488"/>
      <c r="AB210" s="534" t="str">
        <f>Calcu!L102</f>
        <v>t</v>
      </c>
      <c r="AC210" s="535"/>
      <c r="AD210" s="535"/>
      <c r="AE210" s="535"/>
      <c r="AF210" s="536"/>
      <c r="AG210" s="537">
        <f>Calcu!M102</f>
        <v>1</v>
      </c>
      <c r="AH210" s="487"/>
      <c r="AI210" s="487"/>
      <c r="AJ210" s="487"/>
      <c r="AK210" s="488"/>
      <c r="AL210" s="489">
        <f>Calcu!N102</f>
        <v>0</v>
      </c>
      <c r="AM210" s="490"/>
      <c r="AN210" s="490"/>
      <c r="AO210" s="490"/>
      <c r="AP210" s="490"/>
      <c r="AQ210" s="490"/>
      <c r="AR210" s="490"/>
      <c r="AS210" s="487">
        <f>Calcu!O102</f>
        <v>0</v>
      </c>
      <c r="AT210" s="488"/>
      <c r="AU210" s="534" t="str">
        <f>Calcu!P102</f>
        <v>μm</v>
      </c>
      <c r="AV210" s="535"/>
      <c r="AW210" s="535"/>
      <c r="AX210" s="535"/>
      <c r="AY210" s="536"/>
    </row>
    <row r="211" spans="1:61" ht="21" customHeight="1">
      <c r="A211" s="254"/>
      <c r="B211" s="468" t="s">
        <v>501</v>
      </c>
      <c r="C211" s="469"/>
      <c r="D211" s="470"/>
      <c r="E211" s="538" t="s">
        <v>814</v>
      </c>
      <c r="F211" s="539"/>
      <c r="G211" s="539"/>
      <c r="H211" s="539"/>
      <c r="I211" s="540"/>
      <c r="J211" s="494">
        <f>Calcu!E103</f>
        <v>0</v>
      </c>
      <c r="K211" s="495"/>
      <c r="L211" s="495"/>
      <c r="M211" s="495"/>
      <c r="N211" s="495"/>
      <c r="O211" s="495"/>
      <c r="P211" s="487" t="str">
        <f>Calcu!F103</f>
        <v>μm/m</v>
      </c>
      <c r="Q211" s="487"/>
      <c r="R211" s="488"/>
      <c r="S211" s="489" t="e">
        <f>Calcu!J103</f>
        <v>#DIV/0!</v>
      </c>
      <c r="T211" s="490"/>
      <c r="U211" s="490"/>
      <c r="V211" s="490"/>
      <c r="W211" s="490"/>
      <c r="X211" s="490"/>
      <c r="Y211" s="490"/>
      <c r="Z211" s="487" t="str">
        <f>Calcu!K103</f>
        <v>μm</v>
      </c>
      <c r="AA211" s="488"/>
      <c r="AB211" s="534" t="str">
        <f>Calcu!L103</f>
        <v>정규</v>
      </c>
      <c r="AC211" s="535"/>
      <c r="AD211" s="535"/>
      <c r="AE211" s="535"/>
      <c r="AF211" s="536"/>
      <c r="AG211" s="537">
        <f>Calcu!M103</f>
        <v>1</v>
      </c>
      <c r="AH211" s="487"/>
      <c r="AI211" s="487"/>
      <c r="AJ211" s="487"/>
      <c r="AK211" s="488"/>
      <c r="AL211" s="489">
        <f>Calcu!N103</f>
        <v>0</v>
      </c>
      <c r="AM211" s="490"/>
      <c r="AN211" s="490"/>
      <c r="AO211" s="490"/>
      <c r="AP211" s="490"/>
      <c r="AQ211" s="490"/>
      <c r="AR211" s="490"/>
      <c r="AS211" s="487" t="e">
        <f>Calcu!O103</f>
        <v>#DIV/0!</v>
      </c>
      <c r="AT211" s="488"/>
      <c r="AU211" s="534" t="str">
        <f>Calcu!P103</f>
        <v>μm</v>
      </c>
      <c r="AV211" s="535"/>
      <c r="AW211" s="535"/>
      <c r="AX211" s="535"/>
      <c r="AY211" s="536"/>
    </row>
    <row r="212" spans="1:61" ht="18.75" customHeight="1">
      <c r="A212" s="254"/>
      <c r="B212" s="468" t="s">
        <v>815</v>
      </c>
      <c r="C212" s="469"/>
      <c r="D212" s="470"/>
      <c r="E212" s="491" t="s">
        <v>816</v>
      </c>
      <c r="F212" s="492"/>
      <c r="G212" s="492"/>
      <c r="H212" s="492"/>
      <c r="I212" s="493"/>
      <c r="J212" s="541" t="e">
        <f>Calcu!E104</f>
        <v>#VALUE!</v>
      </c>
      <c r="K212" s="495"/>
      <c r="L212" s="495"/>
      <c r="M212" s="495"/>
      <c r="N212" s="495"/>
      <c r="O212" s="487" t="str">
        <f>Calcu!F104</f>
        <v>μm/m</v>
      </c>
      <c r="P212" s="487"/>
      <c r="Q212" s="487"/>
      <c r="R212" s="488"/>
      <c r="S212" s="489" t="e">
        <f>Calcu!J104</f>
        <v>#DIV/0!</v>
      </c>
      <c r="T212" s="490"/>
      <c r="U212" s="490"/>
      <c r="V212" s="490" t="e">
        <v>#REF!</v>
      </c>
      <c r="W212" s="490"/>
      <c r="X212" s="487" t="str">
        <f>Calcu!K104</f>
        <v>μm</v>
      </c>
      <c r="Y212" s="487"/>
      <c r="Z212" s="487"/>
      <c r="AA212" s="488"/>
      <c r="AB212" s="468" t="str">
        <f>Calcu!L104</f>
        <v>정규</v>
      </c>
      <c r="AC212" s="469"/>
      <c r="AD212" s="469"/>
      <c r="AE212" s="469"/>
      <c r="AF212" s="470"/>
      <c r="AG212" s="537" t="e">
        <f>Calcu!M104</f>
        <v>#VALUE!</v>
      </c>
      <c r="AH212" s="487"/>
      <c r="AI212" s="487"/>
      <c r="AJ212" s="291" t="s">
        <v>817</v>
      </c>
      <c r="AK212" s="292"/>
      <c r="AL212" s="489" t="str">
        <f>Calcu!N104</f>
        <v>/m</v>
      </c>
      <c r="AM212" s="490"/>
      <c r="AN212" s="490"/>
      <c r="AO212" s="490"/>
      <c r="AP212" s="490"/>
      <c r="AQ212" s="487" t="e">
        <f>Calcu!O104</f>
        <v>#DIV/0!</v>
      </c>
      <c r="AR212" s="487"/>
      <c r="AS212" s="487"/>
      <c r="AT212" s="488"/>
      <c r="AU212" s="468" t="str">
        <f>Calcu!P104</f>
        <v>μm/m</v>
      </c>
      <c r="AV212" s="469"/>
      <c r="AW212" s="469"/>
      <c r="AX212" s="469"/>
      <c r="AY212" s="470"/>
    </row>
    <row r="213" spans="1:61" ht="18.75" customHeight="1">
      <c r="A213" s="254"/>
      <c r="B213" s="468" t="s">
        <v>690</v>
      </c>
      <c r="C213" s="469"/>
      <c r="D213" s="470"/>
      <c r="E213" s="491" t="s">
        <v>818</v>
      </c>
      <c r="F213" s="492"/>
      <c r="G213" s="492"/>
      <c r="H213" s="492"/>
      <c r="I213" s="493"/>
      <c r="J213" s="494">
        <f>Calcu!E105</f>
        <v>0</v>
      </c>
      <c r="K213" s="495"/>
      <c r="L213" s="495"/>
      <c r="M213" s="495"/>
      <c r="N213" s="495"/>
      <c r="O213" s="487" t="str">
        <f>Calcu!F105</f>
        <v>μm/m</v>
      </c>
      <c r="P213" s="487"/>
      <c r="Q213" s="487"/>
      <c r="R213" s="488"/>
      <c r="S213" s="489">
        <f>Calcu!J105</f>
        <v>0</v>
      </c>
      <c r="T213" s="490"/>
      <c r="U213" s="490"/>
      <c r="V213" s="490" t="e">
        <v>#REF!</v>
      </c>
      <c r="W213" s="490"/>
      <c r="X213" s="487" t="str">
        <f>Calcu!K105</f>
        <v>μm</v>
      </c>
      <c r="Y213" s="487"/>
      <c r="Z213" s="487"/>
      <c r="AA213" s="488"/>
      <c r="AB213" s="468" t="str">
        <f>Calcu!L105</f>
        <v>직사각형</v>
      </c>
      <c r="AC213" s="469"/>
      <c r="AD213" s="469"/>
      <c r="AE213" s="469"/>
      <c r="AF213" s="470"/>
      <c r="AG213" s="537" t="e">
        <f>Calcu!M105</f>
        <v>#VALUE!</v>
      </c>
      <c r="AH213" s="487"/>
      <c r="AI213" s="487"/>
      <c r="AJ213" s="291" t="s">
        <v>633</v>
      </c>
      <c r="AK213" s="292"/>
      <c r="AL213" s="489" t="str">
        <f>Calcu!N105</f>
        <v>/m</v>
      </c>
      <c r="AM213" s="490"/>
      <c r="AN213" s="490"/>
      <c r="AO213" s="490"/>
      <c r="AP213" s="490"/>
      <c r="AQ213" s="487" t="e">
        <f>Calcu!O105</f>
        <v>#VALUE!</v>
      </c>
      <c r="AR213" s="487"/>
      <c r="AS213" s="487"/>
      <c r="AT213" s="488"/>
      <c r="AU213" s="468" t="str">
        <f>Calcu!P105</f>
        <v>μm/m</v>
      </c>
      <c r="AV213" s="469"/>
      <c r="AW213" s="469"/>
      <c r="AX213" s="469"/>
      <c r="AY213" s="470"/>
    </row>
    <row r="214" spans="1:61" ht="21" customHeight="1">
      <c r="A214" s="254"/>
      <c r="B214" s="468" t="s">
        <v>693</v>
      </c>
      <c r="C214" s="469"/>
      <c r="D214" s="470"/>
      <c r="E214" s="491" t="s">
        <v>819</v>
      </c>
      <c r="F214" s="492"/>
      <c r="G214" s="492"/>
      <c r="H214" s="492"/>
      <c r="I214" s="493"/>
      <c r="J214" s="494" t="e">
        <f>Calcu!E106</f>
        <v>#VALUE!</v>
      </c>
      <c r="K214" s="495"/>
      <c r="L214" s="495"/>
      <c r="M214" s="495"/>
      <c r="N214" s="495"/>
      <c r="O214" s="487" t="str">
        <f>Calcu!F106</f>
        <v>μm/m</v>
      </c>
      <c r="P214" s="487"/>
      <c r="Q214" s="487"/>
      <c r="R214" s="488"/>
      <c r="S214" s="443" t="s">
        <v>820</v>
      </c>
      <c r="T214" s="444"/>
      <c r="U214" s="444"/>
      <c r="V214" s="444"/>
      <c r="W214" s="444"/>
      <c r="X214" s="444"/>
      <c r="Y214" s="444"/>
      <c r="Z214" s="444"/>
      <c r="AA214" s="445"/>
      <c r="AB214" s="468" t="s">
        <v>821</v>
      </c>
      <c r="AC214" s="469"/>
      <c r="AD214" s="469"/>
      <c r="AE214" s="469"/>
      <c r="AF214" s="470"/>
      <c r="AG214" s="468" t="s">
        <v>820</v>
      </c>
      <c r="AH214" s="469"/>
      <c r="AI214" s="469"/>
      <c r="AJ214" s="469"/>
      <c r="AK214" s="470"/>
      <c r="AL214" s="489">
        <f>Calcu!N106</f>
        <v>0</v>
      </c>
      <c r="AM214" s="490"/>
      <c r="AN214" s="490"/>
      <c r="AO214" s="490"/>
      <c r="AP214" s="490"/>
      <c r="AQ214" s="487" t="e">
        <f>Calcu!O106</f>
        <v>#DIV/0!</v>
      </c>
      <c r="AR214" s="487"/>
      <c r="AS214" s="487"/>
      <c r="AT214" s="488"/>
      <c r="AU214" s="468" t="str">
        <f>Calcu!P106</f>
        <v>μm/m</v>
      </c>
      <c r="AV214" s="469"/>
      <c r="AW214" s="469"/>
      <c r="AX214" s="469"/>
      <c r="AY214" s="470"/>
    </row>
    <row r="215" spans="1:61" ht="18.75" customHeight="1">
      <c r="A215" s="254"/>
      <c r="B215" s="254"/>
      <c r="C215" s="254"/>
      <c r="D215" s="254"/>
      <c r="E215" s="254"/>
      <c r="F215" s="254"/>
      <c r="G215" s="254"/>
      <c r="H215" s="254"/>
      <c r="I215" s="254"/>
      <c r="J215" s="254"/>
      <c r="K215" s="254"/>
      <c r="L215" s="254"/>
      <c r="M215" s="254"/>
      <c r="N215" s="254"/>
      <c r="O215" s="254"/>
      <c r="P215" s="254"/>
      <c r="Q215" s="254"/>
      <c r="R215" s="254"/>
      <c r="S215" s="254"/>
      <c r="T215" s="254"/>
      <c r="U215" s="254"/>
      <c r="V215" s="254"/>
      <c r="W215" s="254"/>
      <c r="X215" s="254"/>
      <c r="Y215" s="254"/>
      <c r="Z215" s="254"/>
      <c r="AA215" s="254"/>
      <c r="AB215" s="254"/>
      <c r="AC215" s="254"/>
      <c r="AD215" s="254"/>
      <c r="AE215" s="254"/>
      <c r="AF215" s="254"/>
      <c r="AG215" s="319"/>
      <c r="AH215" s="254"/>
      <c r="AI215" s="254"/>
      <c r="AJ215" s="254"/>
      <c r="AK215" s="254"/>
      <c r="AL215" s="254"/>
      <c r="AM215" s="254"/>
      <c r="AN215" s="254"/>
      <c r="AO215" s="254"/>
      <c r="AQ215" s="254"/>
      <c r="AR215" s="254"/>
      <c r="AS215" s="254"/>
      <c r="AT215" s="254"/>
    </row>
    <row r="216" spans="1:61" ht="18.75" customHeight="1">
      <c r="A216" s="253" t="s">
        <v>822</v>
      </c>
      <c r="B216" s="254"/>
      <c r="C216" s="254"/>
      <c r="D216" s="254"/>
      <c r="E216" s="254"/>
      <c r="F216" s="254"/>
      <c r="G216" s="254"/>
      <c r="H216" s="254"/>
      <c r="I216" s="254"/>
      <c r="J216" s="254"/>
      <c r="K216" s="254"/>
      <c r="L216" s="254"/>
      <c r="M216" s="254"/>
      <c r="N216" s="254"/>
      <c r="O216" s="254"/>
      <c r="P216" s="254"/>
      <c r="Q216" s="254"/>
      <c r="R216" s="254"/>
      <c r="S216" s="254"/>
      <c r="T216" s="254"/>
      <c r="U216" s="254"/>
      <c r="V216" s="254"/>
      <c r="W216" s="254"/>
      <c r="X216" s="254"/>
      <c r="Y216" s="254"/>
      <c r="Z216" s="254"/>
      <c r="AA216" s="254"/>
      <c r="AB216" s="254"/>
      <c r="AC216" s="254"/>
      <c r="AD216" s="254"/>
      <c r="AE216" s="254"/>
      <c r="AF216" s="254"/>
      <c r="AG216" s="254"/>
      <c r="AH216" s="254"/>
      <c r="AI216" s="254"/>
      <c r="AJ216" s="254"/>
      <c r="AK216" s="254"/>
      <c r="AL216" s="254"/>
      <c r="AM216" s="254"/>
      <c r="AN216" s="254"/>
      <c r="AO216" s="254"/>
      <c r="AP216" s="254"/>
      <c r="AQ216" s="254"/>
      <c r="AR216" s="254"/>
      <c r="AS216" s="254"/>
      <c r="AT216" s="254"/>
    </row>
    <row r="217" spans="1:61" s="251" customFormat="1" ht="18.75" customHeight="1">
      <c r="A217" s="253"/>
      <c r="B217" s="293" t="s">
        <v>823</v>
      </c>
      <c r="C217" s="319"/>
      <c r="D217" s="319"/>
      <c r="E217" s="319"/>
      <c r="F217" s="319"/>
      <c r="G217" s="319"/>
      <c r="H217" s="319"/>
      <c r="I217" s="319"/>
      <c r="J217" s="319"/>
      <c r="K217" s="319"/>
      <c r="L217" s="319"/>
      <c r="M217" s="319"/>
      <c r="N217" s="319"/>
      <c r="O217" s="319"/>
      <c r="P217" s="319"/>
      <c r="Q217" s="319"/>
      <c r="R217" s="319"/>
      <c r="S217" s="319"/>
      <c r="T217" s="319"/>
      <c r="U217" s="319"/>
      <c r="V217" s="319"/>
      <c r="W217" s="319"/>
      <c r="X217" s="319"/>
      <c r="Y217" s="319"/>
      <c r="Z217" s="319"/>
      <c r="AA217" s="319"/>
      <c r="AB217" s="319"/>
      <c r="AC217" s="319"/>
      <c r="AD217" s="319"/>
      <c r="AE217" s="294" t="s">
        <v>824</v>
      </c>
      <c r="AF217" s="319"/>
      <c r="AG217" s="319"/>
      <c r="AH217" s="319"/>
      <c r="AI217" s="319"/>
      <c r="AJ217" s="319"/>
      <c r="AK217" s="319"/>
      <c r="AL217" s="319"/>
      <c r="AM217" s="319"/>
      <c r="AN217" s="319"/>
      <c r="AO217" s="319"/>
      <c r="AP217" s="319"/>
      <c r="AQ217" s="319"/>
      <c r="AR217" s="319"/>
      <c r="AS217" s="319"/>
      <c r="AT217" s="319"/>
      <c r="AU217" s="319"/>
      <c r="AV217" s="319"/>
      <c r="AW217" s="319"/>
      <c r="AX217" s="319"/>
      <c r="AY217" s="319"/>
      <c r="AZ217" s="319"/>
      <c r="BA217" s="319"/>
      <c r="BB217" s="319"/>
      <c r="BC217" s="319"/>
      <c r="BD217" s="319"/>
      <c r="BE217" s="319"/>
      <c r="BF217" s="319"/>
    </row>
    <row r="218" spans="1:61" s="251" customFormat="1" ht="18.75" customHeight="1">
      <c r="A218" s="253"/>
      <c r="B218" s="293"/>
      <c r="C218" s="319" t="s">
        <v>825</v>
      </c>
      <c r="D218" s="319"/>
      <c r="E218" s="319"/>
      <c r="F218" s="319"/>
      <c r="G218" s="319"/>
      <c r="H218" s="496" t="e">
        <f>J209</f>
        <v>#VALUE!</v>
      </c>
      <c r="I218" s="496"/>
      <c r="J218" s="496"/>
      <c r="K218" s="496"/>
      <c r="L218" s="496" t="str">
        <f>O209</f>
        <v>μm/m</v>
      </c>
      <c r="M218" s="496"/>
      <c r="N218" s="496"/>
      <c r="O218" s="496"/>
      <c r="P218" s="319"/>
      <c r="Q218" s="319"/>
      <c r="R218" s="319"/>
      <c r="S218" s="319"/>
      <c r="T218" s="319"/>
      <c r="U218" s="319"/>
      <c r="V218" s="319"/>
      <c r="W218" s="319"/>
      <c r="X218" s="319"/>
      <c r="Y218" s="319"/>
      <c r="Z218" s="319"/>
      <c r="AA218" s="319"/>
      <c r="AB218" s="319"/>
      <c r="AC218" s="319"/>
      <c r="AD218" s="319"/>
      <c r="AE218" s="294"/>
      <c r="AF218" s="319"/>
      <c r="AG218" s="319"/>
      <c r="AH218" s="319"/>
      <c r="AI218" s="319"/>
      <c r="AJ218" s="319"/>
      <c r="AK218" s="319"/>
      <c r="AL218" s="319"/>
      <c r="AM218" s="319"/>
      <c r="AN218" s="319"/>
      <c r="AO218" s="319"/>
      <c r="AP218" s="319"/>
      <c r="AQ218" s="319"/>
      <c r="AR218" s="319"/>
      <c r="AS218" s="319"/>
      <c r="AT218" s="319"/>
      <c r="AU218" s="319"/>
      <c r="AV218" s="319"/>
      <c r="AW218" s="319"/>
      <c r="AX218" s="319"/>
      <c r="AY218" s="319"/>
      <c r="AZ218" s="319"/>
      <c r="BA218" s="319"/>
      <c r="BB218" s="319"/>
      <c r="BC218" s="319"/>
      <c r="BD218" s="319"/>
      <c r="BE218" s="319"/>
      <c r="BF218" s="319"/>
    </row>
    <row r="219" spans="1:61" s="251" customFormat="1" ht="18.75" customHeight="1">
      <c r="A219" s="253"/>
      <c r="B219" s="293"/>
      <c r="C219" s="319" t="s">
        <v>699</v>
      </c>
      <c r="D219" s="319"/>
      <c r="E219" s="319"/>
      <c r="F219" s="319"/>
      <c r="G219" s="319"/>
      <c r="H219" s="319"/>
      <c r="I219" s="319"/>
      <c r="J219" s="504" t="s">
        <v>826</v>
      </c>
      <c r="K219" s="504"/>
      <c r="L219" s="504"/>
      <c r="M219" s="327" t="s">
        <v>827</v>
      </c>
      <c r="N219" s="319"/>
      <c r="O219" s="501"/>
      <c r="P219" s="501"/>
      <c r="Q219" s="501"/>
      <c r="R219" s="319"/>
      <c r="S219" s="501"/>
      <c r="T219" s="501"/>
      <c r="U219" s="501"/>
      <c r="V219" s="319"/>
      <c r="W219" s="319"/>
      <c r="X219" s="319"/>
      <c r="Y219" s="319"/>
      <c r="Z219" s="545">
        <f>V238</f>
        <v>0</v>
      </c>
      <c r="AA219" s="502"/>
      <c r="AB219" s="502"/>
      <c r="AC219" s="319"/>
      <c r="AD219" s="319"/>
      <c r="AE219" s="545" t="e">
        <f>V249</f>
        <v>#DIV/0!</v>
      </c>
      <c r="AF219" s="502"/>
      <c r="AG219" s="502"/>
      <c r="AH219" s="319"/>
      <c r="AI219" s="319"/>
      <c r="AJ219" s="542" t="e">
        <f>S209</f>
        <v>#DIV/0!</v>
      </c>
      <c r="AK219" s="496"/>
      <c r="AL219" s="496"/>
      <c r="AM219" s="319" t="s">
        <v>369</v>
      </c>
      <c r="AN219" s="319"/>
      <c r="AO219" s="319"/>
      <c r="AP219" s="319"/>
      <c r="AQ219" s="319"/>
      <c r="AR219" s="319"/>
      <c r="AS219" s="319"/>
      <c r="AT219" s="319"/>
      <c r="AU219" s="319"/>
      <c r="AV219" s="319"/>
      <c r="AW219" s="319"/>
      <c r="AX219" s="319"/>
      <c r="AY219" s="319"/>
      <c r="AZ219" s="319"/>
      <c r="BA219" s="319"/>
      <c r="BB219" s="319"/>
      <c r="BC219" s="319"/>
      <c r="BD219" s="319"/>
      <c r="BE219" s="319"/>
      <c r="BF219" s="319"/>
    </row>
    <row r="220" spans="1:61" s="251" customFormat="1" ht="18.75" customHeight="1">
      <c r="A220" s="253"/>
      <c r="B220" s="293"/>
      <c r="C220" s="319" t="s">
        <v>828</v>
      </c>
      <c r="D220" s="319"/>
      <c r="E220" s="319"/>
      <c r="F220" s="319"/>
      <c r="G220" s="319"/>
      <c r="H220" s="319"/>
      <c r="I220" s="496" t="str">
        <f>AB209</f>
        <v>정규</v>
      </c>
      <c r="J220" s="496"/>
      <c r="K220" s="496"/>
      <c r="L220" s="496"/>
      <c r="M220" s="496"/>
      <c r="N220" s="319"/>
      <c r="O220" s="319"/>
      <c r="P220" s="319"/>
      <c r="Q220" s="319"/>
      <c r="R220" s="319"/>
      <c r="S220" s="319"/>
      <c r="T220" s="319"/>
      <c r="U220" s="319"/>
      <c r="V220" s="319"/>
      <c r="W220" s="319"/>
      <c r="X220" s="319"/>
      <c r="Y220" s="319"/>
      <c r="Z220" s="319"/>
      <c r="AA220" s="319"/>
      <c r="AB220" s="319"/>
      <c r="AC220" s="319"/>
      <c r="AD220" s="319"/>
      <c r="AE220" s="294"/>
      <c r="AF220" s="319"/>
      <c r="AG220" s="319"/>
      <c r="AH220" s="319"/>
      <c r="AI220" s="319"/>
      <c r="AJ220" s="319"/>
      <c r="AK220" s="319"/>
      <c r="AL220" s="319"/>
      <c r="AM220" s="319"/>
      <c r="AN220" s="319"/>
      <c r="AO220" s="319"/>
      <c r="AP220" s="319"/>
      <c r="AQ220" s="319"/>
      <c r="AR220" s="319"/>
      <c r="AS220" s="319"/>
      <c r="AT220" s="319"/>
      <c r="AU220" s="319"/>
      <c r="AV220" s="319"/>
      <c r="AW220" s="319"/>
      <c r="AX220" s="319"/>
      <c r="AY220" s="319"/>
      <c r="AZ220" s="319"/>
      <c r="BA220" s="319"/>
      <c r="BB220" s="319"/>
      <c r="BC220" s="319"/>
      <c r="BD220" s="319"/>
      <c r="BE220" s="319"/>
      <c r="BF220" s="319"/>
    </row>
    <row r="221" spans="1:61" s="251" customFormat="1" ht="18.75" customHeight="1">
      <c r="B221" s="253"/>
      <c r="C221" s="496" t="s">
        <v>829</v>
      </c>
      <c r="D221" s="496"/>
      <c r="E221" s="496"/>
      <c r="F221" s="496"/>
      <c r="G221" s="496"/>
      <c r="H221" s="496"/>
      <c r="I221" s="319"/>
      <c r="J221" s="319"/>
      <c r="K221" s="319"/>
      <c r="L221" s="319"/>
      <c r="M221" s="319"/>
      <c r="N221" s="319"/>
      <c r="O221" s="319"/>
      <c r="P221" s="319"/>
      <c r="Q221" s="319"/>
      <c r="R221" s="319"/>
      <c r="T221" s="543" t="e">
        <f>1/P222</f>
        <v>#VALUE!</v>
      </c>
      <c r="U221" s="543"/>
      <c r="V221" s="543"/>
      <c r="Y221" s="319"/>
      <c r="Z221" s="319"/>
      <c r="AA221" s="319"/>
      <c r="AB221" s="319"/>
      <c r="AC221" s="319"/>
      <c r="AD221" s="319"/>
      <c r="AE221" s="319"/>
      <c r="AF221" s="319"/>
      <c r="AG221" s="319"/>
      <c r="AH221" s="319"/>
      <c r="AI221" s="319"/>
      <c r="AJ221" s="319"/>
      <c r="AK221" s="319"/>
      <c r="AL221" s="319"/>
      <c r="AM221" s="319"/>
      <c r="AN221" s="319"/>
      <c r="AO221" s="319"/>
      <c r="AP221" s="319"/>
      <c r="AQ221" s="319"/>
      <c r="AR221" s="319"/>
      <c r="AS221" s="319"/>
      <c r="AT221" s="319"/>
      <c r="AU221" s="319"/>
      <c r="AV221" s="319"/>
      <c r="AW221" s="319"/>
      <c r="AX221" s="319"/>
      <c r="AY221" s="319"/>
      <c r="AZ221" s="319"/>
      <c r="BA221" s="319"/>
      <c r="BB221" s="319"/>
      <c r="BC221" s="319"/>
      <c r="BD221" s="319"/>
      <c r="BE221" s="319"/>
      <c r="BF221" s="319"/>
      <c r="BG221" s="319"/>
    </row>
    <row r="222" spans="1:61" s="251" customFormat="1" ht="18.75" customHeight="1">
      <c r="B222" s="253"/>
      <c r="C222" s="496"/>
      <c r="D222" s="496"/>
      <c r="E222" s="496"/>
      <c r="F222" s="496"/>
      <c r="G222" s="496"/>
      <c r="H222" s="496"/>
      <c r="I222" s="319"/>
      <c r="J222" s="319"/>
      <c r="K222" s="319"/>
      <c r="L222" s="319"/>
      <c r="M222" s="319"/>
      <c r="N222" s="319"/>
      <c r="O222" s="319"/>
      <c r="P222" s="496" t="e">
        <f>Calcu!D89/1000</f>
        <v>#VALUE!</v>
      </c>
      <c r="Q222" s="496"/>
      <c r="R222" s="319" t="s">
        <v>830</v>
      </c>
      <c r="T222" s="543"/>
      <c r="U222" s="543"/>
      <c r="V222" s="543"/>
      <c r="Y222" s="319"/>
      <c r="Z222" s="319"/>
      <c r="AA222" s="319"/>
      <c r="AB222" s="319"/>
      <c r="AC222" s="319"/>
      <c r="AD222" s="319"/>
      <c r="AE222" s="319"/>
      <c r="AF222" s="319"/>
      <c r="AG222" s="319"/>
      <c r="AH222" s="319"/>
      <c r="AI222" s="319"/>
      <c r="AJ222" s="319"/>
      <c r="AK222" s="319"/>
      <c r="AL222" s="319"/>
      <c r="AM222" s="319"/>
      <c r="AN222" s="319"/>
      <c r="AO222" s="319"/>
      <c r="AP222" s="319"/>
      <c r="AQ222" s="319"/>
      <c r="AR222" s="319"/>
      <c r="AS222" s="319"/>
      <c r="AT222" s="319"/>
      <c r="AU222" s="319"/>
      <c r="AV222" s="319"/>
      <c r="AW222" s="319"/>
      <c r="AX222" s="319"/>
      <c r="AY222" s="319"/>
      <c r="AZ222" s="319"/>
      <c r="BA222" s="319"/>
      <c r="BB222" s="319"/>
      <c r="BC222" s="319"/>
      <c r="BD222" s="319"/>
      <c r="BE222" s="319"/>
      <c r="BF222" s="319"/>
      <c r="BG222" s="319"/>
      <c r="BH222" s="319"/>
    </row>
    <row r="223" spans="1:61" s="251" customFormat="1" ht="18.75" customHeight="1">
      <c r="B223" s="253"/>
      <c r="C223" s="319" t="s">
        <v>709</v>
      </c>
      <c r="D223" s="319"/>
      <c r="E223" s="319"/>
      <c r="F223" s="319"/>
      <c r="G223" s="319"/>
      <c r="H223" s="319"/>
      <c r="I223" s="319"/>
      <c r="J223" s="319"/>
      <c r="K223" s="327" t="s">
        <v>506</v>
      </c>
      <c r="L223" s="544" t="e">
        <f>T221</f>
        <v>#VALUE!</v>
      </c>
      <c r="M223" s="544"/>
      <c r="N223" s="544"/>
      <c r="O223" s="266" t="s">
        <v>831</v>
      </c>
      <c r="P223" s="542" t="e">
        <f>AJ219</f>
        <v>#DIV/0!</v>
      </c>
      <c r="Q223" s="496"/>
      <c r="R223" s="496"/>
      <c r="S223" s="319" t="str">
        <f>AM219</f>
        <v>μm</v>
      </c>
      <c r="T223" s="319"/>
      <c r="U223" s="327" t="s">
        <v>832</v>
      </c>
      <c r="V223" s="319" t="s">
        <v>730</v>
      </c>
      <c r="W223" s="542" t="e">
        <f>ABS(L223*P223)</f>
        <v>#VALUE!</v>
      </c>
      <c r="X223" s="496"/>
      <c r="Y223" s="496"/>
      <c r="Z223" s="319" t="e">
        <f>AQ209</f>
        <v>#DIV/0!</v>
      </c>
      <c r="AA223" s="319"/>
      <c r="AD223" s="319"/>
      <c r="AE223" s="318"/>
      <c r="AF223" s="318"/>
      <c r="AG223" s="318"/>
      <c r="AH223" s="258"/>
      <c r="AI223" s="261"/>
      <c r="AJ223" s="261"/>
      <c r="AK223" s="261"/>
      <c r="AL223" s="261"/>
      <c r="AM223" s="262"/>
      <c r="AN223" s="258"/>
      <c r="AO223" s="258"/>
      <c r="AP223" s="319"/>
      <c r="AQ223" s="319"/>
      <c r="AR223" s="319"/>
      <c r="AS223" s="319"/>
      <c r="AT223" s="319"/>
      <c r="AU223" s="319"/>
      <c r="AV223" s="319"/>
      <c r="AW223" s="319"/>
      <c r="AX223" s="319"/>
      <c r="AY223" s="319"/>
      <c r="AZ223" s="319"/>
      <c r="BA223" s="319"/>
      <c r="BB223" s="319"/>
      <c r="BC223" s="319"/>
      <c r="BD223" s="319"/>
      <c r="BE223" s="319"/>
      <c r="BF223" s="319"/>
      <c r="BG223" s="319"/>
      <c r="BH223" s="319"/>
      <c r="BI223" s="319"/>
    </row>
    <row r="224" spans="1:61" s="251" customFormat="1" ht="18.75" customHeight="1">
      <c r="B224" s="253"/>
      <c r="C224" s="496" t="s">
        <v>833</v>
      </c>
      <c r="D224" s="496"/>
      <c r="E224" s="496"/>
      <c r="F224" s="496"/>
      <c r="G224" s="496"/>
      <c r="H224" s="319"/>
      <c r="I224" s="295"/>
      <c r="J224" s="269"/>
      <c r="K224" s="269"/>
      <c r="L224" s="254"/>
      <c r="M224" s="254"/>
      <c r="N224" s="254"/>
      <c r="O224" s="254"/>
      <c r="P224" s="254"/>
      <c r="Q224" s="254"/>
      <c r="R224" s="254"/>
      <c r="S224" s="521" t="e">
        <f>AJ219</f>
        <v>#DIV/0!</v>
      </c>
      <c r="T224" s="521"/>
      <c r="U224" s="521"/>
      <c r="V224" s="521"/>
      <c r="W224" s="521"/>
      <c r="X224" s="521"/>
      <c r="Y224" s="521"/>
      <c r="Z224" s="521"/>
      <c r="AA224" s="521"/>
      <c r="AB224" s="521"/>
      <c r="AC224" s="521"/>
      <c r="AD224" s="476" t="s">
        <v>730</v>
      </c>
      <c r="AE224" s="509" t="str">
        <f>AU209</f>
        <v>μm/m</v>
      </c>
      <c r="AF224" s="509"/>
      <c r="AG224" s="509"/>
      <c r="AH224" s="509"/>
      <c r="AI224" s="509"/>
      <c r="AJ224" s="319"/>
      <c r="AK224" s="319"/>
      <c r="AL224" s="319"/>
      <c r="AM224" s="319"/>
      <c r="AN224" s="319"/>
      <c r="AO224" s="319"/>
      <c r="AP224" s="319"/>
      <c r="AQ224" s="319"/>
      <c r="AR224" s="319"/>
      <c r="AS224" s="319"/>
      <c r="AT224" s="319"/>
      <c r="AU224" s="319"/>
    </row>
    <row r="225" spans="1:58" s="251" customFormat="1" ht="18.75" customHeight="1">
      <c r="A225" s="253"/>
      <c r="B225" s="293"/>
      <c r="C225" s="496"/>
      <c r="D225" s="496"/>
      <c r="E225" s="496"/>
      <c r="F225" s="496"/>
      <c r="G225" s="496"/>
      <c r="H225" s="319"/>
      <c r="I225" s="319"/>
      <c r="J225" s="319"/>
      <c r="K225" s="319"/>
      <c r="L225" s="254"/>
      <c r="M225" s="254"/>
      <c r="N225" s="254"/>
      <c r="O225" s="254"/>
      <c r="P225" s="254"/>
      <c r="Q225" s="254"/>
      <c r="R225" s="254"/>
      <c r="S225" s="330"/>
      <c r="T225" s="527">
        <f>Z219</f>
        <v>0</v>
      </c>
      <c r="U225" s="527"/>
      <c r="V225" s="527"/>
      <c r="W225" s="329"/>
      <c r="X225" s="473" t="s">
        <v>834</v>
      </c>
      <c r="Y225" s="330"/>
      <c r="Z225" s="527" t="e">
        <f>AE219</f>
        <v>#DIV/0!</v>
      </c>
      <c r="AA225" s="527"/>
      <c r="AB225" s="527"/>
      <c r="AC225" s="329"/>
      <c r="AD225" s="476"/>
      <c r="AE225" s="509"/>
      <c r="AF225" s="509"/>
      <c r="AG225" s="509"/>
      <c r="AH225" s="509"/>
      <c r="AI225" s="509"/>
      <c r="AJ225" s="319"/>
      <c r="AK225" s="319"/>
      <c r="AL225" s="319"/>
      <c r="AM225" s="319"/>
      <c r="AN225" s="319"/>
      <c r="AO225" s="319"/>
      <c r="AP225" s="319"/>
      <c r="AQ225" s="319"/>
      <c r="AR225" s="319"/>
      <c r="AS225" s="319"/>
      <c r="AT225" s="319"/>
      <c r="AU225" s="319"/>
    </row>
    <row r="226" spans="1:58" s="251" customFormat="1" ht="18.75" customHeight="1">
      <c r="A226" s="253"/>
      <c r="B226" s="293"/>
      <c r="C226" s="319"/>
      <c r="D226" s="319"/>
      <c r="E226" s="319"/>
      <c r="F226" s="319"/>
      <c r="G226" s="319"/>
      <c r="H226" s="319"/>
      <c r="I226" s="319"/>
      <c r="J226" s="319"/>
      <c r="K226" s="319"/>
      <c r="L226" s="254"/>
      <c r="M226" s="254"/>
      <c r="N226" s="254"/>
      <c r="O226" s="254"/>
      <c r="P226" s="254"/>
      <c r="Q226" s="254"/>
      <c r="R226" s="254"/>
      <c r="S226" s="473" t="str">
        <f>AU210</f>
        <v>μm</v>
      </c>
      <c r="T226" s="473"/>
      <c r="U226" s="473"/>
      <c r="V226" s="473"/>
      <c r="W226" s="473"/>
      <c r="X226" s="476"/>
      <c r="Y226" s="473" t="str">
        <f>AU211</f>
        <v>μm</v>
      </c>
      <c r="Z226" s="473"/>
      <c r="AA226" s="473"/>
      <c r="AB226" s="473"/>
      <c r="AC226" s="473"/>
      <c r="AD226" s="320"/>
      <c r="AE226" s="320"/>
      <c r="AF226" s="320"/>
      <c r="AG226" s="320"/>
      <c r="AH226" s="320"/>
      <c r="AI226" s="320"/>
      <c r="AJ226" s="320"/>
      <c r="AK226" s="320"/>
      <c r="AL226" s="320"/>
      <c r="AM226" s="320"/>
      <c r="AN226" s="320"/>
      <c r="AO226" s="320"/>
      <c r="AP226" s="320"/>
      <c r="AQ226" s="320"/>
      <c r="AR226" s="320"/>
      <c r="AS226" s="320"/>
      <c r="AT226" s="320"/>
      <c r="AU226" s="320"/>
      <c r="AV226" s="54"/>
      <c r="AW226" s="54"/>
      <c r="AX226" s="54"/>
      <c r="AY226" s="54"/>
      <c r="AZ226" s="54"/>
      <c r="BA226" s="54"/>
      <c r="BB226" s="319"/>
    </row>
    <row r="227" spans="1:58" s="251" customFormat="1" ht="18.75" customHeight="1">
      <c r="A227" s="253"/>
      <c r="B227" s="293"/>
      <c r="C227" s="319"/>
      <c r="D227" s="319"/>
      <c r="E227" s="319"/>
      <c r="F227" s="319"/>
      <c r="G227" s="319"/>
      <c r="H227" s="319"/>
      <c r="I227" s="319"/>
      <c r="J227" s="319"/>
      <c r="K227" s="319"/>
      <c r="L227" s="319"/>
      <c r="M227" s="319"/>
      <c r="N227" s="319"/>
      <c r="O227" s="319"/>
      <c r="P227" s="319"/>
      <c r="AD227" s="319"/>
      <c r="AE227" s="294"/>
      <c r="AF227" s="319"/>
      <c r="AG227" s="319"/>
      <c r="AH227" s="319"/>
      <c r="AI227" s="319"/>
      <c r="AJ227" s="319"/>
      <c r="AK227" s="319"/>
      <c r="AL227" s="319"/>
      <c r="AM227" s="319"/>
      <c r="AN227" s="319"/>
      <c r="AO227" s="319"/>
      <c r="AP227" s="319"/>
      <c r="AQ227" s="319"/>
      <c r="AR227" s="319"/>
      <c r="AS227" s="319"/>
      <c r="AT227" s="319"/>
      <c r="AU227" s="319"/>
      <c r="AV227" s="319"/>
      <c r="AW227" s="319"/>
      <c r="AX227" s="319"/>
      <c r="AY227" s="319"/>
      <c r="AZ227" s="319"/>
      <c r="BA227" s="319"/>
      <c r="BB227" s="319"/>
      <c r="BC227" s="319"/>
      <c r="BD227" s="319"/>
      <c r="BE227" s="319"/>
      <c r="BF227" s="319"/>
    </row>
    <row r="228" spans="1:58" s="251" customFormat="1" ht="18.75" customHeight="1">
      <c r="A228" s="253"/>
      <c r="B228" s="293" t="s">
        <v>835</v>
      </c>
      <c r="C228" s="319"/>
      <c r="D228" s="319"/>
      <c r="E228" s="319"/>
      <c r="F228" s="319"/>
      <c r="G228" s="319"/>
      <c r="H228" s="319"/>
      <c r="I228" s="319"/>
      <c r="J228" s="319"/>
      <c r="K228" s="319"/>
      <c r="L228" s="319"/>
      <c r="M228" s="319"/>
      <c r="N228" s="319"/>
      <c r="O228" s="319"/>
      <c r="P228" s="294" t="s">
        <v>836</v>
      </c>
      <c r="Q228" s="319"/>
      <c r="R228" s="319"/>
      <c r="S228" s="319"/>
      <c r="T228" s="319"/>
      <c r="U228" s="319"/>
      <c r="V228" s="319"/>
      <c r="W228" s="319"/>
      <c r="X228" s="319"/>
      <c r="Y228" s="319"/>
      <c r="Z228" s="319"/>
      <c r="AA228" s="319"/>
      <c r="AB228" s="319"/>
      <c r="AC228" s="319"/>
      <c r="AD228" s="319"/>
      <c r="AE228" s="294"/>
      <c r="AF228" s="319"/>
      <c r="AG228" s="319"/>
      <c r="AH228" s="319"/>
      <c r="AI228" s="319"/>
      <c r="AJ228" s="319"/>
      <c r="AK228" s="319"/>
      <c r="AL228" s="319"/>
      <c r="AM228" s="319"/>
      <c r="AN228" s="319"/>
      <c r="AO228" s="319"/>
      <c r="AP228" s="319"/>
      <c r="AQ228" s="319"/>
      <c r="AR228" s="319"/>
      <c r="AS228" s="319"/>
      <c r="AT228" s="319"/>
      <c r="AU228" s="319"/>
      <c r="AV228" s="319"/>
      <c r="AW228" s="319"/>
      <c r="AX228" s="319"/>
      <c r="AY228" s="319"/>
      <c r="AZ228" s="319"/>
      <c r="BA228" s="319"/>
      <c r="BB228" s="319"/>
      <c r="BC228" s="319"/>
      <c r="BD228" s="319"/>
      <c r="BE228" s="319"/>
      <c r="BF228" s="319"/>
    </row>
    <row r="229" spans="1:58" ht="18.75" customHeight="1">
      <c r="A229" s="254"/>
      <c r="B229" s="257"/>
      <c r="C229" s="254" t="s">
        <v>837</v>
      </c>
      <c r="D229" s="271"/>
      <c r="F229" s="254"/>
      <c r="G229" s="254"/>
      <c r="H229" s="254"/>
      <c r="I229" s="254"/>
      <c r="J229" s="254"/>
      <c r="K229" s="254"/>
      <c r="L229" s="254"/>
      <c r="M229" s="254"/>
      <c r="N229" s="254"/>
      <c r="O229" s="254"/>
      <c r="P229" s="254"/>
      <c r="Q229" s="254"/>
      <c r="R229" s="254"/>
      <c r="S229" s="254"/>
      <c r="T229" s="254"/>
      <c r="U229" s="254"/>
      <c r="V229" s="254"/>
      <c r="W229" s="254"/>
      <c r="X229" s="254"/>
      <c r="Y229" s="254"/>
      <c r="Z229" s="254"/>
      <c r="AA229" s="254"/>
      <c r="AB229" s="254"/>
      <c r="AC229" s="254"/>
      <c r="AD229" s="254"/>
      <c r="AE229" s="254"/>
      <c r="AF229" s="254"/>
      <c r="AG229" s="254"/>
      <c r="AH229" s="254"/>
      <c r="AI229" s="254"/>
      <c r="AJ229" s="254"/>
      <c r="AK229" s="254"/>
      <c r="AL229" s="254"/>
      <c r="AM229" s="254"/>
      <c r="AN229" s="254"/>
      <c r="AO229" s="254"/>
      <c r="AP229" s="254"/>
      <c r="AQ229" s="254"/>
      <c r="AR229" s="254"/>
      <c r="AS229" s="254"/>
      <c r="AT229" s="254"/>
    </row>
    <row r="230" spans="1:58" ht="18.75" customHeight="1">
      <c r="A230" s="254"/>
      <c r="B230" s="257"/>
      <c r="D230" s="254" t="s">
        <v>838</v>
      </c>
      <c r="F230" s="254"/>
      <c r="G230" s="254"/>
      <c r="H230" s="254"/>
      <c r="I230" s="254"/>
      <c r="J230" s="254"/>
      <c r="K230" s="254"/>
      <c r="L230" s="254"/>
      <c r="M230" s="254"/>
      <c r="N230" s="254"/>
      <c r="O230" s="254"/>
      <c r="P230" s="254"/>
      <c r="Q230" s="254"/>
      <c r="R230" s="254"/>
      <c r="S230" s="254"/>
      <c r="T230" s="254"/>
      <c r="U230" s="254"/>
      <c r="V230" s="254"/>
      <c r="W230" s="254"/>
      <c r="X230" s="254"/>
      <c r="Y230" s="254"/>
      <c r="Z230" s="254"/>
      <c r="AA230" s="254"/>
      <c r="AB230" s="254"/>
      <c r="AC230" s="254"/>
      <c r="AD230" s="254"/>
      <c r="AE230" s="254"/>
      <c r="AF230" s="254"/>
      <c r="AG230" s="254"/>
      <c r="AH230" s="254"/>
      <c r="AI230" s="254"/>
      <c r="AJ230" s="254"/>
      <c r="AK230" s="254"/>
      <c r="AL230" s="254"/>
      <c r="AM230" s="254"/>
      <c r="AN230" s="254"/>
      <c r="AO230" s="254"/>
      <c r="AP230" s="254"/>
      <c r="AQ230" s="254"/>
      <c r="AR230" s="254"/>
      <c r="AS230" s="254"/>
      <c r="AT230" s="254"/>
    </row>
    <row r="231" spans="1:58" ht="18.75" customHeight="1">
      <c r="B231" s="254"/>
      <c r="C231" s="254" t="s">
        <v>839</v>
      </c>
      <c r="D231" s="254"/>
      <c r="E231" s="254"/>
      <c r="F231" s="254"/>
      <c r="G231" s="254"/>
      <c r="H231" s="496" t="e">
        <f>J210</f>
        <v>#VALUE!</v>
      </c>
      <c r="I231" s="496"/>
      <c r="J231" s="496"/>
      <c r="K231" s="496"/>
      <c r="L231" s="496" t="str">
        <f>P210</f>
        <v>μm/m</v>
      </c>
      <c r="M231" s="496"/>
      <c r="N231" s="496"/>
      <c r="O231" s="496"/>
      <c r="P231" s="258"/>
      <c r="Q231" s="258"/>
      <c r="R231" s="258"/>
      <c r="S231" s="258"/>
      <c r="T231" s="258"/>
      <c r="U231" s="319"/>
      <c r="V231" s="319"/>
      <c r="W231" s="254"/>
      <c r="X231" s="254"/>
      <c r="Y231" s="254"/>
      <c r="Z231" s="254"/>
      <c r="AA231" s="254"/>
      <c r="AB231" s="254"/>
      <c r="AC231" s="254"/>
      <c r="AD231" s="254"/>
      <c r="AE231" s="254"/>
      <c r="AF231" s="254"/>
      <c r="AG231" s="254"/>
      <c r="AH231" s="254"/>
      <c r="AI231" s="254"/>
      <c r="AJ231" s="254"/>
      <c r="AK231" s="254"/>
      <c r="AL231" s="254"/>
      <c r="AM231" s="254"/>
      <c r="AN231" s="254"/>
      <c r="AO231" s="254"/>
      <c r="AP231" s="254"/>
      <c r="AQ231" s="254"/>
      <c r="AR231" s="254"/>
      <c r="AS231" s="254"/>
      <c r="AT231" s="254"/>
      <c r="AU231" s="254"/>
    </row>
    <row r="232" spans="1:58" ht="18.75" customHeight="1">
      <c r="B232" s="254"/>
      <c r="C232" s="254" t="s">
        <v>840</v>
      </c>
      <c r="D232" s="254"/>
      <c r="E232" s="254"/>
      <c r="F232" s="254"/>
      <c r="G232" s="254"/>
      <c r="H232" s="254"/>
      <c r="I232" s="254"/>
      <c r="J232" s="272" t="s">
        <v>841</v>
      </c>
      <c r="K232" s="254"/>
      <c r="L232" s="254"/>
      <c r="M232" s="254"/>
      <c r="N232" s="254"/>
      <c r="O232" s="254"/>
      <c r="P232" s="542">
        <f>Calcu!G102</f>
        <v>0</v>
      </c>
      <c r="Q232" s="542"/>
      <c r="R232" s="542"/>
      <c r="S232" s="319" t="s">
        <v>842</v>
      </c>
      <c r="T232" s="319"/>
      <c r="U232" s="319"/>
      <c r="V232" s="327"/>
      <c r="W232" s="286"/>
      <c r="X232" s="286"/>
      <c r="Y232" s="286"/>
      <c r="Z232" s="286"/>
      <c r="AA232" s="254"/>
      <c r="AB232" s="254"/>
      <c r="AC232" s="254"/>
      <c r="AD232" s="254"/>
      <c r="AE232" s="254"/>
      <c r="AF232" s="254"/>
      <c r="AG232" s="254"/>
      <c r="AH232" s="254"/>
      <c r="AI232" s="254"/>
      <c r="AJ232" s="254"/>
      <c r="AK232" s="254"/>
      <c r="AL232" s="254"/>
      <c r="AM232" s="254"/>
      <c r="AN232" s="254"/>
      <c r="AO232" s="254"/>
      <c r="AP232" s="254"/>
      <c r="AQ232" s="254"/>
      <c r="AR232" s="254"/>
      <c r="AS232" s="254"/>
      <c r="AT232" s="254"/>
    </row>
    <row r="233" spans="1:58" ht="18.75" customHeight="1">
      <c r="B233" s="254"/>
      <c r="C233" s="254"/>
      <c r="D233" s="254"/>
      <c r="E233" s="254"/>
      <c r="F233" s="254"/>
      <c r="G233" s="254"/>
      <c r="H233" s="254"/>
      <c r="I233" s="254"/>
      <c r="J233" s="547" t="s">
        <v>843</v>
      </c>
      <c r="K233" s="547"/>
      <c r="L233" s="547"/>
      <c r="M233" s="547"/>
      <c r="N233" s="461" t="s">
        <v>716</v>
      </c>
      <c r="O233" s="485" t="s">
        <v>718</v>
      </c>
      <c r="P233" s="485"/>
      <c r="Q233" s="461" t="s">
        <v>844</v>
      </c>
      <c r="R233" s="548">
        <f>P232</f>
        <v>0</v>
      </c>
      <c r="S233" s="548"/>
      <c r="T233" s="548"/>
      <c r="U233" s="286" t="str">
        <f>S232</f>
        <v>μm</v>
      </c>
      <c r="V233" s="286"/>
      <c r="W233" s="461" t="s">
        <v>716</v>
      </c>
      <c r="X233" s="546">
        <f>R233/SQRT(5)</f>
        <v>0</v>
      </c>
      <c r="Y233" s="546"/>
      <c r="Z233" s="546"/>
      <c r="AA233" s="496" t="s">
        <v>845</v>
      </c>
      <c r="AB233" s="496"/>
      <c r="AC233" s="273"/>
      <c r="AD233" s="273"/>
      <c r="AE233" s="273"/>
      <c r="AF233" s="254"/>
      <c r="AG233" s="254"/>
      <c r="AI233" s="317"/>
      <c r="AJ233" s="317"/>
      <c r="AK233" s="317"/>
      <c r="AL233" s="273"/>
      <c r="AM233" s="273"/>
      <c r="AN233" s="254"/>
      <c r="AO233" s="254"/>
      <c r="AP233" s="254"/>
      <c r="AQ233" s="254"/>
      <c r="AR233" s="254"/>
      <c r="AS233" s="254"/>
      <c r="AT233" s="254"/>
      <c r="AU233" s="254"/>
      <c r="AV233" s="254"/>
      <c r="AW233" s="254"/>
    </row>
    <row r="234" spans="1:58" ht="18.75" customHeight="1">
      <c r="B234" s="254"/>
      <c r="C234" s="254"/>
      <c r="D234" s="254"/>
      <c r="E234" s="254"/>
      <c r="F234" s="254"/>
      <c r="G234" s="254"/>
      <c r="H234" s="254"/>
      <c r="I234" s="254"/>
      <c r="J234" s="547"/>
      <c r="K234" s="547"/>
      <c r="L234" s="547"/>
      <c r="M234" s="547"/>
      <c r="N234" s="461"/>
      <c r="O234" s="508"/>
      <c r="P234" s="508"/>
      <c r="Q234" s="461"/>
      <c r="R234" s="274"/>
      <c r="S234" s="274"/>
      <c r="T234" s="274"/>
      <c r="U234" s="274"/>
      <c r="V234" s="274"/>
      <c r="W234" s="461"/>
      <c r="X234" s="546"/>
      <c r="Y234" s="546"/>
      <c r="Z234" s="546"/>
      <c r="AA234" s="496"/>
      <c r="AB234" s="496"/>
      <c r="AC234" s="273"/>
      <c r="AD234" s="273"/>
      <c r="AE234" s="273"/>
      <c r="AF234" s="254"/>
      <c r="AG234" s="254"/>
      <c r="AI234" s="317"/>
      <c r="AJ234" s="317"/>
      <c r="AK234" s="317"/>
      <c r="AL234" s="273"/>
      <c r="AM234" s="273"/>
      <c r="AN234" s="254"/>
      <c r="AO234" s="254"/>
      <c r="AP234" s="254"/>
      <c r="AQ234" s="254"/>
      <c r="AR234" s="254"/>
      <c r="AS234" s="254"/>
      <c r="AT234" s="254"/>
      <c r="AU234" s="254"/>
      <c r="AV234" s="254"/>
      <c r="AW234" s="254"/>
    </row>
    <row r="235" spans="1:58" ht="18.75" customHeight="1">
      <c r="B235" s="254"/>
      <c r="C235" s="254" t="s">
        <v>720</v>
      </c>
      <c r="D235" s="254"/>
      <c r="E235" s="254"/>
      <c r="F235" s="254"/>
      <c r="G235" s="254"/>
      <c r="H235" s="254"/>
      <c r="I235" s="509" t="str">
        <f>AB210</f>
        <v>t</v>
      </c>
      <c r="J235" s="509"/>
      <c r="K235" s="509"/>
      <c r="L235" s="509"/>
      <c r="M235" s="509"/>
      <c r="N235" s="509"/>
      <c r="O235" s="509"/>
      <c r="P235" s="509"/>
      <c r="Q235" s="254"/>
      <c r="R235" s="254"/>
      <c r="S235" s="254"/>
      <c r="T235" s="254"/>
      <c r="U235" s="254"/>
      <c r="V235" s="254"/>
      <c r="W235" s="254"/>
      <c r="X235" s="254"/>
      <c r="Y235" s="254"/>
      <c r="Z235" s="254"/>
      <c r="AA235" s="254"/>
      <c r="AB235" s="254"/>
      <c r="AC235" s="254"/>
      <c r="AD235" s="254"/>
      <c r="AE235" s="254"/>
      <c r="AF235" s="254"/>
      <c r="AG235" s="254"/>
      <c r="AH235" s="254"/>
      <c r="AI235" s="254"/>
      <c r="AJ235" s="254"/>
      <c r="AK235" s="254"/>
      <c r="AL235" s="254"/>
      <c r="AM235" s="254"/>
      <c r="AN235" s="254"/>
      <c r="AO235" s="254"/>
      <c r="AP235" s="254"/>
      <c r="AQ235" s="254"/>
      <c r="AR235" s="254"/>
      <c r="AS235" s="254"/>
      <c r="AT235" s="254"/>
      <c r="AU235" s="254"/>
    </row>
    <row r="236" spans="1:58" ht="18.75" customHeight="1">
      <c r="B236" s="254"/>
      <c r="C236" s="510" t="s">
        <v>846</v>
      </c>
      <c r="D236" s="510"/>
      <c r="E236" s="510"/>
      <c r="F236" s="510"/>
      <c r="G236" s="510"/>
      <c r="H236" s="510"/>
      <c r="I236" s="320"/>
      <c r="J236" s="320"/>
      <c r="K236" s="254"/>
      <c r="L236" s="254"/>
      <c r="M236" s="320"/>
      <c r="N236" s="320"/>
      <c r="O236" s="509">
        <f>AG210</f>
        <v>1</v>
      </c>
      <c r="P236" s="509"/>
      <c r="Q236" s="254"/>
      <c r="R236" s="254"/>
      <c r="S236" s="254"/>
      <c r="T236" s="254"/>
      <c r="U236" s="254"/>
      <c r="V236" s="254"/>
      <c r="W236" s="254"/>
      <c r="X236" s="254"/>
      <c r="Y236" s="254"/>
      <c r="Z236" s="254"/>
      <c r="AA236" s="254"/>
      <c r="AB236" s="254"/>
      <c r="AC236" s="254"/>
      <c r="AD236" s="254"/>
      <c r="AE236" s="254"/>
      <c r="AF236" s="254"/>
      <c r="AG236" s="254"/>
      <c r="AH236" s="254"/>
      <c r="AI236" s="254"/>
      <c r="AJ236" s="254"/>
      <c r="AK236" s="254"/>
      <c r="AL236" s="254"/>
      <c r="AM236" s="254"/>
      <c r="AN236" s="254"/>
      <c r="AO236" s="254"/>
      <c r="AP236" s="254"/>
      <c r="AQ236" s="254"/>
      <c r="AR236" s="254"/>
      <c r="AS236" s="254"/>
      <c r="AT236" s="254"/>
      <c r="AU236" s="254"/>
    </row>
    <row r="237" spans="1:58" ht="18.75" customHeight="1">
      <c r="B237" s="254"/>
      <c r="C237" s="510"/>
      <c r="D237" s="510"/>
      <c r="E237" s="510"/>
      <c r="F237" s="510"/>
      <c r="G237" s="510"/>
      <c r="H237" s="510"/>
      <c r="I237" s="321"/>
      <c r="J237" s="321"/>
      <c r="K237" s="254"/>
      <c r="L237" s="254"/>
      <c r="M237" s="320"/>
      <c r="N237" s="320"/>
      <c r="O237" s="509"/>
      <c r="P237" s="509"/>
      <c r="Q237" s="254"/>
      <c r="R237" s="254"/>
      <c r="S237" s="254"/>
      <c r="T237" s="254"/>
      <c r="U237" s="254"/>
      <c r="V237" s="254"/>
      <c r="W237" s="254"/>
      <c r="X237" s="254"/>
      <c r="Y237" s="254"/>
      <c r="Z237" s="254"/>
      <c r="AA237" s="254"/>
      <c r="AB237" s="254"/>
      <c r="AC237" s="254"/>
      <c r="AD237" s="254"/>
      <c r="AE237" s="254"/>
      <c r="AF237" s="254"/>
      <c r="AG237" s="254"/>
      <c r="AH237" s="254"/>
      <c r="AI237" s="254"/>
      <c r="AJ237" s="254"/>
      <c r="AK237" s="254"/>
      <c r="AL237" s="254"/>
      <c r="AM237" s="254"/>
      <c r="AN237" s="254"/>
      <c r="AO237" s="254"/>
      <c r="AP237" s="254"/>
      <c r="AQ237" s="254"/>
      <c r="AR237" s="254"/>
      <c r="AS237" s="254"/>
      <c r="AT237" s="254"/>
      <c r="AU237" s="254"/>
    </row>
    <row r="238" spans="1:58" ht="18.75" customHeight="1">
      <c r="B238" s="254"/>
      <c r="C238" s="254" t="s">
        <v>722</v>
      </c>
      <c r="D238" s="254"/>
      <c r="E238" s="254"/>
      <c r="F238" s="254"/>
      <c r="G238" s="254"/>
      <c r="H238" s="254"/>
      <c r="I238" s="254"/>
      <c r="J238" s="254"/>
      <c r="K238" s="323" t="s">
        <v>751</v>
      </c>
      <c r="L238" s="511">
        <f>O236</f>
        <v>1</v>
      </c>
      <c r="M238" s="511"/>
      <c r="N238" s="320" t="s">
        <v>750</v>
      </c>
      <c r="O238" s="542">
        <f>X233</f>
        <v>0</v>
      </c>
      <c r="P238" s="496"/>
      <c r="Q238" s="496"/>
      <c r="R238" s="319" t="str">
        <f>AA233</f>
        <v>μm</v>
      </c>
      <c r="S238" s="319"/>
      <c r="T238" s="327" t="s">
        <v>832</v>
      </c>
      <c r="U238" s="319" t="s">
        <v>730</v>
      </c>
      <c r="V238" s="542">
        <f>ABS(L238*O238)</f>
        <v>0</v>
      </c>
      <c r="W238" s="496"/>
      <c r="X238" s="496"/>
      <c r="Y238" s="319" t="str">
        <f>R238</f>
        <v>μm</v>
      </c>
      <c r="Z238" s="319"/>
      <c r="AA238" s="251"/>
      <c r="AB238" s="251"/>
      <c r="AC238" s="319"/>
      <c r="AD238" s="254"/>
      <c r="AE238" s="254"/>
      <c r="AF238" s="254"/>
      <c r="AP238" s="254"/>
      <c r="AQ238" s="254"/>
      <c r="AR238" s="254"/>
      <c r="AS238" s="254"/>
      <c r="AT238" s="254"/>
      <c r="AU238" s="254"/>
      <c r="AV238" s="254"/>
    </row>
    <row r="239" spans="1:58" ht="18.75" customHeight="1">
      <c r="B239" s="254"/>
      <c r="C239" s="254" t="s">
        <v>847</v>
      </c>
      <c r="D239" s="254"/>
      <c r="E239" s="254"/>
      <c r="F239" s="254"/>
      <c r="G239" s="254"/>
      <c r="H239" s="254"/>
      <c r="I239" s="296" t="s">
        <v>848</v>
      </c>
      <c r="J239" s="269"/>
      <c r="L239" s="277"/>
      <c r="M239" s="277"/>
      <c r="N239" s="277"/>
      <c r="O239" s="277"/>
      <c r="P239" s="277"/>
      <c r="Q239" s="277"/>
      <c r="R239" s="277"/>
      <c r="S239" s="277"/>
      <c r="T239" s="277"/>
      <c r="U239" s="277"/>
      <c r="V239" s="277"/>
      <c r="W239" s="277"/>
      <c r="X239" s="277"/>
      <c r="Y239" s="277"/>
      <c r="Z239" s="277"/>
      <c r="AA239" s="254"/>
      <c r="AB239" s="254"/>
      <c r="AC239" s="254"/>
      <c r="AD239" s="254"/>
      <c r="AE239" s="254"/>
      <c r="AF239" s="254"/>
    </row>
    <row r="240" spans="1:58" ht="18.75" customHeight="1">
      <c r="B240" s="254"/>
      <c r="C240" s="254"/>
      <c r="D240" s="254"/>
      <c r="E240" s="254"/>
      <c r="F240" s="254"/>
      <c r="G240" s="254"/>
      <c r="H240" s="254"/>
      <c r="I240" s="269"/>
      <c r="J240" s="278"/>
      <c r="K240" s="269"/>
      <c r="L240" s="277"/>
      <c r="M240" s="277"/>
      <c r="N240" s="277"/>
      <c r="O240" s="277"/>
      <c r="P240" s="277"/>
      <c r="Q240" s="277"/>
      <c r="R240" s="277"/>
      <c r="S240" s="277"/>
      <c r="T240" s="277"/>
      <c r="U240" s="277"/>
      <c r="V240" s="277"/>
      <c r="W240" s="277"/>
      <c r="X240" s="277"/>
      <c r="Y240" s="277"/>
      <c r="Z240" s="277"/>
      <c r="AA240" s="254"/>
      <c r="AB240" s="254"/>
      <c r="AC240" s="254"/>
      <c r="AD240" s="254"/>
      <c r="AE240" s="254"/>
      <c r="AF240" s="254"/>
    </row>
    <row r="241" spans="1:59" s="251" customFormat="1" ht="18.75" customHeight="1">
      <c r="A241" s="253"/>
      <c r="B241" s="293" t="s">
        <v>849</v>
      </c>
      <c r="C241" s="319"/>
      <c r="D241" s="319"/>
      <c r="E241" s="319"/>
      <c r="F241" s="319"/>
      <c r="G241" s="319"/>
      <c r="H241" s="319"/>
      <c r="I241" s="319"/>
      <c r="J241" s="319"/>
      <c r="K241" s="319"/>
      <c r="L241" s="319"/>
      <c r="M241" s="319"/>
      <c r="N241" s="319"/>
      <c r="O241" s="319"/>
      <c r="R241" s="294" t="s">
        <v>850</v>
      </c>
      <c r="S241" s="319"/>
      <c r="T241" s="319"/>
      <c r="U241" s="319"/>
      <c r="V241" s="319"/>
      <c r="W241" s="319"/>
      <c r="X241" s="319"/>
      <c r="Y241" s="319"/>
      <c r="Z241" s="319"/>
      <c r="AA241" s="319"/>
      <c r="AB241" s="319"/>
      <c r="AC241" s="319"/>
      <c r="AD241" s="319"/>
      <c r="AE241" s="294"/>
      <c r="AF241" s="319"/>
      <c r="AG241" s="319"/>
      <c r="AH241" s="319"/>
      <c r="AI241" s="319"/>
      <c r="AJ241" s="319"/>
      <c r="AK241" s="319"/>
      <c r="AL241" s="319"/>
      <c r="AM241" s="319"/>
      <c r="AN241" s="319"/>
      <c r="AO241" s="319"/>
      <c r="AP241" s="319"/>
      <c r="AQ241" s="319"/>
      <c r="AR241" s="319"/>
      <c r="AS241" s="319"/>
      <c r="AT241" s="319"/>
      <c r="AU241" s="319"/>
      <c r="AV241" s="319"/>
      <c r="AW241" s="319"/>
      <c r="AX241" s="319"/>
      <c r="AY241" s="319"/>
      <c r="AZ241" s="319"/>
      <c r="BA241" s="319"/>
      <c r="BB241" s="319"/>
      <c r="BC241" s="319"/>
      <c r="BD241" s="319"/>
      <c r="BE241" s="319"/>
      <c r="BF241" s="319"/>
    </row>
    <row r="242" spans="1:59" s="251" customFormat="1" ht="18.75" customHeight="1">
      <c r="B242" s="253"/>
      <c r="C242" s="254" t="s">
        <v>851</v>
      </c>
      <c r="D242" s="254"/>
      <c r="E242" s="254"/>
      <c r="F242" s="254"/>
      <c r="G242" s="254"/>
      <c r="H242" s="496">
        <f>J211</f>
        <v>0</v>
      </c>
      <c r="I242" s="496"/>
      <c r="J242" s="496"/>
      <c r="K242" s="496"/>
      <c r="L242" s="496" t="str">
        <f>P211</f>
        <v>μm/m</v>
      </c>
      <c r="M242" s="496"/>
      <c r="N242" s="496"/>
      <c r="O242" s="496"/>
      <c r="P242" s="258"/>
      <c r="Q242" s="258"/>
      <c r="R242" s="258"/>
      <c r="S242" s="258"/>
      <c r="T242" s="258"/>
      <c r="U242" s="319"/>
      <c r="V242" s="319"/>
      <c r="W242" s="319"/>
      <c r="X242" s="258"/>
      <c r="Y242" s="258"/>
      <c r="Z242" s="319"/>
      <c r="AA242" s="319"/>
      <c r="AB242" s="319"/>
      <c r="AC242" s="319"/>
      <c r="AD242" s="319"/>
      <c r="AE242" s="319"/>
      <c r="AF242" s="319"/>
      <c r="AG242" s="319"/>
      <c r="AH242" s="319"/>
      <c r="AI242" s="319"/>
      <c r="AJ242" s="319"/>
      <c r="AK242" s="319"/>
      <c r="AL242" s="319"/>
      <c r="AM242" s="319"/>
      <c r="AN242" s="319"/>
      <c r="AO242" s="319"/>
      <c r="AP242" s="319"/>
      <c r="AQ242" s="319"/>
      <c r="AR242" s="319"/>
      <c r="AS242" s="258"/>
      <c r="AT242" s="319"/>
      <c r="AU242" s="319"/>
      <c r="AV242" s="319"/>
      <c r="AW242" s="319"/>
      <c r="AX242" s="319"/>
      <c r="AY242" s="319"/>
      <c r="AZ242" s="319"/>
      <c r="BA242" s="319"/>
      <c r="BB242" s="319"/>
      <c r="BC242" s="319"/>
      <c r="BD242" s="319"/>
      <c r="BE242" s="319"/>
      <c r="BF242" s="319"/>
    </row>
    <row r="243" spans="1:59" s="251" customFormat="1" ht="18.75" customHeight="1">
      <c r="B243" s="253"/>
      <c r="C243" s="254" t="s">
        <v>522</v>
      </c>
      <c r="D243" s="254"/>
      <c r="E243" s="254"/>
      <c r="F243" s="254"/>
      <c r="G243" s="254"/>
      <c r="H243" s="254"/>
      <c r="J243" s="319" t="s">
        <v>852</v>
      </c>
      <c r="L243" s="259"/>
      <c r="M243" s="319"/>
      <c r="N243" s="319"/>
      <c r="O243" s="319"/>
      <c r="P243" s="319"/>
      <c r="Q243" s="319"/>
      <c r="R243" s="319"/>
      <c r="S243" s="319"/>
      <c r="T243" s="319"/>
      <c r="U243" s="319"/>
      <c r="V243" s="319"/>
      <c r="W243" s="319"/>
      <c r="X243" s="258"/>
      <c r="Y243" s="258"/>
      <c r="Z243" s="258"/>
      <c r="AA243" s="258"/>
      <c r="AB243" s="258"/>
      <c r="AC243" s="496">
        <f>Calcu!G103</f>
        <v>0</v>
      </c>
      <c r="AD243" s="496"/>
      <c r="AE243" s="496"/>
      <c r="AF243" s="258" t="s">
        <v>523</v>
      </c>
      <c r="AG243" s="319"/>
      <c r="AH243" s="319"/>
      <c r="AI243" s="319"/>
      <c r="AJ243" s="319"/>
      <c r="AK243" s="260"/>
      <c r="AL243" s="258"/>
      <c r="AO243" s="258"/>
      <c r="AP243" s="258"/>
      <c r="AQ243" s="258"/>
      <c r="AR243" s="318"/>
      <c r="AS243" s="258"/>
      <c r="AT243" s="261"/>
      <c r="AU243" s="261"/>
      <c r="AV243" s="261"/>
      <c r="AW243" s="261"/>
      <c r="AX243" s="262"/>
      <c r="AY243" s="319"/>
      <c r="AZ243" s="319"/>
      <c r="BA243" s="319"/>
      <c r="BB243" s="319"/>
      <c r="BC243" s="319"/>
      <c r="BD243" s="319"/>
      <c r="BE243" s="319"/>
      <c r="BF243" s="319"/>
    </row>
    <row r="244" spans="1:59" s="251" customFormat="1" ht="18.75" customHeight="1">
      <c r="B244" s="253"/>
      <c r="C244" s="254"/>
      <c r="D244" s="254"/>
      <c r="E244" s="254"/>
      <c r="F244" s="254"/>
      <c r="G244" s="254"/>
      <c r="H244" s="254"/>
      <c r="I244" s="254"/>
      <c r="J244" s="549" t="s">
        <v>853</v>
      </c>
      <c r="K244" s="549"/>
      <c r="L244" s="549"/>
      <c r="M244" s="549"/>
      <c r="N244" s="476" t="s">
        <v>509</v>
      </c>
      <c r="O244" s="325" t="s">
        <v>854</v>
      </c>
      <c r="P244" s="476" t="s">
        <v>761</v>
      </c>
      <c r="Q244" s="497">
        <f>AC243</f>
        <v>0</v>
      </c>
      <c r="R244" s="497"/>
      <c r="S244" s="497"/>
      <c r="T244" s="322" t="s">
        <v>524</v>
      </c>
      <c r="U244" s="322"/>
      <c r="V244" s="476" t="s">
        <v>509</v>
      </c>
      <c r="W244" s="546" t="e">
        <f>Q244/Q245</f>
        <v>#DIV/0!</v>
      </c>
      <c r="X244" s="546"/>
      <c r="Y244" s="546"/>
      <c r="Z244" s="496" t="s">
        <v>369</v>
      </c>
      <c r="AA244" s="496"/>
      <c r="AB244" s="273"/>
      <c r="AC244" s="319"/>
      <c r="AD244" s="319"/>
      <c r="AE244" s="319"/>
      <c r="AF244" s="319"/>
      <c r="AG244" s="319"/>
      <c r="AH244" s="319"/>
      <c r="AI244" s="319"/>
      <c r="AJ244" s="319"/>
      <c r="AK244" s="319"/>
      <c r="AL244" s="258"/>
      <c r="AM244" s="319"/>
      <c r="AN244" s="319"/>
      <c r="AO244" s="319"/>
      <c r="AP244" s="319"/>
      <c r="AQ244" s="319"/>
      <c r="AR244" s="319"/>
      <c r="AS244" s="319"/>
      <c r="AT244" s="319"/>
      <c r="AU244" s="319"/>
      <c r="AV244" s="319"/>
      <c r="AW244" s="319"/>
      <c r="AX244" s="319"/>
      <c r="AY244" s="319"/>
    </row>
    <row r="245" spans="1:59" s="251" customFormat="1" ht="18.75" customHeight="1">
      <c r="B245" s="253"/>
      <c r="C245" s="254"/>
      <c r="D245" s="254"/>
      <c r="E245" s="254"/>
      <c r="F245" s="254"/>
      <c r="G245" s="254"/>
      <c r="H245" s="254"/>
      <c r="I245" s="254"/>
      <c r="J245" s="549"/>
      <c r="K245" s="549"/>
      <c r="L245" s="549"/>
      <c r="M245" s="549"/>
      <c r="N245" s="476"/>
      <c r="O245" s="324" t="s">
        <v>348</v>
      </c>
      <c r="P245" s="476"/>
      <c r="Q245" s="473">
        <f>Calcu!I103</f>
        <v>0</v>
      </c>
      <c r="R245" s="473"/>
      <c r="S245" s="473"/>
      <c r="T245" s="473"/>
      <c r="U245" s="473"/>
      <c r="V245" s="476"/>
      <c r="W245" s="546"/>
      <c r="X245" s="546"/>
      <c r="Y245" s="546"/>
      <c r="Z245" s="496"/>
      <c r="AA245" s="496"/>
      <c r="AB245" s="273"/>
      <c r="AC245" s="319"/>
      <c r="AD245" s="319"/>
      <c r="AE245" s="319"/>
      <c r="AF245" s="319"/>
      <c r="AG245" s="319"/>
      <c r="AH245" s="319"/>
      <c r="AI245" s="319"/>
      <c r="AJ245" s="319"/>
      <c r="AK245" s="319"/>
      <c r="AL245" s="258"/>
      <c r="AM245" s="319"/>
      <c r="AN245" s="319"/>
      <c r="AO245" s="319"/>
      <c r="AP245" s="319"/>
      <c r="AQ245" s="319"/>
      <c r="AR245" s="319"/>
      <c r="AS245" s="319"/>
      <c r="AT245" s="319"/>
      <c r="AU245" s="319"/>
      <c r="AV245" s="319"/>
      <c r="AW245" s="319"/>
      <c r="AX245" s="319"/>
      <c r="AY245" s="319"/>
    </row>
    <row r="246" spans="1:59" s="251" customFormat="1" ht="18.75" customHeight="1">
      <c r="B246" s="253"/>
      <c r="C246" s="254" t="s">
        <v>855</v>
      </c>
      <c r="D246" s="254"/>
      <c r="E246" s="254"/>
      <c r="F246" s="254"/>
      <c r="G246" s="254"/>
      <c r="H246" s="254"/>
      <c r="I246" s="509" t="str">
        <f>AB211</f>
        <v>정규</v>
      </c>
      <c r="J246" s="509"/>
      <c r="K246" s="509"/>
      <c r="L246" s="509"/>
      <c r="M246" s="509"/>
      <c r="N246" s="509"/>
      <c r="O246" s="509"/>
      <c r="P246" s="509"/>
      <c r="Q246" s="258"/>
      <c r="R246" s="258"/>
      <c r="S246" s="258"/>
      <c r="T246" s="258"/>
      <c r="U246" s="319"/>
      <c r="V246" s="319"/>
      <c r="W246" s="319"/>
      <c r="X246" s="258"/>
      <c r="Y246" s="258"/>
      <c r="Z246" s="319"/>
      <c r="AA246" s="319"/>
      <c r="AB246" s="319"/>
      <c r="AC246" s="319"/>
      <c r="AD246" s="319"/>
      <c r="AE246" s="319"/>
      <c r="AF246" s="319"/>
      <c r="AG246" s="319"/>
      <c r="AH246" s="319"/>
      <c r="AI246" s="319"/>
      <c r="AJ246" s="319"/>
      <c r="AK246" s="319"/>
      <c r="AL246" s="319"/>
      <c r="AM246" s="319"/>
      <c r="AN246" s="319"/>
      <c r="AO246" s="319"/>
      <c r="AP246" s="319"/>
      <c r="AQ246" s="319"/>
      <c r="AR246" s="319"/>
      <c r="AS246" s="258"/>
      <c r="AT246" s="319"/>
      <c r="AU246" s="319"/>
      <c r="AV246" s="319"/>
      <c r="AW246" s="319"/>
      <c r="AX246" s="319"/>
      <c r="AY246" s="319"/>
      <c r="AZ246" s="319"/>
      <c r="BA246" s="319"/>
      <c r="BB246" s="319"/>
      <c r="BC246" s="319"/>
      <c r="BD246" s="319"/>
      <c r="BE246" s="319"/>
      <c r="BF246" s="319"/>
    </row>
    <row r="247" spans="1:59" s="251" customFormat="1" ht="18.75" customHeight="1">
      <c r="B247" s="253"/>
      <c r="C247" s="510" t="s">
        <v>856</v>
      </c>
      <c r="D247" s="510"/>
      <c r="E247" s="510"/>
      <c r="F247" s="510"/>
      <c r="G247" s="510"/>
      <c r="H247" s="510"/>
      <c r="I247" s="320"/>
      <c r="J247" s="320"/>
      <c r="K247" s="254"/>
      <c r="L247" s="254"/>
      <c r="M247" s="320"/>
      <c r="N247" s="320"/>
      <c r="O247" s="509">
        <f>AG211</f>
        <v>1</v>
      </c>
      <c r="P247" s="509"/>
      <c r="Q247" s="254"/>
      <c r="R247" s="258"/>
      <c r="S247" s="258"/>
      <c r="T247" s="258"/>
      <c r="U247" s="319"/>
      <c r="V247" s="319"/>
      <c r="W247" s="319"/>
      <c r="X247" s="258"/>
      <c r="Y247" s="258"/>
      <c r="Z247" s="319"/>
      <c r="AA247" s="319"/>
      <c r="AB247" s="319"/>
      <c r="AC247" s="319"/>
      <c r="AD247" s="319"/>
      <c r="AE247" s="319"/>
      <c r="AF247" s="319"/>
      <c r="AG247" s="319"/>
      <c r="AH247" s="319"/>
      <c r="AI247" s="319"/>
      <c r="AJ247" s="319"/>
      <c r="AK247" s="319"/>
      <c r="AL247" s="319"/>
      <c r="AM247" s="319"/>
      <c r="AN247" s="319"/>
      <c r="AO247" s="319"/>
      <c r="AP247" s="319"/>
      <c r="AQ247" s="319"/>
      <c r="AR247" s="319"/>
      <c r="AS247" s="258"/>
      <c r="AT247" s="319"/>
      <c r="AU247" s="319"/>
      <c r="AV247" s="319"/>
      <c r="AW247" s="319"/>
      <c r="AX247" s="319"/>
      <c r="AY247" s="319"/>
      <c r="AZ247" s="319"/>
      <c r="BA247" s="319"/>
      <c r="BB247" s="319"/>
      <c r="BC247" s="319"/>
      <c r="BD247" s="319"/>
      <c r="BE247" s="319"/>
      <c r="BF247" s="319"/>
    </row>
    <row r="248" spans="1:59" s="251" customFormat="1" ht="18.75" customHeight="1">
      <c r="B248" s="253"/>
      <c r="C248" s="510"/>
      <c r="D248" s="510"/>
      <c r="E248" s="510"/>
      <c r="F248" s="510"/>
      <c r="G248" s="510"/>
      <c r="H248" s="510"/>
      <c r="I248" s="321"/>
      <c r="J248" s="321"/>
      <c r="K248" s="254"/>
      <c r="L248" s="254"/>
      <c r="M248" s="320"/>
      <c r="N248" s="320"/>
      <c r="O248" s="509"/>
      <c r="P248" s="509"/>
      <c r="Q248" s="254"/>
      <c r="R248" s="258"/>
      <c r="S248" s="258"/>
      <c r="T248" s="258"/>
      <c r="U248" s="319"/>
      <c r="V248" s="319"/>
      <c r="W248" s="319"/>
      <c r="X248" s="258"/>
      <c r="Y248" s="258"/>
      <c r="Z248" s="319"/>
      <c r="AA248" s="319"/>
      <c r="AB248" s="319"/>
      <c r="AC248" s="319"/>
      <c r="AD248" s="319"/>
      <c r="AE248" s="319"/>
      <c r="AF248" s="319"/>
      <c r="AG248" s="319"/>
      <c r="AH248" s="319"/>
      <c r="AI248" s="319"/>
      <c r="AJ248" s="319"/>
      <c r="AK248" s="319"/>
      <c r="AL248" s="319"/>
      <c r="AM248" s="319"/>
      <c r="AN248" s="319"/>
      <c r="AO248" s="319"/>
      <c r="AP248" s="319"/>
      <c r="AQ248" s="319"/>
      <c r="AR248" s="319"/>
      <c r="AS248" s="258"/>
      <c r="AT248" s="319"/>
      <c r="AU248" s="319"/>
      <c r="AV248" s="319"/>
      <c r="AW248" s="319"/>
      <c r="AX248" s="319"/>
      <c r="AY248" s="319"/>
      <c r="AZ248" s="319"/>
      <c r="BA248" s="319"/>
      <c r="BB248" s="319"/>
      <c r="BC248" s="319"/>
      <c r="BD248" s="319"/>
      <c r="BE248" s="319"/>
      <c r="BF248" s="319"/>
    </row>
    <row r="249" spans="1:59" s="251" customFormat="1" ht="18.75" customHeight="1">
      <c r="B249" s="253"/>
      <c r="C249" s="254" t="s">
        <v>857</v>
      </c>
      <c r="D249" s="254"/>
      <c r="E249" s="254"/>
      <c r="F249" s="254"/>
      <c r="G249" s="254"/>
      <c r="H249" s="254"/>
      <c r="I249" s="254"/>
      <c r="J249" s="254"/>
      <c r="K249" s="323" t="s">
        <v>832</v>
      </c>
      <c r="L249" s="511">
        <f>O247</f>
        <v>1</v>
      </c>
      <c r="M249" s="511"/>
      <c r="N249" s="320" t="s">
        <v>505</v>
      </c>
      <c r="O249" s="542" t="e">
        <f>W244</f>
        <v>#DIV/0!</v>
      </c>
      <c r="P249" s="496"/>
      <c r="Q249" s="496"/>
      <c r="R249" s="319" t="str">
        <f>Z244</f>
        <v>μm</v>
      </c>
      <c r="S249" s="319"/>
      <c r="T249" s="327" t="s">
        <v>723</v>
      </c>
      <c r="U249" s="319" t="s">
        <v>730</v>
      </c>
      <c r="V249" s="542" t="e">
        <f>ABS(L249*O249)</f>
        <v>#DIV/0!</v>
      </c>
      <c r="W249" s="496"/>
      <c r="X249" s="496"/>
      <c r="Y249" s="319" t="str">
        <f>R249</f>
        <v>μm</v>
      </c>
      <c r="Z249" s="319"/>
      <c r="AC249" s="319"/>
      <c r="AD249" s="254"/>
      <c r="AE249" s="254"/>
      <c r="AF249" s="319"/>
      <c r="AG249" s="319"/>
      <c r="AH249" s="319"/>
      <c r="AI249" s="319"/>
      <c r="AJ249" s="319"/>
      <c r="AK249" s="319"/>
      <c r="AL249" s="319"/>
      <c r="AM249" s="319"/>
      <c r="AN249" s="319"/>
      <c r="AO249" s="319"/>
      <c r="AP249" s="319"/>
      <c r="AQ249" s="319"/>
      <c r="AR249" s="319"/>
      <c r="AS249" s="258"/>
      <c r="AT249" s="319"/>
      <c r="AU249" s="319"/>
      <c r="AV249" s="319"/>
      <c r="AW249" s="319"/>
      <c r="AX249" s="319"/>
      <c r="AY249" s="319"/>
      <c r="AZ249" s="319"/>
      <c r="BA249" s="319"/>
      <c r="BB249" s="319"/>
      <c r="BC249" s="319"/>
      <c r="BD249" s="319"/>
      <c r="BE249" s="319"/>
      <c r="BF249" s="319"/>
    </row>
    <row r="250" spans="1:59" s="251" customFormat="1" ht="18.75" customHeight="1">
      <c r="B250" s="253"/>
      <c r="C250" s="254" t="s">
        <v>858</v>
      </c>
      <c r="D250" s="254"/>
      <c r="E250" s="254"/>
      <c r="F250" s="254"/>
      <c r="G250" s="254"/>
      <c r="H250" s="254"/>
      <c r="I250" s="296" t="s">
        <v>859</v>
      </c>
      <c r="P250" s="258"/>
      <c r="Q250" s="258"/>
      <c r="R250" s="258"/>
      <c r="S250" s="258"/>
      <c r="T250" s="258"/>
      <c r="U250" s="319"/>
      <c r="V250" s="319"/>
      <c r="W250" s="319"/>
      <c r="X250" s="258"/>
      <c r="Y250" s="258"/>
      <c r="Z250" s="319"/>
      <c r="AA250" s="319"/>
      <c r="AB250" s="319"/>
      <c r="AC250" s="319"/>
      <c r="AD250" s="319"/>
      <c r="AE250" s="319"/>
      <c r="AF250" s="319"/>
      <c r="AG250" s="319"/>
      <c r="AH250" s="319"/>
      <c r="AI250" s="319"/>
      <c r="AJ250" s="319"/>
      <c r="AK250" s="319"/>
      <c r="AL250" s="319"/>
      <c r="AM250" s="319"/>
      <c r="AN250" s="319"/>
      <c r="AO250" s="319"/>
      <c r="AP250" s="319"/>
      <c r="AQ250" s="319"/>
      <c r="AR250" s="319"/>
      <c r="AS250" s="258"/>
      <c r="AT250" s="319"/>
      <c r="AU250" s="319"/>
      <c r="AV250" s="319"/>
      <c r="AW250" s="319"/>
      <c r="AX250" s="319"/>
      <c r="AY250" s="319"/>
      <c r="AZ250" s="319"/>
      <c r="BA250" s="319"/>
      <c r="BB250" s="319"/>
      <c r="BC250" s="319"/>
      <c r="BD250" s="319"/>
      <c r="BE250" s="319"/>
      <c r="BF250" s="319"/>
    </row>
    <row r="251" spans="1:59" s="251" customFormat="1" ht="18.75" customHeight="1">
      <c r="B251" s="253"/>
      <c r="D251" s="319"/>
      <c r="E251" s="319"/>
      <c r="F251" s="319"/>
      <c r="G251" s="319"/>
      <c r="H251" s="319"/>
      <c r="I251" s="319"/>
      <c r="J251" s="319"/>
      <c r="AZ251" s="258"/>
      <c r="BA251" s="258"/>
      <c r="BB251" s="319"/>
      <c r="BC251" s="319"/>
      <c r="BD251" s="319"/>
      <c r="BE251" s="319"/>
      <c r="BF251" s="319"/>
    </row>
    <row r="252" spans="1:59" s="279" customFormat="1" ht="18.75" customHeight="1">
      <c r="B252" s="293" t="s">
        <v>526</v>
      </c>
      <c r="D252" s="320"/>
      <c r="E252" s="320"/>
      <c r="F252" s="320"/>
      <c r="G252" s="316"/>
      <c r="H252" s="320"/>
      <c r="I252" s="320"/>
      <c r="J252" s="320"/>
      <c r="K252" s="320"/>
      <c r="L252" s="320"/>
      <c r="M252" s="320"/>
      <c r="N252" s="320"/>
      <c r="O252" s="320"/>
      <c r="P252" s="320"/>
      <c r="Q252" s="320"/>
      <c r="R252" s="320"/>
      <c r="S252" s="320"/>
      <c r="T252" s="320"/>
      <c r="U252" s="294" t="s">
        <v>860</v>
      </c>
      <c r="V252" s="320"/>
      <c r="W252" s="320"/>
      <c r="X252" s="320"/>
      <c r="Y252" s="320"/>
      <c r="Z252" s="320"/>
      <c r="AA252" s="320"/>
      <c r="AB252" s="320"/>
      <c r="AP252" s="316"/>
      <c r="AQ252" s="316"/>
      <c r="AR252" s="316"/>
      <c r="AS252" s="316"/>
      <c r="AT252" s="316"/>
      <c r="AU252" s="316"/>
      <c r="AV252" s="316"/>
      <c r="AW252" s="316"/>
      <c r="AX252" s="316"/>
      <c r="AY252" s="316"/>
      <c r="AZ252" s="316"/>
      <c r="BA252" s="316"/>
      <c r="BB252" s="316"/>
      <c r="BC252" s="316"/>
      <c r="BD252" s="316"/>
      <c r="BE252" s="316"/>
      <c r="BF252" s="316"/>
      <c r="BG252" s="316"/>
    </row>
    <row r="253" spans="1:59" s="279" customFormat="1" ht="18.75" customHeight="1">
      <c r="B253" s="316"/>
      <c r="C253" s="321" t="s">
        <v>527</v>
      </c>
      <c r="D253" s="316"/>
      <c r="E253" s="316"/>
      <c r="F253" s="316"/>
      <c r="G253" s="316"/>
      <c r="H253" s="496" t="e">
        <f>J212</f>
        <v>#VALUE!</v>
      </c>
      <c r="I253" s="496"/>
      <c r="J253" s="496"/>
      <c r="K253" s="496"/>
      <c r="L253" s="496" t="str">
        <f>O212</f>
        <v>μm/m</v>
      </c>
      <c r="M253" s="496"/>
      <c r="N253" s="496"/>
      <c r="O253" s="496"/>
      <c r="P253" s="271"/>
      <c r="Q253" s="320"/>
      <c r="R253" s="320"/>
      <c r="S253" s="320"/>
      <c r="T253" s="320"/>
      <c r="U253" s="320"/>
      <c r="AJ253" s="316"/>
      <c r="AK253" s="316"/>
      <c r="AL253" s="316"/>
      <c r="AM253" s="316"/>
      <c r="AN253" s="316"/>
      <c r="AO253" s="316"/>
      <c r="AP253" s="316"/>
      <c r="AQ253" s="316"/>
      <c r="AR253" s="316"/>
      <c r="AS253" s="320"/>
      <c r="AT253" s="320"/>
      <c r="AU253" s="320"/>
      <c r="AV253" s="320"/>
      <c r="AW253" s="320"/>
      <c r="AX253" s="320"/>
      <c r="AY253" s="316"/>
      <c r="AZ253" s="316"/>
      <c r="BA253" s="316"/>
      <c r="BB253" s="316"/>
      <c r="BC253" s="316"/>
      <c r="BD253" s="316"/>
      <c r="BE253" s="316"/>
      <c r="BF253" s="316"/>
      <c r="BG253" s="316"/>
    </row>
    <row r="254" spans="1:59" s="279" customFormat="1" ht="18.75" customHeight="1">
      <c r="B254" s="316"/>
      <c r="C254" s="320" t="s">
        <v>740</v>
      </c>
      <c r="D254" s="320"/>
      <c r="E254" s="320"/>
      <c r="F254" s="320"/>
      <c r="G254" s="320"/>
      <c r="H254" s="320"/>
      <c r="I254" s="316"/>
      <c r="J254" s="319" t="s">
        <v>528</v>
      </c>
      <c r="K254" s="251"/>
      <c r="M254" s="319"/>
      <c r="N254" s="319"/>
      <c r="O254" s="319"/>
      <c r="P254" s="319"/>
      <c r="Q254" s="319"/>
      <c r="R254" s="319"/>
      <c r="S254" s="319"/>
      <c r="T254" s="319"/>
      <c r="U254" s="319"/>
      <c r="V254" s="319"/>
      <c r="W254" s="319"/>
      <c r="X254" s="258"/>
      <c r="Y254" s="258"/>
      <c r="Z254" s="496">
        <f>Calcu!G104</f>
        <v>0</v>
      </c>
      <c r="AA254" s="496"/>
      <c r="AB254" s="496"/>
      <c r="AC254" s="258" t="s">
        <v>523</v>
      </c>
      <c r="AD254" s="319"/>
      <c r="AE254" s="319"/>
      <c r="AF254" s="319"/>
      <c r="AG254" s="319"/>
      <c r="AH254" s="260"/>
      <c r="AI254" s="258"/>
      <c r="AJ254" s="251"/>
      <c r="AK254" s="251"/>
      <c r="AL254" s="258"/>
      <c r="AM254" s="258"/>
      <c r="AN254" s="258"/>
      <c r="AO254" s="318"/>
      <c r="AP254" s="258"/>
      <c r="AQ254" s="261"/>
      <c r="AR254" s="261"/>
      <c r="AS254" s="261"/>
      <c r="AT254" s="320"/>
      <c r="AU254" s="320"/>
      <c r="AV254" s="316"/>
      <c r="AW254" s="316"/>
      <c r="AX254" s="316"/>
      <c r="AY254" s="316"/>
      <c r="AZ254" s="316"/>
      <c r="BA254" s="316"/>
      <c r="BB254" s="316"/>
      <c r="BC254" s="316"/>
      <c r="BD254" s="316"/>
    </row>
    <row r="255" spans="1:59" s="279" customFormat="1" ht="18.75" customHeight="1">
      <c r="B255" s="316"/>
      <c r="C255" s="320"/>
      <c r="D255" s="320"/>
      <c r="E255" s="320"/>
      <c r="F255" s="320"/>
      <c r="G255" s="320"/>
      <c r="H255" s="320"/>
      <c r="J255" s="549" t="s">
        <v>529</v>
      </c>
      <c r="K255" s="549"/>
      <c r="L255" s="549"/>
      <c r="M255" s="476" t="s">
        <v>761</v>
      </c>
      <c r="N255" s="325" t="s">
        <v>706</v>
      </c>
      <c r="O255" s="476" t="s">
        <v>761</v>
      </c>
      <c r="P255" s="497">
        <f>Z254</f>
        <v>0</v>
      </c>
      <c r="Q255" s="497"/>
      <c r="R255" s="322" t="s">
        <v>524</v>
      </c>
      <c r="S255" s="322"/>
      <c r="T255" s="476" t="s">
        <v>761</v>
      </c>
      <c r="U255" s="546" t="e">
        <f>P255/P256</f>
        <v>#DIV/0!</v>
      </c>
      <c r="V255" s="546"/>
      <c r="W255" s="546"/>
      <c r="X255" s="496" t="s">
        <v>842</v>
      </c>
      <c r="Y255" s="496"/>
      <c r="Z255" s="273"/>
      <c r="AA255" s="319"/>
      <c r="AB255" s="319"/>
      <c r="AC255" s="316"/>
      <c r="AD255" s="316"/>
      <c r="AE255" s="316"/>
      <c r="AF255" s="316"/>
      <c r="AG255" s="316"/>
      <c r="AH255" s="316"/>
      <c r="AI255" s="316"/>
      <c r="AJ255" s="316"/>
      <c r="AK255" s="320"/>
      <c r="AL255" s="320"/>
      <c r="AM255" s="320"/>
      <c r="AN255" s="320"/>
      <c r="AO255" s="320"/>
      <c r="AP255" s="320"/>
      <c r="AQ255" s="320"/>
      <c r="AR255" s="320"/>
      <c r="AS255" s="316"/>
      <c r="AT255" s="316"/>
      <c r="AU255" s="316"/>
      <c r="AV255" s="316"/>
      <c r="AW255" s="316"/>
      <c r="AX255" s="316"/>
      <c r="AY255" s="316"/>
      <c r="AZ255" s="316"/>
      <c r="BA255" s="316"/>
    </row>
    <row r="256" spans="1:59" s="279" customFormat="1" ht="18.75" customHeight="1">
      <c r="B256" s="316"/>
      <c r="C256" s="320"/>
      <c r="D256" s="320"/>
      <c r="E256" s="320"/>
      <c r="F256" s="320"/>
      <c r="G256" s="320"/>
      <c r="H256" s="320"/>
      <c r="I256" s="297"/>
      <c r="J256" s="549"/>
      <c r="K256" s="549"/>
      <c r="L256" s="549"/>
      <c r="M256" s="476"/>
      <c r="N256" s="324" t="s">
        <v>861</v>
      </c>
      <c r="O256" s="476"/>
      <c r="P256" s="473">
        <f>Calcu!I104</f>
        <v>0</v>
      </c>
      <c r="Q256" s="473"/>
      <c r="R256" s="473"/>
      <c r="S256" s="473"/>
      <c r="T256" s="476"/>
      <c r="U256" s="546"/>
      <c r="V256" s="546"/>
      <c r="W256" s="546"/>
      <c r="X256" s="496"/>
      <c r="Y256" s="496"/>
      <c r="Z256" s="273"/>
      <c r="AA256" s="319"/>
      <c r="AB256" s="319"/>
      <c r="AC256" s="316"/>
      <c r="AD256" s="316"/>
      <c r="AE256" s="316"/>
      <c r="AF256" s="316"/>
      <c r="AG256" s="316"/>
      <c r="AH256" s="316"/>
      <c r="AI256" s="316"/>
      <c r="AJ256" s="316"/>
      <c r="AK256" s="320"/>
      <c r="AL256" s="320"/>
      <c r="AM256" s="320"/>
      <c r="AN256" s="320"/>
      <c r="AO256" s="320"/>
      <c r="AP256" s="320"/>
      <c r="AQ256" s="320"/>
      <c r="AR256" s="320"/>
      <c r="AS256" s="316"/>
      <c r="AT256" s="316"/>
      <c r="AU256" s="316"/>
      <c r="AV256" s="316"/>
      <c r="AW256" s="316"/>
      <c r="AX256" s="316"/>
      <c r="AY256" s="316"/>
      <c r="AZ256" s="316"/>
      <c r="BA256" s="316"/>
    </row>
    <row r="257" spans="2:59" s="279" customFormat="1" ht="18.75" customHeight="1">
      <c r="B257" s="316"/>
      <c r="C257" s="320" t="s">
        <v>862</v>
      </c>
      <c r="D257" s="320"/>
      <c r="E257" s="320"/>
      <c r="F257" s="320"/>
      <c r="G257" s="320"/>
      <c r="H257" s="320"/>
      <c r="I257" s="509" t="str">
        <f>AB212</f>
        <v>정규</v>
      </c>
      <c r="J257" s="509"/>
      <c r="K257" s="509"/>
      <c r="L257" s="509"/>
      <c r="M257" s="509"/>
      <c r="N257" s="509"/>
      <c r="O257" s="509"/>
      <c r="P257" s="509"/>
      <c r="Q257" s="320"/>
      <c r="R257" s="320"/>
      <c r="S257" s="320"/>
      <c r="T257" s="320"/>
      <c r="U257" s="320"/>
      <c r="V257" s="320"/>
      <c r="W257" s="320"/>
      <c r="X257" s="320"/>
      <c r="Y257" s="320"/>
      <c r="Z257" s="316"/>
      <c r="AA257" s="316"/>
      <c r="AB257" s="316"/>
      <c r="AC257" s="316"/>
      <c r="AD257" s="316"/>
      <c r="AE257" s="316"/>
      <c r="AF257" s="316"/>
      <c r="AG257" s="316"/>
      <c r="AH257" s="320"/>
      <c r="AI257" s="320"/>
      <c r="AJ257" s="320"/>
      <c r="AK257" s="320"/>
      <c r="AL257" s="320"/>
      <c r="AM257" s="320"/>
      <c r="AN257" s="320"/>
      <c r="AO257" s="320"/>
      <c r="AP257" s="320"/>
      <c r="AQ257" s="320"/>
      <c r="AR257" s="320"/>
      <c r="AS257" s="320"/>
      <c r="AT257" s="320"/>
      <c r="AU257" s="320"/>
      <c r="AV257" s="320"/>
      <c r="AW257" s="320"/>
      <c r="AX257" s="320"/>
      <c r="AY257" s="316"/>
      <c r="AZ257" s="316"/>
      <c r="BA257" s="316"/>
      <c r="BB257" s="316"/>
      <c r="BC257" s="316"/>
      <c r="BD257" s="316"/>
      <c r="BE257" s="316"/>
      <c r="BF257" s="316"/>
      <c r="BG257" s="316"/>
    </row>
    <row r="258" spans="2:59" s="279" customFormat="1" ht="18.75" customHeight="1">
      <c r="B258" s="316"/>
      <c r="C258" s="510" t="s">
        <v>863</v>
      </c>
      <c r="D258" s="510"/>
      <c r="E258" s="510"/>
      <c r="F258" s="510"/>
      <c r="G258" s="510"/>
      <c r="H258" s="510"/>
      <c r="I258" s="320"/>
      <c r="J258" s="320"/>
      <c r="K258" s="320"/>
      <c r="L258" s="320"/>
      <c r="M258" s="320"/>
      <c r="N258" s="320"/>
      <c r="O258" s="316"/>
      <c r="P258" s="281"/>
      <c r="Q258" s="281"/>
      <c r="R258" s="281"/>
      <c r="S258" s="320"/>
      <c r="T258" s="543" t="e">
        <f>-1/P259</f>
        <v>#VALUE!</v>
      </c>
      <c r="U258" s="543"/>
      <c r="V258" s="543"/>
      <c r="W258" s="320"/>
      <c r="X258" s="320"/>
      <c r="Y258" s="320"/>
      <c r="Z258" s="282"/>
      <c r="AA258" s="282"/>
      <c r="AB258" s="320"/>
      <c r="AC258" s="320"/>
      <c r="AD258" s="320"/>
      <c r="AE258" s="320"/>
      <c r="AF258" s="320"/>
      <c r="AG258" s="320"/>
      <c r="AH258" s="320"/>
      <c r="AI258" s="320"/>
      <c r="AJ258" s="320"/>
      <c r="AK258" s="320"/>
      <c r="AL258" s="316"/>
      <c r="AM258" s="316"/>
      <c r="AN258" s="316"/>
      <c r="AO258" s="320"/>
      <c r="AP258" s="320"/>
      <c r="AQ258" s="320"/>
      <c r="AR258" s="320"/>
      <c r="AS258" s="320"/>
      <c r="AT258" s="320"/>
      <c r="AU258" s="320"/>
      <c r="AV258" s="320"/>
      <c r="AW258" s="320"/>
      <c r="AX258" s="320"/>
      <c r="AY258" s="316"/>
      <c r="AZ258" s="316"/>
      <c r="BA258" s="316"/>
      <c r="BB258" s="316"/>
      <c r="BC258" s="316"/>
      <c r="BD258" s="316"/>
      <c r="BE258" s="316"/>
      <c r="BF258" s="316"/>
      <c r="BG258" s="316"/>
    </row>
    <row r="259" spans="2:59" s="279" customFormat="1" ht="18.75" customHeight="1">
      <c r="B259" s="316"/>
      <c r="C259" s="510"/>
      <c r="D259" s="510"/>
      <c r="E259" s="510"/>
      <c r="F259" s="510"/>
      <c r="G259" s="510"/>
      <c r="H259" s="510"/>
      <c r="I259" s="320"/>
      <c r="J259" s="320"/>
      <c r="K259" s="320"/>
      <c r="L259" s="320"/>
      <c r="M259" s="320"/>
      <c r="N259" s="320"/>
      <c r="P259" s="510" t="e">
        <f>Calcu!D89/1000</f>
        <v>#VALUE!</v>
      </c>
      <c r="Q259" s="510"/>
      <c r="R259" s="320" t="s">
        <v>830</v>
      </c>
      <c r="S259" s="320"/>
      <c r="T259" s="543"/>
      <c r="U259" s="543"/>
      <c r="V259" s="543"/>
      <c r="Y259" s="320"/>
      <c r="Z259" s="282"/>
      <c r="AA259" s="282"/>
      <c r="AB259" s="320"/>
      <c r="AC259" s="320"/>
      <c r="AD259" s="320"/>
      <c r="AE259" s="320"/>
      <c r="AF259" s="320"/>
      <c r="AG259" s="320"/>
      <c r="AH259" s="320"/>
      <c r="AI259" s="320"/>
      <c r="AJ259" s="320"/>
      <c r="AK259" s="320"/>
      <c r="AL259" s="316"/>
      <c r="AM259" s="316"/>
      <c r="AN259" s="316"/>
      <c r="AO259" s="320"/>
      <c r="AP259" s="320"/>
      <c r="AQ259" s="320"/>
      <c r="AR259" s="320"/>
      <c r="AS259" s="320"/>
      <c r="AT259" s="320"/>
      <c r="AU259" s="320"/>
      <c r="AV259" s="320"/>
      <c r="AW259" s="320"/>
      <c r="AX259" s="320"/>
      <c r="AY259" s="316"/>
      <c r="AZ259" s="316"/>
      <c r="BA259" s="316"/>
      <c r="BB259" s="316"/>
      <c r="BC259" s="316"/>
      <c r="BD259" s="316"/>
      <c r="BE259" s="316"/>
      <c r="BF259" s="316"/>
      <c r="BG259" s="316"/>
    </row>
    <row r="260" spans="2:59" s="279" customFormat="1" ht="18.75" customHeight="1">
      <c r="B260" s="316"/>
      <c r="C260" s="320" t="s">
        <v>749</v>
      </c>
      <c r="D260" s="320"/>
      <c r="E260" s="320"/>
      <c r="F260" s="320"/>
      <c r="G260" s="320"/>
      <c r="H260" s="320"/>
      <c r="I260" s="320"/>
      <c r="J260" s="316"/>
      <c r="K260" s="327" t="s">
        <v>506</v>
      </c>
      <c r="L260" s="544" t="e">
        <f>T258</f>
        <v>#VALUE!</v>
      </c>
      <c r="M260" s="544"/>
      <c r="N260" s="544"/>
      <c r="O260" s="266" t="s">
        <v>750</v>
      </c>
      <c r="P260" s="542" t="e">
        <f>U255</f>
        <v>#DIV/0!</v>
      </c>
      <c r="Q260" s="496"/>
      <c r="R260" s="496"/>
      <c r="S260" s="319" t="str">
        <f>X255</f>
        <v>μm</v>
      </c>
      <c r="T260" s="319"/>
      <c r="U260" s="327" t="s">
        <v>506</v>
      </c>
      <c r="V260" s="319" t="s">
        <v>509</v>
      </c>
      <c r="W260" s="542" t="e">
        <f>ABS(L260*P260)</f>
        <v>#VALUE!</v>
      </c>
      <c r="X260" s="496"/>
      <c r="Y260" s="496"/>
      <c r="Z260" s="319" t="e">
        <f>AQ212</f>
        <v>#DIV/0!</v>
      </c>
      <c r="AA260" s="319"/>
      <c r="AB260" s="251"/>
      <c r="AC260" s="251"/>
      <c r="AD260" s="319"/>
      <c r="AE260" s="318"/>
      <c r="AF260" s="318"/>
      <c r="AG260" s="318"/>
      <c r="AH260" s="258"/>
      <c r="AI260" s="261"/>
      <c r="AJ260" s="261"/>
      <c r="AK260" s="261"/>
      <c r="AL260" s="261"/>
      <c r="AM260" s="262"/>
      <c r="AN260" s="258"/>
      <c r="AO260" s="258"/>
      <c r="AP260" s="319"/>
      <c r="AQ260" s="319"/>
      <c r="AR260" s="319"/>
      <c r="AS260" s="319"/>
      <c r="AT260" s="319"/>
      <c r="AU260" s="319"/>
      <c r="AV260" s="320"/>
      <c r="AW260" s="320"/>
      <c r="AX260" s="320"/>
      <c r="AY260" s="316"/>
      <c r="AZ260" s="316"/>
      <c r="BA260" s="316"/>
      <c r="BB260" s="316"/>
      <c r="BC260" s="316"/>
      <c r="BD260" s="316"/>
      <c r="BE260" s="316"/>
      <c r="BF260" s="316"/>
      <c r="BG260" s="316"/>
    </row>
    <row r="261" spans="2:59" s="279" customFormat="1" ht="18.75" customHeight="1">
      <c r="B261" s="316"/>
      <c r="C261" s="320" t="s">
        <v>864</v>
      </c>
      <c r="D261" s="320"/>
      <c r="E261" s="320"/>
      <c r="F261" s="320"/>
      <c r="G261" s="320"/>
      <c r="H261" s="296" t="s">
        <v>865</v>
      </c>
      <c r="I261" s="251"/>
      <c r="J261" s="251"/>
      <c r="K261" s="251"/>
      <c r="L261" s="251"/>
      <c r="M261" s="251"/>
      <c r="N261" s="251"/>
      <c r="O261" s="258"/>
      <c r="P261" s="258"/>
      <c r="Q261" s="258"/>
      <c r="R261" s="258"/>
      <c r="S261" s="320"/>
      <c r="T261" s="320"/>
      <c r="U261" s="320"/>
      <c r="W261" s="320"/>
      <c r="X261" s="254"/>
      <c r="Y261" s="320"/>
      <c r="Z261" s="320"/>
      <c r="AA261" s="320"/>
      <c r="AB261" s="320"/>
      <c r="AC261" s="320"/>
      <c r="AD261" s="320"/>
      <c r="AE261" s="316"/>
      <c r="AF261" s="316"/>
      <c r="AG261" s="316"/>
      <c r="AH261" s="316"/>
      <c r="AI261" s="316"/>
      <c r="AJ261" s="316"/>
      <c r="AK261" s="316"/>
      <c r="AL261" s="316"/>
      <c r="AM261" s="316"/>
      <c r="AN261" s="316"/>
      <c r="AO261" s="316"/>
      <c r="AP261" s="316"/>
      <c r="AQ261" s="316"/>
      <c r="AR261" s="316"/>
      <c r="AS261" s="316"/>
      <c r="AT261" s="316"/>
      <c r="AU261" s="316"/>
      <c r="AV261" s="316"/>
      <c r="AW261" s="316"/>
      <c r="AX261" s="316"/>
      <c r="AY261" s="316"/>
      <c r="AZ261" s="316"/>
      <c r="BA261" s="316"/>
      <c r="BB261" s="316"/>
      <c r="BC261" s="316"/>
      <c r="BD261" s="316"/>
      <c r="BE261" s="316"/>
      <c r="BF261" s="316"/>
      <c r="BG261" s="316"/>
    </row>
    <row r="262" spans="2:59" s="279" customFormat="1" ht="18.75" customHeight="1">
      <c r="B262" s="316"/>
      <c r="C262" s="253"/>
      <c r="D262" s="320"/>
      <c r="E262" s="320"/>
      <c r="F262" s="320"/>
      <c r="G262" s="316"/>
      <c r="H262" s="320"/>
      <c r="I262" s="320"/>
      <c r="J262" s="320"/>
      <c r="K262" s="320"/>
      <c r="L262" s="320"/>
      <c r="M262" s="320"/>
      <c r="N262" s="320"/>
      <c r="O262" s="320"/>
      <c r="P262" s="320"/>
      <c r="Q262" s="320"/>
      <c r="R262" s="320"/>
      <c r="S262" s="320"/>
      <c r="T262" s="320"/>
      <c r="U262" s="320"/>
      <c r="V262" s="320"/>
      <c r="W262" s="320"/>
      <c r="X262" s="320"/>
      <c r="Y262" s="320"/>
      <c r="Z262" s="320"/>
      <c r="AA262" s="320"/>
      <c r="AB262" s="320"/>
      <c r="AC262" s="320"/>
      <c r="AD262" s="320"/>
      <c r="AE262" s="316"/>
      <c r="AF262" s="320"/>
      <c r="AG262" s="316"/>
      <c r="AH262" s="316"/>
      <c r="AI262" s="316"/>
      <c r="AJ262" s="316"/>
      <c r="AK262" s="316"/>
      <c r="AL262" s="316"/>
      <c r="AM262" s="316"/>
      <c r="AN262" s="316"/>
      <c r="AO262" s="316"/>
      <c r="AP262" s="316"/>
      <c r="AQ262" s="316"/>
      <c r="AR262" s="316"/>
      <c r="AS262" s="316"/>
      <c r="AT262" s="316"/>
      <c r="AU262" s="316"/>
      <c r="AV262" s="316"/>
      <c r="AW262" s="316"/>
      <c r="AX262" s="316"/>
      <c r="AY262" s="316"/>
      <c r="AZ262" s="316"/>
      <c r="BA262" s="316"/>
      <c r="BB262" s="316"/>
      <c r="BC262" s="316"/>
      <c r="BD262" s="316"/>
      <c r="BE262" s="316"/>
      <c r="BF262" s="316"/>
      <c r="BG262" s="316"/>
    </row>
    <row r="263" spans="2:59" s="279" customFormat="1" ht="18.75" customHeight="1">
      <c r="B263" s="293" t="s">
        <v>866</v>
      </c>
      <c r="D263" s="320"/>
      <c r="E263" s="320"/>
      <c r="F263" s="320"/>
      <c r="G263" s="316"/>
      <c r="H263" s="320"/>
      <c r="I263" s="320"/>
      <c r="J263" s="320"/>
      <c r="K263" s="320"/>
      <c r="L263" s="320"/>
      <c r="M263" s="320"/>
      <c r="N263" s="320"/>
      <c r="O263" s="294" t="s">
        <v>867</v>
      </c>
      <c r="P263" s="320"/>
      <c r="Q263" s="320"/>
      <c r="R263" s="320"/>
      <c r="S263" s="320"/>
      <c r="T263" s="320"/>
      <c r="U263" s="320"/>
      <c r="V263" s="320"/>
      <c r="W263" s="320"/>
      <c r="X263" s="320"/>
      <c r="Y263" s="320"/>
      <c r="Z263" s="320"/>
      <c r="AA263" s="320"/>
      <c r="AB263" s="320"/>
      <c r="AP263" s="316"/>
      <c r="AQ263" s="316"/>
      <c r="AR263" s="316"/>
      <c r="AS263" s="316"/>
      <c r="AT263" s="316"/>
      <c r="AU263" s="316"/>
      <c r="AV263" s="316"/>
      <c r="AW263" s="316"/>
      <c r="AX263" s="316"/>
      <c r="AY263" s="316"/>
      <c r="AZ263" s="316"/>
      <c r="BA263" s="316"/>
      <c r="BB263" s="316"/>
      <c r="BC263" s="316"/>
      <c r="BD263" s="316"/>
      <c r="BE263" s="316"/>
      <c r="BF263" s="316"/>
      <c r="BG263" s="316"/>
    </row>
    <row r="264" spans="2:59" s="279" customFormat="1" ht="18.75" customHeight="1">
      <c r="B264" s="316"/>
      <c r="C264" s="321" t="s">
        <v>868</v>
      </c>
      <c r="D264" s="316"/>
      <c r="E264" s="316"/>
      <c r="F264" s="316"/>
      <c r="G264" s="316"/>
      <c r="H264" s="510">
        <f>J213</f>
        <v>0</v>
      </c>
      <c r="I264" s="510"/>
      <c r="J264" s="510"/>
      <c r="K264" s="510"/>
      <c r="L264" s="319" t="str">
        <f>O213</f>
        <v>μm/m</v>
      </c>
      <c r="M264" s="320"/>
      <c r="N264" s="320"/>
      <c r="O264" s="320"/>
      <c r="P264" s="271"/>
      <c r="Q264" s="320"/>
      <c r="R264" s="320"/>
      <c r="S264" s="320"/>
      <c r="T264" s="320"/>
      <c r="U264" s="320"/>
      <c r="AJ264" s="316"/>
      <c r="AK264" s="316"/>
      <c r="AL264" s="316"/>
      <c r="AM264" s="316"/>
      <c r="AN264" s="316"/>
      <c r="AO264" s="316"/>
      <c r="AP264" s="316"/>
      <c r="AQ264" s="316"/>
      <c r="AR264" s="316"/>
      <c r="AS264" s="320"/>
      <c r="AT264" s="320"/>
      <c r="AU264" s="320"/>
      <c r="AV264" s="320"/>
      <c r="AW264" s="320"/>
      <c r="AX264" s="320"/>
      <c r="AY264" s="316"/>
      <c r="AZ264" s="316"/>
      <c r="BA264" s="316"/>
      <c r="BB264" s="316"/>
      <c r="BC264" s="316"/>
      <c r="BD264" s="316"/>
      <c r="BE264" s="316"/>
      <c r="BF264" s="316"/>
      <c r="BG264" s="316"/>
    </row>
    <row r="265" spans="2:59" s="279" customFormat="1" ht="18.75" customHeight="1">
      <c r="B265" s="316"/>
      <c r="C265" s="320" t="s">
        <v>869</v>
      </c>
      <c r="D265" s="320"/>
      <c r="E265" s="320"/>
      <c r="F265" s="320"/>
      <c r="G265" s="320"/>
      <c r="H265" s="320"/>
      <c r="I265" s="316"/>
      <c r="J265" s="320" t="s">
        <v>870</v>
      </c>
      <c r="K265" s="320"/>
      <c r="L265" s="320"/>
      <c r="M265" s="320"/>
      <c r="N265" s="320"/>
      <c r="O265" s="320"/>
      <c r="T265" s="285"/>
      <c r="U265" s="285"/>
      <c r="V265" s="285"/>
      <c r="W265" s="496">
        <f>Calcu!G105</f>
        <v>0</v>
      </c>
      <c r="X265" s="496"/>
      <c r="Y265" s="258" t="s">
        <v>530</v>
      </c>
      <c r="Z265" s="319"/>
      <c r="AA265" s="319"/>
      <c r="AB265" s="319"/>
      <c r="AC265" s="319"/>
      <c r="AD265" s="260"/>
      <c r="AE265" s="258"/>
      <c r="AF265" s="251"/>
      <c r="AG265" s="251"/>
      <c r="AH265" s="258"/>
      <c r="AI265" s="258"/>
      <c r="AJ265" s="258"/>
      <c r="AK265" s="316"/>
      <c r="AL265" s="316"/>
      <c r="AM265" s="320"/>
      <c r="AN265" s="320"/>
      <c r="AO265" s="320"/>
      <c r="AP265" s="320"/>
      <c r="AQ265" s="320"/>
      <c r="AR265" s="320"/>
      <c r="AS265" s="320"/>
      <c r="AT265" s="320"/>
      <c r="AU265" s="320"/>
      <c r="AV265" s="320"/>
      <c r="AW265" s="320"/>
      <c r="AX265" s="316"/>
      <c r="AY265" s="316"/>
      <c r="AZ265" s="316"/>
      <c r="BA265" s="316"/>
      <c r="BB265" s="316"/>
      <c r="BC265" s="316"/>
      <c r="BD265" s="316"/>
      <c r="BE265" s="316"/>
      <c r="BF265" s="316"/>
    </row>
    <row r="266" spans="2:59" s="279" customFormat="1" ht="18.75" customHeight="1">
      <c r="B266" s="316"/>
      <c r="C266" s="320"/>
      <c r="D266" s="320"/>
      <c r="E266" s="320"/>
      <c r="F266" s="320"/>
      <c r="G266" s="320"/>
      <c r="H266" s="320"/>
      <c r="I266" s="316"/>
      <c r="K266" s="320" t="s">
        <v>871</v>
      </c>
      <c r="L266" s="319"/>
      <c r="M266" s="319"/>
      <c r="N266" s="319"/>
      <c r="O266" s="319"/>
      <c r="P266" s="319"/>
      <c r="Q266" s="327"/>
      <c r="R266" s="286"/>
      <c r="S266" s="286"/>
      <c r="T266" s="286"/>
      <c r="U266" s="286"/>
      <c r="V266" s="331"/>
      <c r="W266" s="331"/>
      <c r="X266" s="331"/>
      <c r="Y266" s="284"/>
      <c r="AC266" s="320"/>
      <c r="AD266" s="320"/>
      <c r="AE266" s="320"/>
      <c r="AF266" s="316"/>
      <c r="AG266" s="316"/>
      <c r="AH266" s="316"/>
      <c r="AI266" s="316"/>
      <c r="AJ266" s="316"/>
      <c r="AK266" s="316"/>
      <c r="AL266" s="316"/>
      <c r="AM266" s="316"/>
      <c r="AN266" s="320"/>
      <c r="AO266" s="320"/>
      <c r="AP266" s="320"/>
      <c r="AQ266" s="320"/>
      <c r="AR266" s="320"/>
      <c r="AS266" s="320"/>
      <c r="AT266" s="320"/>
      <c r="AU266" s="320"/>
      <c r="AV266" s="320"/>
      <c r="AW266" s="320"/>
      <c r="AX266" s="320"/>
      <c r="AY266" s="316"/>
      <c r="AZ266" s="316"/>
      <c r="BA266" s="316"/>
      <c r="BB266" s="316"/>
      <c r="BC266" s="316"/>
      <c r="BD266" s="316"/>
      <c r="BE266" s="316"/>
      <c r="BF266" s="316"/>
      <c r="BG266" s="316"/>
    </row>
    <row r="267" spans="2:59" s="279" customFormat="1" ht="18.75" customHeight="1">
      <c r="B267" s="316"/>
      <c r="C267" s="320"/>
      <c r="D267" s="320"/>
      <c r="E267" s="320"/>
      <c r="F267" s="320"/>
      <c r="G267" s="320"/>
      <c r="H267" s="320"/>
      <c r="I267" s="320"/>
      <c r="K267" s="550" t="s">
        <v>872</v>
      </c>
      <c r="L267" s="550"/>
      <c r="M267" s="550"/>
      <c r="N267" s="517" t="s">
        <v>730</v>
      </c>
      <c r="O267" s="551">
        <f>W265</f>
        <v>0</v>
      </c>
      <c r="P267" s="551"/>
      <c r="Q267" s="298" t="s">
        <v>873</v>
      </c>
      <c r="R267" s="298"/>
      <c r="S267" s="517" t="s">
        <v>509</v>
      </c>
      <c r="T267" s="546">
        <f>O267/5/SQRT(3)</f>
        <v>0</v>
      </c>
      <c r="U267" s="546"/>
      <c r="V267" s="546"/>
      <c r="W267" s="496" t="s">
        <v>845</v>
      </c>
      <c r="X267" s="496"/>
      <c r="Y267" s="273"/>
      <c r="Z267" s="273"/>
      <c r="AA267" s="273"/>
      <c r="AB267" s="254"/>
      <c r="AC267" s="254"/>
      <c r="AD267" s="54"/>
      <c r="AE267" s="316"/>
      <c r="AF267" s="316"/>
      <c r="AG267" s="316"/>
      <c r="AH267" s="316"/>
      <c r="AI267" s="316"/>
      <c r="AJ267" s="316"/>
      <c r="AK267" s="316"/>
      <c r="AL267" s="316"/>
      <c r="AM267" s="320"/>
      <c r="AN267" s="320"/>
      <c r="AO267" s="320"/>
      <c r="AP267" s="320"/>
      <c r="AQ267" s="320"/>
      <c r="AR267" s="320"/>
      <c r="AS267" s="320"/>
      <c r="AT267" s="320"/>
      <c r="AU267" s="316"/>
      <c r="AV267" s="316"/>
      <c r="AW267" s="316"/>
      <c r="AX267" s="316"/>
      <c r="AY267" s="316"/>
      <c r="AZ267" s="316"/>
      <c r="BA267" s="316"/>
      <c r="BB267" s="316"/>
      <c r="BC267" s="316"/>
    </row>
    <row r="268" spans="2:59" s="279" customFormat="1" ht="18.75" customHeight="1">
      <c r="B268" s="316"/>
      <c r="C268" s="320"/>
      <c r="D268" s="320"/>
      <c r="E268" s="320"/>
      <c r="F268" s="320"/>
      <c r="G268" s="320"/>
      <c r="H268" s="320"/>
      <c r="I268" s="320"/>
      <c r="K268" s="550"/>
      <c r="L268" s="550"/>
      <c r="M268" s="550"/>
      <c r="N268" s="517"/>
      <c r="O268" s="515"/>
      <c r="P268" s="515"/>
      <c r="Q268" s="515"/>
      <c r="R268" s="515"/>
      <c r="S268" s="517"/>
      <c r="T268" s="546"/>
      <c r="U268" s="546"/>
      <c r="V268" s="546"/>
      <c r="W268" s="496"/>
      <c r="X268" s="496"/>
      <c r="Y268" s="273"/>
      <c r="Z268" s="273"/>
      <c r="AA268" s="273"/>
      <c r="AB268" s="254"/>
      <c r="AC268" s="254"/>
      <c r="AD268" s="54"/>
      <c r="AE268" s="316"/>
      <c r="AF268" s="316"/>
      <c r="AG268" s="316"/>
      <c r="AH268" s="316"/>
      <c r="AI268" s="316"/>
      <c r="AJ268" s="316"/>
      <c r="AK268" s="316"/>
      <c r="AL268" s="316"/>
      <c r="AM268" s="320"/>
      <c r="AN268" s="320"/>
      <c r="AO268" s="320"/>
      <c r="AP268" s="320"/>
      <c r="AQ268" s="320"/>
      <c r="AR268" s="320"/>
      <c r="AS268" s="320"/>
      <c r="AT268" s="320"/>
      <c r="AU268" s="316"/>
      <c r="AV268" s="316"/>
      <c r="AW268" s="316"/>
      <c r="AX268" s="316"/>
      <c r="AY268" s="316"/>
      <c r="AZ268" s="316"/>
      <c r="BA268" s="316"/>
      <c r="BB268" s="316"/>
      <c r="BC268" s="316"/>
    </row>
    <row r="269" spans="2:59" s="279" customFormat="1" ht="18.75" customHeight="1">
      <c r="B269" s="316"/>
      <c r="C269" s="320" t="s">
        <v>504</v>
      </c>
      <c r="D269" s="320"/>
      <c r="E269" s="320"/>
      <c r="F269" s="320"/>
      <c r="G269" s="320"/>
      <c r="H269" s="320"/>
      <c r="I269" s="509" t="str">
        <f>AB213</f>
        <v>직사각형</v>
      </c>
      <c r="J269" s="509"/>
      <c r="K269" s="509"/>
      <c r="L269" s="509"/>
      <c r="M269" s="509"/>
      <c r="N269" s="509"/>
      <c r="O269" s="509"/>
      <c r="P269" s="509"/>
      <c r="Q269" s="320"/>
      <c r="R269" s="320"/>
      <c r="S269" s="320"/>
      <c r="T269" s="320"/>
      <c r="U269" s="320"/>
      <c r="V269" s="320"/>
      <c r="W269" s="320"/>
      <c r="X269" s="320"/>
      <c r="Y269" s="320"/>
      <c r="Z269" s="316"/>
      <c r="AA269" s="316"/>
      <c r="AB269" s="316"/>
      <c r="AC269" s="316"/>
      <c r="AD269" s="316"/>
      <c r="AE269" s="316"/>
      <c r="AF269" s="316"/>
      <c r="AG269" s="316"/>
      <c r="AH269" s="320"/>
      <c r="AI269" s="320"/>
      <c r="AJ269" s="320"/>
      <c r="AK269" s="320"/>
      <c r="AL269" s="320"/>
      <c r="AM269" s="320"/>
      <c r="AN269" s="320"/>
      <c r="AO269" s="320"/>
      <c r="AP269" s="320"/>
      <c r="AQ269" s="320"/>
      <c r="AR269" s="320"/>
      <c r="AS269" s="320"/>
      <c r="AT269" s="320"/>
      <c r="AU269" s="320"/>
      <c r="AV269" s="320"/>
      <c r="AW269" s="320"/>
      <c r="AX269" s="320"/>
      <c r="AY269" s="316"/>
      <c r="AZ269" s="316"/>
      <c r="BA269" s="316"/>
      <c r="BB269" s="316"/>
      <c r="BC269" s="316"/>
      <c r="BD269" s="316"/>
      <c r="BE269" s="316"/>
      <c r="BF269" s="316"/>
      <c r="BG269" s="316"/>
    </row>
    <row r="270" spans="2:59" s="279" customFormat="1" ht="18.75" customHeight="1">
      <c r="B270" s="316"/>
      <c r="C270" s="510" t="s">
        <v>874</v>
      </c>
      <c r="D270" s="510"/>
      <c r="E270" s="510"/>
      <c r="F270" s="510"/>
      <c r="G270" s="510"/>
      <c r="H270" s="510"/>
      <c r="I270" s="320"/>
      <c r="J270" s="320"/>
      <c r="K270" s="320"/>
      <c r="L270" s="320"/>
      <c r="M270" s="320"/>
      <c r="N270" s="320"/>
      <c r="R270" s="281"/>
      <c r="S270" s="320"/>
      <c r="T270" s="543" t="e">
        <f>1/O271</f>
        <v>#VALUE!</v>
      </c>
      <c r="U270" s="543"/>
      <c r="V270" s="543"/>
      <c r="W270" s="320"/>
      <c r="X270" s="320"/>
      <c r="Y270" s="320"/>
      <c r="Z270" s="282"/>
      <c r="AA270" s="282"/>
      <c r="AB270" s="320"/>
      <c r="AC270" s="320"/>
      <c r="AD270" s="320"/>
      <c r="AE270" s="320"/>
      <c r="AF270" s="320"/>
      <c r="AG270" s="320"/>
      <c r="AH270" s="320"/>
      <c r="AI270" s="320"/>
      <c r="AJ270" s="320"/>
      <c r="AK270" s="320"/>
      <c r="AL270" s="316"/>
      <c r="AM270" s="316"/>
      <c r="AN270" s="316"/>
      <c r="AO270" s="320"/>
      <c r="AP270" s="320"/>
      <c r="AQ270" s="320"/>
      <c r="AR270" s="320"/>
      <c r="AS270" s="320"/>
      <c r="AT270" s="320"/>
      <c r="AU270" s="320"/>
      <c r="AV270" s="320"/>
      <c r="AW270" s="320"/>
      <c r="AX270" s="320"/>
      <c r="AY270" s="316"/>
      <c r="AZ270" s="316"/>
      <c r="BA270" s="316"/>
      <c r="BB270" s="316"/>
      <c r="BC270" s="316"/>
      <c r="BD270" s="316"/>
      <c r="BE270" s="316"/>
      <c r="BF270" s="316"/>
      <c r="BG270" s="316"/>
    </row>
    <row r="271" spans="2:59" s="279" customFormat="1" ht="18.75" customHeight="1">
      <c r="B271" s="316"/>
      <c r="C271" s="510"/>
      <c r="D271" s="510"/>
      <c r="E271" s="510"/>
      <c r="F271" s="510"/>
      <c r="G271" s="510"/>
      <c r="H271" s="510"/>
      <c r="I271" s="320"/>
      <c r="J271" s="320"/>
      <c r="K271" s="320"/>
      <c r="L271" s="320"/>
      <c r="M271" s="320"/>
      <c r="N271" s="320"/>
      <c r="O271" s="510" t="e">
        <f>Calcu!D89/1000</f>
        <v>#VALUE!</v>
      </c>
      <c r="P271" s="510"/>
      <c r="Q271" s="320" t="s">
        <v>519</v>
      </c>
      <c r="S271" s="320"/>
      <c r="T271" s="543"/>
      <c r="U271" s="543"/>
      <c r="V271" s="543"/>
      <c r="W271" s="320"/>
      <c r="X271" s="320"/>
      <c r="Y271" s="320"/>
      <c r="Z271" s="282"/>
      <c r="AA271" s="282"/>
      <c r="AB271" s="320"/>
      <c r="AC271" s="320"/>
      <c r="AD271" s="320"/>
      <c r="AE271" s="320"/>
      <c r="AF271" s="320"/>
      <c r="AG271" s="320"/>
      <c r="AH271" s="320"/>
      <c r="AI271" s="320"/>
      <c r="AJ271" s="320"/>
      <c r="AK271" s="320"/>
      <c r="AL271" s="316"/>
      <c r="AM271" s="316"/>
      <c r="AN271" s="316"/>
      <c r="AO271" s="320"/>
      <c r="AP271" s="320"/>
      <c r="AQ271" s="320"/>
      <c r="AR271" s="320"/>
      <c r="AS271" s="320"/>
      <c r="AT271" s="320"/>
      <c r="AU271" s="320"/>
      <c r="AV271" s="320"/>
      <c r="AW271" s="320"/>
      <c r="AX271" s="320"/>
      <c r="AY271" s="316"/>
      <c r="AZ271" s="316"/>
      <c r="BA271" s="316"/>
      <c r="BB271" s="316"/>
      <c r="BC271" s="316"/>
      <c r="BD271" s="316"/>
      <c r="BE271" s="316"/>
      <c r="BF271" s="316"/>
      <c r="BG271" s="316"/>
    </row>
    <row r="272" spans="2:59" s="279" customFormat="1" ht="18.75" customHeight="1">
      <c r="B272" s="316"/>
      <c r="C272" s="320" t="s">
        <v>875</v>
      </c>
      <c r="D272" s="320"/>
      <c r="E272" s="320"/>
      <c r="F272" s="320"/>
      <c r="G272" s="320"/>
      <c r="H272" s="320"/>
      <c r="I272" s="320"/>
      <c r="J272" s="316"/>
      <c r="K272" s="327" t="s">
        <v>876</v>
      </c>
      <c r="L272" s="544" t="e">
        <f>T270</f>
        <v>#VALUE!</v>
      </c>
      <c r="M272" s="544"/>
      <c r="N272" s="544"/>
      <c r="O272" s="266" t="s">
        <v>877</v>
      </c>
      <c r="P272" s="542">
        <f>T267</f>
        <v>0</v>
      </c>
      <c r="Q272" s="496"/>
      <c r="R272" s="496"/>
      <c r="S272" s="319" t="str">
        <f>W267</f>
        <v>μm</v>
      </c>
      <c r="T272" s="319"/>
      <c r="U272" s="327" t="s">
        <v>878</v>
      </c>
      <c r="V272" s="319" t="s">
        <v>761</v>
      </c>
      <c r="W272" s="542" t="e">
        <f>ABS(L272*P272)</f>
        <v>#VALUE!</v>
      </c>
      <c r="X272" s="496"/>
      <c r="Y272" s="496"/>
      <c r="Z272" s="319" t="e">
        <f>AQ213</f>
        <v>#VALUE!</v>
      </c>
      <c r="AA272" s="319"/>
      <c r="AB272" s="251"/>
      <c r="AC272" s="251"/>
      <c r="AD272" s="319"/>
      <c r="AE272" s="318"/>
      <c r="AF272" s="318"/>
      <c r="AG272" s="318"/>
      <c r="AH272" s="258"/>
      <c r="AI272" s="261"/>
      <c r="AJ272" s="261"/>
      <c r="AK272" s="261"/>
      <c r="AL272" s="261"/>
      <c r="AM272" s="262"/>
      <c r="AN272" s="258"/>
      <c r="AO272" s="258"/>
      <c r="AP272" s="319"/>
      <c r="AQ272" s="319"/>
      <c r="AR272" s="319"/>
      <c r="AS272" s="319"/>
      <c r="AT272" s="319"/>
      <c r="AU272" s="320"/>
      <c r="AV272" s="320"/>
      <c r="AW272" s="320"/>
      <c r="AX272" s="320"/>
      <c r="AY272" s="316"/>
      <c r="AZ272" s="316"/>
      <c r="BA272" s="316"/>
      <c r="BB272" s="316"/>
      <c r="BC272" s="316"/>
      <c r="BD272" s="316"/>
      <c r="BE272" s="316"/>
      <c r="BF272" s="316"/>
      <c r="BG272" s="316"/>
    </row>
    <row r="273" spans="1:61" s="279" customFormat="1" ht="18.75" customHeight="1">
      <c r="B273" s="316"/>
      <c r="C273" s="510" t="s">
        <v>879</v>
      </c>
      <c r="D273" s="510"/>
      <c r="E273" s="510"/>
      <c r="F273" s="510"/>
      <c r="G273" s="510"/>
      <c r="H273" s="320"/>
      <c r="J273" s="320"/>
      <c r="K273" s="320"/>
      <c r="L273" s="320"/>
      <c r="M273" s="320"/>
      <c r="N273" s="320"/>
      <c r="O273" s="320"/>
      <c r="P273" s="320"/>
      <c r="Q273" s="320"/>
      <c r="R273" s="320"/>
      <c r="S273" s="320"/>
      <c r="T273" s="320"/>
      <c r="U273" s="320"/>
      <c r="W273" s="320"/>
      <c r="X273" s="254" t="s">
        <v>880</v>
      </c>
      <c r="Y273" s="320"/>
      <c r="Z273" s="320"/>
      <c r="AA273" s="320"/>
      <c r="AB273" s="320"/>
      <c r="AC273" s="320"/>
      <c r="AD273" s="320"/>
      <c r="AE273" s="316"/>
      <c r="AF273" s="316"/>
      <c r="AG273" s="316"/>
      <c r="AH273" s="316"/>
      <c r="AI273" s="316"/>
      <c r="AJ273" s="316"/>
      <c r="AK273" s="316"/>
      <c r="AL273" s="316"/>
      <c r="AM273" s="316"/>
      <c r="AN273" s="316"/>
      <c r="AO273" s="316"/>
      <c r="AP273" s="316"/>
      <c r="AQ273" s="316"/>
      <c r="AR273" s="316"/>
      <c r="AS273" s="316"/>
      <c r="AT273" s="316"/>
      <c r="AU273" s="316"/>
      <c r="AV273" s="316"/>
      <c r="AW273" s="316"/>
      <c r="AX273" s="316"/>
      <c r="AY273" s="316"/>
      <c r="AZ273" s="316"/>
      <c r="BA273" s="316"/>
      <c r="BB273" s="316"/>
      <c r="BC273" s="316"/>
      <c r="BD273" s="316"/>
      <c r="BE273" s="316"/>
      <c r="BF273" s="316"/>
      <c r="BG273" s="316"/>
    </row>
    <row r="274" spans="1:61" s="279" customFormat="1" ht="18.75" customHeight="1">
      <c r="B274" s="316"/>
      <c r="C274" s="510"/>
      <c r="D274" s="510"/>
      <c r="E274" s="510"/>
      <c r="F274" s="510"/>
      <c r="G274" s="510"/>
      <c r="H274" s="320"/>
      <c r="I274" s="320"/>
      <c r="J274" s="320"/>
      <c r="K274" s="320"/>
      <c r="L274" s="320"/>
      <c r="M274" s="320"/>
      <c r="N274" s="320"/>
      <c r="O274" s="320"/>
      <c r="P274" s="320"/>
      <c r="Q274" s="320"/>
      <c r="R274" s="320"/>
      <c r="S274" s="320"/>
      <c r="T274" s="320"/>
      <c r="U274" s="320"/>
      <c r="V274" s="320"/>
      <c r="W274" s="320"/>
      <c r="X274" s="320"/>
      <c r="Y274" s="320"/>
      <c r="Z274" s="320"/>
      <c r="AA274" s="320"/>
      <c r="AB274" s="320"/>
      <c r="AC274" s="320"/>
      <c r="AD274" s="320"/>
      <c r="AE274" s="316"/>
      <c r="AF274" s="316"/>
      <c r="AG274" s="316"/>
      <c r="AH274" s="316"/>
      <c r="AI274" s="316"/>
      <c r="AJ274" s="316"/>
      <c r="AK274" s="316"/>
      <c r="AL274" s="316"/>
      <c r="AM274" s="316"/>
      <c r="AN274" s="316"/>
      <c r="AO274" s="316"/>
      <c r="AP274" s="316"/>
      <c r="AQ274" s="316"/>
      <c r="AR274" s="316"/>
      <c r="AS274" s="316"/>
      <c r="AT274" s="316"/>
      <c r="AU274" s="316"/>
      <c r="AV274" s="316"/>
      <c r="AW274" s="316"/>
      <c r="AX274" s="316"/>
      <c r="AY274" s="316"/>
      <c r="AZ274" s="316"/>
      <c r="BA274" s="316"/>
      <c r="BB274" s="316"/>
      <c r="BC274" s="316"/>
      <c r="BD274" s="316"/>
      <c r="BE274" s="316"/>
      <c r="BF274" s="316"/>
      <c r="BG274" s="316"/>
    </row>
    <row r="275" spans="1:61" s="279" customFormat="1" ht="18.75" customHeight="1">
      <c r="B275" s="316"/>
      <c r="C275" s="253"/>
      <c r="D275" s="320"/>
      <c r="E275" s="320"/>
      <c r="F275" s="320"/>
      <c r="G275" s="316"/>
      <c r="H275" s="320"/>
      <c r="I275" s="320"/>
      <c r="J275" s="320"/>
      <c r="K275" s="320"/>
      <c r="L275" s="320"/>
      <c r="M275" s="320"/>
      <c r="N275" s="320"/>
      <c r="O275" s="320"/>
      <c r="P275" s="320"/>
      <c r="Q275" s="320"/>
      <c r="R275" s="320"/>
      <c r="S275" s="320"/>
      <c r="T275" s="320"/>
      <c r="U275" s="320"/>
      <c r="V275" s="320"/>
      <c r="W275" s="320"/>
      <c r="X275" s="320"/>
      <c r="Y275" s="320"/>
      <c r="Z275" s="320"/>
      <c r="AA275" s="320"/>
      <c r="AB275" s="320"/>
      <c r="AC275" s="320"/>
      <c r="AD275" s="320"/>
      <c r="AE275" s="316"/>
      <c r="AF275" s="320"/>
      <c r="AG275" s="316"/>
      <c r="AH275" s="316"/>
      <c r="AI275" s="316"/>
      <c r="AJ275" s="316"/>
      <c r="AK275" s="316"/>
      <c r="AL275" s="316"/>
      <c r="AM275" s="316"/>
      <c r="AN275" s="316"/>
      <c r="AO275" s="316"/>
      <c r="AP275" s="316"/>
      <c r="AQ275" s="316"/>
      <c r="AR275" s="316"/>
      <c r="AS275" s="316"/>
      <c r="AT275" s="316"/>
      <c r="AU275" s="316"/>
      <c r="AV275" s="316"/>
      <c r="AW275" s="316"/>
      <c r="AX275" s="316"/>
      <c r="AY275" s="316"/>
      <c r="AZ275" s="316"/>
      <c r="BA275" s="316"/>
      <c r="BB275" s="316"/>
      <c r="BC275" s="316"/>
      <c r="BD275" s="316"/>
      <c r="BE275" s="316"/>
      <c r="BF275" s="316"/>
      <c r="BG275" s="316"/>
    </row>
    <row r="276" spans="1:61" s="279" customFormat="1" ht="18.75" customHeight="1">
      <c r="A276" s="253" t="s">
        <v>881</v>
      </c>
      <c r="B276" s="316"/>
      <c r="C276" s="316"/>
      <c r="D276" s="316"/>
      <c r="E276" s="316"/>
      <c r="F276" s="316"/>
      <c r="G276" s="316"/>
      <c r="H276" s="316"/>
      <c r="I276" s="316"/>
      <c r="J276" s="316"/>
      <c r="K276" s="316"/>
      <c r="L276" s="316"/>
      <c r="M276" s="316"/>
      <c r="N276" s="316"/>
      <c r="O276" s="316"/>
      <c r="P276" s="316"/>
      <c r="Q276" s="316"/>
      <c r="R276" s="316"/>
      <c r="S276" s="316"/>
      <c r="T276" s="316"/>
      <c r="U276" s="316"/>
      <c r="V276" s="316"/>
      <c r="W276" s="316"/>
      <c r="X276" s="316"/>
      <c r="Y276" s="316"/>
      <c r="Z276" s="316"/>
      <c r="AA276" s="316"/>
      <c r="AB276" s="316"/>
      <c r="AC276" s="316"/>
      <c r="AD276" s="316"/>
      <c r="AE276" s="316"/>
      <c r="AF276" s="316"/>
      <c r="AG276" s="316"/>
      <c r="AH276" s="316"/>
      <c r="AI276" s="316"/>
      <c r="AJ276" s="316"/>
      <c r="AK276" s="316"/>
      <c r="AL276" s="316"/>
      <c r="AM276" s="316"/>
      <c r="AN276" s="316"/>
      <c r="AO276" s="316"/>
      <c r="AP276" s="316"/>
      <c r="AQ276" s="316"/>
      <c r="AR276" s="316"/>
      <c r="AS276" s="316"/>
      <c r="AT276" s="316"/>
      <c r="AU276" s="316"/>
      <c r="AV276" s="316"/>
      <c r="AW276" s="316"/>
      <c r="AX276" s="316"/>
      <c r="AY276" s="316"/>
      <c r="AZ276" s="316"/>
      <c r="BA276" s="316"/>
      <c r="BB276" s="316"/>
      <c r="BC276" s="316"/>
      <c r="BD276" s="316"/>
      <c r="BE276" s="316"/>
      <c r="BF276" s="316"/>
    </row>
    <row r="277" spans="1:61" s="279" customFormat="1" ht="18.75" customHeight="1">
      <c r="A277" s="316"/>
      <c r="B277" s="316"/>
      <c r="C277" s="316"/>
      <c r="D277" s="316"/>
      <c r="E277" s="316"/>
      <c r="F277" s="316"/>
      <c r="G277" s="316"/>
      <c r="H277" s="316"/>
      <c r="I277" s="316"/>
      <c r="J277" s="316"/>
      <c r="K277" s="316"/>
      <c r="L277" s="316"/>
      <c r="M277" s="316"/>
      <c r="N277" s="316"/>
      <c r="O277" s="316"/>
      <c r="P277" s="316"/>
      <c r="Q277" s="316"/>
      <c r="R277" s="316"/>
      <c r="S277" s="316"/>
      <c r="T277" s="316"/>
      <c r="U277" s="316"/>
      <c r="V277" s="316"/>
      <c r="W277" s="316"/>
      <c r="X277" s="316"/>
      <c r="Y277" s="316"/>
      <c r="Z277" s="316"/>
      <c r="AA277" s="316"/>
      <c r="AB277" s="316"/>
      <c r="AC277" s="316"/>
      <c r="AD277" s="316"/>
      <c r="AE277" s="320"/>
      <c r="AF277" s="316"/>
      <c r="AG277" s="316"/>
      <c r="AH277" s="316"/>
      <c r="AI277" s="316"/>
      <c r="AJ277" s="316"/>
      <c r="AK277" s="316"/>
      <c r="AL277" s="316"/>
      <c r="AM277" s="316"/>
      <c r="AN277" s="316"/>
      <c r="AO277" s="316"/>
      <c r="AP277" s="316"/>
      <c r="AQ277" s="316"/>
      <c r="AR277" s="316"/>
      <c r="AS277" s="316"/>
      <c r="AT277" s="316"/>
      <c r="AU277" s="316"/>
      <c r="AV277" s="316"/>
      <c r="AW277" s="316"/>
      <c r="AX277" s="316"/>
      <c r="AY277" s="316"/>
      <c r="AZ277" s="316"/>
      <c r="BA277" s="316"/>
      <c r="BB277" s="316"/>
      <c r="BC277" s="316"/>
      <c r="BD277" s="316"/>
      <c r="BE277" s="316"/>
      <c r="BF277" s="316"/>
    </row>
    <row r="278" spans="1:61" s="284" customFormat="1" ht="18.75" customHeight="1">
      <c r="C278" s="320"/>
      <c r="D278" s="320"/>
      <c r="E278" s="316" t="s">
        <v>509</v>
      </c>
      <c r="F278" s="546" t="str">
        <f>AL209</f>
        <v>/m</v>
      </c>
      <c r="G278" s="546"/>
      <c r="H278" s="546"/>
      <c r="I278" s="317" t="s">
        <v>370</v>
      </c>
      <c r="J278" s="317"/>
      <c r="K278" s="317"/>
      <c r="L278" s="476" t="s">
        <v>771</v>
      </c>
      <c r="M278" s="476"/>
      <c r="N278" s="546" t="str">
        <f>AL212</f>
        <v>/m</v>
      </c>
      <c r="O278" s="546"/>
      <c r="P278" s="546"/>
      <c r="Q278" s="317" t="s">
        <v>370</v>
      </c>
      <c r="R278" s="317"/>
      <c r="S278" s="317"/>
      <c r="T278" s="476" t="s">
        <v>771</v>
      </c>
      <c r="U278" s="476"/>
      <c r="V278" s="546" t="str">
        <f>AL213</f>
        <v>/m</v>
      </c>
      <c r="W278" s="546"/>
      <c r="X278" s="546"/>
      <c r="Y278" s="317" t="s">
        <v>370</v>
      </c>
      <c r="Z278" s="317"/>
      <c r="AA278" s="317"/>
      <c r="AB278" s="271"/>
      <c r="AC278" s="271"/>
      <c r="AD278" s="323"/>
      <c r="AE278" s="299"/>
      <c r="AF278" s="271"/>
      <c r="AG278" s="271"/>
      <c r="AH278" s="271"/>
      <c r="AI278" s="271"/>
      <c r="AJ278" s="271"/>
      <c r="AK278" s="271"/>
      <c r="AL278" s="299"/>
      <c r="AM278" s="271"/>
      <c r="AN278" s="271"/>
      <c r="AO278" s="299"/>
      <c r="AU278" s="320"/>
      <c r="AW278" s="320"/>
      <c r="AX278" s="320"/>
      <c r="AY278" s="288"/>
      <c r="BE278" s="320"/>
      <c r="BG278" s="320"/>
      <c r="BH278" s="320"/>
      <c r="BI278" s="320"/>
    </row>
    <row r="279" spans="1:61" s="284" customFormat="1" ht="18.75" customHeight="1">
      <c r="C279" s="320"/>
      <c r="D279" s="320"/>
      <c r="E279" s="316" t="s">
        <v>761</v>
      </c>
      <c r="F279" s="546">
        <f>AL214</f>
        <v>0</v>
      </c>
      <c r="G279" s="546"/>
      <c r="H279" s="546"/>
      <c r="I279" s="317" t="s">
        <v>370</v>
      </c>
      <c r="J279" s="317"/>
      <c r="K279" s="317"/>
      <c r="L279" s="320"/>
      <c r="M279" s="288"/>
      <c r="S279" s="320"/>
      <c r="U279" s="320"/>
      <c r="V279" s="320"/>
      <c r="W279" s="320"/>
      <c r="X279" s="320"/>
      <c r="Y279" s="320"/>
      <c r="Z279" s="320"/>
      <c r="AA279" s="320"/>
      <c r="AB279" s="320"/>
      <c r="AC279" s="320"/>
      <c r="AD279" s="320"/>
      <c r="AE279" s="320"/>
      <c r="AF279" s="320"/>
      <c r="AG279" s="316"/>
      <c r="AH279" s="320"/>
      <c r="AI279" s="320"/>
      <c r="AJ279" s="320"/>
      <c r="AK279" s="320"/>
      <c r="AL279" s="320"/>
      <c r="AM279" s="320"/>
      <c r="AN279" s="320"/>
      <c r="AO279" s="320"/>
      <c r="AP279" s="320"/>
      <c r="AQ279" s="320"/>
      <c r="AR279" s="320"/>
      <c r="AS279" s="320"/>
      <c r="AT279" s="320"/>
      <c r="AU279" s="320"/>
      <c r="AV279" s="320"/>
      <c r="AW279" s="320"/>
      <c r="AX279" s="320"/>
      <c r="AY279" s="320"/>
      <c r="AZ279" s="320"/>
      <c r="BA279" s="320"/>
      <c r="BB279" s="320"/>
      <c r="BC279" s="320"/>
      <c r="BD279" s="320"/>
      <c r="BE279" s="320"/>
      <c r="BF279" s="320"/>
      <c r="BG279" s="320"/>
      <c r="BH279" s="320"/>
    </row>
    <row r="280" spans="1:61" s="284" customFormat="1" ht="18.75" customHeight="1">
      <c r="C280" s="320"/>
      <c r="D280" s="320"/>
      <c r="E280" s="316"/>
      <c r="J280" s="317"/>
      <c r="K280" s="320"/>
      <c r="L280" s="320"/>
      <c r="M280" s="288"/>
      <c r="S280" s="320"/>
      <c r="U280" s="320"/>
      <c r="V280" s="320"/>
      <c r="W280" s="320"/>
      <c r="X280" s="320"/>
      <c r="Y280" s="320"/>
      <c r="Z280" s="320"/>
      <c r="AA280" s="320"/>
      <c r="AB280" s="320"/>
      <c r="AC280" s="320"/>
      <c r="AD280" s="320"/>
      <c r="AE280" s="320"/>
      <c r="AF280" s="320"/>
      <c r="AG280" s="316"/>
      <c r="AH280" s="320"/>
      <c r="AI280" s="320"/>
      <c r="AJ280" s="320"/>
      <c r="AK280" s="320"/>
      <c r="AL280" s="320"/>
      <c r="AM280" s="320"/>
      <c r="AN280" s="320"/>
      <c r="AO280" s="320"/>
      <c r="AP280" s="320"/>
      <c r="AQ280" s="320"/>
      <c r="AR280" s="320"/>
      <c r="AS280" s="320"/>
      <c r="AT280" s="320"/>
      <c r="AU280" s="320"/>
      <c r="AV280" s="320"/>
      <c r="AW280" s="320"/>
      <c r="AX280" s="320"/>
      <c r="AY280" s="320"/>
      <c r="AZ280" s="320"/>
      <c r="BA280" s="320"/>
      <c r="BB280" s="320"/>
      <c r="BC280" s="320"/>
      <c r="BD280" s="320"/>
      <c r="BE280" s="320"/>
      <c r="BF280" s="320"/>
      <c r="BG280" s="320"/>
      <c r="BH280" s="320"/>
    </row>
    <row r="281" spans="1:61" s="279" customFormat="1" ht="18.75" customHeight="1">
      <c r="A281" s="316"/>
      <c r="B281" s="316"/>
      <c r="C281" s="316"/>
      <c r="D281" s="283" t="s">
        <v>531</v>
      </c>
      <c r="E281" s="316" t="s">
        <v>761</v>
      </c>
      <c r="F281" s="546">
        <f>F279</f>
        <v>0</v>
      </c>
      <c r="G281" s="546"/>
      <c r="H281" s="546"/>
      <c r="I281" s="317" t="s">
        <v>370</v>
      </c>
      <c r="J281" s="317"/>
      <c r="K281" s="317"/>
      <c r="L281" s="289"/>
      <c r="M281" s="289"/>
      <c r="N281" s="254"/>
      <c r="O281" s="254"/>
      <c r="P281" s="273"/>
      <c r="Q281" s="273"/>
      <c r="R281" s="320"/>
      <c r="S281" s="284"/>
      <c r="T281" s="316"/>
      <c r="U281" s="316"/>
      <c r="V281" s="316"/>
      <c r="W281" s="316"/>
      <c r="X281" s="316"/>
      <c r="Y281" s="316"/>
      <c r="Z281" s="316"/>
      <c r="AA281" s="316"/>
      <c r="AB281" s="316"/>
      <c r="AC281" s="316"/>
      <c r="AD281" s="316"/>
      <c r="AE281" s="320"/>
      <c r="AF281" s="316"/>
      <c r="AG281" s="316"/>
      <c r="AH281" s="316"/>
      <c r="AI281" s="316"/>
      <c r="AJ281" s="316"/>
      <c r="AK281" s="316"/>
      <c r="AL281" s="316"/>
      <c r="AM281" s="316"/>
      <c r="AN281" s="316"/>
      <c r="AO281" s="316"/>
      <c r="AP281" s="316"/>
      <c r="AQ281" s="316"/>
      <c r="AR281" s="316"/>
      <c r="AS281" s="316"/>
      <c r="AT281" s="316"/>
      <c r="AU281" s="316"/>
      <c r="AV281" s="316"/>
      <c r="AW281" s="316"/>
      <c r="AX281" s="316"/>
      <c r="AY281" s="316"/>
      <c r="AZ281" s="316"/>
      <c r="BE281" s="316"/>
      <c r="BF281" s="316"/>
    </row>
    <row r="282" spans="1:61" s="320" customFormat="1" ht="18.75" customHeight="1"/>
    <row r="283" spans="1:61" ht="18.75" customHeight="1">
      <c r="A283" s="253" t="s">
        <v>882</v>
      </c>
      <c r="B283" s="254"/>
      <c r="C283" s="254"/>
      <c r="D283" s="254"/>
      <c r="E283" s="254"/>
      <c r="F283" s="254"/>
      <c r="G283" s="254"/>
      <c r="H283" s="254"/>
      <c r="I283" s="254"/>
      <c r="J283" s="254"/>
      <c r="K283" s="254"/>
      <c r="L283" s="254"/>
      <c r="M283" s="254"/>
      <c r="N283" s="254"/>
      <c r="O283" s="254"/>
      <c r="P283" s="254"/>
      <c r="Q283" s="254"/>
      <c r="R283" s="254"/>
      <c r="S283" s="254"/>
      <c r="T283" s="254"/>
      <c r="U283" s="254"/>
      <c r="V283" s="254"/>
      <c r="W283" s="254"/>
      <c r="X283" s="254"/>
      <c r="Y283" s="254"/>
      <c r="Z283" s="254"/>
      <c r="AA283" s="254"/>
      <c r="AB283" s="254"/>
      <c r="AC283" s="254"/>
      <c r="AD283" s="254"/>
      <c r="AE283" s="254"/>
      <c r="AF283" s="254"/>
      <c r="AG283" s="254"/>
      <c r="AH283" s="254"/>
      <c r="AI283" s="254"/>
      <c r="AJ283" s="254"/>
      <c r="AK283" s="254"/>
      <c r="AL283" s="254"/>
      <c r="AM283" s="254"/>
      <c r="AN283" s="254"/>
      <c r="AO283" s="254"/>
      <c r="AP283" s="254"/>
      <c r="AQ283" s="254"/>
      <c r="AR283" s="254"/>
      <c r="AS283" s="254"/>
      <c r="AT283" s="254"/>
      <c r="AU283" s="254"/>
      <c r="AV283" s="254"/>
      <c r="AW283" s="254"/>
      <c r="AX283" s="254"/>
      <c r="AY283" s="254"/>
      <c r="AZ283" s="254"/>
      <c r="BA283" s="254"/>
      <c r="BB283" s="254"/>
      <c r="BC283" s="254"/>
      <c r="BD283" s="254"/>
      <c r="BE283" s="254"/>
      <c r="BF283" s="254"/>
    </row>
    <row r="284" spans="1:61" ht="18.75" customHeight="1">
      <c r="A284" s="254"/>
      <c r="B284" s="254"/>
      <c r="C284" s="254"/>
      <c r="D284" s="254"/>
      <c r="E284" s="254"/>
      <c r="F284" s="254"/>
      <c r="G284" s="254"/>
      <c r="H284" s="254"/>
      <c r="I284" s="254"/>
      <c r="J284" s="254"/>
      <c r="K284" s="254"/>
      <c r="L284" s="521">
        <f>AL214</f>
        <v>0</v>
      </c>
      <c r="M284" s="521"/>
      <c r="N284" s="521"/>
      <c r="O284" s="521"/>
      <c r="P284" s="521"/>
      <c r="Q284" s="521"/>
      <c r="R284" s="521"/>
      <c r="S284" s="521"/>
      <c r="T284" s="521"/>
      <c r="U284" s="521"/>
      <c r="V284" s="521"/>
      <c r="W284" s="521"/>
      <c r="X284" s="521"/>
      <c r="Y284" s="521"/>
      <c r="Z284" s="521"/>
      <c r="AA284" s="521"/>
      <c r="AB284" s="521"/>
      <c r="AC284" s="476" t="s">
        <v>883</v>
      </c>
      <c r="AD284" s="522" t="str">
        <f>AU214</f>
        <v>μm/m</v>
      </c>
      <c r="AE284" s="522"/>
      <c r="AF284" s="522"/>
      <c r="AG284" s="522"/>
      <c r="AH284" s="522"/>
      <c r="AI284" s="284"/>
      <c r="AJ284" s="284"/>
      <c r="AK284" s="284"/>
      <c r="AL284" s="284"/>
      <c r="AM284" s="284"/>
      <c r="AN284" s="284"/>
      <c r="AO284" s="284"/>
      <c r="AP284" s="284"/>
      <c r="AQ284" s="284"/>
    </row>
    <row r="285" spans="1:61" ht="18.75" customHeight="1">
      <c r="A285" s="254"/>
      <c r="B285" s="254"/>
      <c r="C285" s="254"/>
      <c r="D285" s="254"/>
      <c r="E285" s="254"/>
      <c r="F285" s="254"/>
      <c r="G285" s="254"/>
      <c r="H285" s="254"/>
      <c r="I285" s="254"/>
      <c r="J285" s="254"/>
      <c r="K285" s="254"/>
      <c r="L285" s="330"/>
      <c r="M285" s="527" t="str">
        <f>AL209</f>
        <v>/m</v>
      </c>
      <c r="N285" s="527"/>
      <c r="O285" s="527"/>
      <c r="P285" s="329"/>
      <c r="Q285" s="473" t="s">
        <v>771</v>
      </c>
      <c r="R285" s="330"/>
      <c r="S285" s="527" t="str">
        <f>AL212</f>
        <v>/m</v>
      </c>
      <c r="T285" s="527"/>
      <c r="U285" s="527"/>
      <c r="V285" s="329"/>
      <c r="W285" s="473" t="s">
        <v>771</v>
      </c>
      <c r="X285" s="330"/>
      <c r="Y285" s="527" t="str">
        <f>AL213</f>
        <v>/m</v>
      </c>
      <c r="Z285" s="527"/>
      <c r="AA285" s="527"/>
      <c r="AB285" s="329"/>
      <c r="AC285" s="476"/>
      <c r="AD285" s="522"/>
      <c r="AE285" s="522"/>
      <c r="AF285" s="522"/>
      <c r="AG285" s="522"/>
      <c r="AH285" s="522"/>
    </row>
    <row r="286" spans="1:61" ht="18.75" customHeight="1">
      <c r="A286" s="254"/>
      <c r="B286" s="254"/>
      <c r="C286" s="254"/>
      <c r="D286" s="254"/>
      <c r="E286" s="254"/>
      <c r="F286" s="254"/>
      <c r="G286" s="254"/>
      <c r="H286" s="254"/>
      <c r="I286" s="254"/>
      <c r="J286" s="254"/>
      <c r="K286" s="254"/>
      <c r="L286" s="473" t="str">
        <f>AU209</f>
        <v>μm/m</v>
      </c>
      <c r="M286" s="473"/>
      <c r="N286" s="473"/>
      <c r="O286" s="473"/>
      <c r="P286" s="473"/>
      <c r="Q286" s="476"/>
      <c r="R286" s="473" t="str">
        <f>AU210</f>
        <v>μm</v>
      </c>
      <c r="S286" s="473"/>
      <c r="T286" s="473"/>
      <c r="U286" s="473"/>
      <c r="V286" s="473"/>
      <c r="W286" s="476"/>
      <c r="X286" s="473" t="str">
        <f>AU211</f>
        <v>μm</v>
      </c>
      <c r="Y286" s="473"/>
      <c r="Z286" s="473"/>
      <c r="AA286" s="473"/>
      <c r="AB286" s="473"/>
    </row>
    <row r="287" spans="1:61" ht="18.75" customHeight="1">
      <c r="A287" s="254"/>
      <c r="B287" s="254"/>
      <c r="C287" s="254"/>
      <c r="D287" s="254"/>
      <c r="E287" s="254"/>
      <c r="F287" s="254"/>
      <c r="G287" s="254"/>
      <c r="H287" s="254"/>
      <c r="I287" s="254"/>
      <c r="J287" s="254"/>
      <c r="K287" s="254"/>
      <c r="L287" s="254"/>
      <c r="M287" s="254"/>
      <c r="N287" s="254"/>
      <c r="O287" s="254"/>
      <c r="P287" s="254"/>
      <c r="Q287" s="254"/>
      <c r="R287" s="254"/>
      <c r="S287" s="254"/>
      <c r="T287" s="254"/>
      <c r="U287" s="254"/>
      <c r="V287" s="254"/>
      <c r="W287" s="254"/>
      <c r="X287" s="254"/>
      <c r="Y287" s="254"/>
      <c r="Z287" s="254"/>
      <c r="AA287" s="254"/>
      <c r="AB287" s="254"/>
      <c r="AC287" s="254"/>
      <c r="AD287" s="254"/>
      <c r="AE287" s="254"/>
      <c r="AF287" s="254"/>
      <c r="AG287" s="254"/>
      <c r="AH287" s="254"/>
      <c r="AI287" s="254"/>
      <c r="AJ287" s="254"/>
      <c r="AK287" s="254"/>
      <c r="AL287" s="254"/>
      <c r="AM287" s="254"/>
      <c r="AN287" s="254"/>
      <c r="AO287" s="254"/>
      <c r="AP287" s="254"/>
      <c r="AQ287" s="254"/>
      <c r="AR287" s="254"/>
      <c r="AS287" s="254"/>
      <c r="AT287" s="254"/>
      <c r="AU287" s="254"/>
      <c r="AV287" s="254"/>
      <c r="AW287" s="254"/>
      <c r="AX287" s="254"/>
      <c r="AY287" s="254"/>
      <c r="AZ287" s="254"/>
      <c r="BA287" s="254"/>
      <c r="BB287" s="254"/>
      <c r="BC287" s="254"/>
      <c r="BD287" s="254"/>
      <c r="BE287" s="254"/>
      <c r="BF287" s="254"/>
    </row>
    <row r="288" spans="1:61" ht="18.75" customHeight="1">
      <c r="A288" s="253" t="s">
        <v>884</v>
      </c>
      <c r="B288" s="254"/>
      <c r="C288" s="254"/>
      <c r="D288" s="254"/>
      <c r="E288" s="254"/>
      <c r="F288" s="254"/>
      <c r="G288" s="254"/>
      <c r="H288" s="254"/>
      <c r="I288" s="254"/>
      <c r="J288" s="254"/>
      <c r="K288" s="254"/>
      <c r="L288" s="254"/>
      <c r="M288" s="254"/>
      <c r="N288" s="254"/>
      <c r="O288" s="254"/>
      <c r="P288" s="254"/>
      <c r="Q288" s="254"/>
      <c r="R288" s="254"/>
      <c r="S288" s="254"/>
      <c r="T288" s="254"/>
      <c r="U288" s="254"/>
      <c r="V288" s="254"/>
      <c r="W288" s="254"/>
      <c r="X288" s="254"/>
      <c r="Y288" s="254"/>
      <c r="Z288" s="254"/>
      <c r="AA288" s="254"/>
      <c r="AB288" s="254"/>
      <c r="AC288" s="254"/>
      <c r="AD288" s="254"/>
      <c r="AE288" s="254"/>
      <c r="AF288" s="254"/>
      <c r="AG288" s="254"/>
      <c r="AH288" s="254"/>
      <c r="AI288" s="254"/>
      <c r="AJ288" s="254"/>
      <c r="AK288" s="254"/>
      <c r="AL288" s="254"/>
      <c r="AM288" s="254"/>
      <c r="AN288" s="254"/>
      <c r="AO288" s="254"/>
      <c r="AP288" s="254"/>
      <c r="AQ288" s="254"/>
      <c r="AR288" s="254"/>
      <c r="AS288" s="254"/>
      <c r="AT288" s="254"/>
      <c r="AU288" s="254"/>
      <c r="AV288" s="254"/>
      <c r="AW288" s="254"/>
      <c r="AX288" s="254"/>
      <c r="AY288" s="254"/>
      <c r="AZ288" s="254"/>
      <c r="BA288" s="254"/>
      <c r="BB288" s="254"/>
      <c r="BC288" s="254"/>
      <c r="BD288" s="254"/>
    </row>
    <row r="289" spans="1:56" ht="18.75" customHeight="1">
      <c r="A289" s="253"/>
      <c r="B289" s="254" t="s">
        <v>885</v>
      </c>
      <c r="C289" s="254"/>
      <c r="D289" s="254"/>
      <c r="E289" s="254"/>
      <c r="F289" s="254"/>
      <c r="G289" s="254"/>
      <c r="H289" s="254"/>
      <c r="I289" s="254"/>
      <c r="J289" s="254"/>
      <c r="K289" s="254"/>
      <c r="L289" s="254"/>
      <c r="M289" s="254"/>
      <c r="N289" s="254"/>
      <c r="O289" s="254"/>
      <c r="P289" s="254"/>
      <c r="Q289" s="254"/>
      <c r="R289" s="254"/>
      <c r="S289" s="254"/>
      <c r="T289" s="254"/>
      <c r="U289" s="254"/>
      <c r="V289" s="254"/>
      <c r="W289" s="254"/>
      <c r="X289" s="254"/>
      <c r="Y289" s="254"/>
      <c r="Z289" s="254"/>
      <c r="AA289" s="254"/>
      <c r="AB289" s="254"/>
      <c r="AC289" s="254"/>
      <c r="AD289" s="254"/>
      <c r="AE289" s="254"/>
      <c r="AF289" s="254"/>
      <c r="AG289" s="254"/>
      <c r="AH289" s="254"/>
      <c r="AI289" s="254"/>
      <c r="AJ289" s="254"/>
      <c r="AK289" s="254"/>
      <c r="AL289" s="254"/>
      <c r="AM289" s="254"/>
      <c r="AN289" s="254"/>
      <c r="AO289" s="254"/>
      <c r="AP289" s="254"/>
      <c r="AQ289" s="254"/>
      <c r="AR289" s="254"/>
      <c r="AS289" s="254"/>
      <c r="AT289" s="254"/>
      <c r="AU289" s="254"/>
      <c r="AV289" s="254"/>
      <c r="AW289" s="254"/>
      <c r="AX289" s="254"/>
      <c r="AY289" s="254"/>
      <c r="AZ289" s="254"/>
      <c r="BA289" s="254"/>
      <c r="BB289" s="254"/>
      <c r="BC289" s="254"/>
      <c r="BD289" s="254"/>
    </row>
    <row r="290" spans="1:56" ht="18.75" customHeight="1">
      <c r="A290" s="253"/>
      <c r="B290" s="254"/>
      <c r="C290" s="320" t="s">
        <v>778</v>
      </c>
      <c r="D290" s="254"/>
      <c r="E290" s="254"/>
      <c r="F290" s="254"/>
      <c r="G290" s="254"/>
      <c r="H290" s="254"/>
      <c r="I290" s="254"/>
      <c r="J290" s="254"/>
      <c r="K290" s="254"/>
      <c r="L290" s="254"/>
      <c r="M290" s="254"/>
      <c r="N290" s="254"/>
      <c r="O290" s="254"/>
      <c r="P290" s="254"/>
      <c r="Q290" s="254"/>
      <c r="R290" s="254"/>
      <c r="S290" s="254"/>
      <c r="T290" s="254"/>
      <c r="U290" s="254"/>
      <c r="V290" s="254"/>
      <c r="W290" s="254"/>
      <c r="X290" s="254"/>
      <c r="Y290" s="254"/>
      <c r="Z290" s="254"/>
      <c r="AA290" s="254"/>
      <c r="AB290" s="254"/>
      <c r="AC290" s="254"/>
      <c r="AD290" s="254"/>
      <c r="AE290" s="254"/>
      <c r="AF290" s="254"/>
      <c r="AG290" s="254"/>
      <c r="AH290" s="254"/>
      <c r="AI290" s="254"/>
      <c r="AJ290" s="254"/>
      <c r="AK290" s="254"/>
      <c r="AL290" s="254"/>
      <c r="AM290" s="254"/>
      <c r="AN290" s="254"/>
      <c r="AO290" s="254"/>
      <c r="AP290" s="254"/>
      <c r="AQ290" s="254"/>
      <c r="AR290" s="254"/>
      <c r="AS290" s="254"/>
      <c r="AT290" s="254"/>
      <c r="AU290" s="254"/>
      <c r="AV290" s="254"/>
      <c r="AW290" s="254"/>
      <c r="AX290" s="254"/>
      <c r="AY290" s="254"/>
      <c r="AZ290" s="254"/>
      <c r="BA290" s="254"/>
      <c r="BB290" s="254"/>
      <c r="BC290" s="254"/>
      <c r="BD290" s="254"/>
    </row>
    <row r="291" spans="1:56" ht="18.75" customHeight="1">
      <c r="A291" s="253"/>
      <c r="B291" s="254"/>
      <c r="C291" s="254"/>
      <c r="D291" s="254"/>
      <c r="E291" s="256"/>
      <c r="F291" s="254"/>
      <c r="G291" s="254"/>
      <c r="H291" s="332" t="s">
        <v>886</v>
      </c>
      <c r="I291" s="476" t="e">
        <f ca="1">Calcu!C112</f>
        <v>#DIV/0!</v>
      </c>
      <c r="J291" s="476"/>
      <c r="K291" s="476"/>
      <c r="L291" s="323" t="s">
        <v>511</v>
      </c>
      <c r="M291" s="546">
        <f>F281</f>
        <v>0</v>
      </c>
      <c r="N291" s="546"/>
      <c r="O291" s="546"/>
      <c r="P291" s="317" t="s">
        <v>370</v>
      </c>
      <c r="Q291" s="317"/>
      <c r="R291" s="317"/>
      <c r="S291" s="323" t="s">
        <v>716</v>
      </c>
      <c r="T291" s="552" t="e">
        <f ca="1">M291*I291</f>
        <v>#DIV/0!</v>
      </c>
      <c r="U291" s="552"/>
      <c r="V291" s="552"/>
      <c r="W291" s="317" t="s">
        <v>370</v>
      </c>
      <c r="X291" s="317"/>
      <c r="Y291" s="317"/>
      <c r="Z291" s="273"/>
      <c r="AB291" s="270"/>
      <c r="AC291" s="270"/>
      <c r="AD291" s="270"/>
      <c r="AE291" s="270"/>
      <c r="AF291" s="317"/>
      <c r="AG291" s="317"/>
      <c r="AH291" s="317"/>
      <c r="AI291" s="317"/>
      <c r="AJ291" s="320"/>
      <c r="AL291" s="273"/>
      <c r="AM291" s="273"/>
      <c r="AN291" s="316"/>
      <c r="AO291" s="320"/>
      <c r="AP291" s="320"/>
      <c r="AQ291" s="320"/>
      <c r="AR291" s="320"/>
      <c r="AS291" s="320"/>
      <c r="AT291" s="320"/>
      <c r="AU291" s="254"/>
      <c r="AV291" s="254"/>
      <c r="AW291" s="254"/>
      <c r="AX291" s="254"/>
      <c r="AY291" s="254"/>
      <c r="AZ291" s="254"/>
      <c r="BA291" s="254"/>
      <c r="BB291" s="254"/>
      <c r="BC291" s="254"/>
      <c r="BD291" s="254"/>
    </row>
    <row r="292" spans="1:56" ht="18.75" customHeight="1">
      <c r="A292" s="253"/>
      <c r="B292" s="254"/>
      <c r="D292" s="254"/>
      <c r="E292" s="283"/>
      <c r="F292" s="254"/>
      <c r="G292" s="332"/>
      <c r="H292" s="316"/>
      <c r="I292" s="316"/>
      <c r="J292" s="316"/>
      <c r="R292" s="283"/>
      <c r="S292" s="320"/>
      <c r="T292" s="320"/>
      <c r="U292" s="320"/>
      <c r="V292" s="320"/>
      <c r="W292" s="320"/>
      <c r="X292" s="254"/>
      <c r="Y292" s="254"/>
      <c r="Z292" s="254"/>
      <c r="AA292" s="254"/>
      <c r="AB292" s="254"/>
      <c r="AC292" s="254"/>
      <c r="AD292" s="254"/>
      <c r="AE292" s="254"/>
      <c r="AF292" s="254"/>
      <c r="AG292" s="254"/>
      <c r="AH292" s="254"/>
      <c r="AI292" s="254"/>
      <c r="AJ292" s="254"/>
      <c r="AK292" s="254"/>
      <c r="AL292" s="254"/>
      <c r="AM292" s="254"/>
      <c r="AN292" s="254"/>
      <c r="AO292" s="254"/>
      <c r="AP292" s="254"/>
      <c r="AQ292" s="254"/>
      <c r="AR292" s="254"/>
      <c r="AS292" s="254"/>
      <c r="AT292" s="254"/>
      <c r="AU292" s="254"/>
      <c r="AV292" s="254"/>
      <c r="AW292" s="254"/>
      <c r="AX292" s="254"/>
      <c r="AY292" s="254"/>
      <c r="AZ292" s="254"/>
      <c r="BA292" s="254"/>
      <c r="BB292" s="254"/>
      <c r="BC292" s="254"/>
      <c r="BD292" s="254"/>
    </row>
    <row r="293" spans="1:56" ht="18.75" customHeight="1">
      <c r="A293" s="253"/>
      <c r="B293" s="254"/>
      <c r="D293" s="254"/>
      <c r="E293" s="283"/>
      <c r="F293" s="254"/>
      <c r="G293" s="332"/>
      <c r="H293" s="316"/>
      <c r="I293" s="316"/>
      <c r="J293" s="316"/>
      <c r="R293" s="283"/>
      <c r="S293" s="320"/>
      <c r="T293" s="320"/>
      <c r="U293" s="320"/>
      <c r="V293" s="320"/>
      <c r="W293" s="320"/>
      <c r="X293" s="254"/>
      <c r="Y293" s="254"/>
      <c r="Z293" s="254"/>
      <c r="AA293" s="254"/>
      <c r="AB293" s="254"/>
      <c r="AC293" s="254"/>
      <c r="AD293" s="254"/>
      <c r="AE293" s="254"/>
      <c r="AF293" s="254"/>
      <c r="AG293" s="254"/>
      <c r="AH293" s="254"/>
      <c r="AI293" s="254"/>
      <c r="AJ293" s="254"/>
      <c r="AK293" s="254"/>
      <c r="AL293" s="254"/>
      <c r="AM293" s="254"/>
      <c r="AN293" s="254"/>
      <c r="AO293" s="254"/>
      <c r="AP293" s="254"/>
      <c r="AQ293" s="254"/>
      <c r="AR293" s="254"/>
      <c r="AS293" s="254"/>
      <c r="AT293" s="254"/>
      <c r="AU293" s="254"/>
      <c r="AV293" s="254"/>
      <c r="AW293" s="254"/>
      <c r="AX293" s="254"/>
      <c r="AY293" s="254"/>
      <c r="AZ293" s="254"/>
      <c r="BA293" s="254"/>
      <c r="BB293" s="254"/>
      <c r="BC293" s="254"/>
      <c r="BD293" s="254"/>
    </row>
    <row r="297" spans="1:56" s="251" customFormat="1" ht="18.75" customHeight="1">
      <c r="A297" s="252" t="s">
        <v>537</v>
      </c>
    </row>
    <row r="298" spans="1:56" ht="18.75" customHeight="1">
      <c r="A298" s="253" t="s">
        <v>887</v>
      </c>
      <c r="B298" s="316"/>
      <c r="C298" s="316"/>
      <c r="D298" s="316"/>
      <c r="E298" s="316"/>
      <c r="F298" s="316"/>
      <c r="G298" s="316"/>
      <c r="H298" s="316"/>
      <c r="I298" s="316"/>
      <c r="J298" s="316"/>
      <c r="K298" s="316"/>
      <c r="L298" s="316"/>
      <c r="M298" s="316"/>
      <c r="N298" s="316"/>
      <c r="O298" s="316"/>
      <c r="P298" s="316"/>
      <c r="Q298" s="316"/>
      <c r="R298" s="316"/>
      <c r="S298" s="316"/>
      <c r="T298" s="316"/>
      <c r="U298" s="316"/>
      <c r="V298" s="316"/>
      <c r="W298" s="316"/>
      <c r="X298" s="316"/>
      <c r="Y298" s="316"/>
      <c r="Z298" s="316"/>
      <c r="AA298" s="316"/>
      <c r="AB298" s="316"/>
      <c r="AC298" s="316"/>
      <c r="AD298" s="316"/>
      <c r="AE298" s="316"/>
      <c r="AF298" s="316"/>
      <c r="AG298" s="316"/>
      <c r="AH298" s="316"/>
      <c r="AI298" s="316"/>
      <c r="AJ298" s="316"/>
      <c r="AK298" s="316"/>
      <c r="AL298" s="316"/>
      <c r="AM298" s="316"/>
      <c r="AN298" s="316"/>
      <c r="AO298" s="316"/>
      <c r="AP298" s="316"/>
      <c r="AQ298" s="316"/>
      <c r="AR298" s="316"/>
    </row>
    <row r="299" spans="1:56" ht="18.75" customHeight="1">
      <c r="A299" s="253"/>
      <c r="B299" s="446" t="s">
        <v>888</v>
      </c>
      <c r="C299" s="447"/>
      <c r="D299" s="447"/>
      <c r="E299" s="447"/>
      <c r="F299" s="448"/>
      <c r="G299" s="460" t="s">
        <v>781</v>
      </c>
      <c r="H299" s="456"/>
      <c r="I299" s="456"/>
      <c r="J299" s="456"/>
      <c r="K299" s="456"/>
      <c r="L299" s="456"/>
      <c r="M299" s="456"/>
      <c r="N299" s="456"/>
      <c r="O299" s="456"/>
      <c r="P299" s="456"/>
      <c r="Q299" s="456"/>
      <c r="R299" s="456"/>
      <c r="S299" s="456"/>
      <c r="T299" s="456"/>
      <c r="U299" s="456"/>
      <c r="V299" s="456"/>
      <c r="W299" s="456"/>
      <c r="X299" s="456"/>
      <c r="Y299" s="456"/>
      <c r="Z299" s="456"/>
      <c r="AA299" s="456"/>
      <c r="AB299" s="456"/>
      <c r="AC299" s="456"/>
      <c r="AD299" s="456"/>
      <c r="AE299" s="457"/>
      <c r="AF299" s="446" t="s">
        <v>889</v>
      </c>
      <c r="AG299" s="447"/>
      <c r="AH299" s="447"/>
      <c r="AI299" s="447"/>
      <c r="AJ299" s="448"/>
      <c r="AK299" s="446" t="s">
        <v>73</v>
      </c>
      <c r="AL299" s="447"/>
      <c r="AM299" s="447"/>
      <c r="AN299" s="447"/>
      <c r="AO299" s="448"/>
    </row>
    <row r="300" spans="1:56" ht="18.75" customHeight="1">
      <c r="A300" s="253"/>
      <c r="B300" s="452"/>
      <c r="C300" s="453"/>
      <c r="D300" s="453"/>
      <c r="E300" s="453"/>
      <c r="F300" s="454"/>
      <c r="G300" s="460" t="s">
        <v>328</v>
      </c>
      <c r="H300" s="456"/>
      <c r="I300" s="456"/>
      <c r="J300" s="456"/>
      <c r="K300" s="457"/>
      <c r="L300" s="460" t="s">
        <v>176</v>
      </c>
      <c r="M300" s="456"/>
      <c r="N300" s="456"/>
      <c r="O300" s="456"/>
      <c r="P300" s="457"/>
      <c r="Q300" s="460" t="s">
        <v>177</v>
      </c>
      <c r="R300" s="456"/>
      <c r="S300" s="456"/>
      <c r="T300" s="456"/>
      <c r="U300" s="457"/>
      <c r="V300" s="460" t="s">
        <v>178</v>
      </c>
      <c r="W300" s="456"/>
      <c r="X300" s="456"/>
      <c r="Y300" s="456"/>
      <c r="Z300" s="457"/>
      <c r="AA300" s="460" t="s">
        <v>179</v>
      </c>
      <c r="AB300" s="456"/>
      <c r="AC300" s="456"/>
      <c r="AD300" s="456"/>
      <c r="AE300" s="457"/>
      <c r="AF300" s="449"/>
      <c r="AG300" s="450"/>
      <c r="AH300" s="450"/>
      <c r="AI300" s="450"/>
      <c r="AJ300" s="451"/>
      <c r="AK300" s="449"/>
      <c r="AL300" s="450"/>
      <c r="AM300" s="450"/>
      <c r="AN300" s="450"/>
      <c r="AO300" s="451"/>
    </row>
    <row r="301" spans="1:56" ht="18.75" customHeight="1">
      <c r="A301" s="253"/>
      <c r="B301" s="449"/>
      <c r="C301" s="450"/>
      <c r="D301" s="450"/>
      <c r="E301" s="450"/>
      <c r="F301" s="451"/>
      <c r="G301" s="460" t="str">
        <f>Calcu!D122</f>
        <v>μm</v>
      </c>
      <c r="H301" s="456"/>
      <c r="I301" s="456"/>
      <c r="J301" s="456"/>
      <c r="K301" s="457"/>
      <c r="L301" s="460" t="str">
        <f>Calcu!E122</f>
        <v>μm</v>
      </c>
      <c r="M301" s="456"/>
      <c r="N301" s="456"/>
      <c r="O301" s="456"/>
      <c r="P301" s="457"/>
      <c r="Q301" s="460" t="str">
        <f>Calcu!F122</f>
        <v>μm</v>
      </c>
      <c r="R301" s="456"/>
      <c r="S301" s="456"/>
      <c r="T301" s="456"/>
      <c r="U301" s="457"/>
      <c r="V301" s="460" t="str">
        <f>Calcu!G122</f>
        <v>μm</v>
      </c>
      <c r="W301" s="456"/>
      <c r="X301" s="456"/>
      <c r="Y301" s="456"/>
      <c r="Z301" s="457"/>
      <c r="AA301" s="460" t="str">
        <f>Calcu!H122</f>
        <v>μm</v>
      </c>
      <c r="AB301" s="456"/>
      <c r="AC301" s="456"/>
      <c r="AD301" s="456"/>
      <c r="AE301" s="457"/>
      <c r="AF301" s="460" t="str">
        <f>Calcu!I122</f>
        <v>μm</v>
      </c>
      <c r="AG301" s="456"/>
      <c r="AH301" s="456"/>
      <c r="AI301" s="456"/>
      <c r="AJ301" s="457"/>
      <c r="AK301" s="460" t="str">
        <f>Calcu!J122</f>
        <v>μm</v>
      </c>
      <c r="AL301" s="456"/>
      <c r="AM301" s="456"/>
      <c r="AN301" s="456"/>
      <c r="AO301" s="457"/>
    </row>
    <row r="302" spans="1:56" ht="18.75" customHeight="1">
      <c r="A302" s="253"/>
      <c r="B302" s="443" t="s">
        <v>890</v>
      </c>
      <c r="C302" s="444"/>
      <c r="D302" s="444"/>
      <c r="E302" s="444"/>
      <c r="F302" s="445"/>
      <c r="G302" s="443" t="str">
        <f>Calcu!D123</f>
        <v/>
      </c>
      <c r="H302" s="444"/>
      <c r="I302" s="444"/>
      <c r="J302" s="444"/>
      <c r="K302" s="445"/>
      <c r="L302" s="443" t="str">
        <f>Calcu!E123</f>
        <v/>
      </c>
      <c r="M302" s="444"/>
      <c r="N302" s="444"/>
      <c r="O302" s="444"/>
      <c r="P302" s="445"/>
      <c r="Q302" s="443" t="str">
        <f>Calcu!F123</f>
        <v/>
      </c>
      <c r="R302" s="444"/>
      <c r="S302" s="444"/>
      <c r="T302" s="444"/>
      <c r="U302" s="445"/>
      <c r="V302" s="443" t="str">
        <f>Calcu!G123</f>
        <v/>
      </c>
      <c r="W302" s="444"/>
      <c r="X302" s="444"/>
      <c r="Y302" s="444"/>
      <c r="Z302" s="445"/>
      <c r="AA302" s="443" t="str">
        <f>Calcu!H123</f>
        <v/>
      </c>
      <c r="AB302" s="444"/>
      <c r="AC302" s="444"/>
      <c r="AD302" s="444"/>
      <c r="AE302" s="445"/>
      <c r="AF302" s="523" t="str">
        <f>Calcu!I123</f>
        <v/>
      </c>
      <c r="AG302" s="524"/>
      <c r="AH302" s="524"/>
      <c r="AI302" s="524"/>
      <c r="AJ302" s="525"/>
      <c r="AK302" s="526" t="str">
        <f>Calcu!J123</f>
        <v/>
      </c>
      <c r="AL302" s="527"/>
      <c r="AM302" s="527"/>
      <c r="AN302" s="527"/>
      <c r="AO302" s="528"/>
    </row>
    <row r="303" spans="1:56" ht="18.75" customHeight="1">
      <c r="A303" s="253"/>
      <c r="B303" s="443" t="s">
        <v>891</v>
      </c>
      <c r="C303" s="444"/>
      <c r="D303" s="444"/>
      <c r="E303" s="444"/>
      <c r="F303" s="445"/>
      <c r="G303" s="443" t="str">
        <f>Calcu!D124</f>
        <v/>
      </c>
      <c r="H303" s="444"/>
      <c r="I303" s="444"/>
      <c r="J303" s="444"/>
      <c r="K303" s="445"/>
      <c r="L303" s="443" t="str">
        <f>Calcu!E124</f>
        <v/>
      </c>
      <c r="M303" s="444"/>
      <c r="N303" s="444"/>
      <c r="O303" s="444"/>
      <c r="P303" s="445"/>
      <c r="Q303" s="443" t="str">
        <f>Calcu!F124</f>
        <v/>
      </c>
      <c r="R303" s="444"/>
      <c r="S303" s="444"/>
      <c r="T303" s="444"/>
      <c r="U303" s="445"/>
      <c r="V303" s="443" t="str">
        <f>Calcu!G124</f>
        <v/>
      </c>
      <c r="W303" s="444"/>
      <c r="X303" s="444"/>
      <c r="Y303" s="444"/>
      <c r="Z303" s="445"/>
      <c r="AA303" s="443" t="str">
        <f>Calcu!H124</f>
        <v/>
      </c>
      <c r="AB303" s="444"/>
      <c r="AC303" s="444"/>
      <c r="AD303" s="444"/>
      <c r="AE303" s="445"/>
      <c r="AF303" s="523" t="str">
        <f>Calcu!I124</f>
        <v/>
      </c>
      <c r="AG303" s="524"/>
      <c r="AH303" s="524"/>
      <c r="AI303" s="524"/>
      <c r="AJ303" s="525"/>
      <c r="AK303" s="526" t="str">
        <f>Calcu!J124</f>
        <v/>
      </c>
      <c r="AL303" s="527"/>
      <c r="AM303" s="527"/>
      <c r="AN303" s="527"/>
      <c r="AO303" s="528"/>
    </row>
    <row r="304" spans="1:56" ht="18.75" customHeight="1">
      <c r="A304" s="253"/>
      <c r="B304" s="460" t="s">
        <v>892</v>
      </c>
      <c r="C304" s="456"/>
      <c r="D304" s="456"/>
      <c r="E304" s="456"/>
      <c r="F304" s="457"/>
      <c r="G304" s="443" t="e">
        <f>Calcu!D125</f>
        <v>#VALUE!</v>
      </c>
      <c r="H304" s="444"/>
      <c r="I304" s="444"/>
      <c r="J304" s="444"/>
      <c r="K304" s="445"/>
      <c r="L304" s="443" t="e">
        <f>Calcu!E125</f>
        <v>#VALUE!</v>
      </c>
      <c r="M304" s="444"/>
      <c r="N304" s="444"/>
      <c r="O304" s="444"/>
      <c r="P304" s="445"/>
      <c r="Q304" s="443" t="e">
        <f>Calcu!F125</f>
        <v>#VALUE!</v>
      </c>
      <c r="R304" s="444"/>
      <c r="S304" s="444"/>
      <c r="T304" s="444"/>
      <c r="U304" s="445"/>
      <c r="V304" s="443" t="e">
        <f>Calcu!G125</f>
        <v>#VALUE!</v>
      </c>
      <c r="W304" s="444"/>
      <c r="X304" s="444"/>
      <c r="Y304" s="444"/>
      <c r="Z304" s="445"/>
      <c r="AA304" s="443" t="e">
        <f>Calcu!H125</f>
        <v>#VALUE!</v>
      </c>
      <c r="AB304" s="444"/>
      <c r="AC304" s="444"/>
      <c r="AD304" s="444"/>
      <c r="AE304" s="445"/>
      <c r="AF304" s="523" t="e">
        <f>Calcu!I125</f>
        <v>#VALUE!</v>
      </c>
      <c r="AG304" s="524"/>
      <c r="AH304" s="524"/>
      <c r="AI304" s="524"/>
      <c r="AJ304" s="525"/>
      <c r="AK304" s="526" t="e">
        <f>Calcu!J125</f>
        <v>#VALUE!</v>
      </c>
      <c r="AL304" s="527"/>
      <c r="AM304" s="527"/>
      <c r="AN304" s="527"/>
      <c r="AO304" s="528"/>
    </row>
    <row r="305" spans="1:54" ht="18.75" customHeight="1">
      <c r="A305" s="253"/>
      <c r="B305" s="316"/>
      <c r="C305" s="316"/>
      <c r="D305" s="316"/>
      <c r="E305" s="316"/>
      <c r="F305" s="316"/>
      <c r="G305" s="316"/>
      <c r="H305" s="316"/>
      <c r="I305" s="316"/>
      <c r="J305" s="316"/>
      <c r="K305" s="316"/>
      <c r="L305" s="316"/>
      <c r="M305" s="316"/>
      <c r="N305" s="316"/>
      <c r="O305" s="316"/>
      <c r="P305" s="316"/>
      <c r="Q305" s="316"/>
      <c r="R305" s="316"/>
      <c r="S305" s="316"/>
      <c r="T305" s="316"/>
      <c r="U305" s="316"/>
      <c r="V305" s="316"/>
      <c r="W305" s="316"/>
      <c r="X305" s="316"/>
      <c r="Y305" s="316"/>
      <c r="Z305" s="316"/>
      <c r="AA305" s="316"/>
      <c r="AB305" s="316"/>
      <c r="AC305" s="316"/>
      <c r="AD305" s="316"/>
      <c r="AE305" s="316"/>
      <c r="AF305" s="316"/>
      <c r="AG305" s="316"/>
      <c r="AH305" s="316"/>
      <c r="AI305" s="316"/>
      <c r="AJ305" s="316"/>
      <c r="AK305" s="316"/>
      <c r="AL305" s="316"/>
      <c r="AM305" s="316"/>
      <c r="AN305" s="316"/>
      <c r="AO305" s="316"/>
      <c r="AP305" s="316"/>
      <c r="AQ305" s="316"/>
      <c r="AR305" s="316"/>
      <c r="AS305" s="316"/>
      <c r="AT305" s="316"/>
    </row>
    <row r="306" spans="1:54" ht="18.75" customHeight="1">
      <c r="A306" s="253" t="s">
        <v>494</v>
      </c>
      <c r="B306" s="254"/>
      <c r="C306" s="254"/>
      <c r="D306" s="254"/>
      <c r="E306" s="254"/>
      <c r="F306" s="254"/>
      <c r="G306" s="254"/>
      <c r="H306" s="254"/>
      <c r="I306" s="254"/>
      <c r="J306" s="254"/>
      <c r="K306" s="254"/>
      <c r="L306" s="254"/>
      <c r="M306" s="254"/>
      <c r="N306" s="254"/>
      <c r="O306" s="254"/>
      <c r="P306" s="254"/>
      <c r="Q306" s="254"/>
      <c r="R306" s="254"/>
      <c r="S306" s="254"/>
      <c r="T306" s="254"/>
      <c r="U306" s="254"/>
      <c r="V306" s="254"/>
      <c r="W306" s="254"/>
      <c r="X306" s="254"/>
      <c r="Y306" s="254"/>
      <c r="Z306" s="254"/>
      <c r="AA306" s="254"/>
      <c r="AB306" s="254"/>
      <c r="AC306" s="254"/>
      <c r="AD306" s="254"/>
      <c r="AE306" s="254"/>
      <c r="AF306" s="254"/>
      <c r="AG306" s="254"/>
      <c r="AH306" s="254"/>
      <c r="AI306" s="254"/>
      <c r="AJ306" s="254"/>
      <c r="AK306" s="254"/>
      <c r="AL306" s="254"/>
      <c r="AM306" s="254"/>
      <c r="AN306" s="254"/>
      <c r="AO306" s="254"/>
      <c r="AP306" s="254"/>
      <c r="AQ306" s="254"/>
      <c r="AR306" s="254"/>
      <c r="AS306" s="254"/>
      <c r="AT306" s="254"/>
    </row>
    <row r="307" spans="1:54" ht="18.75" customHeight="1">
      <c r="A307" s="255"/>
      <c r="B307" s="254"/>
      <c r="C307" s="254"/>
      <c r="D307" s="254"/>
      <c r="E307" s="254"/>
      <c r="F307" s="254"/>
      <c r="G307" s="254"/>
      <c r="H307" s="254"/>
      <c r="I307" s="254"/>
      <c r="J307" s="254"/>
      <c r="K307" s="254"/>
      <c r="L307" s="254"/>
      <c r="M307" s="254"/>
      <c r="N307" s="254"/>
      <c r="O307" s="254"/>
      <c r="P307" s="254"/>
      <c r="Q307" s="254"/>
      <c r="R307" s="254"/>
      <c r="S307" s="254"/>
      <c r="T307" s="254"/>
      <c r="U307" s="254"/>
      <c r="V307" s="254"/>
      <c r="W307" s="254"/>
      <c r="X307" s="254"/>
      <c r="Y307" s="254"/>
      <c r="Z307" s="254"/>
      <c r="AA307" s="254"/>
      <c r="AB307" s="254"/>
      <c r="AC307" s="254"/>
      <c r="AD307" s="254"/>
      <c r="AE307" s="254"/>
      <c r="AF307" s="254"/>
      <c r="AG307" s="254"/>
      <c r="AH307" s="254"/>
      <c r="AI307" s="254"/>
      <c r="AJ307" s="254"/>
      <c r="AK307" s="254"/>
      <c r="AL307" s="254"/>
      <c r="AM307" s="254"/>
      <c r="AN307" s="254"/>
      <c r="AO307" s="254"/>
      <c r="AP307" s="254"/>
      <c r="AQ307" s="254"/>
      <c r="AR307" s="254"/>
      <c r="AS307" s="254"/>
      <c r="AT307" s="254"/>
    </row>
    <row r="308" spans="1:54" ht="18.75" customHeight="1">
      <c r="A308" s="255"/>
      <c r="B308" s="254"/>
      <c r="C308" s="254"/>
      <c r="D308" s="254"/>
      <c r="E308" s="254"/>
      <c r="F308" s="254"/>
      <c r="G308" s="254"/>
      <c r="H308" s="254"/>
      <c r="I308" s="254"/>
      <c r="J308" s="254"/>
      <c r="K308" s="254"/>
      <c r="L308" s="254"/>
      <c r="M308" s="254"/>
      <c r="N308" s="254"/>
      <c r="O308" s="254"/>
      <c r="P308" s="254"/>
      <c r="Q308" s="254"/>
      <c r="R308" s="254"/>
      <c r="S308" s="254"/>
      <c r="T308" s="254"/>
      <c r="U308" s="254"/>
      <c r="V308" s="254"/>
      <c r="W308" s="254"/>
      <c r="X308" s="254"/>
      <c r="Y308" s="254"/>
      <c r="Z308" s="254"/>
      <c r="AA308" s="254"/>
      <c r="AB308" s="254"/>
      <c r="AC308" s="254"/>
      <c r="AD308" s="254"/>
      <c r="AE308" s="254"/>
      <c r="AF308" s="254"/>
      <c r="AG308" s="254"/>
      <c r="AH308" s="254"/>
      <c r="AI308" s="254"/>
      <c r="AJ308" s="254"/>
      <c r="AK308" s="254"/>
      <c r="AL308" s="254"/>
      <c r="AM308" s="254"/>
      <c r="AN308" s="254"/>
      <c r="AO308" s="254"/>
      <c r="AP308" s="254"/>
      <c r="AQ308" s="254"/>
      <c r="AR308" s="254"/>
      <c r="AS308" s="254"/>
      <c r="AT308" s="254"/>
    </row>
    <row r="309" spans="1:54" ht="18.75" customHeight="1">
      <c r="A309" s="255"/>
      <c r="B309" s="254"/>
      <c r="C309" s="461" t="s">
        <v>893</v>
      </c>
      <c r="D309" s="461"/>
      <c r="E309" s="461"/>
      <c r="F309" s="316" t="s">
        <v>894</v>
      </c>
      <c r="G309" s="254" t="s">
        <v>895</v>
      </c>
      <c r="H309" s="254"/>
      <c r="I309" s="254"/>
      <c r="J309" s="254"/>
      <c r="K309" s="254"/>
      <c r="L309" s="254"/>
      <c r="M309" s="254"/>
      <c r="N309" s="254"/>
      <c r="O309" s="254"/>
      <c r="P309" s="254"/>
      <c r="Q309" s="254"/>
      <c r="R309" s="254"/>
      <c r="S309" s="254"/>
      <c r="W309" s="256"/>
      <c r="X309" s="256"/>
      <c r="Y309" s="256"/>
      <c r="Z309" s="254"/>
      <c r="AA309" s="254"/>
      <c r="AB309" s="254"/>
      <c r="AC309" s="254"/>
      <c r="AD309" s="254"/>
      <c r="AE309" s="254"/>
      <c r="AF309" s="254"/>
      <c r="AG309" s="254"/>
      <c r="AH309" s="254"/>
      <c r="AI309" s="254"/>
      <c r="AJ309" s="254"/>
      <c r="AK309" s="254"/>
      <c r="AL309" s="254"/>
      <c r="AM309" s="254"/>
      <c r="AN309" s="254"/>
      <c r="AO309" s="254"/>
      <c r="AP309" s="254"/>
      <c r="AQ309" s="254"/>
      <c r="AR309" s="254"/>
      <c r="AS309" s="254"/>
      <c r="AT309" s="254"/>
    </row>
    <row r="310" spans="1:54" ht="18.75" customHeight="1">
      <c r="A310" s="255"/>
      <c r="B310" s="254"/>
      <c r="C310" s="461" t="s">
        <v>896</v>
      </c>
      <c r="D310" s="461"/>
      <c r="E310" s="461"/>
      <c r="F310" s="316" t="s">
        <v>897</v>
      </c>
      <c r="G310" s="254" t="s">
        <v>898</v>
      </c>
      <c r="H310" s="254"/>
      <c r="I310" s="254"/>
      <c r="J310" s="254"/>
      <c r="K310" s="254"/>
      <c r="L310" s="254"/>
      <c r="M310" s="254"/>
      <c r="N310" s="254"/>
      <c r="O310" s="254"/>
      <c r="P310" s="254"/>
      <c r="Q310" s="254"/>
      <c r="R310" s="254"/>
      <c r="S310" s="254"/>
      <c r="T310" s="254"/>
      <c r="U310" s="254"/>
      <c r="V310" s="254"/>
      <c r="W310" s="254"/>
      <c r="X310" s="254"/>
      <c r="Y310" s="254"/>
      <c r="Z310" s="254"/>
      <c r="AA310" s="254"/>
      <c r="AB310" s="254"/>
      <c r="AC310" s="254"/>
      <c r="AD310" s="254"/>
      <c r="AE310" s="254"/>
      <c r="AF310" s="254"/>
      <c r="AG310" s="254"/>
      <c r="AH310" s="254"/>
      <c r="AI310" s="254"/>
      <c r="AJ310" s="254"/>
      <c r="AK310" s="254"/>
      <c r="AL310" s="254"/>
      <c r="AM310" s="254"/>
      <c r="AN310" s="254"/>
      <c r="AO310" s="254"/>
      <c r="AP310" s="254"/>
      <c r="AQ310" s="254"/>
      <c r="AR310" s="254"/>
      <c r="AS310" s="254"/>
      <c r="AT310" s="254"/>
      <c r="AU310" s="254"/>
      <c r="AV310" s="254"/>
      <c r="AW310" s="254"/>
      <c r="AX310" s="254"/>
      <c r="AY310" s="254"/>
      <c r="AZ310" s="254"/>
      <c r="BA310" s="254"/>
      <c r="BB310" s="254"/>
    </row>
    <row r="311" spans="1:54" ht="18.75" customHeight="1">
      <c r="A311" s="255"/>
      <c r="B311" s="254"/>
      <c r="C311" s="256"/>
      <c r="D311" s="256"/>
      <c r="E311" s="256"/>
      <c r="F311" s="316"/>
      <c r="G311" s="254"/>
      <c r="H311" s="254"/>
      <c r="I311" s="254"/>
      <c r="J311" s="254"/>
      <c r="K311" s="254"/>
      <c r="L311" s="254"/>
      <c r="M311" s="254"/>
      <c r="N311" s="254"/>
      <c r="O311" s="254"/>
      <c r="P311" s="254"/>
      <c r="Q311" s="254"/>
      <c r="R311" s="254"/>
      <c r="S311" s="254"/>
      <c r="T311" s="254"/>
      <c r="U311" s="254"/>
      <c r="V311" s="254"/>
      <c r="W311" s="254"/>
      <c r="X311" s="254"/>
      <c r="Y311" s="254"/>
      <c r="Z311" s="254"/>
      <c r="AA311" s="254"/>
      <c r="AB311" s="254"/>
      <c r="AC311" s="254"/>
      <c r="AD311" s="254"/>
      <c r="AE311" s="254"/>
      <c r="AF311" s="254"/>
      <c r="AG311" s="254"/>
      <c r="AH311" s="254"/>
      <c r="AI311" s="254"/>
      <c r="AJ311" s="254"/>
      <c r="AK311" s="254"/>
      <c r="AL311" s="254"/>
      <c r="AM311" s="254"/>
      <c r="AN311" s="254"/>
      <c r="AO311" s="254"/>
      <c r="AP311" s="254"/>
      <c r="AQ311" s="254"/>
      <c r="AR311" s="254"/>
      <c r="AS311" s="254"/>
      <c r="AT311" s="254"/>
      <c r="AU311" s="254"/>
      <c r="AV311" s="254"/>
      <c r="AW311" s="254"/>
      <c r="AX311" s="254"/>
      <c r="AY311" s="254"/>
      <c r="AZ311" s="254"/>
      <c r="BA311" s="254"/>
      <c r="BB311" s="254"/>
    </row>
    <row r="312" spans="1:54" ht="18.75" customHeight="1">
      <c r="A312" s="253" t="s">
        <v>899</v>
      </c>
      <c r="B312" s="254"/>
      <c r="C312" s="254"/>
      <c r="D312" s="254"/>
      <c r="E312" s="254"/>
      <c r="F312" s="254"/>
      <c r="G312" s="254"/>
      <c r="H312" s="254"/>
      <c r="I312" s="254"/>
      <c r="J312" s="254"/>
      <c r="K312" s="254"/>
      <c r="L312" s="254"/>
      <c r="M312" s="254"/>
      <c r="N312" s="254"/>
      <c r="O312" s="254"/>
      <c r="P312" s="254"/>
      <c r="Q312" s="254"/>
      <c r="R312" s="254"/>
      <c r="S312" s="254"/>
      <c r="T312" s="254"/>
      <c r="U312" s="254"/>
      <c r="V312" s="254"/>
      <c r="W312" s="254"/>
      <c r="X312" s="254"/>
      <c r="Y312" s="254"/>
      <c r="Z312" s="254"/>
      <c r="AA312" s="254"/>
      <c r="AB312" s="254"/>
      <c r="AC312" s="254"/>
      <c r="AD312" s="254"/>
      <c r="AE312" s="254"/>
      <c r="AF312" s="254"/>
      <c r="AG312" s="254"/>
      <c r="AH312" s="254"/>
      <c r="AI312" s="254"/>
      <c r="AJ312" s="254"/>
      <c r="AK312" s="254"/>
      <c r="AL312" s="254"/>
      <c r="AM312" s="254"/>
      <c r="AN312" s="254"/>
      <c r="AO312" s="254"/>
      <c r="AP312" s="254"/>
      <c r="AQ312" s="254"/>
      <c r="AR312" s="254"/>
      <c r="AS312" s="254"/>
      <c r="AT312" s="254"/>
    </row>
    <row r="313" spans="1:54" ht="18.75" customHeight="1">
      <c r="A313" s="254"/>
      <c r="B313" s="254"/>
      <c r="C313" s="254"/>
      <c r="D313" s="254"/>
      <c r="E313" s="254"/>
      <c r="F313" s="254"/>
      <c r="G313" s="254"/>
      <c r="H313" s="254"/>
      <c r="I313" s="254"/>
      <c r="J313" s="254"/>
      <c r="K313" s="254"/>
      <c r="L313" s="254"/>
      <c r="M313" s="254"/>
      <c r="N313" s="254"/>
      <c r="O313" s="254"/>
      <c r="P313" s="254"/>
      <c r="Q313" s="254"/>
      <c r="R313" s="254"/>
      <c r="S313" s="254"/>
      <c r="T313" s="254"/>
      <c r="U313" s="254"/>
      <c r="V313" s="254"/>
      <c r="W313" s="254"/>
      <c r="X313" s="254"/>
      <c r="Y313" s="254"/>
      <c r="Z313" s="254"/>
      <c r="AA313" s="254"/>
      <c r="AB313" s="254"/>
      <c r="AC313" s="254"/>
      <c r="AD313" s="254"/>
      <c r="AE313" s="254"/>
      <c r="AF313" s="254"/>
      <c r="AG313" s="254"/>
      <c r="AH313" s="254"/>
      <c r="AI313" s="254"/>
      <c r="AJ313" s="254"/>
      <c r="AK313" s="254"/>
      <c r="AL313" s="254"/>
      <c r="AM313" s="254"/>
      <c r="AN313" s="254"/>
      <c r="AO313" s="254"/>
      <c r="AP313" s="254"/>
      <c r="AQ313" s="254"/>
      <c r="AR313" s="254"/>
      <c r="AS313" s="254"/>
      <c r="AT313" s="254"/>
    </row>
    <row r="314" spans="1:54" ht="18.75" customHeight="1">
      <c r="A314" s="254"/>
      <c r="B314" s="254"/>
      <c r="C314" s="254" t="s">
        <v>900</v>
      </c>
      <c r="D314" s="254"/>
      <c r="E314" s="254"/>
      <c r="F314" s="254"/>
      <c r="G314" s="254"/>
      <c r="H314" s="254"/>
      <c r="I314" s="254"/>
      <c r="J314" s="254"/>
      <c r="K314" s="254"/>
      <c r="L314" s="254"/>
      <c r="M314" s="254"/>
      <c r="N314" s="254"/>
      <c r="O314" s="254"/>
      <c r="P314" s="254"/>
      <c r="Q314" s="254"/>
      <c r="R314" s="254"/>
      <c r="S314" s="254"/>
      <c r="T314" s="254"/>
      <c r="U314" s="254"/>
      <c r="V314" s="254"/>
      <c r="W314" s="254"/>
      <c r="X314" s="254"/>
      <c r="Y314" s="254"/>
      <c r="Z314" s="254"/>
      <c r="AA314" s="254"/>
      <c r="AB314" s="254"/>
      <c r="AC314" s="254"/>
      <c r="AD314" s="254"/>
      <c r="AE314" s="254"/>
      <c r="AF314" s="254"/>
      <c r="AG314" s="254"/>
      <c r="AH314" s="254"/>
      <c r="AI314" s="254"/>
      <c r="AJ314" s="254"/>
      <c r="AK314" s="254"/>
      <c r="AL314" s="254"/>
      <c r="AM314" s="254"/>
      <c r="AN314" s="254"/>
      <c r="AO314" s="254"/>
      <c r="AP314" s="254"/>
      <c r="AQ314" s="254"/>
      <c r="AR314" s="254"/>
      <c r="AS314" s="254"/>
      <c r="AT314" s="254"/>
    </row>
    <row r="315" spans="1:54" ht="18.75" customHeight="1">
      <c r="A315" s="254"/>
      <c r="B315" s="254"/>
      <c r="C315" s="254"/>
      <c r="D315" s="254"/>
      <c r="E315" s="254"/>
      <c r="F315" s="254"/>
      <c r="G315" s="254"/>
      <c r="H315" s="254"/>
      <c r="I315" s="254"/>
      <c r="J315" s="254"/>
      <c r="K315" s="254"/>
      <c r="L315" s="254"/>
      <c r="M315" s="254"/>
      <c r="N315" s="254"/>
      <c r="O315" s="254"/>
      <c r="P315" s="254"/>
      <c r="Q315" s="254"/>
      <c r="R315" s="254"/>
      <c r="S315" s="254"/>
      <c r="T315" s="254"/>
      <c r="U315" s="254"/>
      <c r="V315" s="254"/>
      <c r="W315" s="254"/>
      <c r="X315" s="254"/>
      <c r="Y315" s="254"/>
      <c r="Z315" s="254"/>
      <c r="AA315" s="254"/>
      <c r="AB315" s="254"/>
      <c r="AC315" s="254"/>
      <c r="AD315" s="254"/>
      <c r="AE315" s="254"/>
      <c r="AF315" s="254"/>
      <c r="AG315" s="254"/>
      <c r="AH315" s="254"/>
      <c r="AI315" s="254"/>
      <c r="AJ315" s="254"/>
      <c r="AK315" s="254"/>
      <c r="AL315" s="254"/>
      <c r="AM315" s="254"/>
      <c r="AN315" s="254"/>
      <c r="AO315" s="254"/>
      <c r="AP315" s="254"/>
      <c r="AQ315" s="254"/>
      <c r="AR315" s="254"/>
      <c r="AS315" s="254"/>
      <c r="AT315" s="254"/>
    </row>
    <row r="316" spans="1:54" ht="18.75" customHeight="1">
      <c r="A316" s="254"/>
      <c r="B316" s="254"/>
      <c r="C316" s="254"/>
      <c r="D316" s="254"/>
      <c r="E316" s="254"/>
      <c r="F316" s="254"/>
      <c r="G316" s="254"/>
      <c r="H316" s="254"/>
      <c r="I316" s="254"/>
      <c r="J316" s="254"/>
      <c r="K316" s="254"/>
      <c r="L316" s="254"/>
      <c r="M316" s="254"/>
      <c r="N316" s="254"/>
      <c r="O316" s="254"/>
      <c r="P316" s="254"/>
      <c r="Q316" s="254"/>
      <c r="R316" s="254"/>
      <c r="S316" s="254"/>
      <c r="T316" s="254"/>
      <c r="U316" s="254"/>
      <c r="V316" s="254"/>
      <c r="W316" s="254"/>
      <c r="X316" s="254"/>
      <c r="Y316" s="254"/>
      <c r="Z316" s="254"/>
      <c r="AA316" s="254"/>
      <c r="AB316" s="254"/>
      <c r="AC316" s="254"/>
      <c r="AD316" s="254"/>
      <c r="AE316" s="254"/>
      <c r="AF316" s="254"/>
      <c r="AG316" s="254"/>
      <c r="AH316" s="254"/>
      <c r="AI316" s="254"/>
      <c r="AJ316" s="254"/>
      <c r="AK316" s="254"/>
      <c r="AL316" s="254"/>
      <c r="AM316" s="254"/>
      <c r="AN316" s="254"/>
      <c r="AO316" s="254"/>
      <c r="AP316" s="254"/>
      <c r="AQ316" s="254"/>
      <c r="AR316" s="254"/>
      <c r="AS316" s="254"/>
      <c r="AT316" s="254"/>
    </row>
    <row r="317" spans="1:54" ht="18.75" customHeight="1">
      <c r="A317" s="254"/>
      <c r="B317" s="254"/>
      <c r="C317" s="254"/>
      <c r="D317" s="254"/>
      <c r="E317" s="254"/>
      <c r="F317" s="254"/>
      <c r="G317" s="254"/>
      <c r="H317" s="254"/>
      <c r="I317" s="254"/>
      <c r="J317" s="254"/>
      <c r="K317" s="254"/>
      <c r="L317" s="254"/>
      <c r="M317" s="254"/>
      <c r="N317" s="254"/>
      <c r="O317" s="254"/>
      <c r="P317" s="254"/>
      <c r="Q317" s="254"/>
      <c r="R317" s="254"/>
      <c r="S317" s="254"/>
      <c r="T317" s="254"/>
      <c r="U317" s="254"/>
      <c r="V317" s="254"/>
      <c r="W317" s="254"/>
      <c r="X317" s="254"/>
      <c r="Y317" s="254"/>
      <c r="Z317" s="254"/>
      <c r="AA317" s="254"/>
      <c r="AB317" s="254"/>
      <c r="AC317" s="254"/>
      <c r="AD317" s="254"/>
      <c r="AE317" s="254"/>
      <c r="AF317" s="254"/>
      <c r="AG317" s="254"/>
      <c r="AH317" s="254"/>
      <c r="AI317" s="254"/>
      <c r="AJ317" s="254"/>
      <c r="AK317" s="254"/>
      <c r="AL317" s="254"/>
      <c r="AM317" s="254"/>
      <c r="AN317" s="254"/>
      <c r="AO317" s="254"/>
      <c r="AP317" s="254"/>
      <c r="AQ317" s="254"/>
      <c r="AR317" s="254"/>
      <c r="AS317" s="254"/>
      <c r="AT317" s="254"/>
    </row>
    <row r="318" spans="1:54" ht="18.75" customHeight="1">
      <c r="A318" s="257" t="s">
        <v>901</v>
      </c>
      <c r="B318" s="254"/>
      <c r="C318" s="254"/>
      <c r="D318" s="254"/>
      <c r="E318" s="254"/>
      <c r="F318" s="254"/>
      <c r="G318" s="254"/>
      <c r="H318" s="254"/>
      <c r="I318" s="254"/>
      <c r="J318" s="254"/>
      <c r="K318" s="254"/>
      <c r="L318" s="254"/>
      <c r="M318" s="254"/>
      <c r="N318" s="254"/>
      <c r="O318" s="254"/>
      <c r="P318" s="254"/>
      <c r="Q318" s="254"/>
      <c r="R318" s="254"/>
      <c r="S318" s="254"/>
      <c r="T318" s="254"/>
      <c r="U318" s="254"/>
      <c r="V318" s="254"/>
      <c r="W318" s="254"/>
      <c r="X318" s="254"/>
      <c r="Y318" s="254"/>
      <c r="Z318" s="254"/>
      <c r="AA318" s="254"/>
      <c r="AB318" s="254"/>
      <c r="AC318" s="254"/>
      <c r="AD318" s="254"/>
      <c r="AE318" s="254"/>
      <c r="AF318" s="254"/>
      <c r="AG318" s="254"/>
      <c r="AH318" s="254"/>
      <c r="AI318" s="254"/>
      <c r="AJ318" s="254"/>
      <c r="AK318" s="254"/>
      <c r="AL318" s="254"/>
      <c r="AM318" s="254"/>
      <c r="AN318" s="254"/>
      <c r="AO318" s="254"/>
      <c r="AP318" s="254"/>
      <c r="AQ318" s="254"/>
      <c r="AR318" s="254"/>
      <c r="AS318" s="254"/>
      <c r="AT318" s="254"/>
    </row>
    <row r="319" spans="1:54" ht="18.75" customHeight="1">
      <c r="A319" s="254"/>
      <c r="B319" s="472"/>
      <c r="C319" s="473"/>
      <c r="D319" s="474"/>
      <c r="E319" s="481"/>
      <c r="F319" s="482"/>
      <c r="G319" s="482"/>
      <c r="H319" s="482"/>
      <c r="I319" s="483"/>
      <c r="J319" s="471">
        <v>1</v>
      </c>
      <c r="K319" s="471"/>
      <c r="L319" s="471"/>
      <c r="M319" s="471"/>
      <c r="N319" s="471"/>
      <c r="O319" s="471"/>
      <c r="P319" s="471"/>
      <c r="Q319" s="471"/>
      <c r="R319" s="471"/>
      <c r="S319" s="471">
        <v>2</v>
      </c>
      <c r="T319" s="471"/>
      <c r="U319" s="471"/>
      <c r="V319" s="471"/>
      <c r="W319" s="471"/>
      <c r="X319" s="471"/>
      <c r="Y319" s="471"/>
      <c r="Z319" s="471"/>
      <c r="AA319" s="471"/>
      <c r="AB319" s="468">
        <v>3</v>
      </c>
      <c r="AC319" s="469"/>
      <c r="AD319" s="469"/>
      <c r="AE319" s="469"/>
      <c r="AF319" s="470"/>
      <c r="AG319" s="468">
        <v>4</v>
      </c>
      <c r="AH319" s="469"/>
      <c r="AI319" s="469"/>
      <c r="AJ319" s="469"/>
      <c r="AK319" s="470"/>
      <c r="AL319" s="471">
        <v>5</v>
      </c>
      <c r="AM319" s="471"/>
      <c r="AN319" s="471"/>
      <c r="AO319" s="471"/>
      <c r="AP319" s="471"/>
      <c r="AQ319" s="471"/>
      <c r="AR319" s="471"/>
      <c r="AS319" s="471"/>
      <c r="AT319" s="471"/>
      <c r="AU319" s="468">
        <v>6</v>
      </c>
      <c r="AV319" s="469"/>
      <c r="AW319" s="469"/>
      <c r="AX319" s="469"/>
      <c r="AY319" s="470"/>
    </row>
    <row r="320" spans="1:54" ht="18.75" customHeight="1">
      <c r="A320" s="254"/>
      <c r="B320" s="475"/>
      <c r="C320" s="476"/>
      <c r="D320" s="477"/>
      <c r="E320" s="472" t="s">
        <v>902</v>
      </c>
      <c r="F320" s="473"/>
      <c r="G320" s="473"/>
      <c r="H320" s="473"/>
      <c r="I320" s="474"/>
      <c r="J320" s="472" t="s">
        <v>903</v>
      </c>
      <c r="K320" s="473"/>
      <c r="L320" s="473"/>
      <c r="M320" s="473"/>
      <c r="N320" s="473"/>
      <c r="O320" s="473"/>
      <c r="P320" s="473"/>
      <c r="Q320" s="473"/>
      <c r="R320" s="474"/>
      <c r="S320" s="472" t="s">
        <v>904</v>
      </c>
      <c r="T320" s="473"/>
      <c r="U320" s="473"/>
      <c r="V320" s="473"/>
      <c r="W320" s="473"/>
      <c r="X320" s="473"/>
      <c r="Y320" s="473"/>
      <c r="Z320" s="473"/>
      <c r="AA320" s="474"/>
      <c r="AB320" s="472" t="s">
        <v>676</v>
      </c>
      <c r="AC320" s="473"/>
      <c r="AD320" s="473"/>
      <c r="AE320" s="473"/>
      <c r="AF320" s="474"/>
      <c r="AG320" s="472" t="s">
        <v>805</v>
      </c>
      <c r="AH320" s="473"/>
      <c r="AI320" s="473"/>
      <c r="AJ320" s="473"/>
      <c r="AK320" s="474"/>
      <c r="AL320" s="472" t="s">
        <v>678</v>
      </c>
      <c r="AM320" s="473"/>
      <c r="AN320" s="473"/>
      <c r="AO320" s="473"/>
      <c r="AP320" s="473"/>
      <c r="AQ320" s="473"/>
      <c r="AR320" s="473"/>
      <c r="AS320" s="473"/>
      <c r="AT320" s="474"/>
      <c r="AU320" s="472" t="s">
        <v>905</v>
      </c>
      <c r="AV320" s="473"/>
      <c r="AW320" s="473"/>
      <c r="AX320" s="473"/>
      <c r="AY320" s="474"/>
    </row>
    <row r="321" spans="1:60" ht="18.75" customHeight="1">
      <c r="A321" s="254"/>
      <c r="B321" s="478"/>
      <c r="C321" s="479"/>
      <c r="D321" s="480"/>
      <c r="E321" s="484" t="s">
        <v>807</v>
      </c>
      <c r="F321" s="485"/>
      <c r="G321" s="485"/>
      <c r="H321" s="485"/>
      <c r="I321" s="486"/>
      <c r="J321" s="465" t="s">
        <v>906</v>
      </c>
      <c r="K321" s="466"/>
      <c r="L321" s="466"/>
      <c r="M321" s="466"/>
      <c r="N321" s="466"/>
      <c r="O321" s="466"/>
      <c r="P321" s="466"/>
      <c r="Q321" s="466"/>
      <c r="R321" s="467"/>
      <c r="S321" s="465" t="s">
        <v>681</v>
      </c>
      <c r="T321" s="466"/>
      <c r="U321" s="466"/>
      <c r="V321" s="466"/>
      <c r="W321" s="466"/>
      <c r="X321" s="466"/>
      <c r="Y321" s="466"/>
      <c r="Z321" s="466"/>
      <c r="AA321" s="467"/>
      <c r="AB321" s="462"/>
      <c r="AC321" s="463"/>
      <c r="AD321" s="463"/>
      <c r="AE321" s="463"/>
      <c r="AF321" s="464"/>
      <c r="AG321" s="462" t="s">
        <v>907</v>
      </c>
      <c r="AH321" s="463"/>
      <c r="AI321" s="463"/>
      <c r="AJ321" s="463"/>
      <c r="AK321" s="464"/>
      <c r="AL321" s="465" t="s">
        <v>908</v>
      </c>
      <c r="AM321" s="466"/>
      <c r="AN321" s="466"/>
      <c r="AO321" s="466"/>
      <c r="AP321" s="466"/>
      <c r="AQ321" s="466"/>
      <c r="AR321" s="466"/>
      <c r="AS321" s="466"/>
      <c r="AT321" s="467"/>
      <c r="AU321" s="462"/>
      <c r="AV321" s="463"/>
      <c r="AW321" s="463"/>
      <c r="AX321" s="463"/>
      <c r="AY321" s="464"/>
    </row>
    <row r="322" spans="1:60" ht="21" customHeight="1">
      <c r="A322" s="254"/>
      <c r="B322" s="468" t="s">
        <v>909</v>
      </c>
      <c r="C322" s="469"/>
      <c r="D322" s="470"/>
      <c r="E322" s="491" t="s">
        <v>896</v>
      </c>
      <c r="F322" s="492"/>
      <c r="G322" s="492"/>
      <c r="H322" s="492"/>
      <c r="I322" s="493"/>
      <c r="J322" s="494" t="e">
        <f>Calcu!E130</f>
        <v>#VALUE!</v>
      </c>
      <c r="K322" s="495"/>
      <c r="L322" s="495"/>
      <c r="M322" s="495"/>
      <c r="N322" s="495"/>
      <c r="O322" s="487" t="str">
        <f>Calcu!F130</f>
        <v>μm</v>
      </c>
      <c r="P322" s="487"/>
      <c r="Q322" s="487"/>
      <c r="R322" s="488"/>
      <c r="S322" s="489" t="e">
        <f>Calcu!J130</f>
        <v>#VALUE!</v>
      </c>
      <c r="T322" s="490"/>
      <c r="U322" s="490"/>
      <c r="V322" s="490" t="e">
        <v>#REF!</v>
      </c>
      <c r="W322" s="490"/>
      <c r="X322" s="487" t="str">
        <f>Calcu!K130</f>
        <v>μm</v>
      </c>
      <c r="Y322" s="487"/>
      <c r="Z322" s="487"/>
      <c r="AA322" s="488"/>
      <c r="AB322" s="468" t="str">
        <f>Calcu!L130</f>
        <v>정규</v>
      </c>
      <c r="AC322" s="469"/>
      <c r="AD322" s="469"/>
      <c r="AE322" s="469"/>
      <c r="AF322" s="470"/>
      <c r="AG322" s="468">
        <f>Calcu!M130</f>
        <v>1</v>
      </c>
      <c r="AH322" s="469"/>
      <c r="AI322" s="469"/>
      <c r="AJ322" s="469"/>
      <c r="AK322" s="470"/>
      <c r="AL322" s="489" t="e">
        <f>Calcu!N130</f>
        <v>#VALUE!</v>
      </c>
      <c r="AM322" s="490"/>
      <c r="AN322" s="490"/>
      <c r="AO322" s="490"/>
      <c r="AP322" s="490"/>
      <c r="AQ322" s="487" t="str">
        <f>Calcu!O130</f>
        <v>μm</v>
      </c>
      <c r="AR322" s="487"/>
      <c r="AS322" s="487"/>
      <c r="AT322" s="488"/>
      <c r="AU322" s="468" t="e">
        <f>Calcu!P130</f>
        <v>#VALUE!</v>
      </c>
      <c r="AV322" s="469"/>
      <c r="AW322" s="469"/>
      <c r="AX322" s="469"/>
      <c r="AY322" s="470"/>
    </row>
    <row r="323" spans="1:60" ht="18.75" customHeight="1">
      <c r="A323" s="254"/>
      <c r="B323" s="468" t="s">
        <v>910</v>
      </c>
      <c r="C323" s="469"/>
      <c r="D323" s="470"/>
      <c r="E323" s="553" t="s">
        <v>911</v>
      </c>
      <c r="F323" s="539"/>
      <c r="G323" s="539"/>
      <c r="H323" s="539"/>
      <c r="I323" s="540"/>
      <c r="J323" s="443" t="str">
        <f>Calcu!E131</f>
        <v>-</v>
      </c>
      <c r="K323" s="444"/>
      <c r="L323" s="444"/>
      <c r="M323" s="444"/>
      <c r="N323" s="444"/>
      <c r="O323" s="444"/>
      <c r="P323" s="444"/>
      <c r="Q323" s="444"/>
      <c r="R323" s="445"/>
      <c r="S323" s="489" t="e">
        <f>Calcu!J131</f>
        <v>#VALUE!</v>
      </c>
      <c r="T323" s="490"/>
      <c r="U323" s="490"/>
      <c r="V323" s="490"/>
      <c r="W323" s="490"/>
      <c r="X323" s="490"/>
      <c r="Y323" s="490"/>
      <c r="Z323" s="487" t="str">
        <f>Calcu!K131</f>
        <v>μm</v>
      </c>
      <c r="AA323" s="488"/>
      <c r="AB323" s="534" t="str">
        <f>Calcu!L131</f>
        <v>t</v>
      </c>
      <c r="AC323" s="535"/>
      <c r="AD323" s="535"/>
      <c r="AE323" s="535"/>
      <c r="AF323" s="536"/>
      <c r="AG323" s="537">
        <f>Calcu!M131</f>
        <v>1</v>
      </c>
      <c r="AH323" s="487"/>
      <c r="AI323" s="487"/>
      <c r="AJ323" s="487"/>
      <c r="AK323" s="488"/>
      <c r="AL323" s="489" t="e">
        <f>Calcu!N131</f>
        <v>#VALUE!</v>
      </c>
      <c r="AM323" s="490"/>
      <c r="AN323" s="490"/>
      <c r="AO323" s="490"/>
      <c r="AP323" s="490"/>
      <c r="AQ323" s="490"/>
      <c r="AR323" s="490"/>
      <c r="AS323" s="487" t="str">
        <f>Calcu!O131</f>
        <v>μm</v>
      </c>
      <c r="AT323" s="488"/>
      <c r="AU323" s="534">
        <f>Calcu!P131</f>
        <v>4</v>
      </c>
      <c r="AV323" s="535"/>
      <c r="AW323" s="535"/>
      <c r="AX323" s="535"/>
      <c r="AY323" s="536"/>
    </row>
    <row r="324" spans="1:60" ht="21" customHeight="1">
      <c r="A324" s="254"/>
      <c r="B324" s="468" t="s">
        <v>686</v>
      </c>
      <c r="C324" s="469"/>
      <c r="D324" s="470"/>
      <c r="E324" s="553" t="s">
        <v>912</v>
      </c>
      <c r="F324" s="539"/>
      <c r="G324" s="539"/>
      <c r="H324" s="539"/>
      <c r="I324" s="540"/>
      <c r="J324" s="443" t="str">
        <f>Calcu!E132</f>
        <v>-</v>
      </c>
      <c r="K324" s="444"/>
      <c r="L324" s="444"/>
      <c r="M324" s="444"/>
      <c r="N324" s="444"/>
      <c r="O324" s="444"/>
      <c r="P324" s="444"/>
      <c r="Q324" s="444"/>
      <c r="R324" s="445"/>
      <c r="S324" s="489" t="e">
        <f>Calcu!J132</f>
        <v>#DIV/0!</v>
      </c>
      <c r="T324" s="490"/>
      <c r="U324" s="490"/>
      <c r="V324" s="490"/>
      <c r="W324" s="490"/>
      <c r="X324" s="490"/>
      <c r="Y324" s="490"/>
      <c r="Z324" s="487" t="str">
        <f>Calcu!K132</f>
        <v>μm</v>
      </c>
      <c r="AA324" s="488"/>
      <c r="AB324" s="534" t="str">
        <f>Calcu!L132</f>
        <v>정규</v>
      </c>
      <c r="AC324" s="535"/>
      <c r="AD324" s="535"/>
      <c r="AE324" s="535"/>
      <c r="AF324" s="536"/>
      <c r="AG324" s="537">
        <f>Calcu!M132</f>
        <v>1</v>
      </c>
      <c r="AH324" s="487"/>
      <c r="AI324" s="487"/>
      <c r="AJ324" s="487"/>
      <c r="AK324" s="488"/>
      <c r="AL324" s="489" t="e">
        <f>Calcu!N132</f>
        <v>#DIV/0!</v>
      </c>
      <c r="AM324" s="490"/>
      <c r="AN324" s="490"/>
      <c r="AO324" s="490"/>
      <c r="AP324" s="490"/>
      <c r="AQ324" s="490"/>
      <c r="AR324" s="490"/>
      <c r="AS324" s="487" t="str">
        <f>Calcu!O132</f>
        <v>μm</v>
      </c>
      <c r="AT324" s="488"/>
      <c r="AU324" s="534" t="str">
        <f>Calcu!P132</f>
        <v>∞</v>
      </c>
      <c r="AV324" s="535"/>
      <c r="AW324" s="535"/>
      <c r="AX324" s="535"/>
      <c r="AY324" s="536"/>
    </row>
    <row r="325" spans="1:60" ht="18.75" customHeight="1">
      <c r="A325" s="254"/>
      <c r="B325" s="468" t="s">
        <v>74</v>
      </c>
      <c r="C325" s="469"/>
      <c r="D325" s="470"/>
      <c r="E325" s="553" t="s">
        <v>913</v>
      </c>
      <c r="F325" s="539"/>
      <c r="G325" s="539"/>
      <c r="H325" s="539"/>
      <c r="I325" s="540"/>
      <c r="J325" s="523" t="str">
        <f>Calcu!E133</f>
        <v>-</v>
      </c>
      <c r="K325" s="444"/>
      <c r="L325" s="444"/>
      <c r="M325" s="444"/>
      <c r="N325" s="444"/>
      <c r="O325" s="444"/>
      <c r="P325" s="444"/>
      <c r="Q325" s="444"/>
      <c r="R325" s="445"/>
      <c r="S325" s="489">
        <f>Calcu!J133</f>
        <v>0</v>
      </c>
      <c r="T325" s="490"/>
      <c r="U325" s="490"/>
      <c r="V325" s="490"/>
      <c r="W325" s="490"/>
      <c r="X325" s="490"/>
      <c r="Y325" s="490"/>
      <c r="Z325" s="487" t="str">
        <f>Calcu!K133</f>
        <v>μm</v>
      </c>
      <c r="AA325" s="488"/>
      <c r="AB325" s="534" t="str">
        <f>Calcu!L133</f>
        <v>정규</v>
      </c>
      <c r="AC325" s="535"/>
      <c r="AD325" s="535"/>
      <c r="AE325" s="535"/>
      <c r="AF325" s="536"/>
      <c r="AG325" s="537">
        <f>Calcu!M133</f>
        <v>1</v>
      </c>
      <c r="AH325" s="487"/>
      <c r="AI325" s="487"/>
      <c r="AJ325" s="487"/>
      <c r="AK325" s="488"/>
      <c r="AL325" s="489">
        <f>Calcu!N133</f>
        <v>0</v>
      </c>
      <c r="AM325" s="490"/>
      <c r="AN325" s="490"/>
      <c r="AO325" s="490"/>
      <c r="AP325" s="490"/>
      <c r="AQ325" s="490"/>
      <c r="AR325" s="490"/>
      <c r="AS325" s="487" t="str">
        <f>Calcu!O133</f>
        <v>μm</v>
      </c>
      <c r="AT325" s="488"/>
      <c r="AU325" s="534" t="str">
        <f>Calcu!P133</f>
        <v>∞</v>
      </c>
      <c r="AV325" s="535"/>
      <c r="AW325" s="535"/>
      <c r="AX325" s="535"/>
      <c r="AY325" s="536"/>
    </row>
    <row r="326" spans="1:60" ht="18.75" customHeight="1">
      <c r="A326" s="254"/>
      <c r="B326" s="468" t="s">
        <v>690</v>
      </c>
      <c r="C326" s="469"/>
      <c r="D326" s="470"/>
      <c r="E326" s="553" t="s">
        <v>914</v>
      </c>
      <c r="F326" s="539"/>
      <c r="G326" s="539"/>
      <c r="H326" s="539"/>
      <c r="I326" s="540"/>
      <c r="J326" s="443" t="str">
        <f>Calcu!E134</f>
        <v>-</v>
      </c>
      <c r="K326" s="444"/>
      <c r="L326" s="444"/>
      <c r="M326" s="444"/>
      <c r="N326" s="444"/>
      <c r="O326" s="444"/>
      <c r="P326" s="444"/>
      <c r="Q326" s="444"/>
      <c r="R326" s="445"/>
      <c r="S326" s="489">
        <f>Calcu!J134</f>
        <v>0</v>
      </c>
      <c r="T326" s="490"/>
      <c r="U326" s="490"/>
      <c r="V326" s="490"/>
      <c r="W326" s="490"/>
      <c r="X326" s="490"/>
      <c r="Y326" s="490"/>
      <c r="Z326" s="487" t="str">
        <f>Calcu!K134</f>
        <v>μm</v>
      </c>
      <c r="AA326" s="488"/>
      <c r="AB326" s="534" t="str">
        <f>Calcu!L134</f>
        <v>직사각형</v>
      </c>
      <c r="AC326" s="535"/>
      <c r="AD326" s="535"/>
      <c r="AE326" s="535"/>
      <c r="AF326" s="536"/>
      <c r="AG326" s="537">
        <f>Calcu!M134</f>
        <v>1</v>
      </c>
      <c r="AH326" s="487"/>
      <c r="AI326" s="487"/>
      <c r="AJ326" s="487"/>
      <c r="AK326" s="488"/>
      <c r="AL326" s="489">
        <f>Calcu!N134</f>
        <v>0</v>
      </c>
      <c r="AM326" s="490"/>
      <c r="AN326" s="490"/>
      <c r="AO326" s="490"/>
      <c r="AP326" s="490"/>
      <c r="AQ326" s="490"/>
      <c r="AR326" s="490"/>
      <c r="AS326" s="487" t="str">
        <f>Calcu!O134</f>
        <v>μm</v>
      </c>
      <c r="AT326" s="488"/>
      <c r="AU326" s="534" t="str">
        <f>Calcu!P134</f>
        <v>∞</v>
      </c>
      <c r="AV326" s="535"/>
      <c r="AW326" s="535"/>
      <c r="AX326" s="535"/>
      <c r="AY326" s="536"/>
    </row>
    <row r="327" spans="1:60" ht="21" customHeight="1">
      <c r="A327" s="254"/>
      <c r="B327" s="468" t="s">
        <v>915</v>
      </c>
      <c r="C327" s="469"/>
      <c r="D327" s="470"/>
      <c r="E327" s="491" t="s">
        <v>915</v>
      </c>
      <c r="F327" s="492"/>
      <c r="G327" s="492"/>
      <c r="H327" s="492"/>
      <c r="I327" s="493"/>
      <c r="J327" s="494" t="e">
        <f>Calcu!E135</f>
        <v>#VALUE!</v>
      </c>
      <c r="K327" s="495"/>
      <c r="L327" s="495"/>
      <c r="M327" s="495"/>
      <c r="N327" s="495"/>
      <c r="O327" s="487" t="str">
        <f>Calcu!F135</f>
        <v>μm</v>
      </c>
      <c r="P327" s="487"/>
      <c r="Q327" s="487"/>
      <c r="R327" s="488"/>
      <c r="S327" s="443" t="s">
        <v>516</v>
      </c>
      <c r="T327" s="444"/>
      <c r="U327" s="444"/>
      <c r="V327" s="444"/>
      <c r="W327" s="444"/>
      <c r="X327" s="444"/>
      <c r="Y327" s="444"/>
      <c r="Z327" s="444"/>
      <c r="AA327" s="445"/>
      <c r="AB327" s="468" t="s">
        <v>916</v>
      </c>
      <c r="AC327" s="469"/>
      <c r="AD327" s="469"/>
      <c r="AE327" s="469"/>
      <c r="AF327" s="470"/>
      <c r="AG327" s="468" t="s">
        <v>917</v>
      </c>
      <c r="AH327" s="469"/>
      <c r="AI327" s="469"/>
      <c r="AJ327" s="469"/>
      <c r="AK327" s="470"/>
      <c r="AL327" s="489" t="e">
        <f>Calcu!N135</f>
        <v>#VALUE!</v>
      </c>
      <c r="AM327" s="490"/>
      <c r="AN327" s="490"/>
      <c r="AO327" s="490"/>
      <c r="AP327" s="490"/>
      <c r="AQ327" s="487" t="str">
        <f>Calcu!O135</f>
        <v>μm</v>
      </c>
      <c r="AR327" s="487"/>
      <c r="AS327" s="487"/>
      <c r="AT327" s="488"/>
      <c r="AU327" s="468" t="e">
        <f>Calcu!P135</f>
        <v>#VALUE!</v>
      </c>
      <c r="AV327" s="469"/>
      <c r="AW327" s="469"/>
      <c r="AX327" s="469"/>
      <c r="AY327" s="470"/>
    </row>
    <row r="328" spans="1:60" ht="18.75" customHeight="1">
      <c r="A328" s="254"/>
      <c r="B328" s="254"/>
      <c r="C328" s="254"/>
      <c r="D328" s="254"/>
      <c r="E328" s="254"/>
      <c r="F328" s="254"/>
      <c r="G328" s="254"/>
      <c r="H328" s="254"/>
      <c r="I328" s="254"/>
      <c r="J328" s="254"/>
      <c r="K328" s="254"/>
      <c r="L328" s="254"/>
      <c r="M328" s="254"/>
      <c r="N328" s="254"/>
      <c r="O328" s="254"/>
      <c r="P328" s="254"/>
      <c r="Q328" s="254"/>
      <c r="R328" s="254"/>
      <c r="S328" s="254"/>
      <c r="T328" s="254"/>
      <c r="U328" s="254"/>
      <c r="V328" s="254"/>
      <c r="W328" s="254"/>
      <c r="X328" s="254"/>
      <c r="Y328" s="254"/>
      <c r="Z328" s="254"/>
      <c r="AA328" s="254"/>
      <c r="AB328" s="254"/>
      <c r="AC328" s="254"/>
      <c r="AD328" s="254"/>
      <c r="AE328" s="254"/>
      <c r="AF328" s="254"/>
      <c r="AG328" s="319"/>
      <c r="AH328" s="254"/>
      <c r="AI328" s="254"/>
      <c r="AJ328" s="254"/>
      <c r="AK328" s="254"/>
      <c r="AL328" s="254"/>
      <c r="AM328" s="254"/>
      <c r="AN328" s="254"/>
      <c r="AO328" s="254"/>
      <c r="AQ328" s="254"/>
      <c r="AR328" s="254"/>
      <c r="AS328" s="254"/>
      <c r="AT328" s="254"/>
    </row>
    <row r="329" spans="1:60" ht="18.75" customHeight="1">
      <c r="A329" s="253" t="s">
        <v>918</v>
      </c>
      <c r="B329" s="254"/>
      <c r="C329" s="254"/>
      <c r="D329" s="254"/>
      <c r="E329" s="254"/>
      <c r="F329" s="254"/>
      <c r="G329" s="254"/>
      <c r="H329" s="254"/>
      <c r="I329" s="254"/>
      <c r="J329" s="254"/>
      <c r="K329" s="254"/>
      <c r="L329" s="254"/>
      <c r="M329" s="254"/>
      <c r="N329" s="254"/>
      <c r="O329" s="254"/>
      <c r="P329" s="254"/>
      <c r="Q329" s="254"/>
      <c r="R329" s="254"/>
      <c r="S329" s="254"/>
      <c r="T329" s="254"/>
      <c r="U329" s="254"/>
      <c r="V329" s="254"/>
      <c r="W329" s="254"/>
      <c r="X329" s="254"/>
      <c r="Y329" s="254"/>
      <c r="Z329" s="254"/>
      <c r="AA329" s="254"/>
      <c r="AB329" s="254"/>
      <c r="AC329" s="254"/>
      <c r="AD329" s="254"/>
      <c r="AE329" s="254"/>
      <c r="AF329" s="254"/>
      <c r="AG329" s="254"/>
      <c r="AH329" s="254"/>
      <c r="AI329" s="254"/>
      <c r="AJ329" s="254"/>
      <c r="AK329" s="254"/>
      <c r="AL329" s="254"/>
      <c r="AM329" s="254"/>
      <c r="AN329" s="254"/>
      <c r="AO329" s="254"/>
      <c r="AP329" s="254"/>
      <c r="AQ329" s="254"/>
      <c r="AR329" s="254"/>
      <c r="AS329" s="254"/>
      <c r="AT329" s="254"/>
    </row>
    <row r="330" spans="1:60" s="251" customFormat="1" ht="18.75" customHeight="1">
      <c r="A330" s="253"/>
      <c r="B330" s="293" t="s">
        <v>919</v>
      </c>
      <c r="C330" s="319"/>
      <c r="D330" s="319"/>
      <c r="E330" s="319"/>
      <c r="F330" s="319"/>
      <c r="G330" s="319"/>
      <c r="H330" s="319"/>
      <c r="I330" s="319"/>
      <c r="J330" s="319"/>
      <c r="K330" s="319"/>
      <c r="L330" s="319"/>
      <c r="M330" s="319"/>
      <c r="N330" s="319"/>
      <c r="O330" s="319"/>
      <c r="P330" s="319"/>
      <c r="Q330" s="319"/>
      <c r="R330" s="319"/>
      <c r="S330" s="294" t="s">
        <v>920</v>
      </c>
      <c r="T330" s="319"/>
      <c r="U330" s="319"/>
      <c r="V330" s="319"/>
      <c r="W330" s="319"/>
      <c r="X330" s="319"/>
      <c r="Y330" s="319"/>
      <c r="Z330" s="319"/>
      <c r="AA330" s="319"/>
      <c r="AB330" s="319"/>
      <c r="AC330" s="319"/>
      <c r="AD330" s="319"/>
      <c r="AF330" s="319"/>
      <c r="AG330" s="319"/>
      <c r="AH330" s="319"/>
      <c r="AI330" s="319"/>
      <c r="AJ330" s="319"/>
      <c r="AK330" s="319"/>
      <c r="AL330" s="319"/>
      <c r="AM330" s="319"/>
      <c r="AN330" s="319"/>
      <c r="AO330" s="319"/>
      <c r="AP330" s="319"/>
      <c r="AQ330" s="319"/>
      <c r="AR330" s="319"/>
      <c r="AS330" s="319"/>
      <c r="AT330" s="319"/>
      <c r="AU330" s="319"/>
      <c r="AV330" s="319"/>
      <c r="AW330" s="319"/>
      <c r="AX330" s="319"/>
      <c r="AY330" s="319"/>
      <c r="AZ330" s="319"/>
      <c r="BA330" s="319"/>
      <c r="BB330" s="319"/>
      <c r="BC330" s="319"/>
      <c r="BD330" s="319"/>
      <c r="BE330" s="319"/>
      <c r="BF330" s="319"/>
    </row>
    <row r="331" spans="1:60" s="251" customFormat="1" ht="18.75" customHeight="1">
      <c r="A331" s="253"/>
      <c r="B331" s="293"/>
      <c r="C331" s="319" t="s">
        <v>921</v>
      </c>
      <c r="D331" s="319"/>
      <c r="E331" s="319"/>
      <c r="F331" s="319"/>
      <c r="G331" s="319"/>
      <c r="H331" s="496" t="e">
        <f>J322</f>
        <v>#VALUE!</v>
      </c>
      <c r="I331" s="496"/>
      <c r="J331" s="496"/>
      <c r="K331" s="496"/>
      <c r="L331" s="496" t="str">
        <f>O322</f>
        <v>μm</v>
      </c>
      <c r="M331" s="496"/>
      <c r="N331" s="496"/>
      <c r="O331" s="496"/>
      <c r="P331" s="319"/>
      <c r="Q331" s="319"/>
      <c r="R331" s="319"/>
      <c r="S331" s="319"/>
      <c r="T331" s="319"/>
      <c r="U331" s="319"/>
      <c r="V331" s="319"/>
      <c r="W331" s="319"/>
      <c r="X331" s="319"/>
      <c r="Y331" s="319"/>
      <c r="Z331" s="319"/>
      <c r="AA331" s="319"/>
      <c r="AB331" s="319"/>
      <c r="AC331" s="319"/>
      <c r="AD331" s="319"/>
      <c r="AE331" s="294"/>
      <c r="AF331" s="319"/>
      <c r="AG331" s="319"/>
      <c r="AH331" s="319"/>
      <c r="AI331" s="319"/>
      <c r="AJ331" s="319"/>
      <c r="AK331" s="319"/>
      <c r="AL331" s="319"/>
      <c r="AM331" s="319"/>
      <c r="AN331" s="319"/>
      <c r="AO331" s="319"/>
      <c r="AP331" s="319"/>
      <c r="AQ331" s="319"/>
      <c r="AR331" s="319"/>
      <c r="AS331" s="319"/>
      <c r="AT331" s="319"/>
      <c r="AU331" s="319"/>
      <c r="AV331" s="319"/>
      <c r="AW331" s="319"/>
      <c r="AX331" s="319"/>
      <c r="AY331" s="319"/>
      <c r="AZ331" s="319"/>
      <c r="BA331" s="319"/>
      <c r="BB331" s="319"/>
      <c r="BC331" s="319"/>
      <c r="BD331" s="319"/>
      <c r="BE331" s="319"/>
      <c r="BF331" s="319"/>
    </row>
    <row r="332" spans="1:60" s="251" customFormat="1" ht="18.75" customHeight="1">
      <c r="A332" s="253"/>
      <c r="B332" s="293"/>
      <c r="C332" s="319" t="s">
        <v>699</v>
      </c>
      <c r="D332" s="319"/>
      <c r="E332" s="319"/>
      <c r="F332" s="319"/>
      <c r="G332" s="319"/>
      <c r="H332" s="319"/>
      <c r="I332" s="319"/>
      <c r="J332" s="504" t="s">
        <v>922</v>
      </c>
      <c r="K332" s="504"/>
      <c r="L332" s="504"/>
      <c r="M332" s="327" t="s">
        <v>923</v>
      </c>
      <c r="N332" s="319"/>
      <c r="O332" s="501"/>
      <c r="P332" s="501"/>
      <c r="Q332" s="501"/>
      <c r="R332" s="319"/>
      <c r="S332" s="501"/>
      <c r="T332" s="501"/>
      <c r="U332" s="501"/>
      <c r="V332" s="319"/>
      <c r="W332" s="319"/>
      <c r="X332" s="319"/>
      <c r="Y332" s="319"/>
      <c r="AC332" s="319"/>
      <c r="AD332" s="319"/>
      <c r="AH332" s="319"/>
      <c r="AI332" s="319"/>
    </row>
    <row r="333" spans="1:60" s="251" customFormat="1" ht="18.75" customHeight="1">
      <c r="A333" s="253"/>
      <c r="B333" s="293"/>
      <c r="C333" s="319"/>
      <c r="D333" s="319"/>
      <c r="E333" s="319"/>
      <c r="F333" s="319"/>
      <c r="G333" s="319"/>
      <c r="H333" s="319"/>
      <c r="I333" s="319"/>
      <c r="J333" s="326"/>
      <c r="K333" s="326"/>
      <c r="L333" s="326"/>
      <c r="M333" s="327" t="s">
        <v>923</v>
      </c>
      <c r="N333" s="319"/>
      <c r="O333" s="554" t="e">
        <f>V352</f>
        <v>#VALUE!</v>
      </c>
      <c r="P333" s="501"/>
      <c r="Q333" s="501"/>
      <c r="R333" s="319"/>
      <c r="S333" s="319"/>
      <c r="T333" s="554" t="e">
        <f>V363</f>
        <v>#DIV/0!</v>
      </c>
      <c r="U333" s="501"/>
      <c r="V333" s="501"/>
      <c r="W333" s="319"/>
      <c r="X333" s="319"/>
      <c r="Y333" s="554">
        <f>V373</f>
        <v>0</v>
      </c>
      <c r="Z333" s="501"/>
      <c r="AA333" s="501"/>
      <c r="AB333" s="319"/>
      <c r="AC333" s="319"/>
      <c r="AD333" s="554">
        <f>V385</f>
        <v>0</v>
      </c>
      <c r="AE333" s="501"/>
      <c r="AF333" s="501"/>
      <c r="AG333" s="319"/>
      <c r="AH333" s="319"/>
      <c r="AI333" s="542" t="e">
        <f>S322</f>
        <v>#VALUE!</v>
      </c>
      <c r="AJ333" s="496"/>
      <c r="AK333" s="496"/>
      <c r="AL333" s="319" t="str">
        <f>AQ322</f>
        <v>μm</v>
      </c>
      <c r="AM333" s="327"/>
      <c r="AN333" s="319"/>
      <c r="AO333" s="319"/>
      <c r="AP333" s="328"/>
      <c r="AQ333" s="328"/>
      <c r="AR333" s="328"/>
      <c r="AS333" s="319"/>
      <c r="AT333" s="319"/>
      <c r="AU333" s="327"/>
      <c r="AV333" s="327"/>
      <c r="AW333" s="327"/>
      <c r="AX333" s="319"/>
      <c r="AY333" s="319"/>
      <c r="AZ333" s="327"/>
      <c r="BA333" s="327"/>
      <c r="BB333" s="327"/>
      <c r="BC333" s="319"/>
      <c r="BD333" s="319"/>
      <c r="BE333" s="318"/>
      <c r="BF333" s="319"/>
      <c r="BG333" s="319"/>
    </row>
    <row r="334" spans="1:60" s="251" customFormat="1" ht="18.75" customHeight="1">
      <c r="A334" s="253"/>
      <c r="B334" s="293"/>
      <c r="C334" s="319" t="s">
        <v>924</v>
      </c>
      <c r="D334" s="319"/>
      <c r="E334" s="319"/>
      <c r="F334" s="319"/>
      <c r="G334" s="319"/>
      <c r="H334" s="319"/>
      <c r="I334" s="496" t="str">
        <f>AB322</f>
        <v>정규</v>
      </c>
      <c r="J334" s="496"/>
      <c r="K334" s="496"/>
      <c r="L334" s="496"/>
      <c r="M334" s="496"/>
      <c r="N334" s="319"/>
      <c r="O334" s="319"/>
      <c r="P334" s="319"/>
      <c r="Q334" s="319"/>
      <c r="R334" s="319"/>
      <c r="S334" s="319"/>
      <c r="T334" s="319"/>
      <c r="U334" s="319"/>
      <c r="V334" s="319"/>
      <c r="W334" s="319"/>
      <c r="X334" s="319"/>
      <c r="Y334" s="319"/>
      <c r="Z334" s="319"/>
      <c r="AA334" s="319"/>
      <c r="AB334" s="319"/>
      <c r="AC334" s="319"/>
      <c r="AD334" s="319"/>
      <c r="AE334" s="294"/>
      <c r="AF334" s="319"/>
      <c r="AG334" s="319"/>
      <c r="AH334" s="319"/>
      <c r="AI334" s="319"/>
      <c r="AJ334" s="319"/>
      <c r="AK334" s="319"/>
      <c r="AL334" s="319"/>
      <c r="AM334" s="319"/>
      <c r="AN334" s="319"/>
      <c r="AO334" s="319"/>
      <c r="AP334" s="319"/>
      <c r="AQ334" s="319"/>
      <c r="AR334" s="319"/>
      <c r="AS334" s="319"/>
      <c r="AT334" s="319"/>
      <c r="AU334" s="319"/>
      <c r="AV334" s="319"/>
      <c r="AW334" s="319"/>
      <c r="AX334" s="319"/>
      <c r="AY334" s="319"/>
      <c r="AZ334" s="319"/>
      <c r="BA334" s="319"/>
      <c r="BB334" s="319"/>
      <c r="BC334" s="319"/>
      <c r="BD334" s="319"/>
      <c r="BE334" s="319"/>
      <c r="BF334" s="319"/>
    </row>
    <row r="335" spans="1:60" s="251" customFormat="1" ht="18.75" customHeight="1">
      <c r="B335" s="253"/>
      <c r="C335" s="496" t="s">
        <v>518</v>
      </c>
      <c r="D335" s="496"/>
      <c r="E335" s="496"/>
      <c r="F335" s="496"/>
      <c r="G335" s="496"/>
      <c r="H335" s="496"/>
      <c r="I335" s="319"/>
      <c r="J335" s="319"/>
      <c r="K335" s="319"/>
      <c r="L335" s="319"/>
      <c r="M335" s="319"/>
      <c r="N335" s="555">
        <f>AG322</f>
        <v>1</v>
      </c>
      <c r="O335" s="555"/>
      <c r="P335" s="319"/>
      <c r="Q335" s="319"/>
      <c r="R335" s="319"/>
      <c r="Y335" s="319"/>
      <c r="Z335" s="319"/>
      <c r="AA335" s="319"/>
      <c r="AB335" s="319"/>
      <c r="AC335" s="319"/>
      <c r="AD335" s="319"/>
      <c r="AE335" s="319"/>
      <c r="AF335" s="319"/>
      <c r="AG335" s="319"/>
      <c r="AH335" s="319"/>
      <c r="AI335" s="319"/>
      <c r="AP335" s="319"/>
      <c r="AQ335" s="319"/>
      <c r="AR335" s="319"/>
      <c r="AS335" s="319"/>
      <c r="AT335" s="319"/>
      <c r="AU335" s="319"/>
      <c r="AV335" s="319"/>
      <c r="AW335" s="319"/>
      <c r="AX335" s="319"/>
      <c r="AY335" s="319"/>
      <c r="AZ335" s="319"/>
      <c r="BA335" s="319"/>
      <c r="BB335" s="319"/>
      <c r="BC335" s="319"/>
      <c r="BD335" s="319"/>
      <c r="BE335" s="319"/>
      <c r="BF335" s="319"/>
      <c r="BG335" s="319"/>
    </row>
    <row r="336" spans="1:60" s="251" customFormat="1" ht="18.75" customHeight="1">
      <c r="B336" s="253"/>
      <c r="C336" s="496"/>
      <c r="D336" s="496"/>
      <c r="E336" s="496"/>
      <c r="F336" s="496"/>
      <c r="G336" s="496"/>
      <c r="H336" s="496"/>
      <c r="I336" s="319"/>
      <c r="J336" s="319"/>
      <c r="K336" s="319"/>
      <c r="L336" s="319"/>
      <c r="M336" s="319"/>
      <c r="N336" s="555"/>
      <c r="O336" s="555"/>
      <c r="P336" s="319"/>
      <c r="Q336" s="319"/>
      <c r="R336" s="319"/>
      <c r="Y336" s="319"/>
      <c r="Z336" s="319"/>
      <c r="AA336" s="319"/>
      <c r="AB336" s="319"/>
      <c r="AC336" s="319"/>
      <c r="AD336" s="319"/>
      <c r="AE336" s="319"/>
      <c r="AF336" s="319"/>
      <c r="AG336" s="319"/>
      <c r="AH336" s="319"/>
      <c r="AI336" s="319"/>
      <c r="AP336" s="319"/>
      <c r="AQ336" s="319"/>
      <c r="AR336" s="319"/>
      <c r="AS336" s="319"/>
      <c r="AT336" s="319"/>
      <c r="AU336" s="319"/>
      <c r="AV336" s="319"/>
      <c r="AW336" s="319"/>
      <c r="AX336" s="319"/>
      <c r="AY336" s="319"/>
      <c r="AZ336" s="319"/>
      <c r="BA336" s="319"/>
      <c r="BB336" s="319"/>
      <c r="BC336" s="319"/>
      <c r="BD336" s="319"/>
      <c r="BE336" s="319"/>
      <c r="BF336" s="319"/>
      <c r="BG336" s="319"/>
      <c r="BH336" s="319"/>
    </row>
    <row r="337" spans="1:59" s="251" customFormat="1" ht="18.75" customHeight="1">
      <c r="B337" s="253"/>
      <c r="C337" s="319" t="s">
        <v>925</v>
      </c>
      <c r="D337" s="319"/>
      <c r="E337" s="319"/>
      <c r="F337" s="319"/>
      <c r="G337" s="319"/>
      <c r="H337" s="319"/>
      <c r="I337" s="319"/>
      <c r="J337" s="319"/>
      <c r="K337" s="327" t="s">
        <v>926</v>
      </c>
      <c r="L337" s="327">
        <f>N335</f>
        <v>1</v>
      </c>
      <c r="M337" s="266" t="s">
        <v>877</v>
      </c>
      <c r="N337" s="542" t="e">
        <f>AI333</f>
        <v>#VALUE!</v>
      </c>
      <c r="O337" s="496"/>
      <c r="P337" s="496"/>
      <c r="Q337" s="319" t="str">
        <f>AL333</f>
        <v>μm</v>
      </c>
      <c r="R337" s="319"/>
      <c r="S337" s="327" t="s">
        <v>723</v>
      </c>
      <c r="T337" s="319" t="s">
        <v>923</v>
      </c>
      <c r="U337" s="542" t="e">
        <f>ABS(L337*N337)</f>
        <v>#VALUE!</v>
      </c>
      <c r="V337" s="496"/>
      <c r="W337" s="496"/>
      <c r="X337" s="319" t="str">
        <f>AQ322</f>
        <v>μm</v>
      </c>
      <c r="Y337" s="319"/>
      <c r="AB337" s="319"/>
      <c r="AC337" s="318"/>
      <c r="AD337" s="318"/>
      <c r="AE337" s="318"/>
      <c r="AF337" s="258"/>
      <c r="AG337" s="261"/>
      <c r="AH337" s="261"/>
      <c r="AI337" s="261"/>
      <c r="AJ337" s="261"/>
      <c r="AK337" s="262"/>
      <c r="AL337" s="258"/>
      <c r="AM337" s="258"/>
      <c r="AN337" s="319"/>
      <c r="AO337" s="319"/>
      <c r="AP337" s="319"/>
      <c r="AQ337" s="319"/>
      <c r="AR337" s="319"/>
      <c r="AS337" s="319"/>
      <c r="AT337" s="319"/>
      <c r="AU337" s="319"/>
      <c r="AV337" s="319"/>
      <c r="AW337" s="319"/>
      <c r="AX337" s="319"/>
      <c r="AY337" s="319"/>
      <c r="AZ337" s="319"/>
      <c r="BA337" s="319"/>
      <c r="BB337" s="319"/>
      <c r="BC337" s="319"/>
      <c r="BD337" s="319"/>
      <c r="BE337" s="319"/>
      <c r="BF337" s="319"/>
      <c r="BG337" s="319"/>
    </row>
    <row r="338" spans="1:59" s="251" customFormat="1" ht="18.75" customHeight="1">
      <c r="B338" s="253"/>
      <c r="C338" s="496" t="s">
        <v>520</v>
      </c>
      <c r="D338" s="496"/>
      <c r="E338" s="496"/>
      <c r="F338" s="496"/>
      <c r="G338" s="496"/>
      <c r="H338" s="319"/>
      <c r="I338" s="295"/>
      <c r="J338" s="269"/>
      <c r="K338" s="269"/>
      <c r="L338" s="254"/>
      <c r="M338" s="254"/>
      <c r="N338" s="254"/>
      <c r="O338" s="254"/>
      <c r="P338" s="254"/>
      <c r="Q338" s="254"/>
      <c r="R338" s="254"/>
      <c r="S338" s="521" t="e">
        <f>AI333</f>
        <v>#VALUE!</v>
      </c>
      <c r="T338" s="521"/>
      <c r="U338" s="521"/>
      <c r="V338" s="521"/>
      <c r="W338" s="521"/>
      <c r="X338" s="521"/>
      <c r="Y338" s="521"/>
      <c r="Z338" s="521"/>
      <c r="AA338" s="521"/>
      <c r="AB338" s="521"/>
      <c r="AC338" s="521"/>
      <c r="AD338" s="521"/>
      <c r="AE338" s="521"/>
      <c r="AF338" s="521"/>
      <c r="AG338" s="521"/>
      <c r="AH338" s="521"/>
      <c r="AI338" s="521"/>
      <c r="AJ338" s="521"/>
      <c r="AK338" s="521"/>
      <c r="AL338" s="521"/>
      <c r="AM338" s="521"/>
      <c r="AN338" s="521"/>
      <c r="AO338" s="521"/>
      <c r="AP338" s="476" t="s">
        <v>509</v>
      </c>
      <c r="AQ338" s="509" t="e">
        <f>AU322</f>
        <v>#VALUE!</v>
      </c>
      <c r="AR338" s="509"/>
      <c r="AS338" s="509"/>
      <c r="AT338" s="509"/>
      <c r="AU338" s="509"/>
    </row>
    <row r="339" spans="1:59" s="251" customFormat="1" ht="18.75" customHeight="1">
      <c r="A339" s="253"/>
      <c r="B339" s="293"/>
      <c r="C339" s="496"/>
      <c r="D339" s="496"/>
      <c r="E339" s="496"/>
      <c r="F339" s="496"/>
      <c r="G339" s="496"/>
      <c r="H339" s="319"/>
      <c r="I339" s="319"/>
      <c r="J339" s="319"/>
      <c r="K339" s="319"/>
      <c r="L339" s="254"/>
      <c r="M339" s="254"/>
      <c r="N339" s="254"/>
      <c r="O339" s="254"/>
      <c r="P339" s="254"/>
      <c r="Q339" s="254"/>
      <c r="R339" s="254"/>
      <c r="S339" s="330"/>
      <c r="T339" s="527" t="e">
        <f>O333</f>
        <v>#VALUE!</v>
      </c>
      <c r="U339" s="527"/>
      <c r="V339" s="527"/>
      <c r="W339" s="329"/>
      <c r="X339" s="473" t="s">
        <v>927</v>
      </c>
      <c r="Y339" s="330"/>
      <c r="Z339" s="444" t="e">
        <f>T333</f>
        <v>#DIV/0!</v>
      </c>
      <c r="AA339" s="444"/>
      <c r="AB339" s="444"/>
      <c r="AC339" s="329"/>
      <c r="AD339" s="473" t="s">
        <v>928</v>
      </c>
      <c r="AE339" s="330"/>
      <c r="AF339" s="527">
        <f>Y333</f>
        <v>0</v>
      </c>
      <c r="AG339" s="527"/>
      <c r="AH339" s="527"/>
      <c r="AI339" s="329"/>
      <c r="AJ339" s="473" t="s">
        <v>508</v>
      </c>
      <c r="AK339" s="330"/>
      <c r="AL339" s="527">
        <f>AD333</f>
        <v>0</v>
      </c>
      <c r="AM339" s="527"/>
      <c r="AN339" s="527"/>
      <c r="AO339" s="329"/>
      <c r="AP339" s="476"/>
      <c r="AQ339" s="509"/>
      <c r="AR339" s="509"/>
      <c r="AS339" s="509"/>
      <c r="AT339" s="509"/>
      <c r="AU339" s="509"/>
    </row>
    <row r="340" spans="1:59" s="251" customFormat="1" ht="18.75" customHeight="1">
      <c r="A340" s="253"/>
      <c r="B340" s="293"/>
      <c r="C340" s="319"/>
      <c r="D340" s="319"/>
      <c r="E340" s="319"/>
      <c r="F340" s="319"/>
      <c r="G340" s="319"/>
      <c r="H340" s="319"/>
      <c r="I340" s="319"/>
      <c r="J340" s="319"/>
      <c r="K340" s="319"/>
      <c r="L340" s="254"/>
      <c r="M340" s="254"/>
      <c r="N340" s="254"/>
      <c r="O340" s="254"/>
      <c r="P340" s="254"/>
      <c r="Q340" s="254"/>
      <c r="R340" s="254"/>
      <c r="S340" s="473">
        <f>AU323</f>
        <v>4</v>
      </c>
      <c r="T340" s="473"/>
      <c r="U340" s="473"/>
      <c r="V340" s="473"/>
      <c r="W340" s="473"/>
      <c r="X340" s="476"/>
      <c r="Y340" s="473" t="str">
        <f>AU324</f>
        <v>∞</v>
      </c>
      <c r="Z340" s="473"/>
      <c r="AA340" s="473"/>
      <c r="AB340" s="473"/>
      <c r="AC340" s="473"/>
      <c r="AD340" s="476"/>
      <c r="AE340" s="473" t="str">
        <f>AU325</f>
        <v>∞</v>
      </c>
      <c r="AF340" s="473"/>
      <c r="AG340" s="473"/>
      <c r="AH340" s="473"/>
      <c r="AI340" s="473"/>
      <c r="AJ340" s="476"/>
      <c r="AK340" s="473" t="str">
        <f>AU326</f>
        <v>∞</v>
      </c>
      <c r="AL340" s="473"/>
      <c r="AM340" s="473"/>
      <c r="AN340" s="473"/>
      <c r="AO340" s="473"/>
      <c r="AP340" s="320"/>
      <c r="AQ340" s="320"/>
      <c r="AR340" s="320"/>
      <c r="AS340" s="320"/>
      <c r="AT340" s="320"/>
      <c r="AU340" s="320"/>
      <c r="AV340" s="54"/>
      <c r="AW340" s="54"/>
      <c r="AX340" s="54"/>
      <c r="AY340" s="54"/>
      <c r="AZ340" s="54"/>
      <c r="BA340" s="54"/>
      <c r="BB340" s="319"/>
    </row>
    <row r="341" spans="1:59" s="251" customFormat="1" ht="18.75" customHeight="1">
      <c r="A341" s="253"/>
      <c r="B341" s="293"/>
      <c r="C341" s="319"/>
      <c r="D341" s="319"/>
      <c r="E341" s="319"/>
      <c r="F341" s="319"/>
      <c r="G341" s="319"/>
      <c r="H341" s="319"/>
      <c r="I341" s="319"/>
      <c r="J341" s="319"/>
      <c r="K341" s="319"/>
      <c r="L341" s="319"/>
      <c r="M341" s="319"/>
      <c r="N341" s="319"/>
      <c r="O341" s="319"/>
      <c r="P341" s="319"/>
      <c r="AD341" s="319"/>
      <c r="AE341" s="294"/>
      <c r="AF341" s="319"/>
      <c r="AG341" s="319"/>
      <c r="AH341" s="319"/>
      <c r="AI341" s="319"/>
      <c r="AJ341" s="319"/>
      <c r="AK341" s="319"/>
      <c r="AL341" s="319"/>
      <c r="AM341" s="319"/>
      <c r="AN341" s="319"/>
      <c r="AO341" s="319"/>
      <c r="AP341" s="319"/>
      <c r="AQ341" s="319"/>
      <c r="AR341" s="319"/>
      <c r="AS341" s="319"/>
      <c r="AT341" s="319"/>
      <c r="AU341" s="319"/>
      <c r="AV341" s="319"/>
      <c r="AW341" s="319"/>
      <c r="AX341" s="319"/>
      <c r="AY341" s="319"/>
      <c r="AZ341" s="319"/>
      <c r="BA341" s="319"/>
      <c r="BB341" s="319"/>
      <c r="BC341" s="319"/>
      <c r="BD341" s="319"/>
      <c r="BE341" s="319"/>
      <c r="BF341" s="319"/>
    </row>
    <row r="342" spans="1:59" s="251" customFormat="1" ht="18.75" customHeight="1">
      <c r="A342" s="253"/>
      <c r="B342" s="293" t="s">
        <v>929</v>
      </c>
      <c r="C342" s="319"/>
      <c r="D342" s="319"/>
      <c r="E342" s="319"/>
      <c r="F342" s="319"/>
      <c r="G342" s="319"/>
      <c r="H342" s="319"/>
      <c r="I342" s="319"/>
      <c r="J342" s="319"/>
      <c r="K342" s="319"/>
      <c r="L342" s="319"/>
      <c r="M342" s="319"/>
      <c r="N342" s="319"/>
      <c r="O342" s="319"/>
      <c r="P342" s="294" t="s">
        <v>930</v>
      </c>
      <c r="Q342" s="319"/>
      <c r="R342" s="319"/>
      <c r="S342" s="319"/>
      <c r="T342" s="319"/>
      <c r="U342" s="319"/>
      <c r="V342" s="319"/>
      <c r="W342" s="319"/>
      <c r="X342" s="319"/>
      <c r="Y342" s="319"/>
      <c r="Z342" s="319"/>
      <c r="AA342" s="319"/>
      <c r="AB342" s="319"/>
      <c r="AC342" s="319"/>
      <c r="AD342" s="319"/>
      <c r="AE342" s="294"/>
      <c r="AF342" s="319"/>
      <c r="AG342" s="319"/>
      <c r="AH342" s="319"/>
      <c r="AI342" s="319"/>
      <c r="AJ342" s="319"/>
      <c r="AK342" s="319"/>
      <c r="AL342" s="319"/>
      <c r="AM342" s="319"/>
      <c r="AN342" s="319"/>
      <c r="AO342" s="319"/>
      <c r="AP342" s="319"/>
      <c r="AQ342" s="319"/>
      <c r="AR342" s="319"/>
      <c r="AS342" s="319"/>
      <c r="AT342" s="319"/>
      <c r="AU342" s="319"/>
      <c r="AV342" s="319"/>
      <c r="AW342" s="319"/>
      <c r="AX342" s="319"/>
      <c r="AY342" s="319"/>
      <c r="AZ342" s="319"/>
      <c r="BA342" s="319"/>
      <c r="BB342" s="319"/>
      <c r="BC342" s="319"/>
      <c r="BD342" s="319"/>
      <c r="BE342" s="319"/>
      <c r="BF342" s="319"/>
    </row>
    <row r="343" spans="1:59" ht="18.75" customHeight="1">
      <c r="A343" s="254"/>
      <c r="B343" s="257"/>
      <c r="C343" s="254" t="s">
        <v>931</v>
      </c>
      <c r="D343" s="271"/>
      <c r="F343" s="254"/>
      <c r="G343" s="254"/>
      <c r="H343" s="254"/>
      <c r="I343" s="254"/>
      <c r="J343" s="254"/>
      <c r="K343" s="254"/>
      <c r="L343" s="254"/>
      <c r="M343" s="254"/>
      <c r="N343" s="254"/>
      <c r="O343" s="254"/>
      <c r="P343" s="254"/>
      <c r="Q343" s="254"/>
      <c r="R343" s="254"/>
      <c r="S343" s="254"/>
      <c r="T343" s="254"/>
      <c r="U343" s="254"/>
      <c r="V343" s="254"/>
      <c r="W343" s="254"/>
      <c r="X343" s="254"/>
      <c r="Y343" s="254"/>
      <c r="Z343" s="254"/>
      <c r="AA343" s="254"/>
      <c r="AB343" s="254"/>
      <c r="AC343" s="254"/>
      <c r="AD343" s="254"/>
      <c r="AE343" s="254"/>
      <c r="AF343" s="254"/>
      <c r="AG343" s="254"/>
      <c r="AH343" s="254"/>
      <c r="AI343" s="254"/>
      <c r="AJ343" s="254"/>
      <c r="AK343" s="254"/>
      <c r="AL343" s="254"/>
      <c r="AM343" s="254"/>
      <c r="AN343" s="254"/>
      <c r="AO343" s="254"/>
      <c r="AP343" s="254"/>
      <c r="AQ343" s="254"/>
      <c r="AR343" s="254"/>
      <c r="AS343" s="254"/>
      <c r="AT343" s="254"/>
    </row>
    <row r="344" spans="1:59" ht="18.75" customHeight="1">
      <c r="A344" s="254"/>
      <c r="B344" s="257"/>
      <c r="D344" s="254" t="s">
        <v>713</v>
      </c>
      <c r="F344" s="254"/>
      <c r="G344" s="254"/>
      <c r="H344" s="254"/>
      <c r="I344" s="254"/>
      <c r="J344" s="254"/>
      <c r="K344" s="254"/>
      <c r="L344" s="254"/>
      <c r="M344" s="254"/>
      <c r="N344" s="254"/>
      <c r="O344" s="254"/>
      <c r="P344" s="254"/>
      <c r="Q344" s="254"/>
      <c r="R344" s="254"/>
      <c r="S344" s="254"/>
      <c r="T344" s="254"/>
      <c r="U344" s="254"/>
      <c r="V344" s="254"/>
      <c r="W344" s="254"/>
      <c r="X344" s="254"/>
      <c r="Y344" s="254"/>
      <c r="Z344" s="254"/>
      <c r="AA344" s="254"/>
      <c r="AB344" s="254"/>
      <c r="AC344" s="254"/>
      <c r="AD344" s="254"/>
      <c r="AE344" s="254"/>
      <c r="AF344" s="254"/>
      <c r="AG344" s="254"/>
      <c r="AH344" s="254"/>
      <c r="AI344" s="254"/>
      <c r="AJ344" s="254"/>
      <c r="AK344" s="254"/>
      <c r="AL344" s="254"/>
      <c r="AM344" s="254"/>
      <c r="AN344" s="254"/>
      <c r="AO344" s="254"/>
      <c r="AP344" s="254"/>
      <c r="AQ344" s="254"/>
      <c r="AR344" s="254"/>
      <c r="AS344" s="254"/>
      <c r="AT344" s="254"/>
    </row>
    <row r="345" spans="1:59" ht="18.75" customHeight="1">
      <c r="B345" s="254"/>
      <c r="C345" s="254" t="s">
        <v>932</v>
      </c>
      <c r="D345" s="254"/>
      <c r="E345" s="254"/>
      <c r="F345" s="254"/>
      <c r="G345" s="254"/>
      <c r="H345" s="496" t="s">
        <v>933</v>
      </c>
      <c r="I345" s="496"/>
      <c r="J345" s="496"/>
      <c r="K345" s="496"/>
      <c r="L345" s="319"/>
      <c r="M345" s="319"/>
      <c r="N345" s="319"/>
      <c r="O345" s="319"/>
      <c r="P345" s="258"/>
      <c r="Q345" s="258"/>
      <c r="R345" s="258"/>
      <c r="S345" s="258"/>
      <c r="T345" s="258"/>
      <c r="U345" s="319"/>
      <c r="V345" s="319"/>
      <c r="W345" s="254"/>
      <c r="X345" s="254"/>
      <c r="Y345" s="254"/>
      <c r="Z345" s="254"/>
      <c r="AA345" s="254"/>
      <c r="AB345" s="254"/>
      <c r="AC345" s="254"/>
      <c r="AD345" s="254"/>
      <c r="AE345" s="254"/>
      <c r="AF345" s="254"/>
      <c r="AG345" s="254"/>
      <c r="AH345" s="254"/>
      <c r="AI345" s="254"/>
      <c r="AJ345" s="254"/>
      <c r="AK345" s="254"/>
      <c r="AL345" s="254"/>
      <c r="AM345" s="254"/>
      <c r="AN345" s="254"/>
      <c r="AO345" s="254"/>
      <c r="AP345" s="254"/>
      <c r="AQ345" s="254"/>
      <c r="AR345" s="254"/>
      <c r="AS345" s="254"/>
      <c r="AT345" s="254"/>
      <c r="AU345" s="254"/>
    </row>
    <row r="346" spans="1:59" ht="18.75" customHeight="1">
      <c r="B346" s="254"/>
      <c r="C346" s="254" t="s">
        <v>840</v>
      </c>
      <c r="D346" s="254"/>
      <c r="E346" s="254"/>
      <c r="F346" s="254"/>
      <c r="G346" s="254"/>
      <c r="H346" s="254"/>
      <c r="I346" s="254"/>
      <c r="J346" s="272" t="s">
        <v>934</v>
      </c>
      <c r="K346" s="254"/>
      <c r="L346" s="254"/>
      <c r="M346" s="254"/>
      <c r="N346" s="254"/>
      <c r="O346" s="254"/>
      <c r="P346" s="542" t="e">
        <f>Calcu!G131</f>
        <v>#VALUE!</v>
      </c>
      <c r="Q346" s="542"/>
      <c r="R346" s="542"/>
      <c r="S346" s="319" t="s">
        <v>935</v>
      </c>
      <c r="T346" s="319"/>
      <c r="U346" s="319"/>
      <c r="V346" s="327"/>
      <c r="W346" s="286"/>
      <c r="X346" s="286"/>
      <c r="Y346" s="286"/>
      <c r="Z346" s="286"/>
      <c r="AA346" s="254"/>
      <c r="AB346" s="254"/>
      <c r="AC346" s="254"/>
      <c r="AD346" s="254"/>
      <c r="AE346" s="254"/>
      <c r="AF346" s="254"/>
      <c r="AG346" s="254"/>
      <c r="AH346" s="254"/>
      <c r="AI346" s="254"/>
      <c r="AJ346" s="254"/>
      <c r="AK346" s="254"/>
      <c r="AL346" s="254"/>
      <c r="AM346" s="254"/>
      <c r="AN346" s="254"/>
      <c r="AO346" s="254"/>
      <c r="AP346" s="254"/>
      <c r="AQ346" s="254"/>
      <c r="AR346" s="254"/>
      <c r="AS346" s="254"/>
      <c r="AT346" s="254"/>
    </row>
    <row r="347" spans="1:59" ht="18.75" customHeight="1">
      <c r="B347" s="254"/>
      <c r="C347" s="254"/>
      <c r="D347" s="254"/>
      <c r="E347" s="254"/>
      <c r="F347" s="254"/>
      <c r="G347" s="254"/>
      <c r="H347" s="254"/>
      <c r="I347" s="254"/>
      <c r="J347" s="547" t="s">
        <v>936</v>
      </c>
      <c r="K347" s="547"/>
      <c r="L347" s="547"/>
      <c r="M347" s="547"/>
      <c r="N347" s="461" t="s">
        <v>745</v>
      </c>
      <c r="O347" s="485" t="s">
        <v>937</v>
      </c>
      <c r="P347" s="485"/>
      <c r="Q347" s="461" t="s">
        <v>923</v>
      </c>
      <c r="R347" s="548" t="e">
        <f>P346</f>
        <v>#VALUE!</v>
      </c>
      <c r="S347" s="548"/>
      <c r="T347" s="548"/>
      <c r="U347" s="286" t="str">
        <f>S346</f>
        <v>μm</v>
      </c>
      <c r="V347" s="286"/>
      <c r="W347" s="461" t="s">
        <v>509</v>
      </c>
      <c r="X347" s="546" t="e">
        <f>R347/SQRT(5)</f>
        <v>#VALUE!</v>
      </c>
      <c r="Y347" s="546"/>
      <c r="Z347" s="546"/>
      <c r="AA347" s="496" t="s">
        <v>842</v>
      </c>
      <c r="AB347" s="496"/>
      <c r="AC347" s="273"/>
      <c r="AD347" s="273"/>
      <c r="AE347" s="273"/>
      <c r="AF347" s="254"/>
      <c r="AG347" s="254"/>
      <c r="AI347" s="317"/>
      <c r="AJ347" s="317"/>
      <c r="AK347" s="317"/>
      <c r="AL347" s="273"/>
      <c r="AM347" s="273"/>
      <c r="AN347" s="254"/>
      <c r="AO347" s="254"/>
      <c r="AP347" s="254"/>
      <c r="AQ347" s="254"/>
      <c r="AR347" s="254"/>
      <c r="AS347" s="254"/>
      <c r="AT347" s="254"/>
      <c r="AU347" s="254"/>
      <c r="AV347" s="254"/>
      <c r="AW347" s="254"/>
    </row>
    <row r="348" spans="1:59" ht="18.75" customHeight="1">
      <c r="B348" s="254"/>
      <c r="C348" s="254"/>
      <c r="D348" s="254"/>
      <c r="E348" s="254"/>
      <c r="F348" s="254"/>
      <c r="G348" s="254"/>
      <c r="H348" s="254"/>
      <c r="I348" s="254"/>
      <c r="J348" s="547"/>
      <c r="K348" s="547"/>
      <c r="L348" s="547"/>
      <c r="M348" s="547"/>
      <c r="N348" s="461"/>
      <c r="O348" s="508"/>
      <c r="P348" s="508"/>
      <c r="Q348" s="461"/>
      <c r="R348" s="274"/>
      <c r="S348" s="274"/>
      <c r="T348" s="274"/>
      <c r="U348" s="274"/>
      <c r="V348" s="274"/>
      <c r="W348" s="461"/>
      <c r="X348" s="546"/>
      <c r="Y348" s="546"/>
      <c r="Z348" s="546"/>
      <c r="AA348" s="496"/>
      <c r="AB348" s="496"/>
      <c r="AC348" s="273"/>
      <c r="AD348" s="273"/>
      <c r="AE348" s="273"/>
      <c r="AF348" s="254"/>
      <c r="AG348" s="254"/>
      <c r="AI348" s="317"/>
      <c r="AJ348" s="317"/>
      <c r="AK348" s="317"/>
      <c r="AL348" s="273"/>
      <c r="AM348" s="273"/>
      <c r="AN348" s="254"/>
      <c r="AO348" s="254"/>
      <c r="AP348" s="254"/>
      <c r="AQ348" s="254"/>
      <c r="AR348" s="254"/>
      <c r="AS348" s="254"/>
      <c r="AT348" s="254"/>
      <c r="AU348" s="254"/>
      <c r="AV348" s="254"/>
      <c r="AW348" s="254"/>
    </row>
    <row r="349" spans="1:59" ht="18.75" customHeight="1">
      <c r="B349" s="254"/>
      <c r="C349" s="254" t="s">
        <v>720</v>
      </c>
      <c r="D349" s="254"/>
      <c r="E349" s="254"/>
      <c r="F349" s="254"/>
      <c r="G349" s="254"/>
      <c r="H349" s="254"/>
      <c r="I349" s="509" t="str">
        <f>AB323</f>
        <v>t</v>
      </c>
      <c r="J349" s="509"/>
      <c r="K349" s="509"/>
      <c r="L349" s="509"/>
      <c r="M349" s="509"/>
      <c r="N349" s="509"/>
      <c r="O349" s="509"/>
      <c r="P349" s="509"/>
      <c r="Q349" s="254"/>
      <c r="R349" s="254"/>
      <c r="S349" s="254"/>
      <c r="T349" s="254"/>
      <c r="U349" s="254"/>
      <c r="V349" s="254"/>
      <c r="W349" s="254"/>
      <c r="X349" s="254"/>
      <c r="Y349" s="254"/>
      <c r="Z349" s="254"/>
      <c r="AA349" s="254"/>
      <c r="AB349" s="254"/>
      <c r="AC349" s="254"/>
      <c r="AD349" s="254"/>
      <c r="AE349" s="254"/>
      <c r="AF349" s="254"/>
      <c r="AG349" s="254"/>
      <c r="AH349" s="254"/>
      <c r="AI349" s="254"/>
      <c r="AJ349" s="254"/>
      <c r="AK349" s="254"/>
      <c r="AL349" s="254"/>
      <c r="AM349" s="254"/>
      <c r="AN349" s="254"/>
      <c r="AO349" s="254"/>
      <c r="AP349" s="254"/>
      <c r="AQ349" s="254"/>
      <c r="AR349" s="254"/>
      <c r="AS349" s="254"/>
      <c r="AT349" s="254"/>
      <c r="AU349" s="254"/>
    </row>
    <row r="350" spans="1:59" ht="18.75" customHeight="1">
      <c r="B350" s="254"/>
      <c r="C350" s="510" t="s">
        <v>938</v>
      </c>
      <c r="D350" s="510"/>
      <c r="E350" s="510"/>
      <c r="F350" s="510"/>
      <c r="G350" s="510"/>
      <c r="H350" s="510"/>
      <c r="I350" s="320"/>
      <c r="J350" s="320"/>
      <c r="K350" s="254"/>
      <c r="L350" s="254"/>
      <c r="M350" s="320"/>
      <c r="N350" s="320"/>
      <c r="O350" s="476">
        <f>AG323</f>
        <v>1</v>
      </c>
      <c r="P350" s="476"/>
      <c r="Q350" s="254"/>
      <c r="R350" s="254"/>
      <c r="S350" s="254"/>
      <c r="T350" s="254"/>
      <c r="U350" s="254"/>
      <c r="V350" s="254"/>
      <c r="W350" s="254"/>
      <c r="X350" s="254"/>
      <c r="Y350" s="254"/>
      <c r="Z350" s="254"/>
      <c r="AA350" s="254"/>
      <c r="AB350" s="254"/>
      <c r="AC350" s="254"/>
      <c r="AD350" s="254"/>
      <c r="AE350" s="254"/>
      <c r="AF350" s="254"/>
      <c r="AG350" s="254"/>
      <c r="AH350" s="254"/>
      <c r="AI350" s="254"/>
      <c r="AJ350" s="254"/>
      <c r="AK350" s="254"/>
      <c r="AL350" s="254"/>
      <c r="AM350" s="254"/>
      <c r="AN350" s="254"/>
      <c r="AO350" s="254"/>
      <c r="AP350" s="254"/>
      <c r="AQ350" s="254"/>
      <c r="AR350" s="254"/>
      <c r="AS350" s="254"/>
      <c r="AT350" s="254"/>
      <c r="AU350" s="254"/>
    </row>
    <row r="351" spans="1:59" ht="18.75" customHeight="1">
      <c r="B351" s="254"/>
      <c r="C351" s="510"/>
      <c r="D351" s="510"/>
      <c r="E351" s="510"/>
      <c r="F351" s="510"/>
      <c r="G351" s="510"/>
      <c r="H351" s="510"/>
      <c r="I351" s="321"/>
      <c r="J351" s="321"/>
      <c r="K351" s="254"/>
      <c r="L351" s="254"/>
      <c r="M351" s="320"/>
      <c r="N351" s="320"/>
      <c r="O351" s="476"/>
      <c r="P351" s="476"/>
      <c r="Q351" s="254"/>
      <c r="R351" s="254"/>
      <c r="S351" s="254"/>
      <c r="T351" s="254"/>
      <c r="U351" s="254"/>
      <c r="V351" s="254"/>
      <c r="W351" s="254"/>
      <c r="X351" s="254"/>
      <c r="Y351" s="254"/>
      <c r="Z351" s="254"/>
      <c r="AA351" s="254"/>
      <c r="AB351" s="254"/>
      <c r="AC351" s="254"/>
      <c r="AD351" s="254"/>
      <c r="AE351" s="254"/>
      <c r="AF351" s="254"/>
      <c r="AG351" s="254"/>
      <c r="AH351" s="254"/>
      <c r="AI351" s="254"/>
      <c r="AJ351" s="254"/>
      <c r="AK351" s="254"/>
      <c r="AL351" s="254"/>
      <c r="AM351" s="254"/>
      <c r="AN351" s="254"/>
      <c r="AO351" s="254"/>
      <c r="AP351" s="254"/>
      <c r="AQ351" s="254"/>
      <c r="AR351" s="254"/>
      <c r="AS351" s="254"/>
      <c r="AT351" s="254"/>
      <c r="AU351" s="254"/>
    </row>
    <row r="352" spans="1:59" ht="18.75" customHeight="1">
      <c r="B352" s="254"/>
      <c r="C352" s="254" t="s">
        <v>939</v>
      </c>
      <c r="D352" s="254"/>
      <c r="E352" s="254"/>
      <c r="F352" s="254"/>
      <c r="G352" s="254"/>
      <c r="H352" s="254"/>
      <c r="I352" s="254"/>
      <c r="J352" s="254"/>
      <c r="K352" s="323" t="s">
        <v>506</v>
      </c>
      <c r="L352" s="511">
        <f>O350</f>
        <v>1</v>
      </c>
      <c r="M352" s="511"/>
      <c r="N352" s="320" t="s">
        <v>940</v>
      </c>
      <c r="O352" s="542" t="e">
        <f>X347</f>
        <v>#VALUE!</v>
      </c>
      <c r="P352" s="496"/>
      <c r="Q352" s="496"/>
      <c r="R352" s="319" t="str">
        <f>AA347</f>
        <v>μm</v>
      </c>
      <c r="S352" s="319"/>
      <c r="T352" s="327" t="s">
        <v>723</v>
      </c>
      <c r="U352" s="319" t="s">
        <v>716</v>
      </c>
      <c r="V352" s="542" t="e">
        <f>ABS(L352*O352)</f>
        <v>#VALUE!</v>
      </c>
      <c r="W352" s="496"/>
      <c r="X352" s="496"/>
      <c r="Y352" s="319" t="str">
        <f>R352</f>
        <v>μm</v>
      </c>
      <c r="Z352" s="319"/>
      <c r="AA352" s="251"/>
      <c r="AB352" s="251"/>
      <c r="AC352" s="319"/>
      <c r="AD352" s="254"/>
      <c r="AE352" s="254"/>
      <c r="AF352" s="254"/>
      <c r="AP352" s="254"/>
      <c r="AQ352" s="254"/>
      <c r="AR352" s="254"/>
      <c r="AS352" s="254"/>
      <c r="AT352" s="254"/>
      <c r="AU352" s="254"/>
      <c r="AV352" s="254"/>
    </row>
    <row r="353" spans="1:59" ht="18.75" customHeight="1">
      <c r="B353" s="254"/>
      <c r="C353" s="254" t="s">
        <v>724</v>
      </c>
      <c r="D353" s="254"/>
      <c r="E353" s="254"/>
      <c r="F353" s="254"/>
      <c r="G353" s="254"/>
      <c r="H353" s="254"/>
      <c r="I353" s="296" t="s">
        <v>941</v>
      </c>
      <c r="J353" s="269"/>
      <c r="L353" s="277"/>
      <c r="M353" s="277"/>
      <c r="N353" s="277"/>
      <c r="O353" s="277"/>
      <c r="P353" s="277"/>
      <c r="Q353" s="277"/>
      <c r="R353" s="277"/>
      <c r="S353" s="277"/>
      <c r="T353" s="277"/>
      <c r="U353" s="277"/>
      <c r="V353" s="277"/>
      <c r="W353" s="277"/>
      <c r="X353" s="277"/>
      <c r="Y353" s="277"/>
      <c r="Z353" s="277"/>
      <c r="AA353" s="254"/>
      <c r="AB353" s="254"/>
      <c r="AC353" s="254"/>
      <c r="AD353" s="254"/>
      <c r="AE353" s="254"/>
      <c r="AF353" s="254"/>
    </row>
    <row r="354" spans="1:59" ht="18.75" customHeight="1">
      <c r="B354" s="254"/>
      <c r="C354" s="254"/>
      <c r="D354" s="254"/>
      <c r="E354" s="254"/>
      <c r="F354" s="254"/>
      <c r="G354" s="254"/>
      <c r="H354" s="254"/>
      <c r="I354" s="269"/>
      <c r="J354" s="278"/>
      <c r="K354" s="269"/>
      <c r="L354" s="277"/>
      <c r="M354" s="277"/>
      <c r="N354" s="277"/>
      <c r="O354" s="277"/>
      <c r="P354" s="277"/>
      <c r="Q354" s="277"/>
      <c r="R354" s="277"/>
      <c r="S354" s="277"/>
      <c r="T354" s="277"/>
      <c r="U354" s="277"/>
      <c r="V354" s="277"/>
      <c r="W354" s="277"/>
      <c r="X354" s="277"/>
      <c r="Y354" s="277"/>
      <c r="Z354" s="277"/>
      <c r="AA354" s="254"/>
      <c r="AB354" s="254"/>
      <c r="AC354" s="254"/>
      <c r="AD354" s="254"/>
      <c r="AE354" s="254"/>
      <c r="AF354" s="254"/>
    </row>
    <row r="355" spans="1:59" s="251" customFormat="1" ht="18.75" customHeight="1">
      <c r="A355" s="253"/>
      <c r="B355" s="293" t="s">
        <v>942</v>
      </c>
      <c r="C355" s="319"/>
      <c r="D355" s="319"/>
      <c r="E355" s="319"/>
      <c r="F355" s="319"/>
      <c r="G355" s="319"/>
      <c r="H355" s="319"/>
      <c r="I355" s="319"/>
      <c r="J355" s="319"/>
      <c r="K355" s="319"/>
      <c r="L355" s="319"/>
      <c r="M355" s="319"/>
      <c r="N355" s="319"/>
      <c r="O355" s="319"/>
      <c r="R355" s="294" t="s">
        <v>943</v>
      </c>
      <c r="S355" s="319"/>
      <c r="T355" s="319"/>
      <c r="U355" s="319"/>
      <c r="V355" s="319"/>
      <c r="W355" s="319"/>
      <c r="X355" s="319"/>
      <c r="Y355" s="319"/>
      <c r="Z355" s="319"/>
      <c r="AA355" s="319"/>
      <c r="AB355" s="319"/>
      <c r="AC355" s="319"/>
      <c r="AD355" s="319"/>
      <c r="AE355" s="294"/>
      <c r="AF355" s="319"/>
      <c r="AG355" s="319"/>
      <c r="AH355" s="319"/>
      <c r="AI355" s="319"/>
      <c r="AJ355" s="319"/>
      <c r="AK355" s="319"/>
      <c r="AL355" s="319"/>
      <c r="AM355" s="319"/>
      <c r="AN355" s="319"/>
      <c r="AO355" s="319"/>
      <c r="AP355" s="319"/>
      <c r="AQ355" s="319"/>
      <c r="AR355" s="319"/>
      <c r="AS355" s="319"/>
      <c r="AT355" s="319"/>
      <c r="AU355" s="319"/>
      <c r="AV355" s="319"/>
      <c r="AW355" s="319"/>
      <c r="AX355" s="319"/>
      <c r="AY355" s="319"/>
      <c r="AZ355" s="319"/>
      <c r="BA355" s="319"/>
      <c r="BB355" s="319"/>
      <c r="BC355" s="319"/>
      <c r="BD355" s="319"/>
      <c r="BE355" s="319"/>
      <c r="BF355" s="319"/>
    </row>
    <row r="356" spans="1:59" s="251" customFormat="1" ht="18.75" customHeight="1">
      <c r="B356" s="253"/>
      <c r="C356" s="254" t="s">
        <v>727</v>
      </c>
      <c r="D356" s="254"/>
      <c r="E356" s="254"/>
      <c r="F356" s="254"/>
      <c r="G356" s="254"/>
      <c r="H356" s="496" t="s">
        <v>944</v>
      </c>
      <c r="I356" s="496"/>
      <c r="J356" s="496"/>
      <c r="K356" s="496"/>
      <c r="L356" s="319"/>
      <c r="M356" s="319"/>
      <c r="N356" s="319"/>
      <c r="O356" s="319"/>
      <c r="P356" s="258"/>
      <c r="Q356" s="258"/>
      <c r="R356" s="258"/>
      <c r="S356" s="258"/>
      <c r="T356" s="258"/>
      <c r="U356" s="319"/>
      <c r="V356" s="319"/>
      <c r="W356" s="319"/>
      <c r="X356" s="258"/>
      <c r="Y356" s="258"/>
      <c r="Z356" s="319"/>
      <c r="AA356" s="319"/>
      <c r="AB356" s="319"/>
      <c r="AC356" s="319"/>
      <c r="AD356" s="319"/>
      <c r="AE356" s="319"/>
      <c r="AF356" s="319"/>
      <c r="AG356" s="319"/>
      <c r="AH356" s="319"/>
      <c r="AI356" s="319"/>
      <c r="AJ356" s="319"/>
      <c r="AK356" s="319"/>
      <c r="AL356" s="319"/>
      <c r="AM356" s="319"/>
      <c r="AN356" s="319"/>
      <c r="AO356" s="319"/>
      <c r="AP356" s="319"/>
      <c r="AQ356" s="319"/>
      <c r="AR356" s="319"/>
      <c r="AS356" s="258"/>
      <c r="AT356" s="319"/>
      <c r="AU356" s="319"/>
      <c r="AV356" s="319"/>
      <c r="AW356" s="319"/>
      <c r="AX356" s="319"/>
      <c r="AY356" s="319"/>
      <c r="AZ356" s="319"/>
      <c r="BA356" s="319"/>
      <c r="BB356" s="319"/>
      <c r="BC356" s="319"/>
      <c r="BD356" s="319"/>
      <c r="BE356" s="319"/>
      <c r="BF356" s="319"/>
    </row>
    <row r="357" spans="1:59" s="251" customFormat="1" ht="18.75" customHeight="1">
      <c r="B357" s="253"/>
      <c r="C357" s="254" t="s">
        <v>945</v>
      </c>
      <c r="D357" s="254"/>
      <c r="E357" s="254"/>
      <c r="F357" s="254"/>
      <c r="G357" s="254"/>
      <c r="H357" s="254"/>
      <c r="J357" s="319" t="s">
        <v>946</v>
      </c>
      <c r="L357" s="259"/>
      <c r="M357" s="319"/>
      <c r="N357" s="319"/>
      <c r="O357" s="319"/>
      <c r="P357" s="319"/>
      <c r="Q357" s="319"/>
      <c r="R357" s="319"/>
      <c r="S357" s="319"/>
      <c r="T357" s="319"/>
      <c r="U357" s="319"/>
      <c r="V357" s="319"/>
      <c r="W357" s="319"/>
      <c r="X357" s="258"/>
      <c r="Y357" s="258"/>
      <c r="Z357" s="258"/>
      <c r="AA357" s="258"/>
      <c r="AB357" s="258"/>
      <c r="AC357" s="496">
        <f>Calcu!G132</f>
        <v>0</v>
      </c>
      <c r="AD357" s="496"/>
      <c r="AE357" s="496"/>
      <c r="AF357" s="258" t="s">
        <v>947</v>
      </c>
      <c r="AG357" s="319"/>
      <c r="AH357" s="319"/>
      <c r="AI357" s="319"/>
      <c r="AJ357" s="319"/>
      <c r="AK357" s="260"/>
      <c r="AL357" s="258"/>
      <c r="AO357" s="258"/>
      <c r="AP357" s="258"/>
      <c r="AQ357" s="258"/>
      <c r="AR357" s="318"/>
      <c r="AS357" s="258"/>
      <c r="AT357" s="261"/>
      <c r="AU357" s="261"/>
      <c r="AV357" s="261"/>
      <c r="AW357" s="261"/>
      <c r="AX357" s="262"/>
      <c r="AY357" s="319"/>
      <c r="AZ357" s="319"/>
      <c r="BA357" s="319"/>
      <c r="BB357" s="319"/>
      <c r="BC357" s="319"/>
      <c r="BD357" s="319"/>
      <c r="BE357" s="319"/>
      <c r="BF357" s="319"/>
    </row>
    <row r="358" spans="1:59" s="251" customFormat="1" ht="18.75" customHeight="1">
      <c r="B358" s="253"/>
      <c r="C358" s="254"/>
      <c r="D358" s="254"/>
      <c r="E358" s="254"/>
      <c r="F358" s="254"/>
      <c r="G358" s="254"/>
      <c r="H358" s="254"/>
      <c r="I358" s="254"/>
      <c r="J358" s="549" t="s">
        <v>948</v>
      </c>
      <c r="K358" s="549"/>
      <c r="L358" s="549"/>
      <c r="M358" s="549"/>
      <c r="N358" s="476" t="s">
        <v>509</v>
      </c>
      <c r="O358" s="325" t="s">
        <v>706</v>
      </c>
      <c r="P358" s="476" t="s">
        <v>716</v>
      </c>
      <c r="Q358" s="497">
        <f>AC357</f>
        <v>0</v>
      </c>
      <c r="R358" s="497"/>
      <c r="S358" s="497"/>
      <c r="T358" s="322" t="s">
        <v>524</v>
      </c>
      <c r="U358" s="322"/>
      <c r="V358" s="476" t="s">
        <v>509</v>
      </c>
      <c r="W358" s="546" t="e">
        <f>Q358/Q359</f>
        <v>#DIV/0!</v>
      </c>
      <c r="X358" s="546"/>
      <c r="Y358" s="546"/>
      <c r="Z358" s="496" t="s">
        <v>369</v>
      </c>
      <c r="AA358" s="496"/>
      <c r="AB358" s="273"/>
      <c r="AC358" s="319"/>
      <c r="AD358" s="319"/>
      <c r="AE358" s="319"/>
      <c r="AF358" s="319"/>
      <c r="AG358" s="319"/>
      <c r="AH358" s="319"/>
      <c r="AI358" s="319"/>
      <c r="AJ358" s="319"/>
      <c r="AK358" s="319"/>
      <c r="AL358" s="258"/>
      <c r="AM358" s="319"/>
      <c r="AN358" s="319"/>
      <c r="AO358" s="319"/>
      <c r="AP358" s="319"/>
      <c r="AQ358" s="319"/>
      <c r="AR358" s="319"/>
      <c r="AS358" s="319"/>
      <c r="AT358" s="319"/>
      <c r="AU358" s="319"/>
      <c r="AV358" s="319"/>
      <c r="AW358" s="319"/>
      <c r="AX358" s="319"/>
      <c r="AY358" s="319"/>
    </row>
    <row r="359" spans="1:59" s="251" customFormat="1" ht="18.75" customHeight="1">
      <c r="B359" s="253"/>
      <c r="C359" s="254"/>
      <c r="D359" s="254"/>
      <c r="E359" s="254"/>
      <c r="F359" s="254"/>
      <c r="G359" s="254"/>
      <c r="H359" s="254"/>
      <c r="I359" s="254"/>
      <c r="J359" s="549"/>
      <c r="K359" s="549"/>
      <c r="L359" s="549"/>
      <c r="M359" s="549"/>
      <c r="N359" s="476"/>
      <c r="O359" s="324" t="s">
        <v>861</v>
      </c>
      <c r="P359" s="476"/>
      <c r="Q359" s="473">
        <f>Calcu!I132</f>
        <v>0</v>
      </c>
      <c r="R359" s="473"/>
      <c r="S359" s="473"/>
      <c r="T359" s="473"/>
      <c r="U359" s="473"/>
      <c r="V359" s="476"/>
      <c r="W359" s="546"/>
      <c r="X359" s="546"/>
      <c r="Y359" s="546"/>
      <c r="Z359" s="496"/>
      <c r="AA359" s="496"/>
      <c r="AB359" s="273"/>
      <c r="AC359" s="319"/>
      <c r="AD359" s="319"/>
      <c r="AE359" s="319"/>
      <c r="AF359" s="319"/>
      <c r="AG359" s="319"/>
      <c r="AH359" s="319"/>
      <c r="AI359" s="319"/>
      <c r="AJ359" s="319"/>
      <c r="AK359" s="319"/>
      <c r="AL359" s="258"/>
      <c r="AM359" s="319"/>
      <c r="AN359" s="319"/>
      <c r="AO359" s="319"/>
      <c r="AP359" s="319"/>
      <c r="AQ359" s="319"/>
      <c r="AR359" s="319"/>
      <c r="AS359" s="319"/>
      <c r="AT359" s="319"/>
      <c r="AU359" s="319"/>
      <c r="AV359" s="319"/>
      <c r="AW359" s="319"/>
      <c r="AX359" s="319"/>
      <c r="AY359" s="319"/>
    </row>
    <row r="360" spans="1:59" s="251" customFormat="1" ht="18.75" customHeight="1">
      <c r="B360" s="253"/>
      <c r="C360" s="254" t="s">
        <v>734</v>
      </c>
      <c r="D360" s="254"/>
      <c r="E360" s="254"/>
      <c r="F360" s="254"/>
      <c r="G360" s="254"/>
      <c r="H360" s="254"/>
      <c r="I360" s="509" t="str">
        <f>AB324</f>
        <v>정규</v>
      </c>
      <c r="J360" s="509"/>
      <c r="K360" s="509"/>
      <c r="L360" s="509"/>
      <c r="M360" s="509"/>
      <c r="N360" s="509"/>
      <c r="O360" s="509"/>
      <c r="P360" s="509"/>
      <c r="Q360" s="258"/>
      <c r="R360" s="258"/>
      <c r="S360" s="258"/>
      <c r="T360" s="258"/>
      <c r="U360" s="319"/>
      <c r="V360" s="319"/>
      <c r="W360" s="319"/>
      <c r="X360" s="258"/>
      <c r="Y360" s="258"/>
      <c r="Z360" s="319"/>
      <c r="AA360" s="319"/>
      <c r="AB360" s="319"/>
      <c r="AC360" s="319"/>
      <c r="AD360" s="319"/>
      <c r="AE360" s="319"/>
      <c r="AF360" s="319"/>
      <c r="AG360" s="319"/>
      <c r="AH360" s="319"/>
      <c r="AI360" s="319"/>
      <c r="AJ360" s="319"/>
      <c r="AK360" s="319"/>
      <c r="AL360" s="319"/>
      <c r="AM360" s="319"/>
      <c r="AN360" s="319"/>
      <c r="AO360" s="319"/>
      <c r="AP360" s="319"/>
      <c r="AQ360" s="319"/>
      <c r="AR360" s="319"/>
      <c r="AS360" s="258"/>
      <c r="AT360" s="319"/>
      <c r="AU360" s="319"/>
      <c r="AV360" s="319"/>
      <c r="AW360" s="319"/>
      <c r="AX360" s="319"/>
      <c r="AY360" s="319"/>
      <c r="AZ360" s="319"/>
      <c r="BA360" s="319"/>
      <c r="BB360" s="319"/>
      <c r="BC360" s="319"/>
      <c r="BD360" s="319"/>
      <c r="BE360" s="319"/>
      <c r="BF360" s="319"/>
    </row>
    <row r="361" spans="1:59" s="251" customFormat="1" ht="18.75" customHeight="1">
      <c r="B361" s="253"/>
      <c r="C361" s="510" t="s">
        <v>949</v>
      </c>
      <c r="D361" s="510"/>
      <c r="E361" s="510"/>
      <c r="F361" s="510"/>
      <c r="G361" s="510"/>
      <c r="H361" s="510"/>
      <c r="I361" s="320"/>
      <c r="J361" s="320"/>
      <c r="K361" s="254"/>
      <c r="L361" s="254"/>
      <c r="M361" s="320"/>
      <c r="N361" s="320"/>
      <c r="O361" s="476">
        <f>AG324</f>
        <v>1</v>
      </c>
      <c r="P361" s="476"/>
      <c r="Q361" s="258"/>
      <c r="R361" s="258"/>
      <c r="S361" s="258"/>
      <c r="T361" s="258"/>
      <c r="U361" s="319"/>
      <c r="V361" s="319"/>
      <c r="W361" s="319"/>
      <c r="X361" s="258"/>
      <c r="Y361" s="258"/>
      <c r="Z361" s="319"/>
      <c r="AA361" s="319"/>
      <c r="AB361" s="319"/>
      <c r="AC361" s="319"/>
      <c r="AD361" s="319"/>
      <c r="AE361" s="319"/>
      <c r="AF361" s="319"/>
      <c r="AG361" s="319"/>
      <c r="AH361" s="319"/>
      <c r="AI361" s="319"/>
      <c r="AJ361" s="319"/>
      <c r="AK361" s="319"/>
      <c r="AL361" s="319"/>
      <c r="AM361" s="319"/>
      <c r="AN361" s="319"/>
      <c r="AO361" s="319"/>
      <c r="AP361" s="319"/>
      <c r="AQ361" s="319"/>
      <c r="AR361" s="319"/>
      <c r="AS361" s="258"/>
      <c r="AT361" s="319"/>
      <c r="AU361" s="319"/>
      <c r="AV361" s="319"/>
      <c r="AW361" s="319"/>
      <c r="AX361" s="319"/>
      <c r="AY361" s="319"/>
      <c r="AZ361" s="319"/>
      <c r="BA361" s="319"/>
      <c r="BB361" s="319"/>
      <c r="BC361" s="319"/>
      <c r="BD361" s="319"/>
      <c r="BE361" s="319"/>
      <c r="BF361" s="319"/>
    </row>
    <row r="362" spans="1:59" s="251" customFormat="1" ht="18.75" customHeight="1">
      <c r="B362" s="253"/>
      <c r="C362" s="510"/>
      <c r="D362" s="510"/>
      <c r="E362" s="510"/>
      <c r="F362" s="510"/>
      <c r="G362" s="510"/>
      <c r="H362" s="510"/>
      <c r="I362" s="321"/>
      <c r="J362" s="321"/>
      <c r="K362" s="254"/>
      <c r="L362" s="254"/>
      <c r="M362" s="320"/>
      <c r="N362" s="320"/>
      <c r="O362" s="476"/>
      <c r="P362" s="476"/>
      <c r="Q362" s="258"/>
      <c r="R362" s="258"/>
      <c r="S362" s="258"/>
      <c r="T362" s="258"/>
      <c r="U362" s="319"/>
      <c r="V362" s="319"/>
      <c r="W362" s="319"/>
      <c r="X362" s="258"/>
      <c r="Y362" s="258"/>
      <c r="Z362" s="319"/>
      <c r="AA362" s="319"/>
      <c r="AB362" s="319"/>
      <c r="AC362" s="319"/>
      <c r="AD362" s="319"/>
      <c r="AE362" s="319"/>
      <c r="AF362" s="319"/>
      <c r="AG362" s="319"/>
      <c r="AH362" s="319"/>
      <c r="AI362" s="319"/>
      <c r="AJ362" s="319"/>
      <c r="AK362" s="319"/>
      <c r="AL362" s="319"/>
      <c r="AM362" s="319"/>
      <c r="AN362" s="319"/>
      <c r="AO362" s="319"/>
      <c r="AP362" s="319"/>
      <c r="AQ362" s="319"/>
      <c r="AR362" s="319"/>
      <c r="AS362" s="258"/>
      <c r="AT362" s="319"/>
      <c r="AU362" s="319"/>
      <c r="AV362" s="319"/>
      <c r="AW362" s="319"/>
      <c r="AX362" s="319"/>
      <c r="AY362" s="319"/>
      <c r="AZ362" s="319"/>
      <c r="BA362" s="319"/>
      <c r="BB362" s="319"/>
      <c r="BC362" s="319"/>
      <c r="BD362" s="319"/>
      <c r="BE362" s="319"/>
      <c r="BF362" s="319"/>
    </row>
    <row r="363" spans="1:59" s="251" customFormat="1" ht="18.75" customHeight="1">
      <c r="B363" s="253"/>
      <c r="C363" s="254" t="s">
        <v>950</v>
      </c>
      <c r="D363" s="254"/>
      <c r="E363" s="254"/>
      <c r="F363" s="254"/>
      <c r="G363" s="254"/>
      <c r="H363" s="254"/>
      <c r="K363" s="323" t="s">
        <v>723</v>
      </c>
      <c r="L363" s="511">
        <f>O361</f>
        <v>1</v>
      </c>
      <c r="M363" s="511"/>
      <c r="N363" s="320" t="s">
        <v>951</v>
      </c>
      <c r="O363" s="542" t="e">
        <f>W358</f>
        <v>#DIV/0!</v>
      </c>
      <c r="P363" s="496"/>
      <c r="Q363" s="496"/>
      <c r="R363" s="319" t="str">
        <f>Z358</f>
        <v>μm</v>
      </c>
      <c r="S363" s="319"/>
      <c r="T363" s="327" t="s">
        <v>723</v>
      </c>
      <c r="U363" s="319" t="s">
        <v>716</v>
      </c>
      <c r="V363" s="542" t="e">
        <f>ABS(L363*O363)</f>
        <v>#DIV/0!</v>
      </c>
      <c r="W363" s="496"/>
      <c r="X363" s="496"/>
      <c r="Y363" s="319" t="str">
        <f>R363</f>
        <v>μm</v>
      </c>
      <c r="Z363" s="319"/>
      <c r="AC363" s="319"/>
      <c r="AD363" s="254"/>
      <c r="AE363" s="254"/>
      <c r="AF363" s="319"/>
      <c r="AG363" s="319"/>
      <c r="AH363" s="319"/>
      <c r="AI363" s="319"/>
      <c r="AJ363" s="319"/>
      <c r="AK363" s="319"/>
      <c r="AL363" s="319"/>
      <c r="AM363" s="319"/>
      <c r="AN363" s="319"/>
      <c r="AO363" s="319"/>
      <c r="AP363" s="319"/>
      <c r="AQ363" s="319"/>
      <c r="AR363" s="319"/>
      <c r="AS363" s="258"/>
      <c r="AT363" s="319"/>
      <c r="AU363" s="319"/>
      <c r="AV363" s="319"/>
      <c r="AW363" s="319"/>
      <c r="AX363" s="319"/>
      <c r="AY363" s="319"/>
      <c r="AZ363" s="319"/>
      <c r="BA363" s="319"/>
      <c r="BB363" s="319"/>
      <c r="BC363" s="319"/>
      <c r="BD363" s="319"/>
      <c r="BE363" s="319"/>
      <c r="BF363" s="319"/>
    </row>
    <row r="364" spans="1:59" s="251" customFormat="1" ht="18.75" customHeight="1">
      <c r="B364" s="253"/>
      <c r="C364" s="254" t="s">
        <v>952</v>
      </c>
      <c r="D364" s="254"/>
      <c r="E364" s="254"/>
      <c r="F364" s="254"/>
      <c r="G364" s="254"/>
      <c r="H364" s="254"/>
      <c r="I364" s="296" t="s">
        <v>953</v>
      </c>
      <c r="P364" s="258"/>
      <c r="Q364" s="258"/>
      <c r="R364" s="258"/>
      <c r="S364" s="258"/>
      <c r="T364" s="258"/>
      <c r="U364" s="319"/>
      <c r="V364" s="319"/>
      <c r="W364" s="319"/>
      <c r="X364" s="258"/>
      <c r="Y364" s="258"/>
      <c r="Z364" s="319"/>
      <c r="AA364" s="319"/>
      <c r="AB364" s="319"/>
      <c r="AC364" s="319"/>
      <c r="AD364" s="319"/>
      <c r="AE364" s="319"/>
      <c r="AF364" s="319"/>
      <c r="AG364" s="319"/>
      <c r="AH364" s="319"/>
      <c r="AI364" s="319"/>
      <c r="AJ364" s="319"/>
      <c r="AK364" s="319"/>
      <c r="AL364" s="319"/>
      <c r="AM364" s="319"/>
      <c r="AN364" s="319"/>
      <c r="AO364" s="319"/>
      <c r="AP364" s="319"/>
      <c r="AQ364" s="319"/>
      <c r="AR364" s="319"/>
      <c r="AS364" s="258"/>
      <c r="AT364" s="319"/>
      <c r="AU364" s="319"/>
      <c r="AV364" s="319"/>
      <c r="AW364" s="319"/>
      <c r="AX364" s="319"/>
      <c r="AY364" s="319"/>
      <c r="AZ364" s="319"/>
      <c r="BA364" s="319"/>
      <c r="BB364" s="319"/>
      <c r="BC364" s="319"/>
      <c r="BD364" s="319"/>
      <c r="BE364" s="319"/>
      <c r="BF364" s="319"/>
    </row>
    <row r="365" spans="1:59" s="251" customFormat="1" ht="18.75" customHeight="1">
      <c r="B365" s="253"/>
      <c r="D365" s="319"/>
      <c r="E365" s="319"/>
      <c r="F365" s="319"/>
      <c r="G365" s="319"/>
      <c r="H365" s="319"/>
      <c r="I365" s="319"/>
      <c r="J365" s="319"/>
      <c r="AZ365" s="258"/>
      <c r="BA365" s="258"/>
      <c r="BB365" s="319"/>
      <c r="BC365" s="319"/>
      <c r="BD365" s="319"/>
      <c r="BE365" s="319"/>
      <c r="BF365" s="319"/>
    </row>
    <row r="366" spans="1:59" s="279" customFormat="1" ht="18.75" customHeight="1">
      <c r="B366" s="293" t="s">
        <v>954</v>
      </c>
      <c r="D366" s="320"/>
      <c r="E366" s="320"/>
      <c r="F366" s="320"/>
      <c r="G366" s="316"/>
      <c r="H366" s="320"/>
      <c r="I366" s="320"/>
      <c r="J366" s="320"/>
      <c r="K366" s="320"/>
      <c r="L366" s="320"/>
      <c r="M366" s="320"/>
      <c r="N366" s="320"/>
      <c r="O366" s="320"/>
      <c r="P366" s="320"/>
      <c r="Q366" s="320"/>
      <c r="R366" s="320"/>
      <c r="S366" s="320"/>
      <c r="T366" s="320"/>
      <c r="V366" s="320"/>
      <c r="W366" s="294" t="s">
        <v>955</v>
      </c>
      <c r="Y366" s="320"/>
      <c r="Z366" s="320"/>
      <c r="AA366" s="320"/>
      <c r="AB366" s="320"/>
      <c r="AP366" s="316"/>
      <c r="AQ366" s="316"/>
      <c r="AR366" s="316"/>
      <c r="AS366" s="316"/>
      <c r="AT366" s="316"/>
      <c r="AU366" s="316"/>
      <c r="AV366" s="316"/>
      <c r="AW366" s="316"/>
      <c r="AX366" s="316"/>
      <c r="AY366" s="316"/>
      <c r="AZ366" s="316"/>
      <c r="BA366" s="316"/>
      <c r="BB366" s="316"/>
      <c r="BC366" s="316"/>
      <c r="BD366" s="316"/>
      <c r="BE366" s="316"/>
      <c r="BF366" s="316"/>
      <c r="BG366" s="316"/>
    </row>
    <row r="367" spans="1:59" s="279" customFormat="1" ht="18.75" customHeight="1">
      <c r="B367" s="316"/>
      <c r="C367" s="321" t="s">
        <v>956</v>
      </c>
      <c r="D367" s="316"/>
      <c r="E367" s="316"/>
      <c r="F367" s="316"/>
      <c r="G367" s="316"/>
      <c r="H367" s="496" t="s">
        <v>944</v>
      </c>
      <c r="I367" s="496"/>
      <c r="J367" s="496"/>
      <c r="K367" s="496"/>
      <c r="L367" s="319"/>
      <c r="M367" s="319"/>
      <c r="N367" s="319"/>
      <c r="O367" s="319"/>
      <c r="P367" s="258"/>
      <c r="Q367" s="258"/>
      <c r="R367" s="258"/>
      <c r="S367" s="258"/>
      <c r="T367" s="258"/>
      <c r="U367" s="319"/>
      <c r="V367" s="319"/>
      <c r="AJ367" s="316"/>
      <c r="AK367" s="316"/>
      <c r="AL367" s="316"/>
      <c r="AM367" s="316"/>
      <c r="AN367" s="316"/>
      <c r="AO367" s="316"/>
      <c r="AP367" s="316"/>
      <c r="AQ367" s="316"/>
      <c r="AR367" s="316"/>
      <c r="AS367" s="320"/>
      <c r="AT367" s="320"/>
      <c r="AU367" s="320"/>
      <c r="AV367" s="320"/>
      <c r="AW367" s="320"/>
      <c r="AX367" s="320"/>
      <c r="AY367" s="316"/>
      <c r="AZ367" s="316"/>
      <c r="BA367" s="316"/>
      <c r="BB367" s="316"/>
      <c r="BC367" s="316"/>
      <c r="BD367" s="316"/>
      <c r="BE367" s="316"/>
      <c r="BF367" s="316"/>
      <c r="BG367" s="316"/>
    </row>
    <row r="368" spans="1:59" s="279" customFormat="1" ht="18.75" customHeight="1">
      <c r="B368" s="316"/>
      <c r="C368" s="320" t="s">
        <v>957</v>
      </c>
      <c r="D368" s="320"/>
      <c r="E368" s="320"/>
      <c r="F368" s="320"/>
      <c r="G368" s="320"/>
      <c r="H368" s="320"/>
      <c r="I368" s="316"/>
      <c r="J368" s="319" t="s">
        <v>958</v>
      </c>
      <c r="K368" s="251"/>
      <c r="M368" s="319"/>
      <c r="N368" s="319"/>
      <c r="O368" s="319"/>
      <c r="P368" s="319"/>
      <c r="Q368" s="319"/>
      <c r="R368" s="319"/>
      <c r="S368" s="319"/>
      <c r="T368" s="319"/>
      <c r="U368" s="319"/>
      <c r="V368" s="319"/>
      <c r="W368" s="319"/>
      <c r="X368" s="258"/>
      <c r="Y368" s="258"/>
      <c r="AD368" s="554">
        <f>Calcu!G133</f>
        <v>0</v>
      </c>
      <c r="AE368" s="554"/>
      <c r="AF368" s="554"/>
      <c r="AG368" s="333" t="s">
        <v>959</v>
      </c>
      <c r="AH368" s="554">
        <f>Calcu!H133</f>
        <v>0</v>
      </c>
      <c r="AI368" s="554"/>
      <c r="AJ368" s="554"/>
      <c r="AK368" s="258" t="s">
        <v>947</v>
      </c>
      <c r="AL368" s="251"/>
      <c r="AM368" s="251"/>
      <c r="AN368" s="258"/>
      <c r="AO368" s="258"/>
      <c r="AP368" s="258"/>
      <c r="AQ368" s="318"/>
      <c r="AR368" s="258"/>
      <c r="AS368" s="261"/>
      <c r="AT368" s="261"/>
      <c r="AU368" s="261"/>
      <c r="AV368" s="320"/>
      <c r="AW368" s="320"/>
      <c r="AX368" s="316"/>
      <c r="AY368" s="316"/>
      <c r="AZ368" s="316"/>
      <c r="BA368" s="316"/>
      <c r="BB368" s="316"/>
      <c r="BC368" s="316"/>
      <c r="BD368" s="316"/>
      <c r="BE368" s="316"/>
    </row>
    <row r="369" spans="2:59" s="279" customFormat="1" ht="18.75" customHeight="1">
      <c r="B369" s="316"/>
      <c r="C369" s="320"/>
      <c r="D369" s="320"/>
      <c r="E369" s="320"/>
      <c r="F369" s="320"/>
      <c r="G369" s="320"/>
      <c r="H369" s="320"/>
      <c r="I369" s="320"/>
      <c r="K369" s="269" t="s">
        <v>960</v>
      </c>
      <c r="L369" s="269"/>
      <c r="M369" s="269"/>
      <c r="N369" s="327" t="s">
        <v>716</v>
      </c>
      <c r="O369" s="319"/>
      <c r="P369" s="554">
        <f>AD368/2</f>
        <v>0</v>
      </c>
      <c r="Q369" s="554"/>
      <c r="R369" s="554"/>
      <c r="S369" s="319"/>
      <c r="U369" s="554">
        <f>AH368/2</f>
        <v>0</v>
      </c>
      <c r="V369" s="554"/>
      <c r="W369" s="554"/>
      <c r="X369" s="319"/>
      <c r="Y369" s="327" t="s">
        <v>961</v>
      </c>
      <c r="Z369" s="542">
        <f>S325</f>
        <v>0</v>
      </c>
      <c r="AA369" s="496"/>
      <c r="AB369" s="496"/>
      <c r="AC369" s="319" t="str">
        <f>Z325</f>
        <v>μm</v>
      </c>
      <c r="AD369" s="319"/>
      <c r="AE369" s="319"/>
      <c r="AF369" s="251"/>
      <c r="AG369" s="251"/>
      <c r="AH369" s="251"/>
      <c r="AI369" s="319"/>
      <c r="AJ369" s="319"/>
      <c r="AK369" s="251"/>
      <c r="AL369" s="251"/>
      <c r="AM369" s="251"/>
      <c r="AN369" s="251"/>
      <c r="AO369" s="320"/>
      <c r="AP369" s="320"/>
      <c r="AQ369" s="320"/>
      <c r="AR369" s="320"/>
      <c r="AS369" s="320"/>
      <c r="AT369" s="316"/>
      <c r="AU369" s="316"/>
      <c r="AV369" s="316"/>
      <c r="AW369" s="316"/>
      <c r="AX369" s="316"/>
      <c r="AY369" s="316"/>
      <c r="AZ369" s="316"/>
      <c r="BA369" s="316"/>
      <c r="BB369" s="316"/>
    </row>
    <row r="370" spans="2:59" s="279" customFormat="1" ht="18.75" customHeight="1">
      <c r="B370" s="316"/>
      <c r="C370" s="320" t="s">
        <v>746</v>
      </c>
      <c r="D370" s="320"/>
      <c r="E370" s="320"/>
      <c r="F370" s="320"/>
      <c r="G370" s="320"/>
      <c r="H370" s="320"/>
      <c r="I370" s="509" t="str">
        <f>AB325</f>
        <v>정규</v>
      </c>
      <c r="J370" s="509"/>
      <c r="K370" s="509"/>
      <c r="L370" s="509"/>
      <c r="M370" s="509"/>
      <c r="N370" s="509"/>
      <c r="O370" s="509"/>
      <c r="P370" s="509"/>
      <c r="Q370" s="320"/>
      <c r="R370" s="320"/>
      <c r="S370" s="320"/>
      <c r="T370" s="320"/>
      <c r="U370" s="320"/>
      <c r="V370" s="320"/>
      <c r="W370" s="320"/>
      <c r="X370" s="320"/>
      <c r="Y370" s="320"/>
      <c r="Z370" s="316"/>
      <c r="AA370" s="316"/>
      <c r="AB370" s="316"/>
      <c r="AC370" s="316"/>
      <c r="AD370" s="316"/>
      <c r="AE370" s="316"/>
      <c r="AF370" s="316"/>
      <c r="AG370" s="316"/>
      <c r="AH370" s="320"/>
      <c r="AI370" s="320"/>
      <c r="AJ370" s="320"/>
      <c r="AK370" s="320"/>
      <c r="AL370" s="320"/>
      <c r="AM370" s="320"/>
      <c r="AN370" s="320"/>
      <c r="AO370" s="320"/>
      <c r="AP370" s="320"/>
      <c r="AQ370" s="320"/>
      <c r="AR370" s="320"/>
      <c r="AS370" s="320"/>
      <c r="AT370" s="320"/>
      <c r="AU370" s="320"/>
      <c r="AV370" s="320"/>
      <c r="AW370" s="320"/>
      <c r="AX370" s="320"/>
      <c r="AY370" s="316"/>
      <c r="AZ370" s="316"/>
      <c r="BA370" s="316"/>
      <c r="BB370" s="316"/>
      <c r="BC370" s="316"/>
      <c r="BD370" s="316"/>
      <c r="BE370" s="316"/>
      <c r="BF370" s="316"/>
      <c r="BG370" s="316"/>
    </row>
    <row r="371" spans="2:59" s="279" customFormat="1" ht="18.75" customHeight="1">
      <c r="B371" s="316"/>
      <c r="C371" s="510" t="s">
        <v>502</v>
      </c>
      <c r="D371" s="510"/>
      <c r="E371" s="510"/>
      <c r="F371" s="510"/>
      <c r="G371" s="510"/>
      <c r="H371" s="510"/>
      <c r="I371" s="320"/>
      <c r="J371" s="320"/>
      <c r="K371" s="254"/>
      <c r="L371" s="254"/>
      <c r="M371" s="320"/>
      <c r="N371" s="320"/>
      <c r="O371" s="476">
        <f>AG325</f>
        <v>1</v>
      </c>
      <c r="P371" s="476"/>
      <c r="Q371" s="281"/>
      <c r="R371" s="281"/>
      <c r="S371" s="320"/>
      <c r="T371" s="334"/>
      <c r="U371" s="334"/>
      <c r="V371" s="334"/>
      <c r="W371" s="320"/>
      <c r="X371" s="320"/>
      <c r="Y371" s="320"/>
      <c r="Z371" s="282"/>
      <c r="AA371" s="282"/>
      <c r="AB371" s="320"/>
      <c r="AC371" s="320"/>
      <c r="AD371" s="320"/>
      <c r="AE371" s="320"/>
      <c r="AF371" s="320"/>
      <c r="AG371" s="320"/>
      <c r="AH371" s="320"/>
      <c r="AI371" s="320"/>
      <c r="AJ371" s="320"/>
      <c r="AK371" s="320"/>
      <c r="AL371" s="316"/>
      <c r="AM371" s="316"/>
      <c r="AN371" s="316"/>
      <c r="AO371" s="320"/>
      <c r="AP371" s="320"/>
      <c r="AQ371" s="320"/>
      <c r="AR371" s="320"/>
      <c r="AS371" s="320"/>
      <c r="AT371" s="320"/>
      <c r="AU371" s="320"/>
      <c r="AV371" s="320"/>
      <c r="AW371" s="320"/>
      <c r="AX371" s="320"/>
      <c r="AY371" s="316"/>
      <c r="AZ371" s="316"/>
      <c r="BA371" s="316"/>
      <c r="BB371" s="316"/>
      <c r="BC371" s="316"/>
      <c r="BD371" s="316"/>
      <c r="BE371" s="316"/>
      <c r="BF371" s="316"/>
      <c r="BG371" s="316"/>
    </row>
    <row r="372" spans="2:59" s="279" customFormat="1" ht="18.75" customHeight="1">
      <c r="B372" s="316"/>
      <c r="C372" s="510"/>
      <c r="D372" s="510"/>
      <c r="E372" s="510"/>
      <c r="F372" s="510"/>
      <c r="G372" s="510"/>
      <c r="H372" s="510"/>
      <c r="I372" s="321"/>
      <c r="J372" s="321"/>
      <c r="K372" s="254"/>
      <c r="L372" s="254"/>
      <c r="M372" s="320"/>
      <c r="N372" s="320"/>
      <c r="O372" s="476"/>
      <c r="P372" s="476"/>
      <c r="Q372" s="320"/>
      <c r="R372" s="320"/>
      <c r="S372" s="320"/>
      <c r="T372" s="334"/>
      <c r="U372" s="334"/>
      <c r="V372" s="334"/>
      <c r="Y372" s="320"/>
      <c r="Z372" s="282"/>
      <c r="AA372" s="282"/>
      <c r="AB372" s="320"/>
      <c r="AC372" s="320"/>
      <c r="AD372" s="320"/>
      <c r="AE372" s="320"/>
      <c r="AF372" s="320"/>
      <c r="AG372" s="320"/>
      <c r="AH372" s="320"/>
      <c r="AI372" s="320"/>
      <c r="AJ372" s="320"/>
      <c r="AK372" s="320"/>
      <c r="AL372" s="316"/>
      <c r="AM372" s="316"/>
      <c r="AN372" s="316"/>
      <c r="AO372" s="320"/>
      <c r="AP372" s="320"/>
      <c r="AQ372" s="320"/>
      <c r="AR372" s="320"/>
      <c r="AS372" s="320"/>
      <c r="AT372" s="320"/>
      <c r="AU372" s="320"/>
      <c r="AV372" s="320"/>
      <c r="AW372" s="320"/>
      <c r="AX372" s="320"/>
      <c r="AY372" s="316"/>
      <c r="AZ372" s="316"/>
      <c r="BA372" s="316"/>
      <c r="BB372" s="316"/>
      <c r="BC372" s="316"/>
      <c r="BD372" s="316"/>
      <c r="BE372" s="316"/>
      <c r="BF372" s="316"/>
      <c r="BG372" s="316"/>
    </row>
    <row r="373" spans="2:59" s="279" customFormat="1" ht="18.75" customHeight="1">
      <c r="B373" s="316"/>
      <c r="C373" s="320" t="s">
        <v>962</v>
      </c>
      <c r="D373" s="320"/>
      <c r="E373" s="320"/>
      <c r="F373" s="320"/>
      <c r="G373" s="320"/>
      <c r="H373" s="320"/>
      <c r="I373" s="320"/>
      <c r="J373" s="316"/>
      <c r="K373" s="323" t="s">
        <v>926</v>
      </c>
      <c r="L373" s="511">
        <f>O371</f>
        <v>1</v>
      </c>
      <c r="M373" s="511"/>
      <c r="N373" s="320" t="s">
        <v>877</v>
      </c>
      <c r="O373" s="542">
        <f>Z369</f>
        <v>0</v>
      </c>
      <c r="P373" s="496"/>
      <c r="Q373" s="496"/>
      <c r="R373" s="319" t="str">
        <f>AC369</f>
        <v>μm</v>
      </c>
      <c r="S373" s="319"/>
      <c r="T373" s="327" t="s">
        <v>736</v>
      </c>
      <c r="U373" s="319" t="s">
        <v>923</v>
      </c>
      <c r="V373" s="542">
        <f>ABS(L373*O373)</f>
        <v>0</v>
      </c>
      <c r="W373" s="496"/>
      <c r="X373" s="496"/>
      <c r="Y373" s="319" t="str">
        <f>R373</f>
        <v>μm</v>
      </c>
      <c r="Z373" s="319"/>
      <c r="AA373" s="251"/>
      <c r="AB373" s="251"/>
      <c r="AC373" s="319"/>
      <c r="AD373" s="254"/>
      <c r="AE373" s="254"/>
      <c r="AF373" s="319"/>
      <c r="AG373" s="319"/>
      <c r="AH373" s="319"/>
      <c r="AI373" s="319"/>
      <c r="AJ373" s="319"/>
      <c r="AK373" s="261"/>
      <c r="AL373" s="261"/>
      <c r="AM373" s="262"/>
      <c r="AN373" s="258"/>
      <c r="AO373" s="258"/>
      <c r="AP373" s="319"/>
      <c r="AQ373" s="319"/>
      <c r="AR373" s="319"/>
      <c r="AS373" s="319"/>
      <c r="AT373" s="319"/>
      <c r="AU373" s="319"/>
      <c r="AV373" s="320"/>
      <c r="AW373" s="320"/>
      <c r="AX373" s="320"/>
      <c r="AY373" s="316"/>
      <c r="AZ373" s="316"/>
      <c r="BA373" s="316"/>
      <c r="BB373" s="316"/>
      <c r="BC373" s="316"/>
      <c r="BD373" s="316"/>
      <c r="BE373" s="316"/>
      <c r="BF373" s="316"/>
      <c r="BG373" s="316"/>
    </row>
    <row r="374" spans="2:59" s="279" customFormat="1" ht="18.75" customHeight="1">
      <c r="B374" s="316"/>
      <c r="C374" s="320" t="s">
        <v>963</v>
      </c>
      <c r="D374" s="320"/>
      <c r="E374" s="320"/>
      <c r="F374" s="320"/>
      <c r="G374" s="320"/>
      <c r="H374" s="296" t="s">
        <v>964</v>
      </c>
      <c r="I374" s="251"/>
      <c r="J374" s="251"/>
      <c r="K374" s="251"/>
      <c r="L374" s="251"/>
      <c r="M374" s="251"/>
      <c r="N374" s="251"/>
      <c r="O374" s="258"/>
      <c r="P374" s="258"/>
      <c r="Q374" s="258"/>
      <c r="R374" s="258"/>
      <c r="S374" s="320"/>
      <c r="T374" s="320"/>
      <c r="U374" s="320"/>
      <c r="W374" s="320"/>
      <c r="X374" s="254"/>
      <c r="Y374" s="320"/>
      <c r="Z374" s="320"/>
      <c r="AA374" s="320"/>
      <c r="AB374" s="320"/>
      <c r="AC374" s="320"/>
      <c r="AD374" s="320"/>
      <c r="AE374" s="316"/>
      <c r="AF374" s="316"/>
      <c r="AG374" s="316"/>
      <c r="AH374" s="316"/>
      <c r="AI374" s="316"/>
      <c r="AJ374" s="316"/>
      <c r="AK374" s="316"/>
      <c r="AL374" s="316"/>
      <c r="AM374" s="316"/>
      <c r="AN374" s="316"/>
      <c r="AO374" s="316"/>
      <c r="AP374" s="316"/>
      <c r="AQ374" s="316"/>
      <c r="AR374" s="316"/>
      <c r="AS374" s="316"/>
      <c r="AT374" s="316"/>
      <c r="AU374" s="316"/>
      <c r="AV374" s="316"/>
      <c r="AW374" s="316"/>
      <c r="AX374" s="316"/>
      <c r="AY374" s="316"/>
      <c r="AZ374" s="316"/>
      <c r="BA374" s="316"/>
      <c r="BB374" s="316"/>
      <c r="BC374" s="316"/>
      <c r="BD374" s="316"/>
      <c r="BE374" s="316"/>
      <c r="BF374" s="316"/>
      <c r="BG374" s="316"/>
    </row>
    <row r="375" spans="2:59" s="279" customFormat="1" ht="18.75" customHeight="1">
      <c r="B375" s="316"/>
      <c r="C375" s="253"/>
      <c r="D375" s="320"/>
      <c r="E375" s="320"/>
      <c r="F375" s="320"/>
      <c r="G375" s="316"/>
      <c r="H375" s="320"/>
      <c r="I375" s="320"/>
      <c r="J375" s="320"/>
      <c r="K375" s="320"/>
      <c r="L375" s="320"/>
      <c r="M375" s="320"/>
      <c r="N375" s="320"/>
      <c r="O375" s="320"/>
      <c r="P375" s="320"/>
      <c r="Q375" s="320"/>
      <c r="R375" s="320"/>
      <c r="S375" s="320"/>
      <c r="T375" s="320"/>
      <c r="U375" s="320"/>
      <c r="V375" s="320"/>
      <c r="W375" s="320"/>
      <c r="X375" s="320"/>
      <c r="Y375" s="320"/>
      <c r="Z375" s="320"/>
      <c r="AA375" s="320"/>
      <c r="AB375" s="320"/>
      <c r="AC375" s="320"/>
      <c r="AD375" s="320"/>
      <c r="AE375" s="316"/>
      <c r="AF375" s="320"/>
      <c r="AG375" s="316"/>
      <c r="AH375" s="316"/>
      <c r="AI375" s="316"/>
      <c r="AJ375" s="316"/>
      <c r="AK375" s="316"/>
      <c r="AL375" s="316"/>
      <c r="AM375" s="316"/>
      <c r="AN375" s="316"/>
      <c r="AO375" s="316"/>
      <c r="AP375" s="316"/>
      <c r="AQ375" s="316"/>
      <c r="AR375" s="316"/>
      <c r="AS375" s="316"/>
      <c r="AT375" s="316"/>
      <c r="AU375" s="316"/>
      <c r="AV375" s="316"/>
      <c r="AW375" s="316"/>
      <c r="AX375" s="316"/>
      <c r="AY375" s="316"/>
      <c r="AZ375" s="316"/>
      <c r="BA375" s="316"/>
      <c r="BB375" s="316"/>
      <c r="BC375" s="316"/>
      <c r="BD375" s="316"/>
      <c r="BE375" s="316"/>
      <c r="BF375" s="316"/>
      <c r="BG375" s="316"/>
    </row>
    <row r="376" spans="2:59" s="279" customFormat="1" ht="18.75" customHeight="1">
      <c r="B376" s="293" t="s">
        <v>965</v>
      </c>
      <c r="D376" s="320"/>
      <c r="E376" s="320"/>
      <c r="F376" s="320"/>
      <c r="G376" s="316"/>
      <c r="H376" s="320"/>
      <c r="I376" s="320"/>
      <c r="J376" s="320"/>
      <c r="K376" s="320"/>
      <c r="L376" s="320"/>
      <c r="M376" s="320"/>
      <c r="N376" s="320"/>
      <c r="O376" s="294" t="s">
        <v>966</v>
      </c>
      <c r="P376" s="320"/>
      <c r="Q376" s="320"/>
      <c r="R376" s="320"/>
      <c r="S376" s="320"/>
      <c r="T376" s="320"/>
      <c r="U376" s="320"/>
      <c r="V376" s="320"/>
      <c r="W376" s="320"/>
      <c r="X376" s="320"/>
      <c r="Y376" s="320"/>
      <c r="Z376" s="320"/>
      <c r="AA376" s="320"/>
      <c r="AB376" s="320"/>
      <c r="AP376" s="316"/>
      <c r="AQ376" s="316"/>
      <c r="AR376" s="316"/>
      <c r="AS376" s="316"/>
      <c r="AT376" s="316"/>
      <c r="AU376" s="316"/>
      <c r="AV376" s="316"/>
      <c r="AW376" s="316"/>
      <c r="AX376" s="316"/>
      <c r="AY376" s="316"/>
      <c r="AZ376" s="316"/>
      <c r="BA376" s="316"/>
      <c r="BB376" s="316"/>
      <c r="BC376" s="316"/>
      <c r="BD376" s="316"/>
      <c r="BE376" s="316"/>
      <c r="BF376" s="316"/>
      <c r="BG376" s="316"/>
    </row>
    <row r="377" spans="2:59" s="279" customFormat="1" ht="18.75" customHeight="1">
      <c r="B377" s="316"/>
      <c r="C377" s="321" t="s">
        <v>967</v>
      </c>
      <c r="D377" s="316"/>
      <c r="E377" s="316"/>
      <c r="F377" s="316"/>
      <c r="G377" s="316"/>
      <c r="H377" s="496" t="s">
        <v>968</v>
      </c>
      <c r="I377" s="496"/>
      <c r="J377" s="496"/>
      <c r="K377" s="496"/>
      <c r="L377" s="319"/>
      <c r="M377" s="319"/>
      <c r="N377" s="319"/>
      <c r="O377" s="319"/>
      <c r="P377" s="258"/>
      <c r="Q377" s="258"/>
      <c r="R377" s="258"/>
      <c r="S377" s="258"/>
      <c r="T377" s="258"/>
      <c r="U377" s="319"/>
      <c r="V377" s="319"/>
      <c r="AJ377" s="316"/>
      <c r="AK377" s="316"/>
      <c r="AL377" s="316"/>
      <c r="AM377" s="316"/>
      <c r="AN377" s="316"/>
      <c r="AO377" s="316"/>
      <c r="AP377" s="316"/>
      <c r="AQ377" s="316"/>
      <c r="AR377" s="316"/>
      <c r="AS377" s="320"/>
      <c r="AT377" s="320"/>
      <c r="AU377" s="320"/>
      <c r="AV377" s="320"/>
      <c r="AW377" s="320"/>
      <c r="AX377" s="320"/>
      <c r="AY377" s="316"/>
      <c r="AZ377" s="316"/>
      <c r="BA377" s="316"/>
      <c r="BB377" s="316"/>
      <c r="BC377" s="316"/>
      <c r="BD377" s="316"/>
      <c r="BE377" s="316"/>
      <c r="BF377" s="316"/>
      <c r="BG377" s="316"/>
    </row>
    <row r="378" spans="2:59" s="279" customFormat="1" ht="18.75" customHeight="1">
      <c r="B378" s="316"/>
      <c r="C378" s="320" t="s">
        <v>969</v>
      </c>
      <c r="D378" s="320"/>
      <c r="E378" s="320"/>
      <c r="F378" s="320"/>
      <c r="G378" s="320"/>
      <c r="H378" s="320"/>
      <c r="I378" s="316"/>
      <c r="J378" s="320" t="s">
        <v>970</v>
      </c>
      <c r="K378" s="320"/>
      <c r="L378" s="320"/>
      <c r="M378" s="320"/>
      <c r="N378" s="320"/>
      <c r="O378" s="320"/>
      <c r="T378" s="285"/>
      <c r="U378" s="285"/>
      <c r="V378" s="285"/>
      <c r="W378" s="496">
        <f>Calcu!G134</f>
        <v>0</v>
      </c>
      <c r="X378" s="496"/>
      <c r="Y378" s="258" t="s">
        <v>971</v>
      </c>
      <c r="Z378" s="319"/>
      <c r="AA378" s="319"/>
      <c r="AB378" s="319"/>
      <c r="AC378" s="319"/>
      <c r="AD378" s="260"/>
      <c r="AE378" s="258"/>
      <c r="AF378" s="251"/>
      <c r="AG378" s="251"/>
      <c r="AH378" s="258"/>
      <c r="AI378" s="258"/>
      <c r="AJ378" s="258"/>
      <c r="AK378" s="316"/>
      <c r="AL378" s="316"/>
      <c r="AM378" s="320"/>
      <c r="AN378" s="320"/>
      <c r="AO378" s="320"/>
      <c r="AP378" s="320"/>
      <c r="AQ378" s="320"/>
      <c r="AR378" s="320"/>
      <c r="AS378" s="320"/>
      <c r="AT378" s="320"/>
      <c r="AU378" s="320"/>
      <c r="AV378" s="320"/>
      <c r="AW378" s="320"/>
      <c r="AX378" s="316"/>
      <c r="AY378" s="316"/>
      <c r="AZ378" s="316"/>
      <c r="BA378" s="316"/>
      <c r="BB378" s="316"/>
      <c r="BC378" s="316"/>
      <c r="BD378" s="316"/>
      <c r="BE378" s="316"/>
      <c r="BF378" s="316"/>
    </row>
    <row r="379" spans="2:59" s="279" customFormat="1" ht="18.75" customHeight="1">
      <c r="B379" s="316"/>
      <c r="C379" s="320"/>
      <c r="D379" s="320"/>
      <c r="E379" s="320"/>
      <c r="F379" s="320"/>
      <c r="G379" s="320"/>
      <c r="H379" s="320"/>
      <c r="I379" s="316"/>
      <c r="K379" s="320" t="s">
        <v>972</v>
      </c>
      <c r="L379" s="319"/>
      <c r="M379" s="319"/>
      <c r="N379" s="319"/>
      <c r="O379" s="319"/>
      <c r="P379" s="319"/>
      <c r="Q379" s="327"/>
      <c r="R379" s="286"/>
      <c r="S379" s="286"/>
      <c r="T379" s="286"/>
      <c r="U379" s="286"/>
      <c r="V379" s="331"/>
      <c r="W379" s="331"/>
      <c r="X379" s="331"/>
      <c r="Y379" s="284"/>
      <c r="AC379" s="320"/>
      <c r="AD379" s="320"/>
      <c r="AE379" s="320"/>
      <c r="AF379" s="316"/>
      <c r="AG379" s="316"/>
      <c r="AH379" s="316"/>
      <c r="AI379" s="316"/>
      <c r="AJ379" s="316"/>
      <c r="AK379" s="316"/>
      <c r="AL379" s="316"/>
      <c r="AM379" s="316"/>
      <c r="AN379" s="320"/>
      <c r="AO379" s="320"/>
      <c r="AP379" s="320"/>
      <c r="AQ379" s="320"/>
      <c r="AR379" s="320"/>
      <c r="AS379" s="320"/>
      <c r="AT379" s="320"/>
      <c r="AU379" s="320"/>
      <c r="AV379" s="320"/>
      <c r="AW379" s="320"/>
      <c r="AX379" s="320"/>
      <c r="AY379" s="316"/>
      <c r="AZ379" s="316"/>
      <c r="BA379" s="316"/>
      <c r="BB379" s="316"/>
      <c r="BC379" s="316"/>
      <c r="BD379" s="316"/>
      <c r="BE379" s="316"/>
      <c r="BF379" s="316"/>
      <c r="BG379" s="316"/>
    </row>
    <row r="380" spans="2:59" s="279" customFormat="1" ht="18.75" customHeight="1">
      <c r="B380" s="316"/>
      <c r="C380" s="320"/>
      <c r="D380" s="320"/>
      <c r="E380" s="320"/>
      <c r="F380" s="320"/>
      <c r="G380" s="320"/>
      <c r="H380" s="320"/>
      <c r="I380" s="320"/>
      <c r="J380" s="550" t="s">
        <v>973</v>
      </c>
      <c r="K380" s="550"/>
      <c r="L380" s="550"/>
      <c r="M380" s="550"/>
      <c r="N380" s="517" t="s">
        <v>745</v>
      </c>
      <c r="O380" s="551">
        <f>W378</f>
        <v>0</v>
      </c>
      <c r="P380" s="551"/>
      <c r="Q380" s="298" t="s">
        <v>842</v>
      </c>
      <c r="R380" s="298"/>
      <c r="S380" s="517" t="s">
        <v>923</v>
      </c>
      <c r="T380" s="546">
        <f>O380/5/SQRT(3)</f>
        <v>0</v>
      </c>
      <c r="U380" s="546"/>
      <c r="V380" s="546"/>
      <c r="W380" s="496" t="s">
        <v>935</v>
      </c>
      <c r="X380" s="496"/>
      <c r="Y380" s="273"/>
      <c r="Z380" s="273"/>
      <c r="AA380" s="273"/>
      <c r="AB380" s="254"/>
      <c r="AC380" s="254"/>
      <c r="AD380" s="54"/>
      <c r="AE380" s="316"/>
      <c r="AF380" s="316"/>
      <c r="AG380" s="316"/>
      <c r="AH380" s="316"/>
      <c r="AI380" s="316"/>
      <c r="AJ380" s="316"/>
      <c r="AK380" s="316"/>
      <c r="AL380" s="316"/>
      <c r="AM380" s="320"/>
      <c r="AN380" s="320"/>
      <c r="AO380" s="320"/>
      <c r="AP380" s="320"/>
      <c r="AQ380" s="320"/>
      <c r="AR380" s="320"/>
      <c r="AS380" s="320"/>
      <c r="AT380" s="320"/>
      <c r="AU380" s="316"/>
      <c r="AV380" s="316"/>
      <c r="AW380" s="316"/>
      <c r="AX380" s="316"/>
      <c r="AY380" s="316"/>
      <c r="AZ380" s="316"/>
      <c r="BA380" s="316"/>
      <c r="BB380" s="316"/>
      <c r="BC380" s="316"/>
    </row>
    <row r="381" spans="2:59" s="279" customFormat="1" ht="18.75" customHeight="1">
      <c r="B381" s="316"/>
      <c r="C381" s="320"/>
      <c r="D381" s="320"/>
      <c r="E381" s="320"/>
      <c r="F381" s="320"/>
      <c r="G381" s="320"/>
      <c r="H381" s="320"/>
      <c r="I381" s="320"/>
      <c r="J381" s="550"/>
      <c r="K381" s="550"/>
      <c r="L381" s="550"/>
      <c r="M381" s="550"/>
      <c r="N381" s="517"/>
      <c r="O381" s="515"/>
      <c r="P381" s="515"/>
      <c r="Q381" s="515"/>
      <c r="R381" s="515"/>
      <c r="S381" s="517"/>
      <c r="T381" s="546"/>
      <c r="U381" s="546"/>
      <c r="V381" s="546"/>
      <c r="W381" s="496"/>
      <c r="X381" s="496"/>
      <c r="Y381" s="273"/>
      <c r="Z381" s="273"/>
      <c r="AA381" s="273"/>
      <c r="AB381" s="254"/>
      <c r="AC381" s="254"/>
      <c r="AD381" s="54"/>
      <c r="AE381" s="316"/>
      <c r="AF381" s="316"/>
      <c r="AG381" s="316"/>
      <c r="AH381" s="316"/>
      <c r="AI381" s="316"/>
      <c r="AJ381" s="316"/>
      <c r="AK381" s="316"/>
      <c r="AL381" s="316"/>
      <c r="AM381" s="320"/>
      <c r="AN381" s="320"/>
      <c r="AO381" s="320"/>
      <c r="AP381" s="320"/>
      <c r="AQ381" s="320"/>
      <c r="AR381" s="320"/>
      <c r="AS381" s="320"/>
      <c r="AT381" s="320"/>
      <c r="AU381" s="316"/>
      <c r="AV381" s="316"/>
      <c r="AW381" s="316"/>
      <c r="AX381" s="316"/>
      <c r="AY381" s="316"/>
      <c r="AZ381" s="316"/>
      <c r="BA381" s="316"/>
      <c r="BB381" s="316"/>
      <c r="BC381" s="316"/>
    </row>
    <row r="382" spans="2:59" s="279" customFormat="1" ht="18.75" customHeight="1">
      <c r="B382" s="316"/>
      <c r="C382" s="320" t="s">
        <v>974</v>
      </c>
      <c r="D382" s="320"/>
      <c r="E382" s="320"/>
      <c r="F382" s="320"/>
      <c r="G382" s="320"/>
      <c r="H382" s="320"/>
      <c r="I382" s="509" t="str">
        <f>AB326</f>
        <v>직사각형</v>
      </c>
      <c r="J382" s="509"/>
      <c r="K382" s="509"/>
      <c r="L382" s="509"/>
      <c r="M382" s="509"/>
      <c r="N382" s="509"/>
      <c r="O382" s="509"/>
      <c r="P382" s="509"/>
      <c r="Q382" s="320"/>
      <c r="R382" s="320"/>
      <c r="S382" s="320"/>
      <c r="T382" s="320"/>
      <c r="U382" s="320"/>
      <c r="V382" s="320"/>
      <c r="W382" s="320"/>
      <c r="X382" s="320"/>
      <c r="Y382" s="320"/>
      <c r="Z382" s="316"/>
      <c r="AA382" s="316"/>
      <c r="AB382" s="316"/>
      <c r="AC382" s="316"/>
      <c r="AD382" s="316"/>
      <c r="AE382" s="316"/>
      <c r="AF382" s="316"/>
      <c r="AG382" s="316"/>
      <c r="AH382" s="320"/>
      <c r="AI382" s="320"/>
      <c r="AJ382" s="320"/>
      <c r="AK382" s="320"/>
      <c r="AL382" s="320"/>
      <c r="AM382" s="320"/>
      <c r="AN382" s="320"/>
      <c r="AO382" s="320"/>
      <c r="AP382" s="320"/>
      <c r="AQ382" s="320"/>
      <c r="AR382" s="320"/>
      <c r="AS382" s="320"/>
      <c r="AT382" s="320"/>
      <c r="AU382" s="320"/>
      <c r="AV382" s="320"/>
      <c r="AW382" s="320"/>
      <c r="AX382" s="320"/>
      <c r="AY382" s="316"/>
      <c r="AZ382" s="316"/>
      <c r="BA382" s="316"/>
      <c r="BB382" s="316"/>
      <c r="BC382" s="316"/>
      <c r="BD382" s="316"/>
      <c r="BE382" s="316"/>
      <c r="BF382" s="316"/>
      <c r="BG382" s="316"/>
    </row>
    <row r="383" spans="2:59" s="279" customFormat="1" ht="18.75" customHeight="1">
      <c r="B383" s="316"/>
      <c r="C383" s="510" t="s">
        <v>975</v>
      </c>
      <c r="D383" s="510"/>
      <c r="E383" s="510"/>
      <c r="F383" s="510"/>
      <c r="G383" s="510"/>
      <c r="H383" s="510"/>
      <c r="I383" s="320"/>
      <c r="J383" s="320"/>
      <c r="K383" s="254"/>
      <c r="L383" s="254"/>
      <c r="M383" s="320"/>
      <c r="N383" s="320"/>
      <c r="O383" s="476">
        <f>AG326</f>
        <v>1</v>
      </c>
      <c r="P383" s="476"/>
      <c r="Q383" s="281"/>
      <c r="R383" s="281"/>
      <c r="S383" s="320"/>
      <c r="T383" s="334"/>
      <c r="U383" s="334"/>
      <c r="V383" s="334"/>
      <c r="W383" s="320"/>
      <c r="X383" s="320"/>
      <c r="Y383" s="320"/>
      <c r="Z383" s="282"/>
      <c r="AA383" s="282"/>
      <c r="AB383" s="320"/>
      <c r="AC383" s="320"/>
      <c r="AD383" s="320"/>
      <c r="AE383" s="320"/>
      <c r="AF383" s="320"/>
      <c r="AG383" s="320"/>
      <c r="AH383" s="320"/>
      <c r="AI383" s="320"/>
      <c r="AJ383" s="320"/>
      <c r="AK383" s="320"/>
      <c r="AL383" s="316"/>
      <c r="AM383" s="316"/>
      <c r="AN383" s="316"/>
      <c r="AO383" s="320"/>
      <c r="AP383" s="320"/>
      <c r="AQ383" s="320"/>
      <c r="AR383" s="320"/>
      <c r="AS383" s="320"/>
      <c r="AT383" s="320"/>
      <c r="AU383" s="320"/>
      <c r="AV383" s="320"/>
      <c r="AW383" s="320"/>
      <c r="AX383" s="320"/>
      <c r="AY383" s="316"/>
      <c r="AZ383" s="316"/>
      <c r="BA383" s="316"/>
      <c r="BB383" s="316"/>
      <c r="BC383" s="316"/>
      <c r="BD383" s="316"/>
      <c r="BE383" s="316"/>
      <c r="BF383" s="316"/>
      <c r="BG383" s="316"/>
    </row>
    <row r="384" spans="2:59" s="279" customFormat="1" ht="18.75" customHeight="1">
      <c r="B384" s="316"/>
      <c r="C384" s="510"/>
      <c r="D384" s="510"/>
      <c r="E384" s="510"/>
      <c r="F384" s="510"/>
      <c r="G384" s="510"/>
      <c r="H384" s="510"/>
      <c r="I384" s="321"/>
      <c r="J384" s="321"/>
      <c r="K384" s="254"/>
      <c r="L384" s="254"/>
      <c r="M384" s="320"/>
      <c r="N384" s="320"/>
      <c r="O384" s="476"/>
      <c r="P384" s="476"/>
      <c r="Q384" s="320"/>
      <c r="R384" s="320"/>
      <c r="S384" s="320"/>
      <c r="T384" s="334"/>
      <c r="U384" s="334"/>
      <c r="V384" s="334"/>
      <c r="Y384" s="320"/>
      <c r="Z384" s="282"/>
      <c r="AA384" s="282"/>
      <c r="AB384" s="320"/>
      <c r="AC384" s="320"/>
      <c r="AD384" s="320"/>
      <c r="AE384" s="320"/>
      <c r="AF384" s="320"/>
      <c r="AG384" s="320"/>
      <c r="AH384" s="320"/>
      <c r="AI384" s="320"/>
      <c r="AJ384" s="320"/>
      <c r="AK384" s="320"/>
      <c r="AL384" s="316"/>
      <c r="AM384" s="316"/>
      <c r="AN384" s="316"/>
      <c r="AO384" s="320"/>
      <c r="AP384" s="320"/>
      <c r="AQ384" s="320"/>
      <c r="AR384" s="320"/>
      <c r="AS384" s="320"/>
      <c r="AT384" s="320"/>
      <c r="AU384" s="320"/>
      <c r="AV384" s="320"/>
      <c r="AW384" s="320"/>
      <c r="AX384" s="320"/>
      <c r="AY384" s="316"/>
      <c r="AZ384" s="316"/>
      <c r="BA384" s="316"/>
      <c r="BB384" s="316"/>
      <c r="BC384" s="316"/>
      <c r="BD384" s="316"/>
      <c r="BE384" s="316"/>
      <c r="BF384" s="316"/>
      <c r="BG384" s="316"/>
    </row>
    <row r="385" spans="1:60" s="279" customFormat="1" ht="18.75" customHeight="1">
      <c r="B385" s="316"/>
      <c r="C385" s="320" t="s">
        <v>976</v>
      </c>
      <c r="D385" s="320"/>
      <c r="E385" s="320"/>
      <c r="F385" s="320"/>
      <c r="G385" s="320"/>
      <c r="H385" s="320"/>
      <c r="I385" s="320"/>
      <c r="J385" s="316"/>
      <c r="K385" s="323" t="s">
        <v>736</v>
      </c>
      <c r="L385" s="511">
        <f>O383</f>
        <v>1</v>
      </c>
      <c r="M385" s="511"/>
      <c r="N385" s="320" t="s">
        <v>750</v>
      </c>
      <c r="O385" s="542">
        <f>T380</f>
        <v>0</v>
      </c>
      <c r="P385" s="496"/>
      <c r="Q385" s="496"/>
      <c r="R385" s="319" t="str">
        <f>W380</f>
        <v>μm</v>
      </c>
      <c r="S385" s="319"/>
      <c r="T385" s="327" t="s">
        <v>723</v>
      </c>
      <c r="U385" s="319" t="s">
        <v>745</v>
      </c>
      <c r="V385" s="542">
        <f>ABS(L385*O385)</f>
        <v>0</v>
      </c>
      <c r="W385" s="496"/>
      <c r="X385" s="496"/>
      <c r="Y385" s="319" t="str">
        <f>R385</f>
        <v>μm</v>
      </c>
      <c r="Z385" s="319"/>
      <c r="AA385" s="319"/>
      <c r="AB385" s="251"/>
      <c r="AC385" s="251"/>
      <c r="AD385" s="319"/>
      <c r="AE385" s="318"/>
      <c r="AF385" s="318"/>
      <c r="AG385" s="318"/>
      <c r="AH385" s="258"/>
      <c r="AI385" s="261"/>
      <c r="AJ385" s="261"/>
      <c r="AK385" s="261"/>
      <c r="AL385" s="261"/>
      <c r="AM385" s="262"/>
      <c r="AN385" s="258"/>
      <c r="AO385" s="258"/>
      <c r="AP385" s="319"/>
      <c r="AQ385" s="319"/>
      <c r="AR385" s="319"/>
      <c r="AS385" s="319"/>
      <c r="AT385" s="319"/>
      <c r="AU385" s="320"/>
      <c r="AV385" s="320"/>
      <c r="AW385" s="320"/>
      <c r="AX385" s="320"/>
      <c r="AY385" s="316"/>
      <c r="AZ385" s="316"/>
      <c r="BA385" s="316"/>
      <c r="BB385" s="316"/>
      <c r="BC385" s="316"/>
      <c r="BD385" s="316"/>
      <c r="BE385" s="316"/>
      <c r="BF385" s="316"/>
      <c r="BG385" s="316"/>
    </row>
    <row r="386" spans="1:60" s="279" customFormat="1" ht="18.75" customHeight="1">
      <c r="B386" s="316"/>
      <c r="C386" s="510" t="s">
        <v>767</v>
      </c>
      <c r="D386" s="510"/>
      <c r="E386" s="510"/>
      <c r="F386" s="510"/>
      <c r="G386" s="510"/>
      <c r="H386" s="320"/>
      <c r="J386" s="320"/>
      <c r="K386" s="320"/>
      <c r="L386" s="320"/>
      <c r="M386" s="320"/>
      <c r="N386" s="320"/>
      <c r="O386" s="320"/>
      <c r="P386" s="320"/>
      <c r="Q386" s="320"/>
      <c r="R386" s="320"/>
      <c r="S386" s="320"/>
      <c r="T386" s="320"/>
      <c r="U386" s="320"/>
      <c r="W386" s="320"/>
      <c r="X386" s="254" t="s">
        <v>977</v>
      </c>
      <c r="Y386" s="320"/>
      <c r="Z386" s="320"/>
      <c r="AA386" s="320"/>
      <c r="AB386" s="320"/>
      <c r="AC386" s="320"/>
      <c r="AD386" s="320"/>
      <c r="AE386" s="316"/>
      <c r="AF386" s="316"/>
      <c r="AG386" s="316"/>
      <c r="AH386" s="316"/>
      <c r="AI386" s="316"/>
      <c r="AJ386" s="316"/>
      <c r="AK386" s="316"/>
      <c r="AL386" s="316"/>
      <c r="AM386" s="316"/>
      <c r="AN386" s="316"/>
      <c r="AO386" s="316"/>
      <c r="AP386" s="316"/>
      <c r="AQ386" s="316"/>
      <c r="AR386" s="316"/>
      <c r="AS386" s="316"/>
      <c r="AT386" s="316"/>
      <c r="AU386" s="316"/>
      <c r="AV386" s="316"/>
      <c r="AW386" s="316"/>
      <c r="AX386" s="316"/>
      <c r="AY386" s="316"/>
      <c r="AZ386" s="316"/>
      <c r="BA386" s="316"/>
      <c r="BB386" s="316"/>
      <c r="BC386" s="316"/>
      <c r="BD386" s="316"/>
      <c r="BE386" s="316"/>
      <c r="BF386" s="316"/>
      <c r="BG386" s="316"/>
    </row>
    <row r="387" spans="1:60" s="279" customFormat="1" ht="18.75" customHeight="1">
      <c r="B387" s="316"/>
      <c r="C387" s="510"/>
      <c r="D387" s="510"/>
      <c r="E387" s="510"/>
      <c r="F387" s="510"/>
      <c r="G387" s="510"/>
      <c r="H387" s="320"/>
      <c r="I387" s="320"/>
      <c r="J387" s="320"/>
      <c r="K387" s="320"/>
      <c r="L387" s="320"/>
      <c r="M387" s="320"/>
      <c r="N387" s="320"/>
      <c r="O387" s="320"/>
      <c r="P387" s="320"/>
      <c r="Q387" s="320"/>
      <c r="R387" s="320"/>
      <c r="S387" s="320"/>
      <c r="T387" s="320"/>
      <c r="U387" s="320"/>
      <c r="V387" s="320"/>
      <c r="W387" s="320"/>
      <c r="X387" s="320"/>
      <c r="Y387" s="320"/>
      <c r="Z387" s="320"/>
      <c r="AA387" s="320"/>
      <c r="AB387" s="320"/>
      <c r="AC387" s="320"/>
      <c r="AD387" s="320"/>
      <c r="AE387" s="316"/>
      <c r="AF387" s="316"/>
      <c r="AG387" s="316"/>
      <c r="AH387" s="316"/>
      <c r="AI387" s="316"/>
      <c r="AJ387" s="316"/>
      <c r="AK387" s="316"/>
      <c r="AL387" s="316"/>
      <c r="AM387" s="316"/>
      <c r="AN387" s="316"/>
      <c r="AO387" s="316"/>
      <c r="AP387" s="316"/>
      <c r="AQ387" s="316"/>
      <c r="AR387" s="316"/>
      <c r="AS387" s="316"/>
      <c r="AT387" s="316"/>
      <c r="AU387" s="316"/>
      <c r="AV387" s="316"/>
      <c r="AW387" s="316"/>
      <c r="AX387" s="316"/>
      <c r="AY387" s="316"/>
      <c r="AZ387" s="316"/>
      <c r="BA387" s="316"/>
      <c r="BB387" s="316"/>
      <c r="BC387" s="316"/>
      <c r="BD387" s="316"/>
      <c r="BE387" s="316"/>
      <c r="BF387" s="316"/>
      <c r="BG387" s="316"/>
    </row>
    <row r="388" spans="1:60" s="279" customFormat="1" ht="18.75" customHeight="1">
      <c r="B388" s="316"/>
      <c r="C388" s="253"/>
      <c r="D388" s="320"/>
      <c r="E388" s="320"/>
      <c r="F388" s="320"/>
      <c r="G388" s="316"/>
      <c r="H388" s="320"/>
      <c r="I388" s="320"/>
      <c r="J388" s="320"/>
      <c r="K388" s="320"/>
      <c r="L388" s="320"/>
      <c r="M388" s="320"/>
      <c r="N388" s="320"/>
      <c r="O388" s="320"/>
      <c r="P388" s="320"/>
      <c r="Q388" s="320"/>
      <c r="R388" s="320"/>
      <c r="S388" s="320"/>
      <c r="T388" s="320"/>
      <c r="U388" s="320"/>
      <c r="V388" s="320"/>
      <c r="W388" s="320"/>
      <c r="X388" s="320"/>
      <c r="Y388" s="320"/>
      <c r="Z388" s="320"/>
      <c r="AA388" s="320"/>
      <c r="AB388" s="320"/>
      <c r="AC388" s="320"/>
      <c r="AD388" s="320"/>
      <c r="AE388" s="316"/>
      <c r="AF388" s="320"/>
      <c r="AG388" s="316"/>
      <c r="AH388" s="316"/>
      <c r="AI388" s="316"/>
      <c r="AJ388" s="316"/>
      <c r="AK388" s="316"/>
      <c r="AL388" s="316"/>
      <c r="AM388" s="316"/>
      <c r="AN388" s="316"/>
      <c r="AO388" s="316"/>
      <c r="AP388" s="316"/>
      <c r="AQ388" s="316"/>
      <c r="AR388" s="316"/>
      <c r="AS388" s="316"/>
      <c r="AT388" s="316"/>
      <c r="AU388" s="316"/>
      <c r="AV388" s="316"/>
      <c r="AW388" s="316"/>
      <c r="AX388" s="316"/>
      <c r="AY388" s="316"/>
      <c r="AZ388" s="316"/>
      <c r="BA388" s="316"/>
      <c r="BB388" s="316"/>
      <c r="BC388" s="316"/>
      <c r="BD388" s="316"/>
      <c r="BE388" s="316"/>
      <c r="BF388" s="316"/>
      <c r="BG388" s="316"/>
    </row>
    <row r="389" spans="1:60" s="279" customFormat="1" ht="18.75" customHeight="1">
      <c r="A389" s="253" t="s">
        <v>978</v>
      </c>
      <c r="B389" s="316"/>
      <c r="C389" s="316"/>
      <c r="D389" s="316"/>
      <c r="E389" s="316"/>
      <c r="F389" s="316"/>
      <c r="G389" s="316"/>
      <c r="H389" s="316"/>
      <c r="I389" s="316"/>
      <c r="J389" s="316"/>
      <c r="K389" s="316"/>
      <c r="L389" s="316"/>
      <c r="M389" s="316"/>
      <c r="N389" s="316"/>
      <c r="O389" s="316"/>
      <c r="P389" s="316"/>
      <c r="Q389" s="316"/>
      <c r="R389" s="316"/>
      <c r="S389" s="316"/>
      <c r="T389" s="316"/>
      <c r="U389" s="316"/>
      <c r="V389" s="316"/>
      <c r="W389" s="316"/>
      <c r="X389" s="316"/>
      <c r="Y389" s="316"/>
      <c r="Z389" s="316"/>
      <c r="AA389" s="316"/>
      <c r="AB389" s="316"/>
      <c r="AC389" s="316"/>
      <c r="AD389" s="316"/>
      <c r="AE389" s="316"/>
      <c r="AF389" s="316"/>
      <c r="AG389" s="316"/>
      <c r="AH389" s="316"/>
      <c r="AI389" s="316"/>
      <c r="AJ389" s="316"/>
      <c r="AK389" s="316"/>
      <c r="AL389" s="316"/>
      <c r="AM389" s="316"/>
      <c r="AN389" s="316"/>
      <c r="AO389" s="316"/>
      <c r="AP389" s="316"/>
      <c r="AQ389" s="316"/>
      <c r="AR389" s="316"/>
      <c r="AS389" s="316"/>
      <c r="AT389" s="316"/>
      <c r="AU389" s="316"/>
      <c r="AV389" s="316"/>
      <c r="AW389" s="316"/>
      <c r="AX389" s="316"/>
      <c r="AY389" s="316"/>
      <c r="AZ389" s="316"/>
      <c r="BA389" s="316"/>
      <c r="BB389" s="316"/>
      <c r="BC389" s="316"/>
      <c r="BD389" s="316"/>
      <c r="BE389" s="316"/>
      <c r="BF389" s="316"/>
    </row>
    <row r="390" spans="1:60" s="279" customFormat="1" ht="18.75" customHeight="1">
      <c r="A390" s="316"/>
      <c r="B390" s="316"/>
      <c r="C390" s="316"/>
      <c r="D390" s="316"/>
      <c r="E390" s="316"/>
      <c r="F390" s="316"/>
      <c r="G390" s="316"/>
      <c r="H390" s="316"/>
      <c r="I390" s="316" t="s">
        <v>923</v>
      </c>
      <c r="J390" s="546" t="e">
        <f>AL322</f>
        <v>#VALUE!</v>
      </c>
      <c r="K390" s="546"/>
      <c r="L390" s="546"/>
      <c r="M390" s="317" t="s">
        <v>979</v>
      </c>
      <c r="N390" s="317"/>
      <c r="O390" s="317"/>
      <c r="P390" s="316"/>
      <c r="Q390" s="316"/>
      <c r="R390" s="316"/>
      <c r="S390" s="316"/>
      <c r="T390" s="316"/>
      <c r="U390" s="316"/>
      <c r="V390" s="316"/>
      <c r="W390" s="316"/>
      <c r="X390" s="316"/>
      <c r="Y390" s="316"/>
      <c r="Z390" s="316"/>
      <c r="AA390" s="316"/>
      <c r="AB390" s="316"/>
      <c r="AC390" s="316"/>
      <c r="AD390" s="316"/>
      <c r="AE390" s="320"/>
      <c r="AF390" s="316"/>
      <c r="AG390" s="316"/>
      <c r="AH390" s="316"/>
      <c r="AI390" s="316"/>
      <c r="AJ390" s="316"/>
      <c r="AK390" s="316"/>
      <c r="AL390" s="316"/>
      <c r="AM390" s="316"/>
      <c r="AN390" s="316"/>
      <c r="AO390" s="316"/>
      <c r="AP390" s="316"/>
      <c r="AQ390" s="316"/>
      <c r="AR390" s="316"/>
      <c r="AS390" s="316"/>
      <c r="AT390" s="316"/>
      <c r="AU390" s="316"/>
      <c r="AV390" s="316"/>
      <c r="AW390" s="316"/>
      <c r="AX390" s="316"/>
      <c r="AY390" s="316"/>
      <c r="AZ390" s="316"/>
      <c r="BA390" s="316"/>
      <c r="BB390" s="316"/>
      <c r="BC390" s="316"/>
      <c r="BD390" s="316"/>
      <c r="BE390" s="316"/>
      <c r="BF390" s="316"/>
    </row>
    <row r="391" spans="1:60" s="284" customFormat="1" ht="18.75" customHeight="1">
      <c r="C391" s="320"/>
      <c r="D391" s="320"/>
      <c r="E391" s="316"/>
      <c r="J391" s="317"/>
      <c r="K391" s="320"/>
      <c r="L391" s="320"/>
      <c r="M391" s="288"/>
      <c r="S391" s="320"/>
      <c r="U391" s="320"/>
      <c r="V391" s="320"/>
      <c r="W391" s="320"/>
      <c r="X391" s="320"/>
      <c r="Y391" s="320"/>
      <c r="Z391" s="320"/>
      <c r="AA391" s="320"/>
      <c r="AB391" s="320"/>
      <c r="AC391" s="320"/>
      <c r="AD391" s="320"/>
      <c r="AE391" s="320"/>
      <c r="AF391" s="320"/>
      <c r="AG391" s="316"/>
      <c r="AH391" s="320"/>
      <c r="AI391" s="320"/>
      <c r="AJ391" s="320"/>
      <c r="AK391" s="320"/>
      <c r="AL391" s="320"/>
      <c r="AM391" s="320"/>
      <c r="AN391" s="320"/>
      <c r="AO391" s="320"/>
      <c r="AP391" s="320"/>
      <c r="AQ391" s="320"/>
      <c r="AR391" s="320"/>
      <c r="AS391" s="320"/>
      <c r="AT391" s="320"/>
      <c r="AU391" s="320"/>
      <c r="AV391" s="320"/>
      <c r="AW391" s="320"/>
      <c r="AX391" s="320"/>
      <c r="AY391" s="320"/>
      <c r="AZ391" s="320"/>
      <c r="BA391" s="320"/>
      <c r="BB391" s="320"/>
      <c r="BC391" s="320"/>
      <c r="BD391" s="320"/>
      <c r="BE391" s="320"/>
      <c r="BF391" s="320"/>
      <c r="BG391" s="320"/>
      <c r="BH391" s="320"/>
    </row>
    <row r="392" spans="1:60" s="279" customFormat="1" ht="18.75" customHeight="1">
      <c r="A392" s="316"/>
      <c r="B392" s="316"/>
      <c r="C392" s="316"/>
      <c r="D392" s="283" t="s">
        <v>980</v>
      </c>
      <c r="E392" s="316" t="s">
        <v>716</v>
      </c>
      <c r="F392" s="546" t="e">
        <f>J390</f>
        <v>#VALUE!</v>
      </c>
      <c r="G392" s="546"/>
      <c r="H392" s="546"/>
      <c r="I392" s="317" t="s">
        <v>981</v>
      </c>
      <c r="J392" s="317"/>
      <c r="K392" s="317"/>
      <c r="L392" s="289"/>
      <c r="M392" s="289"/>
      <c r="N392" s="254"/>
      <c r="O392" s="254"/>
      <c r="P392" s="273"/>
      <c r="Q392" s="273"/>
      <c r="R392" s="320"/>
      <c r="S392" s="284"/>
      <c r="T392" s="316"/>
      <c r="U392" s="316"/>
      <c r="V392" s="316"/>
      <c r="W392" s="316"/>
      <c r="X392" s="316"/>
      <c r="Y392" s="316"/>
      <c r="Z392" s="316"/>
      <c r="AA392" s="316"/>
      <c r="AB392" s="316"/>
      <c r="AC392" s="316"/>
      <c r="AD392" s="316"/>
      <c r="AE392" s="320"/>
      <c r="AF392" s="316"/>
      <c r="AG392" s="316"/>
      <c r="AH392" s="316"/>
      <c r="AI392" s="316"/>
      <c r="AJ392" s="316"/>
      <c r="AK392" s="316"/>
      <c r="AL392" s="316"/>
      <c r="AM392" s="316"/>
      <c r="AN392" s="316"/>
      <c r="AO392" s="316"/>
      <c r="AP392" s="316"/>
      <c r="AQ392" s="316"/>
      <c r="AR392" s="316"/>
      <c r="AS392" s="316"/>
      <c r="AT392" s="316"/>
      <c r="AU392" s="316"/>
      <c r="AV392" s="316"/>
      <c r="AW392" s="316"/>
      <c r="AX392" s="316"/>
      <c r="AY392" s="316"/>
      <c r="AZ392" s="316"/>
      <c r="BE392" s="316"/>
      <c r="BF392" s="316"/>
    </row>
    <row r="393" spans="1:60" s="320" customFormat="1" ht="18.75" customHeight="1"/>
    <row r="394" spans="1:60" ht="18.75" customHeight="1">
      <c r="A394" s="253" t="s">
        <v>773</v>
      </c>
      <c r="B394" s="254"/>
      <c r="C394" s="254"/>
      <c r="D394" s="254"/>
      <c r="E394" s="254"/>
      <c r="F394" s="254"/>
      <c r="G394" s="254"/>
      <c r="H394" s="254"/>
      <c r="I394" s="254"/>
      <c r="J394" s="254"/>
      <c r="K394" s="254"/>
      <c r="L394" s="254"/>
      <c r="M394" s="254"/>
      <c r="N394" s="254"/>
      <c r="O394" s="254"/>
      <c r="P394" s="254"/>
      <c r="Q394" s="254"/>
      <c r="R394" s="254"/>
      <c r="S394" s="254"/>
      <c r="T394" s="254"/>
      <c r="U394" s="254"/>
      <c r="V394" s="254"/>
      <c r="W394" s="254"/>
      <c r="X394" s="254"/>
      <c r="Y394" s="254"/>
      <c r="Z394" s="254"/>
      <c r="AA394" s="254"/>
      <c r="AB394" s="254"/>
      <c r="AC394" s="254"/>
      <c r="AD394" s="254"/>
      <c r="AE394" s="254"/>
      <c r="AF394" s="254"/>
      <c r="AG394" s="254"/>
      <c r="AH394" s="254"/>
      <c r="AI394" s="254"/>
      <c r="AJ394" s="254"/>
      <c r="AK394" s="254"/>
      <c r="AL394" s="254"/>
      <c r="AM394" s="254"/>
      <c r="AN394" s="254"/>
      <c r="AO394" s="254"/>
      <c r="AP394" s="254"/>
      <c r="AQ394" s="254"/>
      <c r="AR394" s="254"/>
      <c r="AS394" s="254"/>
      <c r="AT394" s="254"/>
      <c r="AU394" s="254"/>
      <c r="AV394" s="254"/>
      <c r="AW394" s="254"/>
      <c r="AX394" s="254"/>
      <c r="AY394" s="254"/>
      <c r="AZ394" s="254"/>
      <c r="BA394" s="254"/>
      <c r="BB394" s="254"/>
      <c r="BC394" s="254"/>
      <c r="BD394" s="254"/>
      <c r="BE394" s="254"/>
      <c r="BF394" s="254"/>
    </row>
    <row r="395" spans="1:60" ht="18.75" customHeight="1">
      <c r="A395" s="254"/>
      <c r="B395" s="254"/>
      <c r="C395" s="254"/>
      <c r="D395" s="254"/>
      <c r="E395" s="254"/>
      <c r="F395" s="254"/>
      <c r="G395" s="254"/>
      <c r="H395" s="254"/>
      <c r="I395" s="254"/>
      <c r="J395" s="254"/>
      <c r="K395" s="254"/>
      <c r="L395" s="521" t="e">
        <f>AL327</f>
        <v>#VALUE!</v>
      </c>
      <c r="M395" s="521"/>
      <c r="N395" s="521"/>
      <c r="O395" s="521"/>
      <c r="P395" s="521"/>
      <c r="Q395" s="476" t="s">
        <v>745</v>
      </c>
      <c r="R395" s="522" t="e">
        <f>AU327</f>
        <v>#VALUE!</v>
      </c>
      <c r="S395" s="522"/>
      <c r="T395" s="522"/>
      <c r="U395" s="522"/>
      <c r="V395" s="522"/>
      <c r="W395" s="284"/>
      <c r="X395" s="284"/>
      <c r="Y395" s="284"/>
      <c r="Z395" s="284"/>
      <c r="AA395" s="284"/>
      <c r="AB395" s="284"/>
      <c r="AC395" s="284"/>
      <c r="AD395" s="284"/>
      <c r="AE395" s="284"/>
    </row>
    <row r="396" spans="1:60" ht="18.75" customHeight="1">
      <c r="A396" s="254"/>
      <c r="B396" s="254"/>
      <c r="C396" s="254"/>
      <c r="D396" s="254"/>
      <c r="E396" s="254"/>
      <c r="F396" s="254"/>
      <c r="G396" s="254"/>
      <c r="H396" s="254"/>
      <c r="I396" s="254"/>
      <c r="J396" s="254"/>
      <c r="K396" s="254"/>
      <c r="L396" s="330"/>
      <c r="M396" s="520" t="e">
        <f>AL322</f>
        <v>#VALUE!</v>
      </c>
      <c r="N396" s="520"/>
      <c r="O396" s="520"/>
      <c r="P396" s="329"/>
      <c r="Q396" s="476"/>
      <c r="R396" s="522"/>
      <c r="S396" s="522"/>
      <c r="T396" s="522"/>
      <c r="U396" s="522"/>
      <c r="V396" s="522"/>
    </row>
    <row r="397" spans="1:60" ht="18.75" customHeight="1">
      <c r="A397" s="254"/>
      <c r="B397" s="254"/>
      <c r="C397" s="254"/>
      <c r="D397" s="254"/>
      <c r="E397" s="254"/>
      <c r="F397" s="254"/>
      <c r="G397" s="254"/>
      <c r="H397" s="254"/>
      <c r="I397" s="254"/>
      <c r="J397" s="254"/>
      <c r="K397" s="254"/>
      <c r="L397" s="473" t="e">
        <f>AU322</f>
        <v>#VALUE!</v>
      </c>
      <c r="M397" s="473"/>
      <c r="N397" s="473"/>
      <c r="O397" s="473"/>
      <c r="P397" s="473"/>
    </row>
    <row r="398" spans="1:60" ht="18.75" customHeight="1">
      <c r="A398" s="254"/>
      <c r="B398" s="254"/>
      <c r="C398" s="254"/>
      <c r="D398" s="254"/>
      <c r="E398" s="254"/>
      <c r="F398" s="254"/>
      <c r="G398" s="254"/>
      <c r="H398" s="254"/>
      <c r="I398" s="254"/>
      <c r="J398" s="254"/>
      <c r="K398" s="254"/>
      <c r="L398" s="254"/>
      <c r="M398" s="254"/>
      <c r="N398" s="254"/>
      <c r="O398" s="254"/>
      <c r="P398" s="254"/>
      <c r="Q398" s="254"/>
      <c r="R398" s="254"/>
      <c r="S398" s="254"/>
      <c r="T398" s="254"/>
      <c r="U398" s="254"/>
      <c r="V398" s="254"/>
      <c r="W398" s="254"/>
      <c r="X398" s="254"/>
      <c r="Y398" s="254"/>
      <c r="Z398" s="254"/>
      <c r="AA398" s="254"/>
      <c r="AB398" s="254"/>
      <c r="AC398" s="254"/>
      <c r="AD398" s="254"/>
      <c r="AE398" s="254"/>
      <c r="AF398" s="254"/>
      <c r="AG398" s="254"/>
      <c r="AH398" s="254"/>
      <c r="AI398" s="254"/>
      <c r="AJ398" s="254"/>
      <c r="AK398" s="254"/>
      <c r="AL398" s="254"/>
      <c r="AM398" s="254"/>
      <c r="AN398" s="254"/>
      <c r="AO398" s="254"/>
      <c r="AP398" s="254"/>
      <c r="AQ398" s="254"/>
      <c r="AR398" s="254"/>
      <c r="AS398" s="254"/>
      <c r="AT398" s="254"/>
      <c r="AU398" s="254"/>
      <c r="AV398" s="254"/>
      <c r="AW398" s="254"/>
      <c r="AX398" s="254"/>
      <c r="AY398" s="254"/>
      <c r="AZ398" s="254"/>
      <c r="BA398" s="254"/>
      <c r="BB398" s="254"/>
      <c r="BC398" s="254"/>
      <c r="BD398" s="254"/>
      <c r="BE398" s="254"/>
      <c r="BF398" s="254"/>
    </row>
    <row r="399" spans="1:60" ht="18.75" customHeight="1">
      <c r="A399" s="253" t="s">
        <v>982</v>
      </c>
      <c r="B399" s="254"/>
      <c r="C399" s="254"/>
      <c r="D399" s="254"/>
      <c r="E399" s="254"/>
      <c r="F399" s="254"/>
      <c r="G399" s="254"/>
      <c r="H399" s="254"/>
      <c r="I399" s="254"/>
      <c r="J399" s="254"/>
      <c r="K399" s="254"/>
      <c r="L399" s="254"/>
      <c r="M399" s="254"/>
      <c r="N399" s="254"/>
      <c r="O399" s="254"/>
      <c r="P399" s="254"/>
      <c r="Q399" s="254"/>
      <c r="R399" s="254"/>
      <c r="S399" s="254"/>
      <c r="T399" s="254"/>
      <c r="U399" s="254"/>
      <c r="V399" s="254"/>
      <c r="W399" s="254"/>
      <c r="X399" s="254"/>
      <c r="Y399" s="254"/>
      <c r="Z399" s="254"/>
      <c r="AA399" s="254"/>
      <c r="AB399" s="254"/>
      <c r="AC399" s="254"/>
      <c r="AD399" s="254"/>
      <c r="AE399" s="254"/>
      <c r="AF399" s="254"/>
      <c r="AG399" s="254"/>
      <c r="AH399" s="254"/>
      <c r="AI399" s="254"/>
      <c r="AJ399" s="254"/>
      <c r="AK399" s="254"/>
      <c r="AL399" s="254"/>
      <c r="AM399" s="254"/>
      <c r="AN399" s="254"/>
      <c r="AO399" s="254"/>
      <c r="AP399" s="254"/>
      <c r="AQ399" s="254"/>
      <c r="AR399" s="254"/>
      <c r="AS399" s="254"/>
      <c r="AT399" s="254"/>
      <c r="AU399" s="254"/>
      <c r="AV399" s="254"/>
      <c r="AW399" s="254"/>
      <c r="AX399" s="254"/>
      <c r="AY399" s="254"/>
      <c r="AZ399" s="254"/>
      <c r="BA399" s="254"/>
      <c r="BB399" s="254"/>
      <c r="BC399" s="254"/>
      <c r="BD399" s="254"/>
    </row>
    <row r="400" spans="1:60" ht="18.75" customHeight="1">
      <c r="A400" s="253"/>
      <c r="B400" s="254" t="s">
        <v>885</v>
      </c>
      <c r="C400" s="254"/>
      <c r="D400" s="254"/>
      <c r="E400" s="254"/>
      <c r="F400" s="254"/>
      <c r="G400" s="254"/>
      <c r="H400" s="254"/>
      <c r="I400" s="254"/>
      <c r="J400" s="254"/>
      <c r="K400" s="254"/>
      <c r="L400" s="254"/>
      <c r="M400" s="254"/>
      <c r="N400" s="254"/>
      <c r="O400" s="254"/>
      <c r="P400" s="254"/>
      <c r="Q400" s="254"/>
      <c r="R400" s="254"/>
      <c r="S400" s="254"/>
      <c r="T400" s="254"/>
      <c r="U400" s="254"/>
      <c r="V400" s="254"/>
      <c r="W400" s="254"/>
      <c r="X400" s="254"/>
      <c r="Y400" s="254"/>
      <c r="Z400" s="254"/>
      <c r="AA400" s="254"/>
      <c r="AB400" s="254"/>
      <c r="AC400" s="254"/>
      <c r="AD400" s="254"/>
      <c r="AE400" s="254"/>
      <c r="AF400" s="254"/>
      <c r="AG400" s="254"/>
      <c r="AH400" s="254"/>
      <c r="AI400" s="254"/>
      <c r="AJ400" s="254"/>
      <c r="AK400" s="254"/>
      <c r="AL400" s="254"/>
      <c r="AM400" s="254"/>
      <c r="AN400" s="254"/>
      <c r="AO400" s="254"/>
      <c r="AP400" s="254"/>
      <c r="AQ400" s="254"/>
      <c r="AR400" s="254"/>
      <c r="AS400" s="254"/>
      <c r="AT400" s="254"/>
      <c r="AU400" s="254"/>
      <c r="AV400" s="254"/>
      <c r="AW400" s="254"/>
      <c r="AX400" s="254"/>
      <c r="AY400" s="254"/>
      <c r="AZ400" s="254"/>
      <c r="BA400" s="254"/>
      <c r="BB400" s="254"/>
      <c r="BC400" s="254"/>
      <c r="BD400" s="254"/>
    </row>
    <row r="401" spans="1:56" ht="18.75" customHeight="1">
      <c r="A401" s="253"/>
      <c r="B401" s="254"/>
      <c r="C401" s="320" t="s">
        <v>983</v>
      </c>
      <c r="D401" s="254"/>
      <c r="E401" s="254"/>
      <c r="F401" s="254"/>
      <c r="G401" s="254"/>
      <c r="H401" s="254"/>
      <c r="I401" s="254"/>
      <c r="J401" s="254"/>
      <c r="K401" s="254"/>
      <c r="L401" s="254"/>
      <c r="M401" s="254"/>
      <c r="N401" s="254"/>
      <c r="O401" s="254"/>
      <c r="P401" s="254"/>
      <c r="Q401" s="254"/>
      <c r="R401" s="254"/>
      <c r="S401" s="254"/>
      <c r="T401" s="254"/>
      <c r="U401" s="254"/>
      <c r="V401" s="254"/>
      <c r="W401" s="254"/>
      <c r="X401" s="254"/>
      <c r="Y401" s="254"/>
      <c r="Z401" s="254"/>
      <c r="AA401" s="254"/>
      <c r="AB401" s="254"/>
      <c r="AC401" s="254"/>
      <c r="AD401" s="254"/>
      <c r="AE401" s="254"/>
      <c r="AF401" s="254"/>
      <c r="AG401" s="254"/>
      <c r="AH401" s="254"/>
      <c r="AI401" s="254"/>
      <c r="AJ401" s="254"/>
      <c r="AK401" s="254"/>
      <c r="AL401" s="254"/>
      <c r="AM401" s="254"/>
      <c r="AN401" s="254"/>
      <c r="AO401" s="254"/>
      <c r="AP401" s="254"/>
      <c r="AQ401" s="254"/>
      <c r="AR401" s="254"/>
      <c r="AS401" s="254"/>
      <c r="AT401" s="254"/>
      <c r="AU401" s="254"/>
      <c r="AV401" s="254"/>
      <c r="AW401" s="254"/>
      <c r="AX401" s="254"/>
      <c r="AY401" s="254"/>
      <c r="AZ401" s="254"/>
      <c r="BA401" s="254"/>
      <c r="BB401" s="254"/>
      <c r="BC401" s="254"/>
      <c r="BD401" s="254"/>
    </row>
    <row r="402" spans="1:56" ht="18.75" customHeight="1">
      <c r="A402" s="253"/>
      <c r="B402" s="254"/>
      <c r="C402" s="254"/>
      <c r="D402" s="254"/>
      <c r="E402" s="256"/>
      <c r="F402" s="254"/>
      <c r="G402" s="254"/>
      <c r="H402" s="332" t="s">
        <v>886</v>
      </c>
      <c r="I402" s="476" t="e">
        <f ca="1">Calcu!C141</f>
        <v>#VALUE!</v>
      </c>
      <c r="J402" s="476"/>
      <c r="K402" s="476"/>
      <c r="L402" s="323" t="s">
        <v>511</v>
      </c>
      <c r="M402" s="546" t="e">
        <f>F392</f>
        <v>#VALUE!</v>
      </c>
      <c r="N402" s="546"/>
      <c r="O402" s="546"/>
      <c r="P402" s="317" t="s">
        <v>979</v>
      </c>
      <c r="Q402" s="317"/>
      <c r="R402" s="323" t="s">
        <v>716</v>
      </c>
      <c r="S402" s="552" t="e">
        <f ca="1">M402*I402</f>
        <v>#VALUE!</v>
      </c>
      <c r="T402" s="552"/>
      <c r="U402" s="552"/>
      <c r="V402" s="317" t="s">
        <v>981</v>
      </c>
      <c r="W402" s="317"/>
      <c r="X402" s="317"/>
      <c r="Y402" s="273"/>
      <c r="AA402" s="270"/>
      <c r="AB402" s="270"/>
      <c r="AC402" s="270"/>
      <c r="AD402" s="270"/>
      <c r="AE402" s="317"/>
      <c r="AF402" s="317"/>
      <c r="AG402" s="317"/>
      <c r="AH402" s="317"/>
      <c r="AI402" s="320"/>
      <c r="AK402" s="273"/>
      <c r="AL402" s="273"/>
      <c r="AM402" s="316"/>
      <c r="AN402" s="320"/>
      <c r="AO402" s="320"/>
      <c r="AP402" s="320"/>
      <c r="AQ402" s="320"/>
      <c r="AR402" s="320"/>
      <c r="AS402" s="320"/>
      <c r="AT402" s="254"/>
      <c r="AU402" s="254"/>
      <c r="AV402" s="254"/>
      <c r="AW402" s="254"/>
      <c r="AX402" s="254"/>
      <c r="AY402" s="254"/>
      <c r="AZ402" s="254"/>
      <c r="BA402" s="254"/>
      <c r="BB402" s="254"/>
      <c r="BC402" s="254"/>
    </row>
  </sheetData>
  <mergeCells count="1354">
    <mergeCell ref="F392:H392"/>
    <mergeCell ref="L395:P395"/>
    <mergeCell ref="Q395:Q396"/>
    <mergeCell ref="R395:V396"/>
    <mergeCell ref="M396:O396"/>
    <mergeCell ref="L397:P397"/>
    <mergeCell ref="I402:K402"/>
    <mergeCell ref="M402:O402"/>
    <mergeCell ref="S402:U402"/>
    <mergeCell ref="H377:K377"/>
    <mergeCell ref="W378:X378"/>
    <mergeCell ref="J380:M381"/>
    <mergeCell ref="N380:N381"/>
    <mergeCell ref="O380:P380"/>
    <mergeCell ref="S380:S381"/>
    <mergeCell ref="T380:V381"/>
    <mergeCell ref="W380:X381"/>
    <mergeCell ref="O381:R381"/>
    <mergeCell ref="I382:P382"/>
    <mergeCell ref="C383:H384"/>
    <mergeCell ref="O383:P384"/>
    <mergeCell ref="L385:M385"/>
    <mergeCell ref="O385:Q385"/>
    <mergeCell ref="V385:X385"/>
    <mergeCell ref="C386:G387"/>
    <mergeCell ref="J390:L390"/>
    <mergeCell ref="C361:H362"/>
    <mergeCell ref="O361:P362"/>
    <mergeCell ref="L363:M363"/>
    <mergeCell ref="O363:Q363"/>
    <mergeCell ref="V363:X363"/>
    <mergeCell ref="H367:K367"/>
    <mergeCell ref="AD368:AF368"/>
    <mergeCell ref="AH368:AJ368"/>
    <mergeCell ref="P369:R369"/>
    <mergeCell ref="U369:W369"/>
    <mergeCell ref="Z369:AB369"/>
    <mergeCell ref="I370:P370"/>
    <mergeCell ref="C371:H372"/>
    <mergeCell ref="O371:P372"/>
    <mergeCell ref="L373:M373"/>
    <mergeCell ref="O373:Q373"/>
    <mergeCell ref="V373:X373"/>
    <mergeCell ref="I349:P349"/>
    <mergeCell ref="C350:H351"/>
    <mergeCell ref="O350:P351"/>
    <mergeCell ref="L352:M352"/>
    <mergeCell ref="O352:Q352"/>
    <mergeCell ref="V352:X352"/>
    <mergeCell ref="H356:K356"/>
    <mergeCell ref="AC357:AE357"/>
    <mergeCell ref="J358:M359"/>
    <mergeCell ref="N358:N359"/>
    <mergeCell ref="P358:P359"/>
    <mergeCell ref="Q358:S358"/>
    <mergeCell ref="V358:V359"/>
    <mergeCell ref="W358:Y359"/>
    <mergeCell ref="Z358:AA359"/>
    <mergeCell ref="Q359:U359"/>
    <mergeCell ref="I360:P360"/>
    <mergeCell ref="AP338:AP339"/>
    <mergeCell ref="AQ338:AU339"/>
    <mergeCell ref="T339:V339"/>
    <mergeCell ref="X339:X340"/>
    <mergeCell ref="Z339:AB339"/>
    <mergeCell ref="AD339:AD340"/>
    <mergeCell ref="AF339:AH339"/>
    <mergeCell ref="AJ339:AJ340"/>
    <mergeCell ref="AL339:AN339"/>
    <mergeCell ref="S340:W340"/>
    <mergeCell ref="Y340:AC340"/>
    <mergeCell ref="AE340:AI340"/>
    <mergeCell ref="AK340:AO340"/>
    <mergeCell ref="H345:K345"/>
    <mergeCell ref="P346:R346"/>
    <mergeCell ref="J347:M348"/>
    <mergeCell ref="N347:N348"/>
    <mergeCell ref="O347:P347"/>
    <mergeCell ref="Q347:Q348"/>
    <mergeCell ref="R347:T347"/>
    <mergeCell ref="W347:W348"/>
    <mergeCell ref="X347:Z348"/>
    <mergeCell ref="AA347:AB348"/>
    <mergeCell ref="O348:P348"/>
    <mergeCell ref="H331:K331"/>
    <mergeCell ref="L331:O331"/>
    <mergeCell ref="J332:L332"/>
    <mergeCell ref="O332:Q332"/>
    <mergeCell ref="S332:U332"/>
    <mergeCell ref="O333:Q333"/>
    <mergeCell ref="T333:V333"/>
    <mergeCell ref="Y333:AA333"/>
    <mergeCell ref="AD333:AF333"/>
    <mergeCell ref="AI333:AK333"/>
    <mergeCell ref="I334:M334"/>
    <mergeCell ref="C335:H336"/>
    <mergeCell ref="N335:O336"/>
    <mergeCell ref="N337:P337"/>
    <mergeCell ref="U337:W337"/>
    <mergeCell ref="C338:G339"/>
    <mergeCell ref="S338:AO338"/>
    <mergeCell ref="B326:D326"/>
    <mergeCell ref="E326:I326"/>
    <mergeCell ref="J326:R326"/>
    <mergeCell ref="S326:Y326"/>
    <mergeCell ref="Z326:AA326"/>
    <mergeCell ref="AB326:AF326"/>
    <mergeCell ref="AG326:AK326"/>
    <mergeCell ref="AL326:AR326"/>
    <mergeCell ref="AS326:AT326"/>
    <mergeCell ref="AU326:AY326"/>
    <mergeCell ref="B327:D327"/>
    <mergeCell ref="E327:I327"/>
    <mergeCell ref="J327:N327"/>
    <mergeCell ref="O327:R327"/>
    <mergeCell ref="S327:AA327"/>
    <mergeCell ref="AB327:AF327"/>
    <mergeCell ref="AG327:AK327"/>
    <mergeCell ref="AL327:AP327"/>
    <mergeCell ref="AQ327:AT327"/>
    <mergeCell ref="AU327:AY327"/>
    <mergeCell ref="B324:D324"/>
    <mergeCell ref="E324:I324"/>
    <mergeCell ref="J324:R324"/>
    <mergeCell ref="S324:Y324"/>
    <mergeCell ref="Z324:AA324"/>
    <mergeCell ref="AB324:AF324"/>
    <mergeCell ref="AG324:AK324"/>
    <mergeCell ref="AL324:AR324"/>
    <mergeCell ref="AS324:AT324"/>
    <mergeCell ref="AU324:AY324"/>
    <mergeCell ref="B325:D325"/>
    <mergeCell ref="E325:I325"/>
    <mergeCell ref="J325:R325"/>
    <mergeCell ref="S325:Y325"/>
    <mergeCell ref="Z325:AA325"/>
    <mergeCell ref="AB325:AF325"/>
    <mergeCell ref="AG325:AK325"/>
    <mergeCell ref="AL325:AR325"/>
    <mergeCell ref="AS325:AT325"/>
    <mergeCell ref="AU325:AY325"/>
    <mergeCell ref="B322:D322"/>
    <mergeCell ref="E322:I322"/>
    <mergeCell ref="J322:N322"/>
    <mergeCell ref="O322:R322"/>
    <mergeCell ref="S322:W322"/>
    <mergeCell ref="X322:AA322"/>
    <mergeCell ref="AB322:AF322"/>
    <mergeCell ref="AG322:AK322"/>
    <mergeCell ref="AL322:AP322"/>
    <mergeCell ref="AQ322:AT322"/>
    <mergeCell ref="AU322:AY322"/>
    <mergeCell ref="B323:D323"/>
    <mergeCell ref="E323:I323"/>
    <mergeCell ref="J323:R323"/>
    <mergeCell ref="S323:Y323"/>
    <mergeCell ref="Z323:AA323"/>
    <mergeCell ref="AB323:AF323"/>
    <mergeCell ref="AG323:AK323"/>
    <mergeCell ref="AL323:AR323"/>
    <mergeCell ref="AS323:AT323"/>
    <mergeCell ref="AU323:AY323"/>
    <mergeCell ref="C310:E310"/>
    <mergeCell ref="B319:D321"/>
    <mergeCell ref="E319:I319"/>
    <mergeCell ref="J319:R319"/>
    <mergeCell ref="S319:AA319"/>
    <mergeCell ref="AB319:AF319"/>
    <mergeCell ref="AG319:AK319"/>
    <mergeCell ref="AL319:AT319"/>
    <mergeCell ref="AU319:AY319"/>
    <mergeCell ref="E320:I320"/>
    <mergeCell ref="J320:R320"/>
    <mergeCell ref="S320:AA320"/>
    <mergeCell ref="AB320:AF320"/>
    <mergeCell ref="AG320:AK320"/>
    <mergeCell ref="AL320:AT320"/>
    <mergeCell ref="AU320:AY320"/>
    <mergeCell ref="E321:I321"/>
    <mergeCell ref="J321:R321"/>
    <mergeCell ref="S321:AA321"/>
    <mergeCell ref="AB321:AF321"/>
    <mergeCell ref="AG321:AK321"/>
    <mergeCell ref="AL321:AT321"/>
    <mergeCell ref="AU321:AY321"/>
    <mergeCell ref="B303:F303"/>
    <mergeCell ref="G303:K303"/>
    <mergeCell ref="L303:P303"/>
    <mergeCell ref="Q303:U303"/>
    <mergeCell ref="V303:Z303"/>
    <mergeCell ref="AA303:AE303"/>
    <mergeCell ref="AF303:AJ303"/>
    <mergeCell ref="AK303:AO303"/>
    <mergeCell ref="B304:F304"/>
    <mergeCell ref="G304:K304"/>
    <mergeCell ref="L304:P304"/>
    <mergeCell ref="Q304:U304"/>
    <mergeCell ref="V304:Z304"/>
    <mergeCell ref="AA304:AE304"/>
    <mergeCell ref="AF304:AJ304"/>
    <mergeCell ref="AK304:AO304"/>
    <mergeCell ref="C309:E309"/>
    <mergeCell ref="B299:F301"/>
    <mergeCell ref="G299:AE299"/>
    <mergeCell ref="AF299:AJ300"/>
    <mergeCell ref="AK299:AO300"/>
    <mergeCell ref="G300:K300"/>
    <mergeCell ref="L300:P300"/>
    <mergeCell ref="Q300:U300"/>
    <mergeCell ref="V300:Z300"/>
    <mergeCell ref="AA300:AE300"/>
    <mergeCell ref="G301:K301"/>
    <mergeCell ref="L301:P301"/>
    <mergeCell ref="Q301:U301"/>
    <mergeCell ref="V301:Z301"/>
    <mergeCell ref="AA301:AE301"/>
    <mergeCell ref="AF301:AJ301"/>
    <mergeCell ref="AK301:AO301"/>
    <mergeCell ref="B302:F302"/>
    <mergeCell ref="G302:K302"/>
    <mergeCell ref="L302:P302"/>
    <mergeCell ref="Q302:U302"/>
    <mergeCell ref="V302:Z302"/>
    <mergeCell ref="AA302:AE302"/>
    <mergeCell ref="AF302:AJ302"/>
    <mergeCell ref="AK302:AO302"/>
    <mergeCell ref="L286:P286"/>
    <mergeCell ref="R286:V286"/>
    <mergeCell ref="X286:AB286"/>
    <mergeCell ref="I291:K291"/>
    <mergeCell ref="M291:O291"/>
    <mergeCell ref="T291:V291"/>
    <mergeCell ref="F279:H279"/>
    <mergeCell ref="F281:H281"/>
    <mergeCell ref="L284:AB284"/>
    <mergeCell ref="AC284:AC285"/>
    <mergeCell ref="AD284:AH285"/>
    <mergeCell ref="M285:O285"/>
    <mergeCell ref="Q285:Q286"/>
    <mergeCell ref="S285:U285"/>
    <mergeCell ref="W285:W286"/>
    <mergeCell ref="Y285:AA285"/>
    <mergeCell ref="W272:Y272"/>
    <mergeCell ref="C273:G274"/>
    <mergeCell ref="F278:H278"/>
    <mergeCell ref="L278:M278"/>
    <mergeCell ref="N278:P278"/>
    <mergeCell ref="T278:U278"/>
    <mergeCell ref="V278:X278"/>
    <mergeCell ref="I269:P269"/>
    <mergeCell ref="C270:H271"/>
    <mergeCell ref="T270:V271"/>
    <mergeCell ref="O271:P271"/>
    <mergeCell ref="L272:N272"/>
    <mergeCell ref="P272:R272"/>
    <mergeCell ref="W260:Y260"/>
    <mergeCell ref="H264:K264"/>
    <mergeCell ref="W265:X265"/>
    <mergeCell ref="K267:M268"/>
    <mergeCell ref="N267:N268"/>
    <mergeCell ref="O267:P267"/>
    <mergeCell ref="S267:S268"/>
    <mergeCell ref="T267:V268"/>
    <mergeCell ref="W267:X268"/>
    <mergeCell ref="O268:R268"/>
    <mergeCell ref="P256:S256"/>
    <mergeCell ref="I257:P257"/>
    <mergeCell ref="C258:H259"/>
    <mergeCell ref="T258:V259"/>
    <mergeCell ref="P259:Q259"/>
    <mergeCell ref="L260:N260"/>
    <mergeCell ref="P260:R260"/>
    <mergeCell ref="H253:K253"/>
    <mergeCell ref="L253:O253"/>
    <mergeCell ref="Z254:AB254"/>
    <mergeCell ref="J255:L256"/>
    <mergeCell ref="M255:M256"/>
    <mergeCell ref="O255:O256"/>
    <mergeCell ref="P255:Q255"/>
    <mergeCell ref="T255:T256"/>
    <mergeCell ref="U255:W256"/>
    <mergeCell ref="X255:Y256"/>
    <mergeCell ref="Z244:AA245"/>
    <mergeCell ref="Q245:U245"/>
    <mergeCell ref="I246:P246"/>
    <mergeCell ref="C247:H248"/>
    <mergeCell ref="L249:M249"/>
    <mergeCell ref="O249:Q249"/>
    <mergeCell ref="V249:X249"/>
    <mergeCell ref="J244:M245"/>
    <mergeCell ref="N244:N245"/>
    <mergeCell ref="P244:P245"/>
    <mergeCell ref="Q244:S244"/>
    <mergeCell ref="V244:V245"/>
    <mergeCell ref="W244:Y245"/>
    <mergeCell ref="O247:P248"/>
    <mergeCell ref="L238:M238"/>
    <mergeCell ref="O238:Q238"/>
    <mergeCell ref="V238:X238"/>
    <mergeCell ref="H242:K242"/>
    <mergeCell ref="L242:O242"/>
    <mergeCell ref="AC243:AE243"/>
    <mergeCell ref="W233:W234"/>
    <mergeCell ref="X233:Z234"/>
    <mergeCell ref="AA233:AB234"/>
    <mergeCell ref="O234:P234"/>
    <mergeCell ref="I235:P235"/>
    <mergeCell ref="C236:H237"/>
    <mergeCell ref="H231:K231"/>
    <mergeCell ref="L231:O231"/>
    <mergeCell ref="P232:R232"/>
    <mergeCell ref="J233:M234"/>
    <mergeCell ref="N233:N234"/>
    <mergeCell ref="O233:P233"/>
    <mergeCell ref="Q233:Q234"/>
    <mergeCell ref="R233:T233"/>
    <mergeCell ref="O236:P237"/>
    <mergeCell ref="W223:Y223"/>
    <mergeCell ref="C224:G225"/>
    <mergeCell ref="S224:AC224"/>
    <mergeCell ref="AD224:AD225"/>
    <mergeCell ref="AE224:AI225"/>
    <mergeCell ref="T225:V225"/>
    <mergeCell ref="X225:X226"/>
    <mergeCell ref="Z225:AB225"/>
    <mergeCell ref="S226:W226"/>
    <mergeCell ref="Y226:AC226"/>
    <mergeCell ref="I220:M220"/>
    <mergeCell ref="C221:H222"/>
    <mergeCell ref="T221:V222"/>
    <mergeCell ref="P222:Q222"/>
    <mergeCell ref="L223:N223"/>
    <mergeCell ref="P223:R223"/>
    <mergeCell ref="J219:L219"/>
    <mergeCell ref="O219:Q219"/>
    <mergeCell ref="S219:U219"/>
    <mergeCell ref="Z219:AB219"/>
    <mergeCell ref="AE219:AG219"/>
    <mergeCell ref="AJ219:AL219"/>
    <mergeCell ref="AB214:AF214"/>
    <mergeCell ref="AG214:AK214"/>
    <mergeCell ref="AL214:AP214"/>
    <mergeCell ref="AQ214:AT214"/>
    <mergeCell ref="AU214:AY214"/>
    <mergeCell ref="H218:K218"/>
    <mergeCell ref="L218:O218"/>
    <mergeCell ref="AB213:AF213"/>
    <mergeCell ref="AG213:AI213"/>
    <mergeCell ref="AL213:AP213"/>
    <mergeCell ref="AQ213:AT213"/>
    <mergeCell ref="AU213:AY213"/>
    <mergeCell ref="B214:D214"/>
    <mergeCell ref="E214:I214"/>
    <mergeCell ref="J214:N214"/>
    <mergeCell ref="O214:R214"/>
    <mergeCell ref="S214:AA214"/>
    <mergeCell ref="B213:D213"/>
    <mergeCell ref="E213:I213"/>
    <mergeCell ref="J213:N213"/>
    <mergeCell ref="O213:R213"/>
    <mergeCell ref="S213:W213"/>
    <mergeCell ref="X213:AA213"/>
    <mergeCell ref="X212:AA212"/>
    <mergeCell ref="AB212:AF212"/>
    <mergeCell ref="AG212:AI212"/>
    <mergeCell ref="AL212:AP212"/>
    <mergeCell ref="AQ212:AT212"/>
    <mergeCell ref="AU212:AY212"/>
    <mergeCell ref="AB211:AF211"/>
    <mergeCell ref="AG211:AK211"/>
    <mergeCell ref="AL211:AR211"/>
    <mergeCell ref="AS211:AT211"/>
    <mergeCell ref="AU211:AY211"/>
    <mergeCell ref="B212:D212"/>
    <mergeCell ref="E212:I212"/>
    <mergeCell ref="J212:N212"/>
    <mergeCell ref="O212:R212"/>
    <mergeCell ref="S212:W212"/>
    <mergeCell ref="B211:D211"/>
    <mergeCell ref="E211:I211"/>
    <mergeCell ref="J211:O211"/>
    <mergeCell ref="P211:R211"/>
    <mergeCell ref="S211:Y211"/>
    <mergeCell ref="Z211:AA211"/>
    <mergeCell ref="AB206:AF206"/>
    <mergeCell ref="AG206:AK206"/>
    <mergeCell ref="AL206:AT206"/>
    <mergeCell ref="AU206:AY206"/>
    <mergeCell ref="Z210:AA210"/>
    <mergeCell ref="AB210:AF210"/>
    <mergeCell ref="AG210:AK210"/>
    <mergeCell ref="AL210:AR210"/>
    <mergeCell ref="AS210:AT210"/>
    <mergeCell ref="AU210:AY210"/>
    <mergeCell ref="AB209:AF209"/>
    <mergeCell ref="AG209:AI209"/>
    <mergeCell ref="AL209:AP209"/>
    <mergeCell ref="AQ209:AT209"/>
    <mergeCell ref="AU209:AY209"/>
    <mergeCell ref="B210:D210"/>
    <mergeCell ref="E210:I210"/>
    <mergeCell ref="J210:O210"/>
    <mergeCell ref="P210:R210"/>
    <mergeCell ref="S210:Y210"/>
    <mergeCell ref="B209:D209"/>
    <mergeCell ref="E209:I209"/>
    <mergeCell ref="J209:N209"/>
    <mergeCell ref="O209:R209"/>
    <mergeCell ref="S209:W209"/>
    <mergeCell ref="X209:AA209"/>
    <mergeCell ref="C193:E193"/>
    <mergeCell ref="C194:E194"/>
    <mergeCell ref="C195:E195"/>
    <mergeCell ref="C196:E196"/>
    <mergeCell ref="C197:E197"/>
    <mergeCell ref="B206:D208"/>
    <mergeCell ref="E206:I206"/>
    <mergeCell ref="E207:I207"/>
    <mergeCell ref="E208:I208"/>
    <mergeCell ref="AU186:AY186"/>
    <mergeCell ref="G187:P187"/>
    <mergeCell ref="Q187:U187"/>
    <mergeCell ref="V187:Z187"/>
    <mergeCell ref="AA187:AE187"/>
    <mergeCell ref="AF187:AJ187"/>
    <mergeCell ref="AK187:AO187"/>
    <mergeCell ref="AP187:AT187"/>
    <mergeCell ref="AU187:AY187"/>
    <mergeCell ref="J208:R208"/>
    <mergeCell ref="S208:AA208"/>
    <mergeCell ref="AB208:AF208"/>
    <mergeCell ref="AG208:AK208"/>
    <mergeCell ref="AL208:AT208"/>
    <mergeCell ref="AU208:AY208"/>
    <mergeCell ref="J207:R207"/>
    <mergeCell ref="S207:AA207"/>
    <mergeCell ref="AB207:AF207"/>
    <mergeCell ref="AG207:AK207"/>
    <mergeCell ref="AL207:AT207"/>
    <mergeCell ref="AU207:AY207"/>
    <mergeCell ref="J206:R206"/>
    <mergeCell ref="S206:AA206"/>
    <mergeCell ref="AP185:AT185"/>
    <mergeCell ref="AU185:AY185"/>
    <mergeCell ref="B186:F187"/>
    <mergeCell ref="G186:P186"/>
    <mergeCell ref="Q186:U186"/>
    <mergeCell ref="V186:Z186"/>
    <mergeCell ref="AA186:AE186"/>
    <mergeCell ref="AF186:AJ186"/>
    <mergeCell ref="AK186:AO186"/>
    <mergeCell ref="AP186:AT186"/>
    <mergeCell ref="G185:P185"/>
    <mergeCell ref="Q185:U185"/>
    <mergeCell ref="V185:Z185"/>
    <mergeCell ref="AA185:AE185"/>
    <mergeCell ref="AF185:AJ185"/>
    <mergeCell ref="AK185:AO185"/>
    <mergeCell ref="AU183:AY183"/>
    <mergeCell ref="B184:F185"/>
    <mergeCell ref="G184:P184"/>
    <mergeCell ref="Q184:U184"/>
    <mergeCell ref="V184:Z184"/>
    <mergeCell ref="AA184:AE184"/>
    <mergeCell ref="AF184:AJ184"/>
    <mergeCell ref="AK184:AO184"/>
    <mergeCell ref="AP184:AT184"/>
    <mergeCell ref="AU184:AY184"/>
    <mergeCell ref="AK182:AO182"/>
    <mergeCell ref="AP182:AT182"/>
    <mergeCell ref="AU182:AY182"/>
    <mergeCell ref="L183:P183"/>
    <mergeCell ref="Q183:U183"/>
    <mergeCell ref="V183:Z183"/>
    <mergeCell ref="AA183:AE183"/>
    <mergeCell ref="AF183:AJ183"/>
    <mergeCell ref="AK183:AO183"/>
    <mergeCell ref="AP183:AT183"/>
    <mergeCell ref="AK181:AO181"/>
    <mergeCell ref="AP181:AT181"/>
    <mergeCell ref="AU181:AY181"/>
    <mergeCell ref="B182:F183"/>
    <mergeCell ref="G182:K183"/>
    <mergeCell ref="L182:P182"/>
    <mergeCell ref="Q182:U182"/>
    <mergeCell ref="V182:Z182"/>
    <mergeCell ref="AA182:AE182"/>
    <mergeCell ref="AF182:AJ182"/>
    <mergeCell ref="AA180:AE180"/>
    <mergeCell ref="AF180:AJ180"/>
    <mergeCell ref="AK180:AO180"/>
    <mergeCell ref="AP180:AT180"/>
    <mergeCell ref="AU180:AY180"/>
    <mergeCell ref="L181:P181"/>
    <mergeCell ref="Q181:U181"/>
    <mergeCell ref="V181:Z181"/>
    <mergeCell ref="AA181:AE181"/>
    <mergeCell ref="AF181:AJ181"/>
    <mergeCell ref="AA179:AE179"/>
    <mergeCell ref="AF179:AJ179"/>
    <mergeCell ref="AK179:AO179"/>
    <mergeCell ref="AP179:AT179"/>
    <mergeCell ref="AU179:AY179"/>
    <mergeCell ref="B180:F181"/>
    <mergeCell ref="G180:K181"/>
    <mergeCell ref="L180:P180"/>
    <mergeCell ref="Q180:U180"/>
    <mergeCell ref="V180:Z180"/>
    <mergeCell ref="AP177:AT178"/>
    <mergeCell ref="AU177:AY178"/>
    <mergeCell ref="Q178:U178"/>
    <mergeCell ref="V178:Z178"/>
    <mergeCell ref="AA178:AE178"/>
    <mergeCell ref="AF178:AJ178"/>
    <mergeCell ref="AK178:AO178"/>
    <mergeCell ref="I170:K170"/>
    <mergeCell ref="M170:O170"/>
    <mergeCell ref="Q170:S170"/>
    <mergeCell ref="B177:F179"/>
    <mergeCell ref="G177:K178"/>
    <mergeCell ref="L177:P179"/>
    <mergeCell ref="Q177:AO177"/>
    <mergeCell ref="G179:K179"/>
    <mergeCell ref="Q179:U179"/>
    <mergeCell ref="V179:Z179"/>
    <mergeCell ref="AE164:AG164"/>
    <mergeCell ref="AI164:AI165"/>
    <mergeCell ref="AK164:AM164"/>
    <mergeCell ref="L165:P165"/>
    <mergeCell ref="R165:V165"/>
    <mergeCell ref="X165:AB165"/>
    <mergeCell ref="AD165:AH165"/>
    <mergeCell ref="AJ165:AN165"/>
    <mergeCell ref="F160:H160"/>
    <mergeCell ref="L163:AN163"/>
    <mergeCell ref="AO163:AO164"/>
    <mergeCell ref="AP163:AT164"/>
    <mergeCell ref="M164:O164"/>
    <mergeCell ref="Q164:Q165"/>
    <mergeCell ref="S164:U164"/>
    <mergeCell ref="W164:W165"/>
    <mergeCell ref="Y164:AA164"/>
    <mergeCell ref="AC164:AC165"/>
    <mergeCell ref="G157:I157"/>
    <mergeCell ref="M157:O157"/>
    <mergeCell ref="S157:U157"/>
    <mergeCell ref="Y157:AA157"/>
    <mergeCell ref="AE157:AG157"/>
    <mergeCell ref="G158:I158"/>
    <mergeCell ref="I148:P148"/>
    <mergeCell ref="C149:H150"/>
    <mergeCell ref="N151:Q151"/>
    <mergeCell ref="T151:W151"/>
    <mergeCell ref="Z151:AA151"/>
    <mergeCell ref="C152:G153"/>
    <mergeCell ref="H142:O142"/>
    <mergeCell ref="AC143:AE143"/>
    <mergeCell ref="K146:M147"/>
    <mergeCell ref="N146:N147"/>
    <mergeCell ref="O146:R146"/>
    <mergeCell ref="S146:S147"/>
    <mergeCell ref="T146:W147"/>
    <mergeCell ref="O147:R147"/>
    <mergeCell ref="I134:P134"/>
    <mergeCell ref="C135:H136"/>
    <mergeCell ref="N137:Q137"/>
    <mergeCell ref="T137:W137"/>
    <mergeCell ref="Z137:AA137"/>
    <mergeCell ref="C138:G139"/>
    <mergeCell ref="K132:M133"/>
    <mergeCell ref="N132:N133"/>
    <mergeCell ref="O132:R132"/>
    <mergeCell ref="S132:S133"/>
    <mergeCell ref="T132:W133"/>
    <mergeCell ref="O133:R133"/>
    <mergeCell ref="C125:G126"/>
    <mergeCell ref="H129:O129"/>
    <mergeCell ref="T130:X130"/>
    <mergeCell ref="K131:M131"/>
    <mergeCell ref="N131:P131"/>
    <mergeCell ref="R131:U131"/>
    <mergeCell ref="Y119:AB120"/>
    <mergeCell ref="O120:R120"/>
    <mergeCell ref="T120:W120"/>
    <mergeCell ref="I121:P121"/>
    <mergeCell ref="C122:H123"/>
    <mergeCell ref="N124:Q124"/>
    <mergeCell ref="T124:W124"/>
    <mergeCell ref="Z124:AA124"/>
    <mergeCell ref="H117:O117"/>
    <mergeCell ref="P118:R118"/>
    <mergeCell ref="S118:U118"/>
    <mergeCell ref="W118:Z118"/>
    <mergeCell ref="K119:M120"/>
    <mergeCell ref="N119:N120"/>
    <mergeCell ref="O119:R119"/>
    <mergeCell ref="S119:S120"/>
    <mergeCell ref="T119:W119"/>
    <mergeCell ref="X119:X120"/>
    <mergeCell ref="U108:U109"/>
    <mergeCell ref="V108:Y109"/>
    <mergeCell ref="N109:O109"/>
    <mergeCell ref="I110:P110"/>
    <mergeCell ref="C111:H112"/>
    <mergeCell ref="L113:M113"/>
    <mergeCell ref="O113:R113"/>
    <mergeCell ref="U113:X113"/>
    <mergeCell ref="H106:K106"/>
    <mergeCell ref="L106:O106"/>
    <mergeCell ref="P107:R107"/>
    <mergeCell ref="S107:U107"/>
    <mergeCell ref="W107:Z107"/>
    <mergeCell ref="J108:L109"/>
    <mergeCell ref="M108:M109"/>
    <mergeCell ref="N108:O108"/>
    <mergeCell ref="P108:P109"/>
    <mergeCell ref="Q108:T108"/>
    <mergeCell ref="AE95:AH96"/>
    <mergeCell ref="Q96:AC96"/>
    <mergeCell ref="I97:M97"/>
    <mergeCell ref="C98:H99"/>
    <mergeCell ref="N100:R100"/>
    <mergeCell ref="U100:Y100"/>
    <mergeCell ref="AD92:AE92"/>
    <mergeCell ref="AF92:AI92"/>
    <mergeCell ref="AP94:AR94"/>
    <mergeCell ref="K95:M96"/>
    <mergeCell ref="N95:N96"/>
    <mergeCell ref="P95:P96"/>
    <mergeCell ref="R95:S95"/>
    <mergeCell ref="T95:W95"/>
    <mergeCell ref="Y95:AA95"/>
    <mergeCell ref="AD95:AD96"/>
    <mergeCell ref="AG87:AK87"/>
    <mergeCell ref="AL87:AP87"/>
    <mergeCell ref="AQ87:AT87"/>
    <mergeCell ref="AU87:AY87"/>
    <mergeCell ref="H91:K91"/>
    <mergeCell ref="L91:O91"/>
    <mergeCell ref="B87:D87"/>
    <mergeCell ref="E87:I87"/>
    <mergeCell ref="J87:N87"/>
    <mergeCell ref="O87:R87"/>
    <mergeCell ref="S87:AA87"/>
    <mergeCell ref="AB87:AF87"/>
    <mergeCell ref="X86:AA86"/>
    <mergeCell ref="AB86:AF86"/>
    <mergeCell ref="AG86:AK86"/>
    <mergeCell ref="AL86:AP86"/>
    <mergeCell ref="AQ86:AT86"/>
    <mergeCell ref="AU86:AY86"/>
    <mergeCell ref="AB85:AF85"/>
    <mergeCell ref="AG85:AK85"/>
    <mergeCell ref="AL85:AP85"/>
    <mergeCell ref="AQ85:AT85"/>
    <mergeCell ref="AU85:AY85"/>
    <mergeCell ref="B86:D86"/>
    <mergeCell ref="E86:I86"/>
    <mergeCell ref="J86:N86"/>
    <mergeCell ref="O86:R86"/>
    <mergeCell ref="S86:W86"/>
    <mergeCell ref="B85:D85"/>
    <mergeCell ref="E85:I85"/>
    <mergeCell ref="J85:N85"/>
    <mergeCell ref="O85:R85"/>
    <mergeCell ref="S85:W85"/>
    <mergeCell ref="X85:AA85"/>
    <mergeCell ref="X84:AA84"/>
    <mergeCell ref="AB84:AF84"/>
    <mergeCell ref="AG84:AK84"/>
    <mergeCell ref="AL84:AP84"/>
    <mergeCell ref="AQ84:AT84"/>
    <mergeCell ref="AU84:AY84"/>
    <mergeCell ref="AB83:AF83"/>
    <mergeCell ref="AG83:AK83"/>
    <mergeCell ref="AL83:AP83"/>
    <mergeCell ref="AQ83:AT83"/>
    <mergeCell ref="AU83:AY83"/>
    <mergeCell ref="B84:D84"/>
    <mergeCell ref="E84:I84"/>
    <mergeCell ref="J84:N84"/>
    <mergeCell ref="O84:R84"/>
    <mergeCell ref="S84:W84"/>
    <mergeCell ref="AG82:AK82"/>
    <mergeCell ref="AL82:AP82"/>
    <mergeCell ref="AQ82:AT82"/>
    <mergeCell ref="AU82:AY82"/>
    <mergeCell ref="B83:D83"/>
    <mergeCell ref="E83:I83"/>
    <mergeCell ref="J83:N83"/>
    <mergeCell ref="O83:R83"/>
    <mergeCell ref="S83:W83"/>
    <mergeCell ref="X83:AA83"/>
    <mergeCell ref="B82:D82"/>
    <mergeCell ref="E82:I82"/>
    <mergeCell ref="J82:N82"/>
    <mergeCell ref="O82:R82"/>
    <mergeCell ref="S82:W82"/>
    <mergeCell ref="X82:AA82"/>
    <mergeCell ref="AB82:AF82"/>
    <mergeCell ref="AG79:AK79"/>
    <mergeCell ref="AL79:AT79"/>
    <mergeCell ref="AU79:AY79"/>
    <mergeCell ref="E80:I80"/>
    <mergeCell ref="J80:R80"/>
    <mergeCell ref="S80:AA80"/>
    <mergeCell ref="AB80:AF80"/>
    <mergeCell ref="AG80:AK80"/>
    <mergeCell ref="AL80:AT80"/>
    <mergeCell ref="AU80:AY80"/>
    <mergeCell ref="C70:E70"/>
    <mergeCell ref="B79:D81"/>
    <mergeCell ref="E79:I79"/>
    <mergeCell ref="J79:R79"/>
    <mergeCell ref="S79:AA79"/>
    <mergeCell ref="AB79:AF79"/>
    <mergeCell ref="E81:I81"/>
    <mergeCell ref="J81:R81"/>
    <mergeCell ref="S81:AA81"/>
    <mergeCell ref="AB81:AF81"/>
    <mergeCell ref="BG60:BJ60"/>
    <mergeCell ref="C65:E65"/>
    <mergeCell ref="C66:E66"/>
    <mergeCell ref="C67:E67"/>
    <mergeCell ref="C68:E68"/>
    <mergeCell ref="C69:E69"/>
    <mergeCell ref="AI60:AL60"/>
    <mergeCell ref="AM60:AP60"/>
    <mergeCell ref="AQ60:AT60"/>
    <mergeCell ref="AU60:AX60"/>
    <mergeCell ref="AY60:BB60"/>
    <mergeCell ref="BC60:BF60"/>
    <mergeCell ref="AG81:AK81"/>
    <mergeCell ref="AL81:AT81"/>
    <mergeCell ref="AU81:AY81"/>
    <mergeCell ref="BC59:BF59"/>
    <mergeCell ref="BG59:BJ59"/>
    <mergeCell ref="B60:F60"/>
    <mergeCell ref="G60:J60"/>
    <mergeCell ref="K60:N60"/>
    <mergeCell ref="O60:R60"/>
    <mergeCell ref="S60:V60"/>
    <mergeCell ref="W60:Z60"/>
    <mergeCell ref="AA60:AD60"/>
    <mergeCell ref="AE60:AH60"/>
    <mergeCell ref="AE59:AH59"/>
    <mergeCell ref="AI59:AL59"/>
    <mergeCell ref="AM59:AP59"/>
    <mergeCell ref="AQ59:AT59"/>
    <mergeCell ref="AU59:AX59"/>
    <mergeCell ref="AY59:BB59"/>
    <mergeCell ref="AY58:BB58"/>
    <mergeCell ref="BC58:BF58"/>
    <mergeCell ref="BG58:BJ58"/>
    <mergeCell ref="B59:F59"/>
    <mergeCell ref="G59:J59"/>
    <mergeCell ref="K59:N59"/>
    <mergeCell ref="O59:R59"/>
    <mergeCell ref="S59:V59"/>
    <mergeCell ref="W59:Z59"/>
    <mergeCell ref="AA59:AD59"/>
    <mergeCell ref="AA58:AD58"/>
    <mergeCell ref="AE58:AH58"/>
    <mergeCell ref="AI58:AL58"/>
    <mergeCell ref="AM58:AP58"/>
    <mergeCell ref="AQ58:AT58"/>
    <mergeCell ref="AU58:AX58"/>
    <mergeCell ref="B58:F58"/>
    <mergeCell ref="G58:J58"/>
    <mergeCell ref="K58:N58"/>
    <mergeCell ref="O58:R58"/>
    <mergeCell ref="S58:V58"/>
    <mergeCell ref="W58:Z58"/>
    <mergeCell ref="AM57:AP57"/>
    <mergeCell ref="AQ57:AT57"/>
    <mergeCell ref="AU57:AX57"/>
    <mergeCell ref="AY57:BB57"/>
    <mergeCell ref="BC57:BF57"/>
    <mergeCell ref="BG57:BJ57"/>
    <mergeCell ref="BG56:BJ56"/>
    <mergeCell ref="B57:F57"/>
    <mergeCell ref="G57:J57"/>
    <mergeCell ref="K57:N57"/>
    <mergeCell ref="O57:R57"/>
    <mergeCell ref="S57:V57"/>
    <mergeCell ref="W57:Z57"/>
    <mergeCell ref="AA57:AD57"/>
    <mergeCell ref="AE57:AH57"/>
    <mergeCell ref="AI57:AL57"/>
    <mergeCell ref="AI56:AL56"/>
    <mergeCell ref="AM56:AP56"/>
    <mergeCell ref="AQ56:AT56"/>
    <mergeCell ref="AU56:AX56"/>
    <mergeCell ref="AY56:BB56"/>
    <mergeCell ref="BC56:BF56"/>
    <mergeCell ref="BC55:BF55"/>
    <mergeCell ref="BG55:BJ55"/>
    <mergeCell ref="B56:F56"/>
    <mergeCell ref="G56:J56"/>
    <mergeCell ref="K56:N56"/>
    <mergeCell ref="O56:R56"/>
    <mergeCell ref="S56:V56"/>
    <mergeCell ref="W56:Z56"/>
    <mergeCell ref="AA56:AD56"/>
    <mergeCell ref="AE56:AH56"/>
    <mergeCell ref="AE55:AH55"/>
    <mergeCell ref="AI55:AL55"/>
    <mergeCell ref="AM55:AP55"/>
    <mergeCell ref="AQ55:AT55"/>
    <mergeCell ref="AU55:AX55"/>
    <mergeCell ref="AY55:BB55"/>
    <mergeCell ref="AY54:BB54"/>
    <mergeCell ref="BC54:BF54"/>
    <mergeCell ref="BG54:BJ54"/>
    <mergeCell ref="B55:F55"/>
    <mergeCell ref="G55:J55"/>
    <mergeCell ref="K55:N55"/>
    <mergeCell ref="O55:R55"/>
    <mergeCell ref="S55:V55"/>
    <mergeCell ref="W55:Z55"/>
    <mergeCell ref="AA55:AD55"/>
    <mergeCell ref="AA54:AD54"/>
    <mergeCell ref="AE54:AH54"/>
    <mergeCell ref="AI54:AL54"/>
    <mergeCell ref="AM54:AP54"/>
    <mergeCell ref="AQ54:AT54"/>
    <mergeCell ref="AU54:AX54"/>
    <mergeCell ref="B54:F54"/>
    <mergeCell ref="G54:J54"/>
    <mergeCell ref="K54:N54"/>
    <mergeCell ref="O54:R54"/>
    <mergeCell ref="S54:V54"/>
    <mergeCell ref="W54:Z54"/>
    <mergeCell ref="AM53:AP53"/>
    <mergeCell ref="AQ53:AT53"/>
    <mergeCell ref="AU53:AX53"/>
    <mergeCell ref="AY53:BB53"/>
    <mergeCell ref="BC53:BF53"/>
    <mergeCell ref="BG53:BJ53"/>
    <mergeCell ref="BG52:BJ52"/>
    <mergeCell ref="B53:F53"/>
    <mergeCell ref="G53:J53"/>
    <mergeCell ref="K53:N53"/>
    <mergeCell ref="O53:R53"/>
    <mergeCell ref="S53:V53"/>
    <mergeCell ref="W53:Z53"/>
    <mergeCell ref="AA53:AD53"/>
    <mergeCell ref="AE53:AH53"/>
    <mergeCell ref="AI53:AL53"/>
    <mergeCell ref="AI52:AL52"/>
    <mergeCell ref="AM52:AP52"/>
    <mergeCell ref="AQ52:AT52"/>
    <mergeCell ref="AU52:AX52"/>
    <mergeCell ref="AY52:BB52"/>
    <mergeCell ref="BC52:BF52"/>
    <mergeCell ref="BC51:BF51"/>
    <mergeCell ref="BG51:BJ51"/>
    <mergeCell ref="B52:F52"/>
    <mergeCell ref="G52:J52"/>
    <mergeCell ref="K52:N52"/>
    <mergeCell ref="O52:R52"/>
    <mergeCell ref="S52:V52"/>
    <mergeCell ref="W52:Z52"/>
    <mergeCell ref="AA52:AD52"/>
    <mergeCell ref="AE52:AH52"/>
    <mergeCell ref="AE51:AH51"/>
    <mergeCell ref="AI51:AL51"/>
    <mergeCell ref="AM51:AP51"/>
    <mergeCell ref="AQ51:AT51"/>
    <mergeCell ref="AU51:AX51"/>
    <mergeCell ref="AY51:BB51"/>
    <mergeCell ref="AY50:BB50"/>
    <mergeCell ref="BC50:BF50"/>
    <mergeCell ref="BG50:BJ50"/>
    <mergeCell ref="B51:F51"/>
    <mergeCell ref="G51:J51"/>
    <mergeCell ref="K51:N51"/>
    <mergeCell ref="O51:R51"/>
    <mergeCell ref="S51:V51"/>
    <mergeCell ref="W51:Z51"/>
    <mergeCell ref="AA51:AD51"/>
    <mergeCell ref="AA50:AD50"/>
    <mergeCell ref="AE50:AH50"/>
    <mergeCell ref="AI50:AL50"/>
    <mergeCell ref="AM50:AP50"/>
    <mergeCell ref="AQ50:AT50"/>
    <mergeCell ref="AU50:AX50"/>
    <mergeCell ref="B50:F50"/>
    <mergeCell ref="G50:J50"/>
    <mergeCell ref="K50:N50"/>
    <mergeCell ref="O50:R50"/>
    <mergeCell ref="S50:V50"/>
    <mergeCell ref="W50:Z50"/>
    <mergeCell ref="BG46:BJ46"/>
    <mergeCell ref="B48:F49"/>
    <mergeCell ref="G48:BJ48"/>
    <mergeCell ref="G49:N49"/>
    <mergeCell ref="O49:V49"/>
    <mergeCell ref="W49:AD49"/>
    <mergeCell ref="AE49:AL49"/>
    <mergeCell ref="AM49:AT49"/>
    <mergeCell ref="AU49:BB49"/>
    <mergeCell ref="BC49:BJ49"/>
    <mergeCell ref="AI46:AL46"/>
    <mergeCell ref="AM46:AP46"/>
    <mergeCell ref="AQ46:AT46"/>
    <mergeCell ref="AU46:AX46"/>
    <mergeCell ref="AY46:BB46"/>
    <mergeCell ref="BC46:BF46"/>
    <mergeCell ref="BC45:BF45"/>
    <mergeCell ref="BG45:BJ45"/>
    <mergeCell ref="B46:F46"/>
    <mergeCell ref="G46:J46"/>
    <mergeCell ref="K46:N46"/>
    <mergeCell ref="O46:R46"/>
    <mergeCell ref="S46:V46"/>
    <mergeCell ref="W46:Z46"/>
    <mergeCell ref="AA46:AD46"/>
    <mergeCell ref="AE46:AH46"/>
    <mergeCell ref="AE45:AH45"/>
    <mergeCell ref="AI45:AL45"/>
    <mergeCell ref="AM45:AP45"/>
    <mergeCell ref="AQ45:AT45"/>
    <mergeCell ref="AU45:AX45"/>
    <mergeCell ref="AY45:BB45"/>
    <mergeCell ref="AY44:BB44"/>
    <mergeCell ref="BC44:BF44"/>
    <mergeCell ref="BG44:BJ44"/>
    <mergeCell ref="B45:F45"/>
    <mergeCell ref="G45:J45"/>
    <mergeCell ref="K45:N45"/>
    <mergeCell ref="O45:R45"/>
    <mergeCell ref="S45:V45"/>
    <mergeCell ref="W45:Z45"/>
    <mergeCell ref="AA45:AD45"/>
    <mergeCell ref="AA44:AD44"/>
    <mergeCell ref="AE44:AH44"/>
    <mergeCell ref="AI44:AL44"/>
    <mergeCell ref="AM44:AP44"/>
    <mergeCell ref="AQ44:AT44"/>
    <mergeCell ref="AU44:AX44"/>
    <mergeCell ref="B44:F44"/>
    <mergeCell ref="G44:J44"/>
    <mergeCell ref="K44:N44"/>
    <mergeCell ref="O44:R44"/>
    <mergeCell ref="S44:V44"/>
    <mergeCell ref="W44:Z44"/>
    <mergeCell ref="AM43:AP43"/>
    <mergeCell ref="AQ43:AT43"/>
    <mergeCell ref="AU43:AX43"/>
    <mergeCell ref="AY43:BB43"/>
    <mergeCell ref="BC43:BF43"/>
    <mergeCell ref="BG43:BJ43"/>
    <mergeCell ref="BG42:BJ42"/>
    <mergeCell ref="B43:F43"/>
    <mergeCell ref="G43:J43"/>
    <mergeCell ref="K43:N43"/>
    <mergeCell ref="O43:R43"/>
    <mergeCell ref="S43:V43"/>
    <mergeCell ref="W43:Z43"/>
    <mergeCell ref="AA43:AD43"/>
    <mergeCell ref="AE43:AH43"/>
    <mergeCell ref="AI43:AL43"/>
    <mergeCell ref="AI42:AL42"/>
    <mergeCell ref="AM42:AP42"/>
    <mergeCell ref="AQ42:AT42"/>
    <mergeCell ref="AU42:AX42"/>
    <mergeCell ref="AY42:BB42"/>
    <mergeCell ref="BC42:BF42"/>
    <mergeCell ref="BC41:BF41"/>
    <mergeCell ref="BG41:BJ41"/>
    <mergeCell ref="B42:F42"/>
    <mergeCell ref="G42:J42"/>
    <mergeCell ref="K42:N42"/>
    <mergeCell ref="O42:R42"/>
    <mergeCell ref="S42:V42"/>
    <mergeCell ref="W42:Z42"/>
    <mergeCell ref="AA42:AD42"/>
    <mergeCell ref="AE42:AH42"/>
    <mergeCell ref="AE41:AH41"/>
    <mergeCell ref="AI41:AL41"/>
    <mergeCell ref="AM41:AP41"/>
    <mergeCell ref="AQ41:AT41"/>
    <mergeCell ref="AU41:AX41"/>
    <mergeCell ref="AY41:BB41"/>
    <mergeCell ref="AY40:BB40"/>
    <mergeCell ref="BC40:BF40"/>
    <mergeCell ref="BG40:BJ40"/>
    <mergeCell ref="B41:F41"/>
    <mergeCell ref="G41:J41"/>
    <mergeCell ref="K41:N41"/>
    <mergeCell ref="O41:R41"/>
    <mergeCell ref="S41:V41"/>
    <mergeCell ref="W41:Z41"/>
    <mergeCell ref="AA41:AD41"/>
    <mergeCell ref="AA40:AD40"/>
    <mergeCell ref="AE40:AH40"/>
    <mergeCell ref="AI40:AL40"/>
    <mergeCell ref="AM40:AP40"/>
    <mergeCell ref="AQ40:AT40"/>
    <mergeCell ref="AU40:AX40"/>
    <mergeCell ref="B40:F40"/>
    <mergeCell ref="G40:J40"/>
    <mergeCell ref="K40:N40"/>
    <mergeCell ref="O40:R40"/>
    <mergeCell ref="S40:V40"/>
    <mergeCell ref="W40:Z40"/>
    <mergeCell ref="AM39:AP39"/>
    <mergeCell ref="AQ39:AT39"/>
    <mergeCell ref="AU39:AX39"/>
    <mergeCell ref="AY39:BB39"/>
    <mergeCell ref="BC39:BF39"/>
    <mergeCell ref="BG39:BJ39"/>
    <mergeCell ref="BG38:BJ38"/>
    <mergeCell ref="B39:F39"/>
    <mergeCell ref="G39:J39"/>
    <mergeCell ref="K39:N39"/>
    <mergeCell ref="O39:R39"/>
    <mergeCell ref="S39:V39"/>
    <mergeCell ref="W39:Z39"/>
    <mergeCell ref="AA39:AD39"/>
    <mergeCell ref="AE39:AH39"/>
    <mergeCell ref="AI39:AL39"/>
    <mergeCell ref="AI38:AL38"/>
    <mergeCell ref="AM38:AP38"/>
    <mergeCell ref="AQ38:AT38"/>
    <mergeCell ref="AU38:AX38"/>
    <mergeCell ref="AY38:BB38"/>
    <mergeCell ref="BC38:BF38"/>
    <mergeCell ref="BC37:BF37"/>
    <mergeCell ref="BG37:BJ37"/>
    <mergeCell ref="B38:F38"/>
    <mergeCell ref="G38:J38"/>
    <mergeCell ref="K38:N38"/>
    <mergeCell ref="O38:R38"/>
    <mergeCell ref="S38:V38"/>
    <mergeCell ref="W38:Z38"/>
    <mergeCell ref="AA38:AD38"/>
    <mergeCell ref="AE38:AH38"/>
    <mergeCell ref="AE37:AH37"/>
    <mergeCell ref="AI37:AL37"/>
    <mergeCell ref="AM37:AP37"/>
    <mergeCell ref="AQ37:AT37"/>
    <mergeCell ref="AU37:AX37"/>
    <mergeCell ref="AY37:BB37"/>
    <mergeCell ref="AY36:BB36"/>
    <mergeCell ref="BC36:BF36"/>
    <mergeCell ref="BG36:BJ36"/>
    <mergeCell ref="B37:F37"/>
    <mergeCell ref="G37:J37"/>
    <mergeCell ref="K37:N37"/>
    <mergeCell ref="O37:R37"/>
    <mergeCell ref="S37:V37"/>
    <mergeCell ref="W37:Z37"/>
    <mergeCell ref="AA37:AD37"/>
    <mergeCell ref="AA36:AD36"/>
    <mergeCell ref="AE36:AH36"/>
    <mergeCell ref="AI36:AL36"/>
    <mergeCell ref="AM36:AP36"/>
    <mergeCell ref="AQ36:AT36"/>
    <mergeCell ref="AU36:AX36"/>
    <mergeCell ref="B36:F36"/>
    <mergeCell ref="G36:J36"/>
    <mergeCell ref="K36:N36"/>
    <mergeCell ref="O36:R36"/>
    <mergeCell ref="S36:V36"/>
    <mergeCell ref="W36:Z36"/>
    <mergeCell ref="B34:F35"/>
    <mergeCell ref="G34:BJ34"/>
    <mergeCell ref="G35:N35"/>
    <mergeCell ref="O35:V35"/>
    <mergeCell ref="W35:AD35"/>
    <mergeCell ref="AE35:AL35"/>
    <mergeCell ref="AM35:AT35"/>
    <mergeCell ref="AU35:BB35"/>
    <mergeCell ref="BC35:BJ35"/>
    <mergeCell ref="AB31:AE31"/>
    <mergeCell ref="AF31:AI31"/>
    <mergeCell ref="AJ31:AM31"/>
    <mergeCell ref="AN31:AQ31"/>
    <mergeCell ref="AR31:AU31"/>
    <mergeCell ref="AV31:AY31"/>
    <mergeCell ref="B31:F31"/>
    <mergeCell ref="G31:K31"/>
    <mergeCell ref="L31:O31"/>
    <mergeCell ref="P31:S31"/>
    <mergeCell ref="T31:W31"/>
    <mergeCell ref="X31:AA31"/>
    <mergeCell ref="AB30:AE30"/>
    <mergeCell ref="AF30:AI30"/>
    <mergeCell ref="AJ30:AM30"/>
    <mergeCell ref="AN30:AQ30"/>
    <mergeCell ref="AR30:AU30"/>
    <mergeCell ref="AV30:AY30"/>
    <mergeCell ref="B30:F30"/>
    <mergeCell ref="G30:K30"/>
    <mergeCell ref="L30:O30"/>
    <mergeCell ref="P30:S30"/>
    <mergeCell ref="T30:W30"/>
    <mergeCell ref="X30:AA30"/>
    <mergeCell ref="AB29:AE29"/>
    <mergeCell ref="AF29:AI29"/>
    <mergeCell ref="AJ29:AM29"/>
    <mergeCell ref="AN29:AQ29"/>
    <mergeCell ref="AR29:AU29"/>
    <mergeCell ref="AV29:AY29"/>
    <mergeCell ref="B29:F29"/>
    <mergeCell ref="G29:K29"/>
    <mergeCell ref="L29:O29"/>
    <mergeCell ref="P29:S29"/>
    <mergeCell ref="T29:W29"/>
    <mergeCell ref="X29:AA29"/>
    <mergeCell ref="AB28:AE28"/>
    <mergeCell ref="AF28:AI28"/>
    <mergeCell ref="AJ28:AM28"/>
    <mergeCell ref="AN28:AQ28"/>
    <mergeCell ref="AR28:AU28"/>
    <mergeCell ref="AV28:AY28"/>
    <mergeCell ref="B28:F28"/>
    <mergeCell ref="G28:K28"/>
    <mergeCell ref="L28:O28"/>
    <mergeCell ref="P28:S28"/>
    <mergeCell ref="T28:W28"/>
    <mergeCell ref="X28:AA28"/>
    <mergeCell ref="AB27:AE27"/>
    <mergeCell ref="AF27:AI27"/>
    <mergeCell ref="AJ27:AM27"/>
    <mergeCell ref="AN27:AQ27"/>
    <mergeCell ref="AR27:AU27"/>
    <mergeCell ref="AV27:AY27"/>
    <mergeCell ref="B27:F27"/>
    <mergeCell ref="G27:K27"/>
    <mergeCell ref="L27:O27"/>
    <mergeCell ref="P27:S27"/>
    <mergeCell ref="T27:W27"/>
    <mergeCell ref="X27:AA27"/>
    <mergeCell ref="AB26:AE26"/>
    <mergeCell ref="AF26:AI26"/>
    <mergeCell ref="AJ26:AM26"/>
    <mergeCell ref="AN26:AQ26"/>
    <mergeCell ref="AR26:AU26"/>
    <mergeCell ref="AV26:AY26"/>
    <mergeCell ref="B26:F26"/>
    <mergeCell ref="G26:K26"/>
    <mergeCell ref="L26:O26"/>
    <mergeCell ref="P26:S26"/>
    <mergeCell ref="T26:W26"/>
    <mergeCell ref="X26:AA26"/>
    <mergeCell ref="AB25:AE25"/>
    <mergeCell ref="AF25:AI25"/>
    <mergeCell ref="AJ25:AM25"/>
    <mergeCell ref="AN25:AQ25"/>
    <mergeCell ref="AR25:AU25"/>
    <mergeCell ref="AV25:AY25"/>
    <mergeCell ref="B25:F25"/>
    <mergeCell ref="G25:K25"/>
    <mergeCell ref="L25:O25"/>
    <mergeCell ref="P25:S25"/>
    <mergeCell ref="T25:W25"/>
    <mergeCell ref="X25:AA25"/>
    <mergeCell ref="AB24:AE24"/>
    <mergeCell ref="AF24:AI24"/>
    <mergeCell ref="AJ24:AM24"/>
    <mergeCell ref="AN24:AQ24"/>
    <mergeCell ref="AR24:AU24"/>
    <mergeCell ref="AV24:AY24"/>
    <mergeCell ref="B24:F24"/>
    <mergeCell ref="G24:K24"/>
    <mergeCell ref="L24:O24"/>
    <mergeCell ref="P24:S24"/>
    <mergeCell ref="T24:W24"/>
    <mergeCell ref="X24:AA24"/>
    <mergeCell ref="AB23:AE23"/>
    <mergeCell ref="AF23:AI23"/>
    <mergeCell ref="AJ23:AM23"/>
    <mergeCell ref="AN23:AQ23"/>
    <mergeCell ref="AR23:AU23"/>
    <mergeCell ref="AV23:AY23"/>
    <mergeCell ref="B23:F23"/>
    <mergeCell ref="G23:K23"/>
    <mergeCell ref="L23:O23"/>
    <mergeCell ref="P23:S23"/>
    <mergeCell ref="T23:W23"/>
    <mergeCell ref="X23:AA23"/>
    <mergeCell ref="AB22:AE22"/>
    <mergeCell ref="AF22:AI22"/>
    <mergeCell ref="AJ22:AM22"/>
    <mergeCell ref="AN22:AQ22"/>
    <mergeCell ref="AR22:AU22"/>
    <mergeCell ref="AV22:AY22"/>
    <mergeCell ref="AJ21:AM21"/>
    <mergeCell ref="AN21:AQ21"/>
    <mergeCell ref="AR21:AU21"/>
    <mergeCell ref="AV21:AY21"/>
    <mergeCell ref="B22:F22"/>
    <mergeCell ref="G22:K22"/>
    <mergeCell ref="L22:O22"/>
    <mergeCell ref="P22:S22"/>
    <mergeCell ref="T22:W22"/>
    <mergeCell ref="X22:AA22"/>
    <mergeCell ref="AB20:AI20"/>
    <mergeCell ref="AJ20:AQ20"/>
    <mergeCell ref="AR20:AY20"/>
    <mergeCell ref="B21:F21"/>
    <mergeCell ref="L21:O21"/>
    <mergeCell ref="P21:S21"/>
    <mergeCell ref="T21:W21"/>
    <mergeCell ref="X21:AA21"/>
    <mergeCell ref="AB21:AE21"/>
    <mergeCell ref="AF21:AI21"/>
    <mergeCell ref="AF17:AI17"/>
    <mergeCell ref="AJ17:AM17"/>
    <mergeCell ref="AN17:AQ17"/>
    <mergeCell ref="AR17:AU17"/>
    <mergeCell ref="AV17:AY17"/>
    <mergeCell ref="B19:F20"/>
    <mergeCell ref="G19:K21"/>
    <mergeCell ref="L19:AY19"/>
    <mergeCell ref="L20:S20"/>
    <mergeCell ref="T20:AA20"/>
    <mergeCell ref="AN16:AQ16"/>
    <mergeCell ref="AR16:AU16"/>
    <mergeCell ref="AV16:AY16"/>
    <mergeCell ref="B17:F17"/>
    <mergeCell ref="G17:K17"/>
    <mergeCell ref="L17:O17"/>
    <mergeCell ref="P17:S17"/>
    <mergeCell ref="T17:W17"/>
    <mergeCell ref="X17:AA17"/>
    <mergeCell ref="AB17:AE17"/>
    <mergeCell ref="AV15:AY15"/>
    <mergeCell ref="B16:F16"/>
    <mergeCell ref="G16:K16"/>
    <mergeCell ref="L16:O16"/>
    <mergeCell ref="P16:S16"/>
    <mergeCell ref="T16:W16"/>
    <mergeCell ref="X16:AA16"/>
    <mergeCell ref="AB16:AE16"/>
    <mergeCell ref="AF16:AI16"/>
    <mergeCell ref="AJ16:AM16"/>
    <mergeCell ref="X15:AA15"/>
    <mergeCell ref="AB15:AE15"/>
    <mergeCell ref="AF15:AI15"/>
    <mergeCell ref="AJ15:AM15"/>
    <mergeCell ref="AN15:AQ15"/>
    <mergeCell ref="AR15:AU15"/>
    <mergeCell ref="AF14:AI14"/>
    <mergeCell ref="AJ14:AM14"/>
    <mergeCell ref="AN14:AQ14"/>
    <mergeCell ref="AR14:AU14"/>
    <mergeCell ref="AV14:AY14"/>
    <mergeCell ref="B15:F15"/>
    <mergeCell ref="G15:K15"/>
    <mergeCell ref="L15:O15"/>
    <mergeCell ref="P15:S15"/>
    <mergeCell ref="T15:W15"/>
    <mergeCell ref="AN13:AQ13"/>
    <mergeCell ref="AR13:AU13"/>
    <mergeCell ref="AV13:AY13"/>
    <mergeCell ref="B14:F14"/>
    <mergeCell ref="G14:K14"/>
    <mergeCell ref="L14:O14"/>
    <mergeCell ref="P14:S14"/>
    <mergeCell ref="T14:W14"/>
    <mergeCell ref="X14:AA14"/>
    <mergeCell ref="AB14:AE14"/>
    <mergeCell ref="AV12:AY12"/>
    <mergeCell ref="B13:F13"/>
    <mergeCell ref="G13:K13"/>
    <mergeCell ref="L13:O13"/>
    <mergeCell ref="P13:S13"/>
    <mergeCell ref="T13:W13"/>
    <mergeCell ref="X13:AA13"/>
    <mergeCell ref="AB13:AE13"/>
    <mergeCell ref="AF13:AI13"/>
    <mergeCell ref="AJ13:AM13"/>
    <mergeCell ref="X12:AA12"/>
    <mergeCell ref="AB12:AE12"/>
    <mergeCell ref="AF12:AI12"/>
    <mergeCell ref="AJ12:AM12"/>
    <mergeCell ref="AN12:AQ12"/>
    <mergeCell ref="AR12:AU12"/>
    <mergeCell ref="AF11:AI11"/>
    <mergeCell ref="AJ11:AM11"/>
    <mergeCell ref="AN11:AQ11"/>
    <mergeCell ref="AR11:AU11"/>
    <mergeCell ref="AV11:AY11"/>
    <mergeCell ref="B12:F12"/>
    <mergeCell ref="G12:K12"/>
    <mergeCell ref="L12:O12"/>
    <mergeCell ref="P12:S12"/>
    <mergeCell ref="T12:W12"/>
    <mergeCell ref="AN10:AQ10"/>
    <mergeCell ref="AR10:AU10"/>
    <mergeCell ref="AV10:AY10"/>
    <mergeCell ref="B11:F11"/>
    <mergeCell ref="G11:K11"/>
    <mergeCell ref="L11:O11"/>
    <mergeCell ref="P11:S11"/>
    <mergeCell ref="T11:W11"/>
    <mergeCell ref="X11:AA11"/>
    <mergeCell ref="AB11:AE11"/>
    <mergeCell ref="AV9:AY9"/>
    <mergeCell ref="B10:F10"/>
    <mergeCell ref="G10:K10"/>
    <mergeCell ref="L10:O10"/>
    <mergeCell ref="P10:S10"/>
    <mergeCell ref="T10:W10"/>
    <mergeCell ref="X10:AA10"/>
    <mergeCell ref="AB10:AE10"/>
    <mergeCell ref="AF10:AI10"/>
    <mergeCell ref="AJ10:AM10"/>
    <mergeCell ref="X9:AA9"/>
    <mergeCell ref="AB9:AE9"/>
    <mergeCell ref="AF9:AI9"/>
    <mergeCell ref="AJ9:AM9"/>
    <mergeCell ref="AN9:AQ9"/>
    <mergeCell ref="AR9:AU9"/>
    <mergeCell ref="AF8:AI8"/>
    <mergeCell ref="AJ8:AM8"/>
    <mergeCell ref="AN8:AQ8"/>
    <mergeCell ref="AR8:AU8"/>
    <mergeCell ref="AV8:AY8"/>
    <mergeCell ref="B9:F9"/>
    <mergeCell ref="G9:K9"/>
    <mergeCell ref="L9:O9"/>
    <mergeCell ref="P9:S9"/>
    <mergeCell ref="T9:W9"/>
    <mergeCell ref="AN7:AQ7"/>
    <mergeCell ref="AR7:AU7"/>
    <mergeCell ref="AV7:AY7"/>
    <mergeCell ref="B8:F8"/>
    <mergeCell ref="G8:K8"/>
    <mergeCell ref="L8:O8"/>
    <mergeCell ref="P8:S8"/>
    <mergeCell ref="T8:W8"/>
    <mergeCell ref="X8:AA8"/>
    <mergeCell ref="AB8:AE8"/>
    <mergeCell ref="P7:S7"/>
    <mergeCell ref="T7:W7"/>
    <mergeCell ref="X7:AA7"/>
    <mergeCell ref="AB7:AE7"/>
    <mergeCell ref="AF7:AI7"/>
    <mergeCell ref="AJ7:AM7"/>
    <mergeCell ref="B5:F6"/>
    <mergeCell ref="G5:K7"/>
    <mergeCell ref="L5:AY5"/>
    <mergeCell ref="L6:S6"/>
    <mergeCell ref="T6:AA6"/>
    <mergeCell ref="AB6:AI6"/>
    <mergeCell ref="AJ6:AQ6"/>
    <mergeCell ref="AR6:AY6"/>
    <mergeCell ref="B7:F7"/>
    <mergeCell ref="L7:O7"/>
  </mergeCells>
  <phoneticPr fontId="4" type="noConversion"/>
  <pageMargins left="0.39370078740157483" right="0.39370078740157483" top="0.39370078740157483" bottom="0.39370078740157483" header="0.19685039370078741" footer="0.19685039370078741"/>
  <pageSetup paperSize="9" fitToHeight="10" orientation="portrait" r:id="rId1"/>
  <headerFooter alignWithMargins="0">
    <oddFooter>&amp;L&amp;10F-02P-04-001 (Rev.00)&amp;C&amp;10&amp;P of &amp;N&amp;R&amp;"돋움,굵게"&amp;9(주)에이치시티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E167"/>
  <sheetViews>
    <sheetView showGridLines="0" zoomScaleNormal="100" workbookViewId="0"/>
  </sheetViews>
  <sheetFormatPr defaultColWidth="8.77734375" defaultRowHeight="15" customHeight="1"/>
  <cols>
    <col min="1" max="1" width="2.77734375" style="95" customWidth="1"/>
    <col min="2" max="2" width="8.77734375" style="113"/>
    <col min="3" max="3" width="8.6640625" style="113" bestFit="1" customWidth="1"/>
    <col min="4" max="4" width="8.77734375" style="113"/>
    <col min="5" max="5" width="8.77734375" style="96"/>
    <col min="6" max="6" width="10" style="96" bestFit="1" customWidth="1"/>
    <col min="7" max="7" width="8.77734375" style="96"/>
    <col min="8" max="8" width="9.88671875" style="96" bestFit="1" customWidth="1"/>
    <col min="9" max="21" width="8.77734375" style="96"/>
    <col min="22" max="16384" width="8.77734375" style="95"/>
  </cols>
  <sheetData>
    <row r="1" spans="1:31" ht="15" customHeight="1">
      <c r="A1" s="221" t="s">
        <v>367</v>
      </c>
    </row>
    <row r="2" spans="1:31" ht="15" customHeight="1">
      <c r="A2" s="112" t="s">
        <v>90</v>
      </c>
      <c r="B2" s="93"/>
      <c r="C2" s="93"/>
      <c r="D2" s="93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5"/>
    </row>
    <row r="3" spans="1:31" ht="15" customHeight="1">
      <c r="B3" s="150" t="s">
        <v>91</v>
      </c>
      <c r="C3" s="150" t="s">
        <v>132</v>
      </c>
      <c r="D3" s="150" t="s">
        <v>188</v>
      </c>
      <c r="E3" s="150" t="s">
        <v>173</v>
      </c>
      <c r="F3" s="150" t="s">
        <v>72</v>
      </c>
      <c r="G3" s="150" t="s">
        <v>59</v>
      </c>
      <c r="H3" s="150" t="s">
        <v>189</v>
      </c>
      <c r="I3" s="132" t="s">
        <v>92</v>
      </c>
      <c r="J3" s="132" t="s">
        <v>93</v>
      </c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</row>
    <row r="4" spans="1:31" ht="15" customHeight="1">
      <c r="B4" s="115" t="e">
        <f>C4</f>
        <v>#DIV/0!</v>
      </c>
      <c r="C4" s="115" t="e">
        <f>AVERAGE(기본정보!B12:B13)</f>
        <v>#DIV/0!</v>
      </c>
      <c r="D4" s="115">
        <f>MAX(C10:C19)</f>
        <v>0</v>
      </c>
      <c r="E4" s="115">
        <f>Angle_2!A4*1000</f>
        <v>0</v>
      </c>
      <c r="F4" s="115">
        <f>E4/5</f>
        <v>0</v>
      </c>
      <c r="G4" s="115">
        <f>Angle_2!D4</f>
        <v>0</v>
      </c>
      <c r="H4" s="115" t="e">
        <f>MATCH(D4,C10:C19,0)</f>
        <v>#N/A</v>
      </c>
      <c r="I4" s="99" t="str">
        <f ca="1">IF(SUM(R76,R110,R139)=0,"","초과")</f>
        <v/>
      </c>
      <c r="J4" s="101" t="str">
        <f>IF(SUM(AD38,AE38,AD52,AE52,Y88,S122)=0,"PASS","FAIL")</f>
        <v>PASS</v>
      </c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</row>
    <row r="5" spans="1:31" ht="15" customHeight="1">
      <c r="B5" s="93"/>
      <c r="C5" s="93"/>
      <c r="D5" s="93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5"/>
    </row>
    <row r="6" spans="1:31" ht="15" customHeight="1">
      <c r="A6" s="112" t="s">
        <v>368</v>
      </c>
      <c r="E6" s="113"/>
      <c r="F6" s="93"/>
      <c r="G6" s="97"/>
      <c r="H6" s="97"/>
      <c r="I6" s="97"/>
      <c r="J6" s="97"/>
      <c r="K6" s="97"/>
      <c r="L6" s="97"/>
      <c r="M6" s="97"/>
      <c r="N6" s="97"/>
      <c r="O6" s="97"/>
      <c r="P6" s="93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</row>
    <row r="7" spans="1:31" ht="15" customHeight="1">
      <c r="B7" s="572" t="s">
        <v>144</v>
      </c>
      <c r="C7" s="432" t="s">
        <v>174</v>
      </c>
      <c r="D7" s="433"/>
      <c r="E7" s="437" t="s">
        <v>239</v>
      </c>
      <c r="F7" s="438"/>
      <c r="G7" s="438"/>
      <c r="H7" s="438"/>
      <c r="I7" s="438"/>
      <c r="J7" s="438"/>
      <c r="K7" s="438"/>
      <c r="L7" s="438"/>
      <c r="M7" s="438"/>
      <c r="N7" s="439"/>
      <c r="O7" s="437" t="s">
        <v>175</v>
      </c>
      <c r="P7" s="438"/>
      <c r="Q7" s="438"/>
      <c r="R7" s="438"/>
      <c r="S7" s="438"/>
      <c r="T7" s="438"/>
      <c r="U7" s="438"/>
      <c r="V7" s="438"/>
      <c r="W7" s="438"/>
      <c r="X7" s="439"/>
      <c r="Y7" s="437" t="s">
        <v>97</v>
      </c>
      <c r="Z7" s="439"/>
      <c r="AA7" s="437" t="s">
        <v>73</v>
      </c>
      <c r="AB7" s="439"/>
    </row>
    <row r="8" spans="1:31" ht="15" customHeight="1">
      <c r="B8" s="424"/>
      <c r="C8" s="434"/>
      <c r="D8" s="435"/>
      <c r="E8" s="421" t="s">
        <v>75</v>
      </c>
      <c r="F8" s="422"/>
      <c r="G8" s="421" t="s">
        <v>176</v>
      </c>
      <c r="H8" s="422"/>
      <c r="I8" s="421" t="s">
        <v>177</v>
      </c>
      <c r="J8" s="422"/>
      <c r="K8" s="421" t="s">
        <v>178</v>
      </c>
      <c r="L8" s="422"/>
      <c r="M8" s="421" t="s">
        <v>179</v>
      </c>
      <c r="N8" s="422"/>
      <c r="O8" s="421" t="s">
        <v>75</v>
      </c>
      <c r="P8" s="422"/>
      <c r="Q8" s="421" t="s">
        <v>176</v>
      </c>
      <c r="R8" s="422"/>
      <c r="S8" s="421" t="s">
        <v>177</v>
      </c>
      <c r="T8" s="422"/>
      <c r="U8" s="421" t="s">
        <v>178</v>
      </c>
      <c r="V8" s="422"/>
      <c r="W8" s="421" t="s">
        <v>179</v>
      </c>
      <c r="X8" s="422"/>
      <c r="Y8" s="437" t="s">
        <v>190</v>
      </c>
      <c r="Z8" s="439"/>
      <c r="AA8" s="437" t="s">
        <v>191</v>
      </c>
      <c r="AB8" s="439"/>
    </row>
    <row r="9" spans="1:31" ht="15" customHeight="1">
      <c r="B9" s="425"/>
      <c r="C9" s="119" t="s">
        <v>192</v>
      </c>
      <c r="D9" s="119" t="s">
        <v>149</v>
      </c>
      <c r="E9" s="119" t="s">
        <v>181</v>
      </c>
      <c r="F9" s="118" t="s">
        <v>182</v>
      </c>
      <c r="G9" s="119" t="s">
        <v>181</v>
      </c>
      <c r="H9" s="118" t="s">
        <v>182</v>
      </c>
      <c r="I9" s="119" t="s">
        <v>181</v>
      </c>
      <c r="J9" s="118" t="s">
        <v>182</v>
      </c>
      <c r="K9" s="119" t="s">
        <v>181</v>
      </c>
      <c r="L9" s="118" t="s">
        <v>182</v>
      </c>
      <c r="M9" s="119" t="s">
        <v>181</v>
      </c>
      <c r="N9" s="118" t="s">
        <v>182</v>
      </c>
      <c r="O9" s="119" t="s">
        <v>181</v>
      </c>
      <c r="P9" s="118" t="s">
        <v>182</v>
      </c>
      <c r="Q9" s="119" t="s">
        <v>181</v>
      </c>
      <c r="R9" s="118" t="s">
        <v>182</v>
      </c>
      <c r="S9" s="119" t="s">
        <v>181</v>
      </c>
      <c r="T9" s="118" t="s">
        <v>182</v>
      </c>
      <c r="U9" s="119" t="s">
        <v>181</v>
      </c>
      <c r="V9" s="118" t="s">
        <v>182</v>
      </c>
      <c r="W9" s="119" t="s">
        <v>181</v>
      </c>
      <c r="X9" s="118" t="s">
        <v>182</v>
      </c>
      <c r="Y9" s="119" t="s">
        <v>181</v>
      </c>
      <c r="Z9" s="118" t="s">
        <v>182</v>
      </c>
      <c r="AA9" s="119" t="s">
        <v>181</v>
      </c>
      <c r="AB9" s="118" t="s">
        <v>182</v>
      </c>
    </row>
    <row r="10" spans="1:31" ht="15" customHeight="1">
      <c r="B10" s="114" t="b">
        <f>IF(TRIM(Angle_2!C4)="",FALSE,TRUE)</f>
        <v>0</v>
      </c>
      <c r="C10" s="120" t="str">
        <f>IF($B10=FALSE,"",VALUE(Angle_2!C4))</f>
        <v/>
      </c>
      <c r="D10" s="115" t="str">
        <f>IF($B10=FALSE,"",VALUE(Angle_2!A17))</f>
        <v/>
      </c>
      <c r="E10" s="114" t="str">
        <f>IF($B10=FALSE,"",Angle_2!Q4)</f>
        <v/>
      </c>
      <c r="F10" s="114" t="str">
        <f>IF($B10=FALSE,"",Angle_2!R4)</f>
        <v/>
      </c>
      <c r="G10" s="114" t="str">
        <f>IF($B10=FALSE,"",Angle_2!S4)</f>
        <v/>
      </c>
      <c r="H10" s="114" t="str">
        <f>IF($B10=FALSE,"",Angle_2!T4)</f>
        <v/>
      </c>
      <c r="I10" s="114" t="str">
        <f>IF($B10=FALSE,"",Angle_2!U4)</f>
        <v/>
      </c>
      <c r="J10" s="114" t="str">
        <f>IF($B10=FALSE,"",Angle_2!V4)</f>
        <v/>
      </c>
      <c r="K10" s="114" t="str">
        <f>IF($B10=FALSE,"",Angle_2!W4)</f>
        <v/>
      </c>
      <c r="L10" s="114" t="str">
        <f>IF($B10=FALSE,"",Angle_2!X4)</f>
        <v/>
      </c>
      <c r="M10" s="114" t="str">
        <f>IF($B10=FALSE,"",Angle_2!Y4)</f>
        <v/>
      </c>
      <c r="N10" s="114" t="str">
        <f>IF($B10=FALSE,"",Angle_2!Z4)</f>
        <v/>
      </c>
      <c r="O10" s="114" t="str">
        <f t="shared" ref="O10:O19" si="0">IF(OR(E10="ⅹ",$B10=FALSE),"",E10*$E$4)</f>
        <v/>
      </c>
      <c r="P10" s="114" t="str">
        <f t="shared" ref="P10:P19" si="1">IF(OR(F10="ⅹ",$B10=FALSE),"",F10*$E$4)</f>
        <v/>
      </c>
      <c r="Q10" s="114" t="str">
        <f t="shared" ref="Q10:Q19" si="2">IF(OR(G10="ⅹ",$B10=FALSE),"",G10*$E$4)</f>
        <v/>
      </c>
      <c r="R10" s="114" t="str">
        <f t="shared" ref="R10:R19" si="3">IF(OR(H10="ⅹ",$B10=FALSE),"",H10*$E$4)</f>
        <v/>
      </c>
      <c r="S10" s="114" t="str">
        <f t="shared" ref="S10:S19" si="4">IF(OR(I10="ⅹ",$B10=FALSE),"",I10*$E$4)</f>
        <v/>
      </c>
      <c r="T10" s="114" t="str">
        <f t="shared" ref="T10:T19" si="5">IF(OR(J10="ⅹ",$B10=FALSE),"",J10*$E$4)</f>
        <v/>
      </c>
      <c r="U10" s="114" t="str">
        <f t="shared" ref="U10:U19" si="6">IF(OR(K10="ⅹ",$B10=FALSE),"",K10*$E$4)</f>
        <v/>
      </c>
      <c r="V10" s="114" t="str">
        <f t="shared" ref="V10:V19" si="7">IF(OR(L10="ⅹ",$B10=FALSE),"",L10*$E$4)</f>
        <v/>
      </c>
      <c r="W10" s="114" t="str">
        <f t="shared" ref="W10:W19" si="8">IF(OR(M10="ⅹ",$B10=FALSE),"",M10*$E$4)</f>
        <v/>
      </c>
      <c r="X10" s="114" t="str">
        <f t="shared" ref="X10:X19" si="9">IF(OR(N10="ⅹ",$B10=FALSE),"",N10*$E$4)</f>
        <v/>
      </c>
      <c r="Y10" s="153" t="str">
        <f>IF(OR(M10="ⅹ",$B10=FALSE),"",AVERAGE(O10,Q10,S10,U10,W10))</f>
        <v/>
      </c>
      <c r="Z10" s="153" t="str">
        <f t="shared" ref="Z10:Z19" si="10">IF(OR(N10="ⅹ",$B10=FALSE),"",AVERAGE(P10,R10,T10,V10,X10))</f>
        <v/>
      </c>
      <c r="AA10" s="154" t="str">
        <f>IF(OR(M10="ⅹ",$B10=FALSE),"",STDEV(O10,Q10,S10,U10,W10))</f>
        <v/>
      </c>
      <c r="AB10" s="154" t="str">
        <f t="shared" ref="AB10:AB19" si="11">IF(OR(N10="ⅹ",$B10=FALSE),"",STDEV(P10,R10,T10,V10,X10))</f>
        <v/>
      </c>
    </row>
    <row r="11" spans="1:31" ht="15" customHeight="1">
      <c r="B11" s="114" t="b">
        <f>IF(TRIM(Angle_2!C5)="",FALSE,TRUE)</f>
        <v>0</v>
      </c>
      <c r="C11" s="120" t="str">
        <f>IF($B11=FALSE,"",VALUE(Angle_2!C5))</f>
        <v/>
      </c>
      <c r="D11" s="115" t="str">
        <f>IF($B11=FALSE,"",VALUE(Angle_2!A18))</f>
        <v/>
      </c>
      <c r="E11" s="114" t="str">
        <f>IF($B11=FALSE,"",Angle_2!Q5)</f>
        <v/>
      </c>
      <c r="F11" s="114" t="str">
        <f>IF($B11=FALSE,"",Angle_2!R5)</f>
        <v/>
      </c>
      <c r="G11" s="114" t="str">
        <f>IF($B11=FALSE,"",Angle_2!S5)</f>
        <v/>
      </c>
      <c r="H11" s="114" t="str">
        <f>IF($B11=FALSE,"",Angle_2!T5)</f>
        <v/>
      </c>
      <c r="I11" s="114" t="str">
        <f>IF($B11=FALSE,"",Angle_2!U5)</f>
        <v/>
      </c>
      <c r="J11" s="114" t="str">
        <f>IF($B11=FALSE,"",Angle_2!V5)</f>
        <v/>
      </c>
      <c r="K11" s="114" t="str">
        <f>IF($B11=FALSE,"",Angle_2!W5)</f>
        <v/>
      </c>
      <c r="L11" s="114" t="str">
        <f>IF($B11=FALSE,"",Angle_2!X5)</f>
        <v/>
      </c>
      <c r="M11" s="114" t="str">
        <f>IF($B11=FALSE,"",Angle_2!Y5)</f>
        <v/>
      </c>
      <c r="N11" s="114" t="str">
        <f>IF($B11=FALSE,"",Angle_2!Z5)</f>
        <v/>
      </c>
      <c r="O11" s="114" t="str">
        <f t="shared" si="0"/>
        <v/>
      </c>
      <c r="P11" s="114" t="str">
        <f t="shared" si="1"/>
        <v/>
      </c>
      <c r="Q11" s="114" t="str">
        <f t="shared" si="2"/>
        <v/>
      </c>
      <c r="R11" s="114" t="str">
        <f t="shared" si="3"/>
        <v/>
      </c>
      <c r="S11" s="114" t="str">
        <f t="shared" si="4"/>
        <v/>
      </c>
      <c r="T11" s="114" t="str">
        <f t="shared" si="5"/>
        <v/>
      </c>
      <c r="U11" s="114" t="str">
        <f t="shared" si="6"/>
        <v/>
      </c>
      <c r="V11" s="114" t="str">
        <f t="shared" si="7"/>
        <v/>
      </c>
      <c r="W11" s="114" t="str">
        <f t="shared" si="8"/>
        <v/>
      </c>
      <c r="X11" s="114" t="str">
        <f t="shared" si="9"/>
        <v/>
      </c>
      <c r="Y11" s="153" t="str">
        <f t="shared" ref="Y11:Y19" si="12">IF(OR(M11="ⅹ",$B11=FALSE),"",AVERAGE(O11,Q11,S11,U11,W11))</f>
        <v/>
      </c>
      <c r="Z11" s="153" t="str">
        <f t="shared" si="10"/>
        <v/>
      </c>
      <c r="AA11" s="154" t="str">
        <f t="shared" ref="AA11:AA19" si="13">IF(OR(M11="ⅹ",$B11=FALSE),"",STDEV(O11,Q11,S11,U11,W11))</f>
        <v/>
      </c>
      <c r="AB11" s="154" t="str">
        <f t="shared" si="11"/>
        <v/>
      </c>
    </row>
    <row r="12" spans="1:31" ht="15" customHeight="1">
      <c r="B12" s="114" t="b">
        <f>IF(TRIM(Angle_2!C6)="",FALSE,TRUE)</f>
        <v>0</v>
      </c>
      <c r="C12" s="120" t="str">
        <f>IF($B12=FALSE,"",VALUE(Angle_2!C6))</f>
        <v/>
      </c>
      <c r="D12" s="115" t="str">
        <f>IF($B12=FALSE,"",VALUE(Angle_2!A19))</f>
        <v/>
      </c>
      <c r="E12" s="114" t="str">
        <f>IF($B12=FALSE,"",Angle_2!Q6)</f>
        <v/>
      </c>
      <c r="F12" s="114" t="str">
        <f>IF($B12=FALSE,"",Angle_2!R6)</f>
        <v/>
      </c>
      <c r="G12" s="114" t="str">
        <f>IF($B12=FALSE,"",Angle_2!S6)</f>
        <v/>
      </c>
      <c r="H12" s="114" t="str">
        <f>IF($B12=FALSE,"",Angle_2!T6)</f>
        <v/>
      </c>
      <c r="I12" s="114" t="str">
        <f>IF($B12=FALSE,"",Angle_2!U6)</f>
        <v/>
      </c>
      <c r="J12" s="114" t="str">
        <f>IF($B12=FALSE,"",Angle_2!V6)</f>
        <v/>
      </c>
      <c r="K12" s="114" t="str">
        <f>IF($B12=FALSE,"",Angle_2!W6)</f>
        <v/>
      </c>
      <c r="L12" s="114" t="str">
        <f>IF($B12=FALSE,"",Angle_2!X6)</f>
        <v/>
      </c>
      <c r="M12" s="114" t="str">
        <f>IF($B12=FALSE,"",Angle_2!Y6)</f>
        <v/>
      </c>
      <c r="N12" s="114" t="str">
        <f>IF($B12=FALSE,"",Angle_2!Z6)</f>
        <v/>
      </c>
      <c r="O12" s="114" t="str">
        <f t="shared" si="0"/>
        <v/>
      </c>
      <c r="P12" s="114" t="str">
        <f t="shared" si="1"/>
        <v/>
      </c>
      <c r="Q12" s="114" t="str">
        <f t="shared" si="2"/>
        <v/>
      </c>
      <c r="R12" s="114" t="str">
        <f t="shared" si="3"/>
        <v/>
      </c>
      <c r="S12" s="114" t="str">
        <f t="shared" si="4"/>
        <v/>
      </c>
      <c r="T12" s="114" t="str">
        <f t="shared" si="5"/>
        <v/>
      </c>
      <c r="U12" s="114" t="str">
        <f t="shared" si="6"/>
        <v/>
      </c>
      <c r="V12" s="114" t="str">
        <f t="shared" si="7"/>
        <v/>
      </c>
      <c r="W12" s="114" t="str">
        <f t="shared" si="8"/>
        <v/>
      </c>
      <c r="X12" s="114" t="str">
        <f t="shared" si="9"/>
        <v/>
      </c>
      <c r="Y12" s="153" t="str">
        <f t="shared" si="12"/>
        <v/>
      </c>
      <c r="Z12" s="153" t="str">
        <f t="shared" si="10"/>
        <v/>
      </c>
      <c r="AA12" s="154" t="str">
        <f t="shared" si="13"/>
        <v/>
      </c>
      <c r="AB12" s="154" t="str">
        <f t="shared" si="11"/>
        <v/>
      </c>
    </row>
    <row r="13" spans="1:31" ht="15" customHeight="1">
      <c r="B13" s="114" t="b">
        <f>IF(TRIM(Angle_2!C7)="",FALSE,TRUE)</f>
        <v>0</v>
      </c>
      <c r="C13" s="120" t="str">
        <f>IF($B13=FALSE,"",VALUE(Angle_2!C7))</f>
        <v/>
      </c>
      <c r="D13" s="115" t="str">
        <f>IF($B13=FALSE,"",VALUE(Angle_2!A20))</f>
        <v/>
      </c>
      <c r="E13" s="114" t="str">
        <f>IF($B13=FALSE,"",Angle_2!Q7)</f>
        <v/>
      </c>
      <c r="F13" s="114" t="str">
        <f>IF($B13=FALSE,"",Angle_2!R7)</f>
        <v/>
      </c>
      <c r="G13" s="114" t="str">
        <f>IF($B13=FALSE,"",Angle_2!S7)</f>
        <v/>
      </c>
      <c r="H13" s="114" t="str">
        <f>IF($B13=FALSE,"",Angle_2!T7)</f>
        <v/>
      </c>
      <c r="I13" s="114" t="str">
        <f>IF($B13=FALSE,"",Angle_2!U7)</f>
        <v/>
      </c>
      <c r="J13" s="114" t="str">
        <f>IF($B13=FALSE,"",Angle_2!V7)</f>
        <v/>
      </c>
      <c r="K13" s="114" t="str">
        <f>IF($B13=FALSE,"",Angle_2!W7)</f>
        <v/>
      </c>
      <c r="L13" s="114" t="str">
        <f>IF($B13=FALSE,"",Angle_2!X7)</f>
        <v/>
      </c>
      <c r="M13" s="114" t="str">
        <f>IF($B13=FALSE,"",Angle_2!Y7)</f>
        <v/>
      </c>
      <c r="N13" s="114" t="str">
        <f>IF($B13=FALSE,"",Angle_2!Z7)</f>
        <v/>
      </c>
      <c r="O13" s="114" t="str">
        <f t="shared" si="0"/>
        <v/>
      </c>
      <c r="P13" s="114" t="str">
        <f t="shared" si="1"/>
        <v/>
      </c>
      <c r="Q13" s="114" t="str">
        <f t="shared" si="2"/>
        <v/>
      </c>
      <c r="R13" s="114" t="str">
        <f t="shared" si="3"/>
        <v/>
      </c>
      <c r="S13" s="114" t="str">
        <f t="shared" si="4"/>
        <v/>
      </c>
      <c r="T13" s="114" t="str">
        <f t="shared" si="5"/>
        <v/>
      </c>
      <c r="U13" s="114" t="str">
        <f t="shared" si="6"/>
        <v/>
      </c>
      <c r="V13" s="114" t="str">
        <f t="shared" si="7"/>
        <v/>
      </c>
      <c r="W13" s="114" t="str">
        <f t="shared" si="8"/>
        <v/>
      </c>
      <c r="X13" s="114" t="str">
        <f t="shared" si="9"/>
        <v/>
      </c>
      <c r="Y13" s="153" t="str">
        <f t="shared" si="12"/>
        <v/>
      </c>
      <c r="Z13" s="153" t="str">
        <f t="shared" si="10"/>
        <v/>
      </c>
      <c r="AA13" s="154" t="str">
        <f t="shared" si="13"/>
        <v/>
      </c>
      <c r="AB13" s="154" t="str">
        <f t="shared" si="11"/>
        <v/>
      </c>
    </row>
    <row r="14" spans="1:31" ht="15" customHeight="1">
      <c r="B14" s="114" t="b">
        <f>IF(TRIM(Angle_2!C8)="",FALSE,TRUE)</f>
        <v>0</v>
      </c>
      <c r="C14" s="120" t="str">
        <f>IF($B14=FALSE,"",VALUE(Angle_2!C8))</f>
        <v/>
      </c>
      <c r="D14" s="115" t="str">
        <f>IF($B14=FALSE,"",VALUE(Angle_2!A21))</f>
        <v/>
      </c>
      <c r="E14" s="114" t="str">
        <f>IF($B14=FALSE,"",Angle_2!Q8)</f>
        <v/>
      </c>
      <c r="F14" s="114" t="str">
        <f>IF($B14=FALSE,"",Angle_2!R8)</f>
        <v/>
      </c>
      <c r="G14" s="114" t="str">
        <f>IF($B14=FALSE,"",Angle_2!S8)</f>
        <v/>
      </c>
      <c r="H14" s="114" t="str">
        <f>IF($B14=FALSE,"",Angle_2!T8)</f>
        <v/>
      </c>
      <c r="I14" s="114" t="str">
        <f>IF($B14=FALSE,"",Angle_2!U8)</f>
        <v/>
      </c>
      <c r="J14" s="114" t="str">
        <f>IF($B14=FALSE,"",Angle_2!V8)</f>
        <v/>
      </c>
      <c r="K14" s="114" t="str">
        <f>IF($B14=FALSE,"",Angle_2!W8)</f>
        <v/>
      </c>
      <c r="L14" s="114" t="str">
        <f>IF($B14=FALSE,"",Angle_2!X8)</f>
        <v/>
      </c>
      <c r="M14" s="114" t="str">
        <f>IF($B14=FALSE,"",Angle_2!Y8)</f>
        <v/>
      </c>
      <c r="N14" s="114" t="str">
        <f>IF($B14=FALSE,"",Angle_2!Z8)</f>
        <v/>
      </c>
      <c r="O14" s="114" t="str">
        <f t="shared" si="0"/>
        <v/>
      </c>
      <c r="P14" s="114" t="str">
        <f t="shared" si="1"/>
        <v/>
      </c>
      <c r="Q14" s="114" t="str">
        <f t="shared" si="2"/>
        <v/>
      </c>
      <c r="R14" s="114" t="str">
        <f t="shared" si="3"/>
        <v/>
      </c>
      <c r="S14" s="114" t="str">
        <f t="shared" si="4"/>
        <v/>
      </c>
      <c r="T14" s="114" t="str">
        <f t="shared" si="5"/>
        <v/>
      </c>
      <c r="U14" s="114" t="str">
        <f t="shared" si="6"/>
        <v/>
      </c>
      <c r="V14" s="114" t="str">
        <f t="shared" si="7"/>
        <v/>
      </c>
      <c r="W14" s="114" t="str">
        <f t="shared" si="8"/>
        <v/>
      </c>
      <c r="X14" s="114" t="str">
        <f t="shared" si="9"/>
        <v/>
      </c>
      <c r="Y14" s="153" t="str">
        <f t="shared" si="12"/>
        <v/>
      </c>
      <c r="Z14" s="153" t="str">
        <f t="shared" si="10"/>
        <v/>
      </c>
      <c r="AA14" s="154" t="str">
        <f t="shared" si="13"/>
        <v/>
      </c>
      <c r="AB14" s="154" t="str">
        <f t="shared" si="11"/>
        <v/>
      </c>
    </row>
    <row r="15" spans="1:31" ht="15" customHeight="1">
      <c r="B15" s="114" t="b">
        <f>IF(TRIM(Angle_2!C9)="",FALSE,TRUE)</f>
        <v>0</v>
      </c>
      <c r="C15" s="120" t="str">
        <f>IF($B15=FALSE,"",VALUE(Angle_2!C9))</f>
        <v/>
      </c>
      <c r="D15" s="115" t="str">
        <f>IF($B15=FALSE,"",VALUE(Angle_2!A22))</f>
        <v/>
      </c>
      <c r="E15" s="114" t="str">
        <f>IF($B15=FALSE,"",Angle_2!Q9)</f>
        <v/>
      </c>
      <c r="F15" s="114" t="str">
        <f>IF($B15=FALSE,"",Angle_2!R9)</f>
        <v/>
      </c>
      <c r="G15" s="114" t="str">
        <f>IF($B15=FALSE,"",Angle_2!S9)</f>
        <v/>
      </c>
      <c r="H15" s="114" t="str">
        <f>IF($B15=FALSE,"",Angle_2!T9)</f>
        <v/>
      </c>
      <c r="I15" s="114" t="str">
        <f>IF($B15=FALSE,"",Angle_2!U9)</f>
        <v/>
      </c>
      <c r="J15" s="114" t="str">
        <f>IF($B15=FALSE,"",Angle_2!V9)</f>
        <v/>
      </c>
      <c r="K15" s="114" t="str">
        <f>IF($B15=FALSE,"",Angle_2!W9)</f>
        <v/>
      </c>
      <c r="L15" s="114" t="str">
        <f>IF($B15=FALSE,"",Angle_2!X9)</f>
        <v/>
      </c>
      <c r="M15" s="114" t="str">
        <f>IF($B15=FALSE,"",Angle_2!Y9)</f>
        <v/>
      </c>
      <c r="N15" s="114" t="str">
        <f>IF($B15=FALSE,"",Angle_2!Z9)</f>
        <v/>
      </c>
      <c r="O15" s="114" t="str">
        <f t="shared" si="0"/>
        <v/>
      </c>
      <c r="P15" s="114" t="str">
        <f t="shared" si="1"/>
        <v/>
      </c>
      <c r="Q15" s="114" t="str">
        <f t="shared" si="2"/>
        <v/>
      </c>
      <c r="R15" s="114" t="str">
        <f t="shared" si="3"/>
        <v/>
      </c>
      <c r="S15" s="114" t="str">
        <f t="shared" si="4"/>
        <v/>
      </c>
      <c r="T15" s="114" t="str">
        <f t="shared" si="5"/>
        <v/>
      </c>
      <c r="U15" s="114" t="str">
        <f t="shared" si="6"/>
        <v/>
      </c>
      <c r="V15" s="114" t="str">
        <f t="shared" si="7"/>
        <v/>
      </c>
      <c r="W15" s="114" t="str">
        <f t="shared" si="8"/>
        <v/>
      </c>
      <c r="X15" s="114" t="str">
        <f t="shared" si="9"/>
        <v/>
      </c>
      <c r="Y15" s="153" t="str">
        <f t="shared" si="12"/>
        <v/>
      </c>
      <c r="Z15" s="153" t="str">
        <f t="shared" si="10"/>
        <v/>
      </c>
      <c r="AA15" s="154" t="str">
        <f t="shared" si="13"/>
        <v/>
      </c>
      <c r="AB15" s="154" t="str">
        <f t="shared" si="11"/>
        <v/>
      </c>
    </row>
    <row r="16" spans="1:31" ht="15" customHeight="1">
      <c r="B16" s="114" t="b">
        <f>IF(TRIM(Angle_2!C10)="",FALSE,TRUE)</f>
        <v>0</v>
      </c>
      <c r="C16" s="120" t="str">
        <f>IF($B16=FALSE,"",VALUE(Angle_2!C10))</f>
        <v/>
      </c>
      <c r="D16" s="115" t="str">
        <f>IF($B16=FALSE,"",VALUE(Angle_2!A23))</f>
        <v/>
      </c>
      <c r="E16" s="114" t="str">
        <f>IF($B16=FALSE,"",Angle_2!Q10)</f>
        <v/>
      </c>
      <c r="F16" s="114" t="str">
        <f>IF($B16=FALSE,"",Angle_2!R10)</f>
        <v/>
      </c>
      <c r="G16" s="114" t="str">
        <f>IF($B16=FALSE,"",Angle_2!S10)</f>
        <v/>
      </c>
      <c r="H16" s="114" t="str">
        <f>IF($B16=FALSE,"",Angle_2!T10)</f>
        <v/>
      </c>
      <c r="I16" s="114" t="str">
        <f>IF($B16=FALSE,"",Angle_2!U10)</f>
        <v/>
      </c>
      <c r="J16" s="114" t="str">
        <f>IF($B16=FALSE,"",Angle_2!V10)</f>
        <v/>
      </c>
      <c r="K16" s="114" t="str">
        <f>IF($B16=FALSE,"",Angle_2!W10)</f>
        <v/>
      </c>
      <c r="L16" s="114" t="str">
        <f>IF($B16=FALSE,"",Angle_2!X10)</f>
        <v/>
      </c>
      <c r="M16" s="114" t="str">
        <f>IF($B16=FALSE,"",Angle_2!Y10)</f>
        <v/>
      </c>
      <c r="N16" s="114" t="str">
        <f>IF($B16=FALSE,"",Angle_2!Z10)</f>
        <v/>
      </c>
      <c r="O16" s="114" t="str">
        <f t="shared" si="0"/>
        <v/>
      </c>
      <c r="P16" s="114" t="str">
        <f t="shared" si="1"/>
        <v/>
      </c>
      <c r="Q16" s="114" t="str">
        <f t="shared" si="2"/>
        <v/>
      </c>
      <c r="R16" s="114" t="str">
        <f t="shared" si="3"/>
        <v/>
      </c>
      <c r="S16" s="114" t="str">
        <f t="shared" si="4"/>
        <v/>
      </c>
      <c r="T16" s="114" t="str">
        <f t="shared" si="5"/>
        <v/>
      </c>
      <c r="U16" s="114" t="str">
        <f t="shared" si="6"/>
        <v/>
      </c>
      <c r="V16" s="114" t="str">
        <f t="shared" si="7"/>
        <v/>
      </c>
      <c r="W16" s="114" t="str">
        <f t="shared" si="8"/>
        <v/>
      </c>
      <c r="X16" s="114" t="str">
        <f t="shared" si="9"/>
        <v/>
      </c>
      <c r="Y16" s="153" t="str">
        <f t="shared" si="12"/>
        <v/>
      </c>
      <c r="Z16" s="153" t="str">
        <f t="shared" si="10"/>
        <v/>
      </c>
      <c r="AA16" s="154" t="str">
        <f t="shared" si="13"/>
        <v/>
      </c>
      <c r="AB16" s="154" t="str">
        <f t="shared" si="11"/>
        <v/>
      </c>
    </row>
    <row r="17" spans="2:28" ht="15" customHeight="1">
      <c r="B17" s="114" t="b">
        <f>IF(TRIM(Angle_2!C11)="",FALSE,TRUE)</f>
        <v>0</v>
      </c>
      <c r="C17" s="120" t="str">
        <f>IF($B17=FALSE,"",VALUE(Angle_2!C11))</f>
        <v/>
      </c>
      <c r="D17" s="115" t="str">
        <f>IF($B17=FALSE,"",VALUE(Angle_2!A24))</f>
        <v/>
      </c>
      <c r="E17" s="114" t="str">
        <f>IF($B17=FALSE,"",Angle_2!Q11)</f>
        <v/>
      </c>
      <c r="F17" s="114" t="str">
        <f>IF($B17=FALSE,"",Angle_2!R11)</f>
        <v/>
      </c>
      <c r="G17" s="114" t="str">
        <f>IF($B17=FALSE,"",Angle_2!S11)</f>
        <v/>
      </c>
      <c r="H17" s="114" t="str">
        <f>IF($B17=FALSE,"",Angle_2!T11)</f>
        <v/>
      </c>
      <c r="I17" s="114" t="str">
        <f>IF($B17=FALSE,"",Angle_2!U11)</f>
        <v/>
      </c>
      <c r="J17" s="114" t="str">
        <f>IF($B17=FALSE,"",Angle_2!V11)</f>
        <v/>
      </c>
      <c r="K17" s="114" t="str">
        <f>IF($B17=FALSE,"",Angle_2!W11)</f>
        <v/>
      </c>
      <c r="L17" s="114" t="str">
        <f>IF($B17=FALSE,"",Angle_2!X11)</f>
        <v/>
      </c>
      <c r="M17" s="114" t="str">
        <f>IF($B17=FALSE,"",Angle_2!Y11)</f>
        <v/>
      </c>
      <c r="N17" s="114" t="str">
        <f>IF($B17=FALSE,"",Angle_2!Z11)</f>
        <v/>
      </c>
      <c r="O17" s="114" t="str">
        <f t="shared" si="0"/>
        <v/>
      </c>
      <c r="P17" s="114" t="str">
        <f t="shared" si="1"/>
        <v/>
      </c>
      <c r="Q17" s="114" t="str">
        <f t="shared" si="2"/>
        <v/>
      </c>
      <c r="R17" s="114" t="str">
        <f t="shared" si="3"/>
        <v/>
      </c>
      <c r="S17" s="114" t="str">
        <f t="shared" si="4"/>
        <v/>
      </c>
      <c r="T17" s="114" t="str">
        <f t="shared" si="5"/>
        <v/>
      </c>
      <c r="U17" s="114" t="str">
        <f t="shared" si="6"/>
        <v/>
      </c>
      <c r="V17" s="114" t="str">
        <f t="shared" si="7"/>
        <v/>
      </c>
      <c r="W17" s="114" t="str">
        <f t="shared" si="8"/>
        <v/>
      </c>
      <c r="X17" s="114" t="str">
        <f t="shared" si="9"/>
        <v/>
      </c>
      <c r="Y17" s="153" t="str">
        <f t="shared" si="12"/>
        <v/>
      </c>
      <c r="Z17" s="153" t="str">
        <f t="shared" si="10"/>
        <v/>
      </c>
      <c r="AA17" s="154" t="str">
        <f t="shared" si="13"/>
        <v/>
      </c>
      <c r="AB17" s="154" t="str">
        <f t="shared" si="11"/>
        <v/>
      </c>
    </row>
    <row r="18" spans="2:28" ht="15" customHeight="1">
      <c r="B18" s="114" t="b">
        <f>IF(TRIM(Angle_2!C12)="",FALSE,TRUE)</f>
        <v>0</v>
      </c>
      <c r="C18" s="120" t="str">
        <f>IF($B18=FALSE,"",VALUE(Angle_2!C12))</f>
        <v/>
      </c>
      <c r="D18" s="115" t="str">
        <f>IF($B18=FALSE,"",VALUE(Angle_2!A25))</f>
        <v/>
      </c>
      <c r="E18" s="114" t="str">
        <f>IF($B18=FALSE,"",Angle_2!Q12)</f>
        <v/>
      </c>
      <c r="F18" s="114" t="str">
        <f>IF($B18=FALSE,"",Angle_2!R12)</f>
        <v/>
      </c>
      <c r="G18" s="114" t="str">
        <f>IF($B18=FALSE,"",Angle_2!S12)</f>
        <v/>
      </c>
      <c r="H18" s="114" t="str">
        <f>IF($B18=FALSE,"",Angle_2!T12)</f>
        <v/>
      </c>
      <c r="I18" s="114" t="str">
        <f>IF($B18=FALSE,"",Angle_2!U12)</f>
        <v/>
      </c>
      <c r="J18" s="114" t="str">
        <f>IF($B18=FALSE,"",Angle_2!V12)</f>
        <v/>
      </c>
      <c r="K18" s="114" t="str">
        <f>IF($B18=FALSE,"",Angle_2!W12)</f>
        <v/>
      </c>
      <c r="L18" s="114" t="str">
        <f>IF($B18=FALSE,"",Angle_2!X12)</f>
        <v/>
      </c>
      <c r="M18" s="114" t="str">
        <f>IF($B18=FALSE,"",Angle_2!Y12)</f>
        <v/>
      </c>
      <c r="N18" s="114" t="str">
        <f>IF($B18=FALSE,"",Angle_2!Z12)</f>
        <v/>
      </c>
      <c r="O18" s="114" t="str">
        <f t="shared" si="0"/>
        <v/>
      </c>
      <c r="P18" s="114" t="str">
        <f t="shared" si="1"/>
        <v/>
      </c>
      <c r="Q18" s="114" t="str">
        <f t="shared" si="2"/>
        <v/>
      </c>
      <c r="R18" s="114" t="str">
        <f t="shared" si="3"/>
        <v/>
      </c>
      <c r="S18" s="114" t="str">
        <f t="shared" si="4"/>
        <v/>
      </c>
      <c r="T18" s="114" t="str">
        <f t="shared" si="5"/>
        <v/>
      </c>
      <c r="U18" s="114" t="str">
        <f t="shared" si="6"/>
        <v/>
      </c>
      <c r="V18" s="114" t="str">
        <f t="shared" si="7"/>
        <v/>
      </c>
      <c r="W18" s="114" t="str">
        <f t="shared" si="8"/>
        <v/>
      </c>
      <c r="X18" s="114" t="str">
        <f t="shared" si="9"/>
        <v/>
      </c>
      <c r="Y18" s="153" t="str">
        <f t="shared" si="12"/>
        <v/>
      </c>
      <c r="Z18" s="153" t="str">
        <f t="shared" si="10"/>
        <v/>
      </c>
      <c r="AA18" s="154" t="str">
        <f t="shared" si="13"/>
        <v/>
      </c>
      <c r="AB18" s="154" t="str">
        <f t="shared" si="11"/>
        <v/>
      </c>
    </row>
    <row r="19" spans="2:28" ht="15" customHeight="1">
      <c r="B19" s="114" t="b">
        <f>IF(TRIM(Angle_2!C13)="",FALSE,TRUE)</f>
        <v>0</v>
      </c>
      <c r="C19" s="120" t="str">
        <f>IF($B19=FALSE,"",VALUE(Angle_2!C13))</f>
        <v/>
      </c>
      <c r="D19" s="115" t="str">
        <f>IF($B19=FALSE,"",VALUE(Angle_2!A26))</f>
        <v/>
      </c>
      <c r="E19" s="114" t="str">
        <f>IF($B19=FALSE,"",Angle_2!Q13)</f>
        <v/>
      </c>
      <c r="F19" s="114" t="str">
        <f>IF($B19=FALSE,"",Angle_2!R13)</f>
        <v/>
      </c>
      <c r="G19" s="114" t="str">
        <f>IF($B19=FALSE,"",Angle_2!S13)</f>
        <v/>
      </c>
      <c r="H19" s="114" t="str">
        <f>IF($B19=FALSE,"",Angle_2!T13)</f>
        <v/>
      </c>
      <c r="I19" s="114" t="str">
        <f>IF($B19=FALSE,"",Angle_2!U13)</f>
        <v/>
      </c>
      <c r="J19" s="114" t="str">
        <f>IF($B19=FALSE,"",Angle_2!V13)</f>
        <v/>
      </c>
      <c r="K19" s="114" t="str">
        <f>IF($B19=FALSE,"",Angle_2!W13)</f>
        <v/>
      </c>
      <c r="L19" s="114" t="str">
        <f>IF($B19=FALSE,"",Angle_2!X13)</f>
        <v/>
      </c>
      <c r="M19" s="114" t="str">
        <f>IF($B19=FALSE,"",Angle_2!Y13)</f>
        <v/>
      </c>
      <c r="N19" s="114" t="str">
        <f>IF($B19=FALSE,"",Angle_2!Z13)</f>
        <v/>
      </c>
      <c r="O19" s="114" t="str">
        <f t="shared" si="0"/>
        <v/>
      </c>
      <c r="P19" s="114" t="str">
        <f t="shared" si="1"/>
        <v/>
      </c>
      <c r="Q19" s="114" t="str">
        <f t="shared" si="2"/>
        <v/>
      </c>
      <c r="R19" s="114" t="str">
        <f t="shared" si="3"/>
        <v/>
      </c>
      <c r="S19" s="114" t="str">
        <f t="shared" si="4"/>
        <v/>
      </c>
      <c r="T19" s="114" t="str">
        <f t="shared" si="5"/>
        <v/>
      </c>
      <c r="U19" s="114" t="str">
        <f t="shared" si="6"/>
        <v/>
      </c>
      <c r="V19" s="114" t="str">
        <f t="shared" si="7"/>
        <v/>
      </c>
      <c r="W19" s="114" t="str">
        <f t="shared" si="8"/>
        <v/>
      </c>
      <c r="X19" s="114" t="str">
        <f t="shared" si="9"/>
        <v/>
      </c>
      <c r="Y19" s="153" t="str">
        <f t="shared" si="12"/>
        <v/>
      </c>
      <c r="Z19" s="153" t="str">
        <f t="shared" si="10"/>
        <v/>
      </c>
      <c r="AA19" s="154" t="str">
        <f t="shared" si="13"/>
        <v/>
      </c>
      <c r="AB19" s="154" t="str">
        <f t="shared" si="11"/>
        <v/>
      </c>
    </row>
    <row r="20" spans="2:28" ht="15" customHeight="1">
      <c r="N20" s="94"/>
      <c r="O20" s="94"/>
      <c r="P20" s="94"/>
      <c r="Q20" s="94"/>
      <c r="R20" s="94"/>
      <c r="S20" s="94"/>
      <c r="T20" s="94"/>
      <c r="X20" s="94"/>
    </row>
    <row r="21" spans="2:28" ht="15" customHeight="1">
      <c r="B21" s="572" t="s">
        <v>144</v>
      </c>
      <c r="C21" s="432" t="s">
        <v>174</v>
      </c>
      <c r="D21" s="433"/>
      <c r="E21" s="437" t="s">
        <v>240</v>
      </c>
      <c r="F21" s="438"/>
      <c r="G21" s="438"/>
      <c r="H21" s="438"/>
      <c r="I21" s="438"/>
      <c r="J21" s="438"/>
      <c r="K21" s="438"/>
      <c r="L21" s="438"/>
      <c r="M21" s="438"/>
      <c r="N21" s="439"/>
      <c r="O21" s="437" t="s">
        <v>175</v>
      </c>
      <c r="P21" s="438"/>
      <c r="Q21" s="438"/>
      <c r="R21" s="438"/>
      <c r="S21" s="438"/>
      <c r="T21" s="438"/>
      <c r="U21" s="438"/>
      <c r="V21" s="438"/>
      <c r="W21" s="438"/>
      <c r="X21" s="439"/>
      <c r="Y21" s="437" t="s">
        <v>97</v>
      </c>
      <c r="Z21" s="439"/>
      <c r="AA21" s="437" t="s">
        <v>73</v>
      </c>
      <c r="AB21" s="439"/>
    </row>
    <row r="22" spans="2:28" ht="15" customHeight="1">
      <c r="B22" s="424"/>
      <c r="C22" s="434"/>
      <c r="D22" s="435"/>
      <c r="E22" s="421" t="s">
        <v>75</v>
      </c>
      <c r="F22" s="422"/>
      <c r="G22" s="421" t="s">
        <v>176</v>
      </c>
      <c r="H22" s="422"/>
      <c r="I22" s="421" t="s">
        <v>177</v>
      </c>
      <c r="J22" s="422"/>
      <c r="K22" s="421" t="s">
        <v>178</v>
      </c>
      <c r="L22" s="422"/>
      <c r="M22" s="421" t="s">
        <v>179</v>
      </c>
      <c r="N22" s="422"/>
      <c r="O22" s="421" t="s">
        <v>75</v>
      </c>
      <c r="P22" s="422"/>
      <c r="Q22" s="421" t="s">
        <v>176</v>
      </c>
      <c r="R22" s="422"/>
      <c r="S22" s="421" t="s">
        <v>177</v>
      </c>
      <c r="T22" s="422"/>
      <c r="U22" s="421" t="s">
        <v>178</v>
      </c>
      <c r="V22" s="422"/>
      <c r="W22" s="421" t="s">
        <v>179</v>
      </c>
      <c r="X22" s="422"/>
      <c r="Y22" s="437" t="s">
        <v>190</v>
      </c>
      <c r="Z22" s="439"/>
      <c r="AA22" s="437" t="s">
        <v>191</v>
      </c>
      <c r="AB22" s="439"/>
    </row>
    <row r="23" spans="2:28" ht="15" customHeight="1">
      <c r="B23" s="425"/>
      <c r="C23" s="119" t="s">
        <v>192</v>
      </c>
      <c r="D23" s="119" t="s">
        <v>149</v>
      </c>
      <c r="E23" s="119" t="s">
        <v>181</v>
      </c>
      <c r="F23" s="118" t="s">
        <v>182</v>
      </c>
      <c r="G23" s="119" t="s">
        <v>181</v>
      </c>
      <c r="H23" s="118" t="s">
        <v>182</v>
      </c>
      <c r="I23" s="119" t="s">
        <v>181</v>
      </c>
      <c r="J23" s="118" t="s">
        <v>182</v>
      </c>
      <c r="K23" s="119" t="s">
        <v>181</v>
      </c>
      <c r="L23" s="118" t="s">
        <v>182</v>
      </c>
      <c r="M23" s="119" t="s">
        <v>181</v>
      </c>
      <c r="N23" s="118" t="s">
        <v>182</v>
      </c>
      <c r="O23" s="119" t="s">
        <v>181</v>
      </c>
      <c r="P23" s="118" t="s">
        <v>182</v>
      </c>
      <c r="Q23" s="119" t="s">
        <v>181</v>
      </c>
      <c r="R23" s="118" t="s">
        <v>182</v>
      </c>
      <c r="S23" s="119" t="s">
        <v>181</v>
      </c>
      <c r="T23" s="118" t="s">
        <v>182</v>
      </c>
      <c r="U23" s="119" t="s">
        <v>181</v>
      </c>
      <c r="V23" s="118" t="s">
        <v>182</v>
      </c>
      <c r="W23" s="119" t="s">
        <v>181</v>
      </c>
      <c r="X23" s="118" t="s">
        <v>182</v>
      </c>
      <c r="Y23" s="119" t="s">
        <v>181</v>
      </c>
      <c r="Z23" s="118" t="s">
        <v>182</v>
      </c>
      <c r="AA23" s="119" t="s">
        <v>181</v>
      </c>
      <c r="AB23" s="118" t="s">
        <v>182</v>
      </c>
    </row>
    <row r="24" spans="2:28" ht="15" customHeight="1">
      <c r="B24" s="114" t="b">
        <f>B10</f>
        <v>0</v>
      </c>
      <c r="C24" s="120" t="str">
        <f>C10</f>
        <v/>
      </c>
      <c r="D24" s="115" t="str">
        <f>D10</f>
        <v/>
      </c>
      <c r="E24" s="114" t="str">
        <f>IF($B10=FALSE,"",Angle_2!AA4)</f>
        <v/>
      </c>
      <c r="F24" s="114" t="str">
        <f>IF($B10=FALSE,"",Angle_2!AB4)</f>
        <v/>
      </c>
      <c r="G24" s="114" t="str">
        <f>IF($B10=FALSE,"",Angle_2!AC4)</f>
        <v/>
      </c>
      <c r="H24" s="114" t="str">
        <f>IF($B10=FALSE,"",Angle_2!AD4)</f>
        <v/>
      </c>
      <c r="I24" s="114" t="str">
        <f>IF($B10=FALSE,"",Angle_2!AE4)</f>
        <v/>
      </c>
      <c r="J24" s="114" t="str">
        <f>IF($B10=FALSE,"",Angle_2!AF4)</f>
        <v/>
      </c>
      <c r="K24" s="114" t="str">
        <f>IF($B10=FALSE,"",Angle_2!AG4)</f>
        <v/>
      </c>
      <c r="L24" s="114" t="str">
        <f>IF($B10=FALSE,"",Angle_2!AH4)</f>
        <v/>
      </c>
      <c r="M24" s="114" t="str">
        <f>IF($B10=FALSE,"",Angle_2!AI4)</f>
        <v/>
      </c>
      <c r="N24" s="114" t="str">
        <f>IF($B10=FALSE,"",Angle_2!AJ4)</f>
        <v/>
      </c>
      <c r="O24" s="114" t="str">
        <f t="shared" ref="O24:O33" si="14">IF(OR(E24="ⅹ",$B24=FALSE),"",E24*$E$4)</f>
        <v/>
      </c>
      <c r="P24" s="114" t="str">
        <f t="shared" ref="P24:P33" si="15">IF(OR(F24="ⅹ",$B24=FALSE),"",F24*$E$4)</f>
        <v/>
      </c>
      <c r="Q24" s="114" t="str">
        <f t="shared" ref="Q24:Q33" si="16">IF(OR(G24="ⅹ",$B24=FALSE),"",G24*$E$4)</f>
        <v/>
      </c>
      <c r="R24" s="114" t="str">
        <f t="shared" ref="R24:R33" si="17">IF(OR(H24="ⅹ",$B24=FALSE),"",H24*$E$4)</f>
        <v/>
      </c>
      <c r="S24" s="114" t="str">
        <f t="shared" ref="S24:S33" si="18">IF(OR(I24="ⅹ",$B24=FALSE),"",I24*$E$4)</f>
        <v/>
      </c>
      <c r="T24" s="114" t="str">
        <f t="shared" ref="T24:T33" si="19">IF(OR(J24="ⅹ",$B24=FALSE),"",J24*$E$4)</f>
        <v/>
      </c>
      <c r="U24" s="114" t="str">
        <f t="shared" ref="U24:U33" si="20">IF(OR(K24="ⅹ",$B24=FALSE),"",K24*$E$4)</f>
        <v/>
      </c>
      <c r="V24" s="114" t="str">
        <f t="shared" ref="V24:V33" si="21">IF(OR(L24="ⅹ",$B24=FALSE),"",L24*$E$4)</f>
        <v/>
      </c>
      <c r="W24" s="114" t="str">
        <f t="shared" ref="W24:W33" si="22">IF(OR(M24="ⅹ",$B24=FALSE),"",M24*$E$4)</f>
        <v/>
      </c>
      <c r="X24" s="114" t="str">
        <f t="shared" ref="X24:X33" si="23">IF(OR(N24="ⅹ",$B24=FALSE),"",N24*$E$4)</f>
        <v/>
      </c>
      <c r="Y24" s="153" t="str">
        <f>IF(OR(M24="ⅹ",$B24=FALSE),"",AVERAGE(O24,Q24,S24,U24,W24))</f>
        <v/>
      </c>
      <c r="Z24" s="153" t="str">
        <f t="shared" ref="Z24:Z33" si="24">IF(OR(N24="ⅹ",$B24=FALSE),"",AVERAGE(P24,R24,T24,V24,X24))</f>
        <v/>
      </c>
      <c r="AA24" s="154" t="str">
        <f>IF(OR(M24="ⅹ",$B24=FALSE),"",STDEV(O24,Q24,S24,U24,W24))</f>
        <v/>
      </c>
      <c r="AB24" s="154" t="str">
        <f t="shared" ref="AB24:AB33" si="25">IF(OR(N24="ⅹ",$B24=FALSE),"",STDEV(P24,R24,T24,V24,X24))</f>
        <v/>
      </c>
    </row>
    <row r="25" spans="2:28" ht="15" customHeight="1">
      <c r="B25" s="114" t="b">
        <f t="shared" ref="B25:D33" si="26">B11</f>
        <v>0</v>
      </c>
      <c r="C25" s="120" t="str">
        <f t="shared" si="26"/>
        <v/>
      </c>
      <c r="D25" s="115" t="str">
        <f t="shared" si="26"/>
        <v/>
      </c>
      <c r="E25" s="114" t="str">
        <f>IF($B11=FALSE,"",Angle_2!AA5)</f>
        <v/>
      </c>
      <c r="F25" s="114" t="str">
        <f>IF($B11=FALSE,"",Angle_2!AB5)</f>
        <v/>
      </c>
      <c r="G25" s="114" t="str">
        <f>IF($B11=FALSE,"",Angle_2!AC5)</f>
        <v/>
      </c>
      <c r="H25" s="114" t="str">
        <f>IF($B11=FALSE,"",Angle_2!AD5)</f>
        <v/>
      </c>
      <c r="I25" s="114" t="str">
        <f>IF($B11=FALSE,"",Angle_2!AE5)</f>
        <v/>
      </c>
      <c r="J25" s="114" t="str">
        <f>IF($B11=FALSE,"",Angle_2!AF5)</f>
        <v/>
      </c>
      <c r="K25" s="114" t="str">
        <f>IF($B11=FALSE,"",Angle_2!AG5)</f>
        <v/>
      </c>
      <c r="L25" s="114" t="str">
        <f>IF($B11=FALSE,"",Angle_2!AH5)</f>
        <v/>
      </c>
      <c r="M25" s="114" t="str">
        <f>IF($B11=FALSE,"",Angle_2!AI5)</f>
        <v/>
      </c>
      <c r="N25" s="114" t="str">
        <f>IF($B11=FALSE,"",Angle_2!AJ5)</f>
        <v/>
      </c>
      <c r="O25" s="114" t="str">
        <f t="shared" si="14"/>
        <v/>
      </c>
      <c r="P25" s="114" t="str">
        <f t="shared" si="15"/>
        <v/>
      </c>
      <c r="Q25" s="114" t="str">
        <f t="shared" si="16"/>
        <v/>
      </c>
      <c r="R25" s="114" t="str">
        <f t="shared" si="17"/>
        <v/>
      </c>
      <c r="S25" s="114" t="str">
        <f t="shared" si="18"/>
        <v/>
      </c>
      <c r="T25" s="114" t="str">
        <f t="shared" si="19"/>
        <v/>
      </c>
      <c r="U25" s="114" t="str">
        <f t="shared" si="20"/>
        <v/>
      </c>
      <c r="V25" s="114" t="str">
        <f t="shared" si="21"/>
        <v/>
      </c>
      <c r="W25" s="114" t="str">
        <f t="shared" si="22"/>
        <v/>
      </c>
      <c r="X25" s="114" t="str">
        <f t="shared" si="23"/>
        <v/>
      </c>
      <c r="Y25" s="153" t="str">
        <f t="shared" ref="Y25:Y33" si="27">IF(OR(M25="ⅹ",$B25=FALSE),"",AVERAGE(O25,Q25,S25,U25,W25))</f>
        <v/>
      </c>
      <c r="Z25" s="153" t="str">
        <f t="shared" si="24"/>
        <v/>
      </c>
      <c r="AA25" s="154" t="str">
        <f t="shared" ref="AA25:AA33" si="28">IF(OR(M25="ⅹ",$B25=FALSE),"",STDEV(O25,Q25,S25,U25,W25))</f>
        <v/>
      </c>
      <c r="AB25" s="154" t="str">
        <f t="shared" si="25"/>
        <v/>
      </c>
    </row>
    <row r="26" spans="2:28" ht="15" customHeight="1">
      <c r="B26" s="114" t="b">
        <f t="shared" si="26"/>
        <v>0</v>
      </c>
      <c r="C26" s="120" t="str">
        <f t="shared" si="26"/>
        <v/>
      </c>
      <c r="D26" s="115" t="str">
        <f t="shared" si="26"/>
        <v/>
      </c>
      <c r="E26" s="114" t="str">
        <f>IF($B12=FALSE,"",Angle_2!AA6)</f>
        <v/>
      </c>
      <c r="F26" s="114" t="str">
        <f>IF($B12=FALSE,"",Angle_2!AB6)</f>
        <v/>
      </c>
      <c r="G26" s="114" t="str">
        <f>IF($B12=FALSE,"",Angle_2!AC6)</f>
        <v/>
      </c>
      <c r="H26" s="114" t="str">
        <f>IF($B12=FALSE,"",Angle_2!AD6)</f>
        <v/>
      </c>
      <c r="I26" s="114" t="str">
        <f>IF($B12=FALSE,"",Angle_2!AE6)</f>
        <v/>
      </c>
      <c r="J26" s="114" t="str">
        <f>IF($B12=FALSE,"",Angle_2!AF6)</f>
        <v/>
      </c>
      <c r="K26" s="114" t="str">
        <f>IF($B12=FALSE,"",Angle_2!AG6)</f>
        <v/>
      </c>
      <c r="L26" s="114" t="str">
        <f>IF($B12=FALSE,"",Angle_2!AH6)</f>
        <v/>
      </c>
      <c r="M26" s="114" t="str">
        <f>IF($B12=FALSE,"",Angle_2!AI6)</f>
        <v/>
      </c>
      <c r="N26" s="114" t="str">
        <f>IF($B12=FALSE,"",Angle_2!AJ6)</f>
        <v/>
      </c>
      <c r="O26" s="114" t="str">
        <f t="shared" si="14"/>
        <v/>
      </c>
      <c r="P26" s="114" t="str">
        <f t="shared" si="15"/>
        <v/>
      </c>
      <c r="Q26" s="114" t="str">
        <f t="shared" si="16"/>
        <v/>
      </c>
      <c r="R26" s="114" t="str">
        <f t="shared" si="17"/>
        <v/>
      </c>
      <c r="S26" s="114" t="str">
        <f t="shared" si="18"/>
        <v/>
      </c>
      <c r="T26" s="114" t="str">
        <f t="shared" si="19"/>
        <v/>
      </c>
      <c r="U26" s="114" t="str">
        <f t="shared" si="20"/>
        <v/>
      </c>
      <c r="V26" s="114" t="str">
        <f t="shared" si="21"/>
        <v/>
      </c>
      <c r="W26" s="114" t="str">
        <f t="shared" si="22"/>
        <v/>
      </c>
      <c r="X26" s="114" t="str">
        <f t="shared" si="23"/>
        <v/>
      </c>
      <c r="Y26" s="153" t="str">
        <f t="shared" si="27"/>
        <v/>
      </c>
      <c r="Z26" s="153" t="str">
        <f t="shared" si="24"/>
        <v/>
      </c>
      <c r="AA26" s="154" t="str">
        <f t="shared" si="28"/>
        <v/>
      </c>
      <c r="AB26" s="154" t="str">
        <f t="shared" si="25"/>
        <v/>
      </c>
    </row>
    <row r="27" spans="2:28" ht="15" customHeight="1">
      <c r="B27" s="114" t="b">
        <f t="shared" si="26"/>
        <v>0</v>
      </c>
      <c r="C27" s="120" t="str">
        <f t="shared" si="26"/>
        <v/>
      </c>
      <c r="D27" s="115" t="str">
        <f t="shared" si="26"/>
        <v/>
      </c>
      <c r="E27" s="114" t="str">
        <f>IF($B13=FALSE,"",Angle_2!AA7)</f>
        <v/>
      </c>
      <c r="F27" s="114" t="str">
        <f>IF($B13=FALSE,"",Angle_2!AB7)</f>
        <v/>
      </c>
      <c r="G27" s="114" t="str">
        <f>IF($B13=FALSE,"",Angle_2!AC7)</f>
        <v/>
      </c>
      <c r="H27" s="114" t="str">
        <f>IF($B13=FALSE,"",Angle_2!AD7)</f>
        <v/>
      </c>
      <c r="I27" s="114" t="str">
        <f>IF($B13=FALSE,"",Angle_2!AE7)</f>
        <v/>
      </c>
      <c r="J27" s="114" t="str">
        <f>IF($B13=FALSE,"",Angle_2!AF7)</f>
        <v/>
      </c>
      <c r="K27" s="114" t="str">
        <f>IF($B13=FALSE,"",Angle_2!AG7)</f>
        <v/>
      </c>
      <c r="L27" s="114" t="str">
        <f>IF($B13=FALSE,"",Angle_2!AH7)</f>
        <v/>
      </c>
      <c r="M27" s="114" t="str">
        <f>IF($B13=FALSE,"",Angle_2!AI7)</f>
        <v/>
      </c>
      <c r="N27" s="114" t="str">
        <f>IF($B13=FALSE,"",Angle_2!AJ7)</f>
        <v/>
      </c>
      <c r="O27" s="114" t="str">
        <f t="shared" si="14"/>
        <v/>
      </c>
      <c r="P27" s="114" t="str">
        <f t="shared" si="15"/>
        <v/>
      </c>
      <c r="Q27" s="114" t="str">
        <f t="shared" si="16"/>
        <v/>
      </c>
      <c r="R27" s="114" t="str">
        <f t="shared" si="17"/>
        <v/>
      </c>
      <c r="S27" s="114" t="str">
        <f t="shared" si="18"/>
        <v/>
      </c>
      <c r="T27" s="114" t="str">
        <f t="shared" si="19"/>
        <v/>
      </c>
      <c r="U27" s="114" t="str">
        <f t="shared" si="20"/>
        <v/>
      </c>
      <c r="V27" s="114" t="str">
        <f t="shared" si="21"/>
        <v/>
      </c>
      <c r="W27" s="114" t="str">
        <f t="shared" si="22"/>
        <v/>
      </c>
      <c r="X27" s="114" t="str">
        <f t="shared" si="23"/>
        <v/>
      </c>
      <c r="Y27" s="153" t="str">
        <f t="shared" si="27"/>
        <v/>
      </c>
      <c r="Z27" s="153" t="str">
        <f t="shared" si="24"/>
        <v/>
      </c>
      <c r="AA27" s="154" t="str">
        <f t="shared" si="28"/>
        <v/>
      </c>
      <c r="AB27" s="154" t="str">
        <f t="shared" si="25"/>
        <v/>
      </c>
    </row>
    <row r="28" spans="2:28" ht="15" customHeight="1">
      <c r="B28" s="114" t="b">
        <f t="shared" si="26"/>
        <v>0</v>
      </c>
      <c r="C28" s="120" t="str">
        <f t="shared" si="26"/>
        <v/>
      </c>
      <c r="D28" s="115" t="str">
        <f t="shared" si="26"/>
        <v/>
      </c>
      <c r="E28" s="114" t="str">
        <f>IF($B14=FALSE,"",Angle_2!AA8)</f>
        <v/>
      </c>
      <c r="F28" s="114" t="str">
        <f>IF($B14=FALSE,"",Angle_2!AB8)</f>
        <v/>
      </c>
      <c r="G28" s="114" t="str">
        <f>IF($B14=FALSE,"",Angle_2!AC8)</f>
        <v/>
      </c>
      <c r="H28" s="114" t="str">
        <f>IF($B14=FALSE,"",Angle_2!AD8)</f>
        <v/>
      </c>
      <c r="I28" s="114" t="str">
        <f>IF($B14=FALSE,"",Angle_2!AE8)</f>
        <v/>
      </c>
      <c r="J28" s="114" t="str">
        <f>IF($B14=FALSE,"",Angle_2!AF8)</f>
        <v/>
      </c>
      <c r="K28" s="114" t="str">
        <f>IF($B14=FALSE,"",Angle_2!AG8)</f>
        <v/>
      </c>
      <c r="L28" s="114" t="str">
        <f>IF($B14=FALSE,"",Angle_2!AH8)</f>
        <v/>
      </c>
      <c r="M28" s="114" t="str">
        <f>IF($B14=FALSE,"",Angle_2!AI8)</f>
        <v/>
      </c>
      <c r="N28" s="114" t="str">
        <f>IF($B14=FALSE,"",Angle_2!AJ8)</f>
        <v/>
      </c>
      <c r="O28" s="114" t="str">
        <f t="shared" si="14"/>
        <v/>
      </c>
      <c r="P28" s="114" t="str">
        <f t="shared" si="15"/>
        <v/>
      </c>
      <c r="Q28" s="114" t="str">
        <f t="shared" si="16"/>
        <v/>
      </c>
      <c r="R28" s="114" t="str">
        <f t="shared" si="17"/>
        <v/>
      </c>
      <c r="S28" s="114" t="str">
        <f t="shared" si="18"/>
        <v/>
      </c>
      <c r="T28" s="114" t="str">
        <f t="shared" si="19"/>
        <v/>
      </c>
      <c r="U28" s="114" t="str">
        <f t="shared" si="20"/>
        <v/>
      </c>
      <c r="V28" s="114" t="str">
        <f t="shared" si="21"/>
        <v/>
      </c>
      <c r="W28" s="114" t="str">
        <f t="shared" si="22"/>
        <v/>
      </c>
      <c r="X28" s="114" t="str">
        <f t="shared" si="23"/>
        <v/>
      </c>
      <c r="Y28" s="153" t="str">
        <f t="shared" si="27"/>
        <v/>
      </c>
      <c r="Z28" s="153" t="str">
        <f t="shared" si="24"/>
        <v/>
      </c>
      <c r="AA28" s="154" t="str">
        <f t="shared" si="28"/>
        <v/>
      </c>
      <c r="AB28" s="154" t="str">
        <f t="shared" si="25"/>
        <v/>
      </c>
    </row>
    <row r="29" spans="2:28" ht="15" customHeight="1">
      <c r="B29" s="114" t="b">
        <f t="shared" si="26"/>
        <v>0</v>
      </c>
      <c r="C29" s="120" t="str">
        <f t="shared" si="26"/>
        <v/>
      </c>
      <c r="D29" s="115" t="str">
        <f t="shared" si="26"/>
        <v/>
      </c>
      <c r="E29" s="114" t="str">
        <f>IF($B15=FALSE,"",Angle_2!AA9)</f>
        <v/>
      </c>
      <c r="F29" s="114" t="str">
        <f>IF($B15=FALSE,"",Angle_2!AB9)</f>
        <v/>
      </c>
      <c r="G29" s="114" t="str">
        <f>IF($B15=FALSE,"",Angle_2!AC9)</f>
        <v/>
      </c>
      <c r="H29" s="114" t="str">
        <f>IF($B15=FALSE,"",Angle_2!AD9)</f>
        <v/>
      </c>
      <c r="I29" s="114" t="str">
        <f>IF($B15=FALSE,"",Angle_2!AE9)</f>
        <v/>
      </c>
      <c r="J29" s="114" t="str">
        <f>IF($B15=FALSE,"",Angle_2!AF9)</f>
        <v/>
      </c>
      <c r="K29" s="114" t="str">
        <f>IF($B15=FALSE,"",Angle_2!AG9)</f>
        <v/>
      </c>
      <c r="L29" s="114" t="str">
        <f>IF($B15=FALSE,"",Angle_2!AH9)</f>
        <v/>
      </c>
      <c r="M29" s="114" t="str">
        <f>IF($B15=FALSE,"",Angle_2!AI9)</f>
        <v/>
      </c>
      <c r="N29" s="114" t="str">
        <f>IF($B15=FALSE,"",Angle_2!AJ9)</f>
        <v/>
      </c>
      <c r="O29" s="114" t="str">
        <f t="shared" si="14"/>
        <v/>
      </c>
      <c r="P29" s="114" t="str">
        <f t="shared" si="15"/>
        <v/>
      </c>
      <c r="Q29" s="114" t="str">
        <f t="shared" si="16"/>
        <v/>
      </c>
      <c r="R29" s="114" t="str">
        <f t="shared" si="17"/>
        <v/>
      </c>
      <c r="S29" s="114" t="str">
        <f t="shared" si="18"/>
        <v/>
      </c>
      <c r="T29" s="114" t="str">
        <f t="shared" si="19"/>
        <v/>
      </c>
      <c r="U29" s="114" t="str">
        <f t="shared" si="20"/>
        <v/>
      </c>
      <c r="V29" s="114" t="str">
        <f t="shared" si="21"/>
        <v/>
      </c>
      <c r="W29" s="114" t="str">
        <f t="shared" si="22"/>
        <v/>
      </c>
      <c r="X29" s="114" t="str">
        <f t="shared" si="23"/>
        <v/>
      </c>
      <c r="Y29" s="153" t="str">
        <f t="shared" si="27"/>
        <v/>
      </c>
      <c r="Z29" s="153" t="str">
        <f t="shared" si="24"/>
        <v/>
      </c>
      <c r="AA29" s="154" t="str">
        <f t="shared" si="28"/>
        <v/>
      </c>
      <c r="AB29" s="154" t="str">
        <f t="shared" si="25"/>
        <v/>
      </c>
    </row>
    <row r="30" spans="2:28" ht="15" customHeight="1">
      <c r="B30" s="114" t="b">
        <f t="shared" si="26"/>
        <v>0</v>
      </c>
      <c r="C30" s="120" t="str">
        <f t="shared" si="26"/>
        <v/>
      </c>
      <c r="D30" s="115" t="str">
        <f t="shared" si="26"/>
        <v/>
      </c>
      <c r="E30" s="114" t="str">
        <f>IF($B16=FALSE,"",Angle_2!AA10)</f>
        <v/>
      </c>
      <c r="F30" s="114" t="str">
        <f>IF($B16=FALSE,"",Angle_2!AB10)</f>
        <v/>
      </c>
      <c r="G30" s="114" t="str">
        <f>IF($B16=FALSE,"",Angle_2!AC10)</f>
        <v/>
      </c>
      <c r="H30" s="114" t="str">
        <f>IF($B16=FALSE,"",Angle_2!AD10)</f>
        <v/>
      </c>
      <c r="I30" s="114" t="str">
        <f>IF($B16=FALSE,"",Angle_2!AE10)</f>
        <v/>
      </c>
      <c r="J30" s="114" t="str">
        <f>IF($B16=FALSE,"",Angle_2!AF10)</f>
        <v/>
      </c>
      <c r="K30" s="114" t="str">
        <f>IF($B16=FALSE,"",Angle_2!AG10)</f>
        <v/>
      </c>
      <c r="L30" s="114" t="str">
        <f>IF($B16=FALSE,"",Angle_2!AH10)</f>
        <v/>
      </c>
      <c r="M30" s="114" t="str">
        <f>IF($B16=FALSE,"",Angle_2!AI10)</f>
        <v/>
      </c>
      <c r="N30" s="114" t="str">
        <f>IF($B16=FALSE,"",Angle_2!AJ10)</f>
        <v/>
      </c>
      <c r="O30" s="114" t="str">
        <f t="shared" si="14"/>
        <v/>
      </c>
      <c r="P30" s="114" t="str">
        <f t="shared" si="15"/>
        <v/>
      </c>
      <c r="Q30" s="114" t="str">
        <f t="shared" si="16"/>
        <v/>
      </c>
      <c r="R30" s="114" t="str">
        <f t="shared" si="17"/>
        <v/>
      </c>
      <c r="S30" s="114" t="str">
        <f t="shared" si="18"/>
        <v/>
      </c>
      <c r="T30" s="114" t="str">
        <f t="shared" si="19"/>
        <v/>
      </c>
      <c r="U30" s="114" t="str">
        <f t="shared" si="20"/>
        <v/>
      </c>
      <c r="V30" s="114" t="str">
        <f t="shared" si="21"/>
        <v/>
      </c>
      <c r="W30" s="114" t="str">
        <f t="shared" si="22"/>
        <v/>
      </c>
      <c r="X30" s="114" t="str">
        <f t="shared" si="23"/>
        <v/>
      </c>
      <c r="Y30" s="153" t="str">
        <f t="shared" si="27"/>
        <v/>
      </c>
      <c r="Z30" s="153" t="str">
        <f t="shared" si="24"/>
        <v/>
      </c>
      <c r="AA30" s="154" t="str">
        <f t="shared" si="28"/>
        <v/>
      </c>
      <c r="AB30" s="154" t="str">
        <f t="shared" si="25"/>
        <v/>
      </c>
    </row>
    <row r="31" spans="2:28" ht="15" customHeight="1">
      <c r="B31" s="114" t="b">
        <f t="shared" si="26"/>
        <v>0</v>
      </c>
      <c r="C31" s="120" t="str">
        <f t="shared" si="26"/>
        <v/>
      </c>
      <c r="D31" s="115" t="str">
        <f t="shared" si="26"/>
        <v/>
      </c>
      <c r="E31" s="114" t="str">
        <f>IF($B17=FALSE,"",Angle_2!AA11)</f>
        <v/>
      </c>
      <c r="F31" s="114" t="str">
        <f>IF($B17=FALSE,"",Angle_2!AB11)</f>
        <v/>
      </c>
      <c r="G31" s="114" t="str">
        <f>IF($B17=FALSE,"",Angle_2!AC11)</f>
        <v/>
      </c>
      <c r="H31" s="114" t="str">
        <f>IF($B17=FALSE,"",Angle_2!AD11)</f>
        <v/>
      </c>
      <c r="I31" s="114" t="str">
        <f>IF($B17=FALSE,"",Angle_2!AE11)</f>
        <v/>
      </c>
      <c r="J31" s="114" t="str">
        <f>IF($B17=FALSE,"",Angle_2!AF11)</f>
        <v/>
      </c>
      <c r="K31" s="114" t="str">
        <f>IF($B17=FALSE,"",Angle_2!AG11)</f>
        <v/>
      </c>
      <c r="L31" s="114" t="str">
        <f>IF($B17=FALSE,"",Angle_2!AH11)</f>
        <v/>
      </c>
      <c r="M31" s="114" t="str">
        <f>IF($B17=FALSE,"",Angle_2!AI11)</f>
        <v/>
      </c>
      <c r="N31" s="114" t="str">
        <f>IF($B17=FALSE,"",Angle_2!AJ11)</f>
        <v/>
      </c>
      <c r="O31" s="114" t="str">
        <f t="shared" si="14"/>
        <v/>
      </c>
      <c r="P31" s="114" t="str">
        <f t="shared" si="15"/>
        <v/>
      </c>
      <c r="Q31" s="114" t="str">
        <f t="shared" si="16"/>
        <v/>
      </c>
      <c r="R31" s="114" t="str">
        <f t="shared" si="17"/>
        <v/>
      </c>
      <c r="S31" s="114" t="str">
        <f t="shared" si="18"/>
        <v/>
      </c>
      <c r="T31" s="114" t="str">
        <f t="shared" si="19"/>
        <v/>
      </c>
      <c r="U31" s="114" t="str">
        <f t="shared" si="20"/>
        <v/>
      </c>
      <c r="V31" s="114" t="str">
        <f t="shared" si="21"/>
        <v/>
      </c>
      <c r="W31" s="114" t="str">
        <f t="shared" si="22"/>
        <v/>
      </c>
      <c r="X31" s="114" t="str">
        <f t="shared" si="23"/>
        <v/>
      </c>
      <c r="Y31" s="153" t="str">
        <f t="shared" si="27"/>
        <v/>
      </c>
      <c r="Z31" s="153" t="str">
        <f t="shared" si="24"/>
        <v/>
      </c>
      <c r="AA31" s="154" t="str">
        <f t="shared" si="28"/>
        <v/>
      </c>
      <c r="AB31" s="154" t="str">
        <f t="shared" si="25"/>
        <v/>
      </c>
    </row>
    <row r="32" spans="2:28" ht="15" customHeight="1">
      <c r="B32" s="114" t="b">
        <f t="shared" si="26"/>
        <v>0</v>
      </c>
      <c r="C32" s="120" t="str">
        <f t="shared" si="26"/>
        <v/>
      </c>
      <c r="D32" s="115" t="str">
        <f t="shared" si="26"/>
        <v/>
      </c>
      <c r="E32" s="114" t="str">
        <f>IF($B18=FALSE,"",Angle_2!AA12)</f>
        <v/>
      </c>
      <c r="F32" s="114" t="str">
        <f>IF($B18=FALSE,"",Angle_2!AB12)</f>
        <v/>
      </c>
      <c r="G32" s="114" t="str">
        <f>IF($B18=FALSE,"",Angle_2!AC12)</f>
        <v/>
      </c>
      <c r="H32" s="114" t="str">
        <f>IF($B18=FALSE,"",Angle_2!AD12)</f>
        <v/>
      </c>
      <c r="I32" s="114" t="str">
        <f>IF($B18=FALSE,"",Angle_2!AE12)</f>
        <v/>
      </c>
      <c r="J32" s="114" t="str">
        <f>IF($B18=FALSE,"",Angle_2!AF12)</f>
        <v/>
      </c>
      <c r="K32" s="114" t="str">
        <f>IF($B18=FALSE,"",Angle_2!AG12)</f>
        <v/>
      </c>
      <c r="L32" s="114" t="str">
        <f>IF($B18=FALSE,"",Angle_2!AH12)</f>
        <v/>
      </c>
      <c r="M32" s="114" t="str">
        <f>IF($B18=FALSE,"",Angle_2!AI12)</f>
        <v/>
      </c>
      <c r="N32" s="114" t="str">
        <f>IF($B18=FALSE,"",Angle_2!AJ12)</f>
        <v/>
      </c>
      <c r="O32" s="114" t="str">
        <f t="shared" si="14"/>
        <v/>
      </c>
      <c r="P32" s="114" t="str">
        <f t="shared" si="15"/>
        <v/>
      </c>
      <c r="Q32" s="114" t="str">
        <f t="shared" si="16"/>
        <v/>
      </c>
      <c r="R32" s="114" t="str">
        <f t="shared" si="17"/>
        <v/>
      </c>
      <c r="S32" s="114" t="str">
        <f t="shared" si="18"/>
        <v/>
      </c>
      <c r="T32" s="114" t="str">
        <f t="shared" si="19"/>
        <v/>
      </c>
      <c r="U32" s="114" t="str">
        <f t="shared" si="20"/>
        <v/>
      </c>
      <c r="V32" s="114" t="str">
        <f t="shared" si="21"/>
        <v/>
      </c>
      <c r="W32" s="114" t="str">
        <f t="shared" si="22"/>
        <v/>
      </c>
      <c r="X32" s="114" t="str">
        <f t="shared" si="23"/>
        <v/>
      </c>
      <c r="Y32" s="153" t="str">
        <f t="shared" si="27"/>
        <v/>
      </c>
      <c r="Z32" s="153" t="str">
        <f t="shared" si="24"/>
        <v/>
      </c>
      <c r="AA32" s="154" t="str">
        <f t="shared" si="28"/>
        <v/>
      </c>
      <c r="AB32" s="154" t="str">
        <f t="shared" si="25"/>
        <v/>
      </c>
    </row>
    <row r="33" spans="1:31" ht="15" customHeight="1">
      <c r="B33" s="114" t="b">
        <f t="shared" si="26"/>
        <v>0</v>
      </c>
      <c r="C33" s="120" t="str">
        <f t="shared" si="26"/>
        <v/>
      </c>
      <c r="D33" s="115" t="str">
        <f t="shared" si="26"/>
        <v/>
      </c>
      <c r="E33" s="114" t="str">
        <f>IF($B19=FALSE,"",Angle_2!AA13)</f>
        <v/>
      </c>
      <c r="F33" s="114" t="str">
        <f>IF($B19=FALSE,"",Angle_2!AB13)</f>
        <v/>
      </c>
      <c r="G33" s="114" t="str">
        <f>IF($B19=FALSE,"",Angle_2!AC13)</f>
        <v/>
      </c>
      <c r="H33" s="114" t="str">
        <f>IF($B19=FALSE,"",Angle_2!AD13)</f>
        <v/>
      </c>
      <c r="I33" s="114" t="str">
        <f>IF($B19=FALSE,"",Angle_2!AE13)</f>
        <v/>
      </c>
      <c r="J33" s="114" t="str">
        <f>IF($B19=FALSE,"",Angle_2!AF13)</f>
        <v/>
      </c>
      <c r="K33" s="114" t="str">
        <f>IF($B19=FALSE,"",Angle_2!AG13)</f>
        <v/>
      </c>
      <c r="L33" s="114" t="str">
        <f>IF($B19=FALSE,"",Angle_2!AH13)</f>
        <v/>
      </c>
      <c r="M33" s="114" t="str">
        <f>IF($B19=FALSE,"",Angle_2!AI13)</f>
        <v/>
      </c>
      <c r="N33" s="114" t="str">
        <f>IF($B19=FALSE,"",Angle_2!AJ13)</f>
        <v/>
      </c>
      <c r="O33" s="114" t="str">
        <f t="shared" si="14"/>
        <v/>
      </c>
      <c r="P33" s="114" t="str">
        <f t="shared" si="15"/>
        <v/>
      </c>
      <c r="Q33" s="114" t="str">
        <f t="shared" si="16"/>
        <v/>
      </c>
      <c r="R33" s="114" t="str">
        <f t="shared" si="17"/>
        <v/>
      </c>
      <c r="S33" s="114" t="str">
        <f t="shared" si="18"/>
        <v/>
      </c>
      <c r="T33" s="114" t="str">
        <f t="shared" si="19"/>
        <v/>
      </c>
      <c r="U33" s="114" t="str">
        <f t="shared" si="20"/>
        <v/>
      </c>
      <c r="V33" s="114" t="str">
        <f t="shared" si="21"/>
        <v/>
      </c>
      <c r="W33" s="114" t="str">
        <f t="shared" si="22"/>
        <v/>
      </c>
      <c r="X33" s="114" t="str">
        <f t="shared" si="23"/>
        <v/>
      </c>
      <c r="Y33" s="153" t="str">
        <f t="shared" si="27"/>
        <v/>
      </c>
      <c r="Z33" s="153" t="str">
        <f t="shared" si="24"/>
        <v/>
      </c>
      <c r="AA33" s="154" t="str">
        <f t="shared" si="28"/>
        <v/>
      </c>
      <c r="AB33" s="154" t="str">
        <f t="shared" si="25"/>
        <v/>
      </c>
    </row>
    <row r="34" spans="1:31" ht="15" customHeight="1">
      <c r="N34" s="94"/>
      <c r="O34" s="94"/>
      <c r="P34" s="94"/>
      <c r="Q34" s="94"/>
      <c r="R34" s="94"/>
      <c r="S34" s="94"/>
      <c r="T34" s="94"/>
      <c r="X34" s="94"/>
    </row>
    <row r="35" spans="1:31" ht="15" customHeight="1">
      <c r="A35" s="112" t="s">
        <v>258</v>
      </c>
      <c r="C35" s="97"/>
      <c r="E35" s="113"/>
      <c r="M35" s="94"/>
      <c r="N35" s="102" t="s">
        <v>193</v>
      </c>
      <c r="O35" s="97"/>
      <c r="P35" s="97"/>
      <c r="Q35" s="97"/>
      <c r="R35" s="97"/>
      <c r="S35" s="95"/>
      <c r="T35" s="95"/>
      <c r="U35" s="95"/>
      <c r="X35" s="97"/>
      <c r="Y35" s="102" t="s">
        <v>194</v>
      </c>
      <c r="Z35" s="97"/>
      <c r="AA35" s="97"/>
      <c r="AB35" s="97"/>
      <c r="AC35" s="97"/>
      <c r="AD35" s="97"/>
    </row>
    <row r="36" spans="1:31" ht="15" customHeight="1">
      <c r="B36" s="572" t="s">
        <v>183</v>
      </c>
      <c r="C36" s="572" t="s">
        <v>94</v>
      </c>
      <c r="D36" s="589" t="s">
        <v>184</v>
      </c>
      <c r="E36" s="589"/>
      <c r="F36" s="589"/>
      <c r="G36" s="437" t="s">
        <v>97</v>
      </c>
      <c r="H36" s="439"/>
      <c r="I36" s="579" t="s">
        <v>259</v>
      </c>
      <c r="J36" s="580"/>
      <c r="K36" s="580"/>
      <c r="L36" s="581"/>
      <c r="M36" s="94"/>
      <c r="N36" s="558" t="s">
        <v>96</v>
      </c>
      <c r="O36" s="559"/>
      <c r="P36" s="559"/>
      <c r="Q36" s="560"/>
      <c r="R36" s="434" t="s">
        <v>103</v>
      </c>
      <c r="S36" s="563"/>
      <c r="T36" s="563"/>
      <c r="U36" s="563"/>
      <c r="V36" s="563"/>
      <c r="W36" s="563"/>
      <c r="X36" s="97"/>
      <c r="Y36" s="558" t="s">
        <v>316</v>
      </c>
      <c r="Z36" s="559"/>
      <c r="AA36" s="559"/>
      <c r="AB36" s="560"/>
      <c r="AC36" s="558" t="s">
        <v>317</v>
      </c>
      <c r="AD36" s="559"/>
      <c r="AE36" s="560"/>
    </row>
    <row r="37" spans="1:31" ht="15" customHeight="1">
      <c r="B37" s="424"/>
      <c r="C37" s="425"/>
      <c r="D37" s="590" t="s">
        <v>185</v>
      </c>
      <c r="E37" s="591"/>
      <c r="F37" s="592"/>
      <c r="G37" s="437" t="s">
        <v>180</v>
      </c>
      <c r="H37" s="439"/>
      <c r="I37" s="421" t="s">
        <v>229</v>
      </c>
      <c r="J37" s="422"/>
      <c r="K37" s="421" t="s">
        <v>230</v>
      </c>
      <c r="L37" s="422"/>
      <c r="M37" s="94"/>
      <c r="N37" s="579" t="s">
        <v>95</v>
      </c>
      <c r="O37" s="581"/>
      <c r="P37" s="579" t="s">
        <v>80</v>
      </c>
      <c r="Q37" s="581"/>
      <c r="R37" s="423" t="s">
        <v>241</v>
      </c>
      <c r="S37" s="558" t="s">
        <v>80</v>
      </c>
      <c r="T37" s="560"/>
      <c r="U37" s="558" t="s">
        <v>265</v>
      </c>
      <c r="V37" s="560"/>
      <c r="W37" s="185" t="s">
        <v>266</v>
      </c>
      <c r="X37" s="97"/>
      <c r="Y37" s="196" t="s">
        <v>210</v>
      </c>
      <c r="Z37" s="196" t="s">
        <v>318</v>
      </c>
      <c r="AA37" s="558" t="s">
        <v>318</v>
      </c>
      <c r="AB37" s="560"/>
      <c r="AC37" s="423" t="s">
        <v>319</v>
      </c>
      <c r="AD37" s="558" t="s">
        <v>315</v>
      </c>
      <c r="AE37" s="560"/>
    </row>
    <row r="38" spans="1:31" ht="15" customHeight="1">
      <c r="B38" s="425"/>
      <c r="C38" s="155" t="s">
        <v>149</v>
      </c>
      <c r="D38" s="155" t="s">
        <v>186</v>
      </c>
      <c r="E38" s="155" t="s">
        <v>187</v>
      </c>
      <c r="F38" s="150" t="s">
        <v>59</v>
      </c>
      <c r="G38" s="119" t="s">
        <v>181</v>
      </c>
      <c r="H38" s="118" t="s">
        <v>182</v>
      </c>
      <c r="I38" s="119" t="s">
        <v>181</v>
      </c>
      <c r="J38" s="118" t="s">
        <v>182</v>
      </c>
      <c r="K38" s="119" t="s">
        <v>181</v>
      </c>
      <c r="L38" s="118" t="s">
        <v>182</v>
      </c>
      <c r="M38" s="94"/>
      <c r="N38" s="119" t="s">
        <v>181</v>
      </c>
      <c r="O38" s="118" t="s">
        <v>182</v>
      </c>
      <c r="P38" s="119" t="s">
        <v>181</v>
      </c>
      <c r="Q38" s="118" t="s">
        <v>182</v>
      </c>
      <c r="R38" s="425"/>
      <c r="S38" s="119" t="s">
        <v>181</v>
      </c>
      <c r="T38" s="118" t="s">
        <v>182</v>
      </c>
      <c r="U38" s="119" t="s">
        <v>181</v>
      </c>
      <c r="V38" s="118" t="s">
        <v>182</v>
      </c>
      <c r="W38" s="185"/>
      <c r="X38" s="97"/>
      <c r="Y38" s="201" t="s">
        <v>320</v>
      </c>
      <c r="Z38" s="201" t="s">
        <v>320</v>
      </c>
      <c r="AA38" s="201" t="s">
        <v>296</v>
      </c>
      <c r="AB38" s="201" t="s">
        <v>98</v>
      </c>
      <c r="AC38" s="425"/>
      <c r="AD38" s="156">
        <f>IF(TYPE(MATCH("FAIL",AD39:AD48,0))=16,0,1)</f>
        <v>0</v>
      </c>
      <c r="AE38" s="156">
        <f>IF(TYPE(MATCH("FAIL",AE39:AE48,0))=16,0,1)</f>
        <v>0</v>
      </c>
    </row>
    <row r="39" spans="1:31" ht="15" customHeight="1">
      <c r="B39" s="114" t="str">
        <f>IF(B10=FALSE,"",Angle_2!E4)</f>
        <v/>
      </c>
      <c r="C39" s="184" t="str">
        <f t="shared" ref="C39:C48" si="29">IF(B10=FALSE,"",ROUND(D10,M$76))</f>
        <v/>
      </c>
      <c r="D39" s="116" t="str">
        <f>IF(B10=FALSE,"",Angle_2!E17)</f>
        <v/>
      </c>
      <c r="E39" s="116" t="str">
        <f>IF(B10=FALSE,"",Angle_2!F17)</f>
        <v/>
      </c>
      <c r="F39" s="121" t="str">
        <f>IF(B10=FALSE,"",Angle_2!D17)</f>
        <v/>
      </c>
      <c r="G39" s="153" t="str">
        <f t="shared" ref="G39:G48" si="30">IF(B10=FALSE,"",Y10)</f>
        <v/>
      </c>
      <c r="H39" s="153" t="str">
        <f t="shared" ref="H39:H48" si="31">IF(B10=FALSE,"",Z10)</f>
        <v/>
      </c>
      <c r="I39" s="125" t="str">
        <f>IF(B10=FALSE,"",D39-G39)</f>
        <v/>
      </c>
      <c r="J39" s="125" t="str">
        <f>IF(OR(N10="ⅹ",B10=FALSE),"-",E39-H39)</f>
        <v>-</v>
      </c>
      <c r="K39" s="125" t="str">
        <f>IF(B10=FALSE,"",DEGREES(ATAN(I39*10^-6/1))*3600)</f>
        <v/>
      </c>
      <c r="L39" s="125" t="str">
        <f>IF(OR(N10="ⅹ",B10=FALSE),"-",DEGREES(ATAN(J39*10^-6/1))*3600)</f>
        <v>-</v>
      </c>
      <c r="M39" s="94"/>
      <c r="N39" s="115" t="str">
        <f t="shared" ref="N39:N48" si="32">IF(K39="","",ROUND(K39,$M$76))</f>
        <v/>
      </c>
      <c r="O39" s="115" t="str">
        <f t="shared" ref="O39:O48" si="33">IF(L39="-","-",ROUND(L39,$M$76))</f>
        <v>-</v>
      </c>
      <c r="P39" s="115" t="str">
        <f t="shared" ref="P39:P48" si="34">IF(K39="","",ROUND(C39+N39,$M$76))</f>
        <v/>
      </c>
      <c r="Q39" s="115" t="str">
        <f t="shared" ref="Q39:Q48" si="35">IF(L39="-","-",ROUND(C39+L39,$M$76))</f>
        <v>-</v>
      </c>
      <c r="R39" s="178" t="e">
        <f t="shared" ref="R39:R48" ca="1" si="36">TEXT(C39,$P$76)</f>
        <v>#N/A</v>
      </c>
      <c r="S39" s="115" t="e">
        <f t="shared" ref="S39:S48" ca="1" si="37">TEXT(P39,$P$76)</f>
        <v>#N/A</v>
      </c>
      <c r="T39" s="115" t="e">
        <f t="shared" ref="T39:T48" ca="1" si="38">TEXT(Q39,$P$76)</f>
        <v>#N/A</v>
      </c>
      <c r="U39" s="115" t="e">
        <f t="shared" ref="U39:U48" ca="1" si="39">TEXT(N39,$P$76)</f>
        <v>#N/A</v>
      </c>
      <c r="V39" s="115" t="e">
        <f t="shared" ref="V39:V48" ca="1" si="40">TEXT(O39,$P$76)</f>
        <v>#N/A</v>
      </c>
      <c r="W39" s="178" t="e">
        <f ca="1">S$76</f>
        <v>#N/A</v>
      </c>
      <c r="X39" s="97"/>
      <c r="Y39" s="178" t="e">
        <f>Angle_2!O4-AVERAGE(Angle_2!N4,Angle_2!O4)</f>
        <v>#DIV/0!</v>
      </c>
      <c r="Z39" s="214" t="e">
        <f>DEGREES(ATAN((Y39*$E$4)*10^-6/1))*3600</f>
        <v>#DIV/0!</v>
      </c>
      <c r="AA39" s="178" t="e">
        <f ca="1">ROUND($C39-$Z39,$M$76)</f>
        <v>#VALUE!</v>
      </c>
      <c r="AB39" s="178" t="e">
        <f ca="1">ROUND($C39+$Z39,$M$76)</f>
        <v>#VALUE!</v>
      </c>
      <c r="AC39" s="178" t="e">
        <f t="shared" ref="AC39:AC48" ca="1" si="41">"± "&amp;TEXT(AB39-C39,$P$76)</f>
        <v>#VALUE!</v>
      </c>
      <c r="AD39" s="178" t="str">
        <f>IF(P39="","",IF(AND(AA39&lt;=P39,P39&lt;=AB39),"PASS","FAIL"))</f>
        <v/>
      </c>
      <c r="AE39" s="178" t="str">
        <f t="shared" ref="AE39:AE48" si="42">IF(Q39="-","",IF(AND(AA39&lt;=Q39,Q39&lt;=AB39),"PASS","FAIL"))</f>
        <v/>
      </c>
    </row>
    <row r="40" spans="1:31" ht="15" customHeight="1">
      <c r="B40" s="114" t="str">
        <f>IF(B11=FALSE,"",Angle_2!E5)</f>
        <v/>
      </c>
      <c r="C40" s="184" t="str">
        <f t="shared" si="29"/>
        <v/>
      </c>
      <c r="D40" s="116" t="str">
        <f>IF(B11=FALSE,"",Angle_2!E18)</f>
        <v/>
      </c>
      <c r="E40" s="116" t="str">
        <f>IF(B11=FALSE,"",Angle_2!F18)</f>
        <v/>
      </c>
      <c r="F40" s="121" t="str">
        <f>IF(B11=FALSE,"",Angle_2!D18)</f>
        <v/>
      </c>
      <c r="G40" s="153" t="str">
        <f t="shared" si="30"/>
        <v/>
      </c>
      <c r="H40" s="153" t="str">
        <f t="shared" si="31"/>
        <v/>
      </c>
      <c r="I40" s="125" t="str">
        <f t="shared" ref="I40:I48" si="43">IF(B11=FALSE,"",ROUND(D40-G40,1))</f>
        <v/>
      </c>
      <c r="J40" s="125" t="str">
        <f t="shared" ref="J40:J48" si="44">IF(OR(N11="ⅹ",B11=FALSE),"-",E40-H40)</f>
        <v>-</v>
      </c>
      <c r="K40" s="125" t="str">
        <f t="shared" ref="K40:K48" si="45">IF(B11=FALSE,"",DEGREES(ATAN(I40*10^-6/1))*3600)</f>
        <v/>
      </c>
      <c r="L40" s="125" t="str">
        <f t="shared" ref="L40:L48" si="46">IF(OR(N11="ⅹ",B11=FALSE),"-",DEGREES(ATAN(J40*10^-6/1))*3600)</f>
        <v>-</v>
      </c>
      <c r="M40" s="94"/>
      <c r="N40" s="115" t="str">
        <f t="shared" si="32"/>
        <v/>
      </c>
      <c r="O40" s="115" t="str">
        <f t="shared" si="33"/>
        <v>-</v>
      </c>
      <c r="P40" s="115" t="str">
        <f t="shared" si="34"/>
        <v/>
      </c>
      <c r="Q40" s="115" t="str">
        <f t="shared" si="35"/>
        <v>-</v>
      </c>
      <c r="R40" s="178" t="e">
        <f t="shared" ca="1" si="36"/>
        <v>#N/A</v>
      </c>
      <c r="S40" s="115" t="e">
        <f t="shared" ca="1" si="37"/>
        <v>#N/A</v>
      </c>
      <c r="T40" s="115" t="e">
        <f t="shared" ca="1" si="38"/>
        <v>#N/A</v>
      </c>
      <c r="U40" s="115" t="e">
        <f t="shared" ca="1" si="39"/>
        <v>#N/A</v>
      </c>
      <c r="V40" s="115" t="e">
        <f t="shared" ca="1" si="40"/>
        <v>#N/A</v>
      </c>
      <c r="W40" s="178" t="e">
        <f t="shared" ref="W40:W48" ca="1" si="47">S$76</f>
        <v>#N/A</v>
      </c>
      <c r="X40" s="97"/>
      <c r="Y40" s="178" t="e">
        <f>Angle_2!O5-AVERAGE(Angle_2!N5,Angle_2!O5)</f>
        <v>#DIV/0!</v>
      </c>
      <c r="Z40" s="214" t="e">
        <f t="shared" ref="Z40:Z48" si="48">DEGREES(ATAN((Y40*$E$4)*10^-6/1))*3600</f>
        <v>#DIV/0!</v>
      </c>
      <c r="AA40" s="178" t="e">
        <f t="shared" ref="AA40:AA48" ca="1" si="49">ROUND($C40-$Z40,$M$76)</f>
        <v>#VALUE!</v>
      </c>
      <c r="AB40" s="178" t="e">
        <f t="shared" ref="AB40:AB48" ca="1" si="50">ROUND($C40+$Z40,$M$76)</f>
        <v>#VALUE!</v>
      </c>
      <c r="AC40" s="178" t="e">
        <f t="shared" ca="1" si="41"/>
        <v>#VALUE!</v>
      </c>
      <c r="AD40" s="178" t="str">
        <f t="shared" ref="AD40:AD48" si="51">IF(P40="","",IF(AND(AA40&lt;=P40,P40&lt;=AB40),"PASS","FAIL"))</f>
        <v/>
      </c>
      <c r="AE40" s="178" t="str">
        <f t="shared" si="42"/>
        <v/>
      </c>
    </row>
    <row r="41" spans="1:31" ht="15" customHeight="1">
      <c r="B41" s="114" t="str">
        <f>IF(B12=FALSE,"",Angle_2!E6)</f>
        <v/>
      </c>
      <c r="C41" s="184" t="str">
        <f t="shared" si="29"/>
        <v/>
      </c>
      <c r="D41" s="116" t="str">
        <f>IF(B12=FALSE,"",Angle_2!E19)</f>
        <v/>
      </c>
      <c r="E41" s="116" t="str">
        <f>IF(B12=FALSE,"",Angle_2!F19)</f>
        <v/>
      </c>
      <c r="F41" s="121" t="str">
        <f>IF(B12=FALSE,"",Angle_2!D19)</f>
        <v/>
      </c>
      <c r="G41" s="153" t="str">
        <f t="shared" si="30"/>
        <v/>
      </c>
      <c r="H41" s="153" t="str">
        <f t="shared" si="31"/>
        <v/>
      </c>
      <c r="I41" s="125" t="str">
        <f t="shared" si="43"/>
        <v/>
      </c>
      <c r="J41" s="125" t="str">
        <f t="shared" si="44"/>
        <v>-</v>
      </c>
      <c r="K41" s="125" t="str">
        <f t="shared" si="45"/>
        <v/>
      </c>
      <c r="L41" s="125" t="str">
        <f t="shared" si="46"/>
        <v>-</v>
      </c>
      <c r="M41" s="94"/>
      <c r="N41" s="115" t="str">
        <f t="shared" si="32"/>
        <v/>
      </c>
      <c r="O41" s="115" t="str">
        <f t="shared" si="33"/>
        <v>-</v>
      </c>
      <c r="P41" s="115" t="str">
        <f t="shared" si="34"/>
        <v/>
      </c>
      <c r="Q41" s="115" t="str">
        <f t="shared" si="35"/>
        <v>-</v>
      </c>
      <c r="R41" s="178" t="e">
        <f t="shared" ca="1" si="36"/>
        <v>#N/A</v>
      </c>
      <c r="S41" s="115" t="e">
        <f t="shared" ca="1" si="37"/>
        <v>#N/A</v>
      </c>
      <c r="T41" s="115" t="e">
        <f t="shared" ca="1" si="38"/>
        <v>#N/A</v>
      </c>
      <c r="U41" s="115" t="e">
        <f t="shared" ca="1" si="39"/>
        <v>#N/A</v>
      </c>
      <c r="V41" s="115" t="e">
        <f t="shared" ca="1" si="40"/>
        <v>#N/A</v>
      </c>
      <c r="W41" s="178" t="e">
        <f t="shared" ca="1" si="47"/>
        <v>#N/A</v>
      </c>
      <c r="X41" s="97"/>
      <c r="Y41" s="178" t="e">
        <f>Angle_2!O6-AVERAGE(Angle_2!N6,Angle_2!O6)</f>
        <v>#DIV/0!</v>
      </c>
      <c r="Z41" s="214" t="e">
        <f t="shared" si="48"/>
        <v>#DIV/0!</v>
      </c>
      <c r="AA41" s="178" t="e">
        <f t="shared" ca="1" si="49"/>
        <v>#VALUE!</v>
      </c>
      <c r="AB41" s="178" t="e">
        <f t="shared" ca="1" si="50"/>
        <v>#VALUE!</v>
      </c>
      <c r="AC41" s="178" t="e">
        <f t="shared" ca="1" si="41"/>
        <v>#VALUE!</v>
      </c>
      <c r="AD41" s="178" t="str">
        <f t="shared" si="51"/>
        <v/>
      </c>
      <c r="AE41" s="178" t="str">
        <f t="shared" si="42"/>
        <v/>
      </c>
    </row>
    <row r="42" spans="1:31" ht="15" customHeight="1">
      <c r="B42" s="114" t="str">
        <f>IF(B13=FALSE,"",Angle_2!E7)</f>
        <v/>
      </c>
      <c r="C42" s="184" t="str">
        <f t="shared" si="29"/>
        <v/>
      </c>
      <c r="D42" s="116" t="str">
        <f>IF(B13=FALSE,"",Angle_2!E20)</f>
        <v/>
      </c>
      <c r="E42" s="116" t="str">
        <f>IF(B13=FALSE,"",Angle_2!F20)</f>
        <v/>
      </c>
      <c r="F42" s="121" t="str">
        <f>IF(B13=FALSE,"",Angle_2!D20)</f>
        <v/>
      </c>
      <c r="G42" s="153" t="str">
        <f t="shared" si="30"/>
        <v/>
      </c>
      <c r="H42" s="153" t="str">
        <f t="shared" si="31"/>
        <v/>
      </c>
      <c r="I42" s="125" t="str">
        <f t="shared" si="43"/>
        <v/>
      </c>
      <c r="J42" s="125" t="str">
        <f t="shared" si="44"/>
        <v>-</v>
      </c>
      <c r="K42" s="125" t="str">
        <f t="shared" si="45"/>
        <v/>
      </c>
      <c r="L42" s="125" t="str">
        <f t="shared" si="46"/>
        <v>-</v>
      </c>
      <c r="M42" s="94"/>
      <c r="N42" s="115" t="str">
        <f t="shared" si="32"/>
        <v/>
      </c>
      <c r="O42" s="115" t="str">
        <f t="shared" si="33"/>
        <v>-</v>
      </c>
      <c r="P42" s="115" t="str">
        <f t="shared" si="34"/>
        <v/>
      </c>
      <c r="Q42" s="115" t="str">
        <f t="shared" si="35"/>
        <v>-</v>
      </c>
      <c r="R42" s="178" t="e">
        <f t="shared" ca="1" si="36"/>
        <v>#N/A</v>
      </c>
      <c r="S42" s="115" t="e">
        <f t="shared" ca="1" si="37"/>
        <v>#N/A</v>
      </c>
      <c r="T42" s="115" t="e">
        <f t="shared" ca="1" si="38"/>
        <v>#N/A</v>
      </c>
      <c r="U42" s="115" t="e">
        <f t="shared" ca="1" si="39"/>
        <v>#N/A</v>
      </c>
      <c r="V42" s="115" t="e">
        <f t="shared" ca="1" si="40"/>
        <v>#N/A</v>
      </c>
      <c r="W42" s="178" t="e">
        <f t="shared" ca="1" si="47"/>
        <v>#N/A</v>
      </c>
      <c r="X42" s="97"/>
      <c r="Y42" s="178" t="e">
        <f>Angle_2!O7-AVERAGE(Angle_2!N7,Angle_2!O7)</f>
        <v>#DIV/0!</v>
      </c>
      <c r="Z42" s="214" t="e">
        <f t="shared" si="48"/>
        <v>#DIV/0!</v>
      </c>
      <c r="AA42" s="178" t="e">
        <f t="shared" ca="1" si="49"/>
        <v>#VALUE!</v>
      </c>
      <c r="AB42" s="178" t="e">
        <f t="shared" ca="1" si="50"/>
        <v>#VALUE!</v>
      </c>
      <c r="AC42" s="178" t="e">
        <f t="shared" ca="1" si="41"/>
        <v>#VALUE!</v>
      </c>
      <c r="AD42" s="178" t="str">
        <f t="shared" si="51"/>
        <v/>
      </c>
      <c r="AE42" s="178" t="str">
        <f t="shared" si="42"/>
        <v/>
      </c>
    </row>
    <row r="43" spans="1:31" ht="15" customHeight="1">
      <c r="B43" s="114" t="str">
        <f>IF(B14=FALSE,"",Angle_2!E8)</f>
        <v/>
      </c>
      <c r="C43" s="184" t="str">
        <f t="shared" si="29"/>
        <v/>
      </c>
      <c r="D43" s="116" t="str">
        <f>IF(B14=FALSE,"",Angle_2!E21)</f>
        <v/>
      </c>
      <c r="E43" s="116" t="str">
        <f>IF(B14=FALSE,"",Angle_2!F21)</f>
        <v/>
      </c>
      <c r="F43" s="121" t="str">
        <f>IF(B14=FALSE,"",Angle_2!D21)</f>
        <v/>
      </c>
      <c r="G43" s="153" t="str">
        <f t="shared" si="30"/>
        <v/>
      </c>
      <c r="H43" s="153" t="str">
        <f t="shared" si="31"/>
        <v/>
      </c>
      <c r="I43" s="125" t="str">
        <f t="shared" si="43"/>
        <v/>
      </c>
      <c r="J43" s="125" t="str">
        <f t="shared" si="44"/>
        <v>-</v>
      </c>
      <c r="K43" s="125" t="str">
        <f t="shared" si="45"/>
        <v/>
      </c>
      <c r="L43" s="125" t="str">
        <f t="shared" si="46"/>
        <v>-</v>
      </c>
      <c r="M43" s="94"/>
      <c r="N43" s="115" t="str">
        <f t="shared" si="32"/>
        <v/>
      </c>
      <c r="O43" s="115" t="str">
        <f t="shared" si="33"/>
        <v>-</v>
      </c>
      <c r="P43" s="115" t="str">
        <f t="shared" si="34"/>
        <v/>
      </c>
      <c r="Q43" s="115" t="str">
        <f t="shared" si="35"/>
        <v>-</v>
      </c>
      <c r="R43" s="178" t="e">
        <f t="shared" ca="1" si="36"/>
        <v>#N/A</v>
      </c>
      <c r="S43" s="115" t="e">
        <f t="shared" ca="1" si="37"/>
        <v>#N/A</v>
      </c>
      <c r="T43" s="115" t="e">
        <f t="shared" ca="1" si="38"/>
        <v>#N/A</v>
      </c>
      <c r="U43" s="115" t="e">
        <f t="shared" ca="1" si="39"/>
        <v>#N/A</v>
      </c>
      <c r="V43" s="115" t="e">
        <f t="shared" ca="1" si="40"/>
        <v>#N/A</v>
      </c>
      <c r="W43" s="178" t="e">
        <f t="shared" ca="1" si="47"/>
        <v>#N/A</v>
      </c>
      <c r="X43" s="97"/>
      <c r="Y43" s="178" t="e">
        <f>Angle_2!O8-AVERAGE(Angle_2!N8,Angle_2!O8)</f>
        <v>#DIV/0!</v>
      </c>
      <c r="Z43" s="214" t="e">
        <f t="shared" si="48"/>
        <v>#DIV/0!</v>
      </c>
      <c r="AA43" s="178" t="e">
        <f t="shared" ca="1" si="49"/>
        <v>#VALUE!</v>
      </c>
      <c r="AB43" s="178" t="e">
        <f t="shared" ca="1" si="50"/>
        <v>#VALUE!</v>
      </c>
      <c r="AC43" s="178" t="e">
        <f t="shared" ca="1" si="41"/>
        <v>#VALUE!</v>
      </c>
      <c r="AD43" s="178" t="str">
        <f t="shared" si="51"/>
        <v/>
      </c>
      <c r="AE43" s="178" t="str">
        <f t="shared" si="42"/>
        <v/>
      </c>
    </row>
    <row r="44" spans="1:31" ht="15" customHeight="1">
      <c r="B44" s="114" t="str">
        <f>IF(B15=FALSE,"",Angle_2!E9)</f>
        <v/>
      </c>
      <c r="C44" s="184" t="str">
        <f t="shared" si="29"/>
        <v/>
      </c>
      <c r="D44" s="116" t="str">
        <f>IF(B15=FALSE,"",Angle_2!E22)</f>
        <v/>
      </c>
      <c r="E44" s="116" t="str">
        <f>IF(B15=FALSE,"",Angle_2!F22)</f>
        <v/>
      </c>
      <c r="F44" s="121" t="str">
        <f>IF(B15=FALSE,"",Angle_2!D22)</f>
        <v/>
      </c>
      <c r="G44" s="153" t="str">
        <f t="shared" si="30"/>
        <v/>
      </c>
      <c r="H44" s="153" t="str">
        <f t="shared" si="31"/>
        <v/>
      </c>
      <c r="I44" s="125" t="str">
        <f t="shared" si="43"/>
        <v/>
      </c>
      <c r="J44" s="125" t="str">
        <f t="shared" si="44"/>
        <v>-</v>
      </c>
      <c r="K44" s="125" t="str">
        <f t="shared" si="45"/>
        <v/>
      </c>
      <c r="L44" s="125" t="str">
        <f t="shared" si="46"/>
        <v>-</v>
      </c>
      <c r="M44" s="94"/>
      <c r="N44" s="115" t="str">
        <f t="shared" si="32"/>
        <v/>
      </c>
      <c r="O44" s="115" t="str">
        <f t="shared" si="33"/>
        <v>-</v>
      </c>
      <c r="P44" s="115" t="str">
        <f t="shared" si="34"/>
        <v/>
      </c>
      <c r="Q44" s="115" t="str">
        <f t="shared" si="35"/>
        <v>-</v>
      </c>
      <c r="R44" s="178" t="e">
        <f t="shared" ca="1" si="36"/>
        <v>#N/A</v>
      </c>
      <c r="S44" s="115" t="e">
        <f t="shared" ca="1" si="37"/>
        <v>#N/A</v>
      </c>
      <c r="T44" s="115" t="e">
        <f t="shared" ca="1" si="38"/>
        <v>#N/A</v>
      </c>
      <c r="U44" s="115" t="e">
        <f t="shared" ca="1" si="39"/>
        <v>#N/A</v>
      </c>
      <c r="V44" s="115" t="e">
        <f t="shared" ca="1" si="40"/>
        <v>#N/A</v>
      </c>
      <c r="W44" s="178" t="e">
        <f t="shared" ca="1" si="47"/>
        <v>#N/A</v>
      </c>
      <c r="X44" s="97"/>
      <c r="Y44" s="178" t="e">
        <f>Angle_2!O9-AVERAGE(Angle_2!N9,Angle_2!O9)</f>
        <v>#DIV/0!</v>
      </c>
      <c r="Z44" s="214" t="e">
        <f t="shared" si="48"/>
        <v>#DIV/0!</v>
      </c>
      <c r="AA44" s="178" t="e">
        <f t="shared" ca="1" si="49"/>
        <v>#VALUE!</v>
      </c>
      <c r="AB44" s="178" t="e">
        <f t="shared" ca="1" si="50"/>
        <v>#VALUE!</v>
      </c>
      <c r="AC44" s="178" t="e">
        <f t="shared" ca="1" si="41"/>
        <v>#VALUE!</v>
      </c>
      <c r="AD44" s="178" t="str">
        <f t="shared" si="51"/>
        <v/>
      </c>
      <c r="AE44" s="178" t="str">
        <f t="shared" si="42"/>
        <v/>
      </c>
    </row>
    <row r="45" spans="1:31" ht="15" customHeight="1">
      <c r="B45" s="114" t="str">
        <f>IF(B16=FALSE,"",Angle_2!E10)</f>
        <v/>
      </c>
      <c r="C45" s="184" t="str">
        <f t="shared" si="29"/>
        <v/>
      </c>
      <c r="D45" s="116" t="str">
        <f>IF(B16=FALSE,"",Angle_2!E23)</f>
        <v/>
      </c>
      <c r="E45" s="116" t="str">
        <f>IF(B16=FALSE,"",Angle_2!F23)</f>
        <v/>
      </c>
      <c r="F45" s="121" t="str">
        <f>IF(B16=FALSE,"",Angle_2!D23)</f>
        <v/>
      </c>
      <c r="G45" s="153" t="str">
        <f t="shared" si="30"/>
        <v/>
      </c>
      <c r="H45" s="153" t="str">
        <f t="shared" si="31"/>
        <v/>
      </c>
      <c r="I45" s="125" t="str">
        <f t="shared" si="43"/>
        <v/>
      </c>
      <c r="J45" s="125" t="str">
        <f t="shared" si="44"/>
        <v>-</v>
      </c>
      <c r="K45" s="125" t="str">
        <f t="shared" si="45"/>
        <v/>
      </c>
      <c r="L45" s="125" t="str">
        <f t="shared" si="46"/>
        <v>-</v>
      </c>
      <c r="M45" s="94"/>
      <c r="N45" s="115" t="str">
        <f t="shared" si="32"/>
        <v/>
      </c>
      <c r="O45" s="115" t="str">
        <f t="shared" si="33"/>
        <v>-</v>
      </c>
      <c r="P45" s="115" t="str">
        <f t="shared" si="34"/>
        <v/>
      </c>
      <c r="Q45" s="115" t="str">
        <f t="shared" si="35"/>
        <v>-</v>
      </c>
      <c r="R45" s="178" t="e">
        <f t="shared" ca="1" si="36"/>
        <v>#N/A</v>
      </c>
      <c r="S45" s="115" t="e">
        <f t="shared" ca="1" si="37"/>
        <v>#N/A</v>
      </c>
      <c r="T45" s="115" t="e">
        <f t="shared" ca="1" si="38"/>
        <v>#N/A</v>
      </c>
      <c r="U45" s="115" t="e">
        <f t="shared" ca="1" si="39"/>
        <v>#N/A</v>
      </c>
      <c r="V45" s="115" t="e">
        <f t="shared" ca="1" si="40"/>
        <v>#N/A</v>
      </c>
      <c r="W45" s="178" t="e">
        <f t="shared" ca="1" si="47"/>
        <v>#N/A</v>
      </c>
      <c r="X45" s="97"/>
      <c r="Y45" s="178" t="e">
        <f>Angle_2!O10-AVERAGE(Angle_2!N10,Angle_2!O10)</f>
        <v>#DIV/0!</v>
      </c>
      <c r="Z45" s="214" t="e">
        <f t="shared" si="48"/>
        <v>#DIV/0!</v>
      </c>
      <c r="AA45" s="178" t="e">
        <f t="shared" ca="1" si="49"/>
        <v>#VALUE!</v>
      </c>
      <c r="AB45" s="178" t="e">
        <f t="shared" ca="1" si="50"/>
        <v>#VALUE!</v>
      </c>
      <c r="AC45" s="178" t="e">
        <f t="shared" ca="1" si="41"/>
        <v>#VALUE!</v>
      </c>
      <c r="AD45" s="178" t="str">
        <f t="shared" si="51"/>
        <v/>
      </c>
      <c r="AE45" s="178" t="str">
        <f t="shared" si="42"/>
        <v/>
      </c>
    </row>
    <row r="46" spans="1:31" ht="15" customHeight="1">
      <c r="B46" s="114" t="str">
        <f>IF(B17=FALSE,"",Angle_2!E11)</f>
        <v/>
      </c>
      <c r="C46" s="184" t="str">
        <f t="shared" si="29"/>
        <v/>
      </c>
      <c r="D46" s="116" t="str">
        <f>IF(B17=FALSE,"",Angle_2!E24)</f>
        <v/>
      </c>
      <c r="E46" s="116" t="str">
        <f>IF(B17=FALSE,"",Angle_2!F24)</f>
        <v/>
      </c>
      <c r="F46" s="121" t="str">
        <f>IF(B17=FALSE,"",Angle_2!D24)</f>
        <v/>
      </c>
      <c r="G46" s="153" t="str">
        <f t="shared" si="30"/>
        <v/>
      </c>
      <c r="H46" s="153" t="str">
        <f t="shared" si="31"/>
        <v/>
      </c>
      <c r="I46" s="125" t="str">
        <f t="shared" si="43"/>
        <v/>
      </c>
      <c r="J46" s="125" t="str">
        <f t="shared" si="44"/>
        <v>-</v>
      </c>
      <c r="K46" s="125" t="str">
        <f t="shared" si="45"/>
        <v/>
      </c>
      <c r="L46" s="125" t="str">
        <f t="shared" si="46"/>
        <v>-</v>
      </c>
      <c r="M46" s="94"/>
      <c r="N46" s="115" t="str">
        <f t="shared" si="32"/>
        <v/>
      </c>
      <c r="O46" s="115" t="str">
        <f t="shared" si="33"/>
        <v>-</v>
      </c>
      <c r="P46" s="115" t="str">
        <f t="shared" si="34"/>
        <v/>
      </c>
      <c r="Q46" s="115" t="str">
        <f t="shared" si="35"/>
        <v>-</v>
      </c>
      <c r="R46" s="178" t="e">
        <f t="shared" ca="1" si="36"/>
        <v>#N/A</v>
      </c>
      <c r="S46" s="115" t="e">
        <f t="shared" ca="1" si="37"/>
        <v>#N/A</v>
      </c>
      <c r="T46" s="115" t="e">
        <f t="shared" ca="1" si="38"/>
        <v>#N/A</v>
      </c>
      <c r="U46" s="115" t="e">
        <f t="shared" ca="1" si="39"/>
        <v>#N/A</v>
      </c>
      <c r="V46" s="115" t="e">
        <f t="shared" ca="1" si="40"/>
        <v>#N/A</v>
      </c>
      <c r="W46" s="178" t="e">
        <f t="shared" ca="1" si="47"/>
        <v>#N/A</v>
      </c>
      <c r="X46" s="97"/>
      <c r="Y46" s="178" t="e">
        <f>Angle_2!O11-AVERAGE(Angle_2!N11,Angle_2!O11)</f>
        <v>#DIV/0!</v>
      </c>
      <c r="Z46" s="214" t="e">
        <f t="shared" si="48"/>
        <v>#DIV/0!</v>
      </c>
      <c r="AA46" s="178" t="e">
        <f t="shared" ca="1" si="49"/>
        <v>#VALUE!</v>
      </c>
      <c r="AB46" s="178" t="e">
        <f t="shared" ca="1" si="50"/>
        <v>#VALUE!</v>
      </c>
      <c r="AC46" s="178" t="e">
        <f t="shared" ca="1" si="41"/>
        <v>#VALUE!</v>
      </c>
      <c r="AD46" s="178" t="str">
        <f t="shared" si="51"/>
        <v/>
      </c>
      <c r="AE46" s="178" t="str">
        <f t="shared" si="42"/>
        <v/>
      </c>
    </row>
    <row r="47" spans="1:31" ht="15" customHeight="1">
      <c r="B47" s="114" t="str">
        <f>IF(B18=FALSE,"",Angle_2!E12)</f>
        <v/>
      </c>
      <c r="C47" s="184" t="str">
        <f t="shared" si="29"/>
        <v/>
      </c>
      <c r="D47" s="116" t="str">
        <f>IF(B18=FALSE,"",Angle_2!E25)</f>
        <v/>
      </c>
      <c r="E47" s="116" t="str">
        <f>IF(B18=FALSE,"",Angle_2!F25)</f>
        <v/>
      </c>
      <c r="F47" s="121" t="str">
        <f>IF(B18=FALSE,"",Angle_2!D25)</f>
        <v/>
      </c>
      <c r="G47" s="153" t="str">
        <f t="shared" si="30"/>
        <v/>
      </c>
      <c r="H47" s="153" t="str">
        <f t="shared" si="31"/>
        <v/>
      </c>
      <c r="I47" s="125" t="str">
        <f t="shared" si="43"/>
        <v/>
      </c>
      <c r="J47" s="125" t="str">
        <f t="shared" si="44"/>
        <v>-</v>
      </c>
      <c r="K47" s="125" t="str">
        <f t="shared" si="45"/>
        <v/>
      </c>
      <c r="L47" s="125" t="str">
        <f t="shared" si="46"/>
        <v>-</v>
      </c>
      <c r="M47" s="94"/>
      <c r="N47" s="115" t="str">
        <f t="shared" si="32"/>
        <v/>
      </c>
      <c r="O47" s="115" t="str">
        <f t="shared" si="33"/>
        <v>-</v>
      </c>
      <c r="P47" s="115" t="str">
        <f t="shared" si="34"/>
        <v/>
      </c>
      <c r="Q47" s="115" t="str">
        <f t="shared" si="35"/>
        <v>-</v>
      </c>
      <c r="R47" s="178" t="e">
        <f t="shared" ca="1" si="36"/>
        <v>#N/A</v>
      </c>
      <c r="S47" s="115" t="e">
        <f t="shared" ca="1" si="37"/>
        <v>#N/A</v>
      </c>
      <c r="T47" s="115" t="e">
        <f t="shared" ca="1" si="38"/>
        <v>#N/A</v>
      </c>
      <c r="U47" s="115" t="e">
        <f t="shared" ca="1" si="39"/>
        <v>#N/A</v>
      </c>
      <c r="V47" s="115" t="e">
        <f t="shared" ca="1" si="40"/>
        <v>#N/A</v>
      </c>
      <c r="W47" s="178" t="e">
        <f t="shared" ca="1" si="47"/>
        <v>#N/A</v>
      </c>
      <c r="X47" s="97"/>
      <c r="Y47" s="178" t="e">
        <f>Angle_2!O12-AVERAGE(Angle_2!N12,Angle_2!O12)</f>
        <v>#DIV/0!</v>
      </c>
      <c r="Z47" s="214" t="e">
        <f t="shared" si="48"/>
        <v>#DIV/0!</v>
      </c>
      <c r="AA47" s="178" t="e">
        <f t="shared" ca="1" si="49"/>
        <v>#VALUE!</v>
      </c>
      <c r="AB47" s="178" t="e">
        <f t="shared" ca="1" si="50"/>
        <v>#VALUE!</v>
      </c>
      <c r="AC47" s="178" t="e">
        <f t="shared" ca="1" si="41"/>
        <v>#VALUE!</v>
      </c>
      <c r="AD47" s="178" t="str">
        <f t="shared" si="51"/>
        <v/>
      </c>
      <c r="AE47" s="178" t="str">
        <f t="shared" si="42"/>
        <v/>
      </c>
    </row>
    <row r="48" spans="1:31" ht="15" customHeight="1">
      <c r="B48" s="114" t="str">
        <f>IF(B19=FALSE,"",Angle_2!E13)</f>
        <v/>
      </c>
      <c r="C48" s="184" t="str">
        <f t="shared" si="29"/>
        <v/>
      </c>
      <c r="D48" s="116" t="str">
        <f>IF(B19=FALSE,"",Angle_2!E26)</f>
        <v/>
      </c>
      <c r="E48" s="116" t="str">
        <f>IF(B19=FALSE,"",Angle_2!F26)</f>
        <v/>
      </c>
      <c r="F48" s="121" t="str">
        <f>IF(B19=FALSE,"",Angle_2!D26)</f>
        <v/>
      </c>
      <c r="G48" s="153" t="str">
        <f t="shared" si="30"/>
        <v/>
      </c>
      <c r="H48" s="153" t="str">
        <f t="shared" si="31"/>
        <v/>
      </c>
      <c r="I48" s="125" t="str">
        <f t="shared" si="43"/>
        <v/>
      </c>
      <c r="J48" s="125" t="str">
        <f t="shared" si="44"/>
        <v>-</v>
      </c>
      <c r="K48" s="125" t="str">
        <f t="shared" si="45"/>
        <v/>
      </c>
      <c r="L48" s="125" t="str">
        <f t="shared" si="46"/>
        <v>-</v>
      </c>
      <c r="M48" s="94"/>
      <c r="N48" s="115" t="str">
        <f t="shared" si="32"/>
        <v/>
      </c>
      <c r="O48" s="115" t="str">
        <f t="shared" si="33"/>
        <v>-</v>
      </c>
      <c r="P48" s="115" t="str">
        <f t="shared" si="34"/>
        <v/>
      </c>
      <c r="Q48" s="115" t="str">
        <f t="shared" si="35"/>
        <v>-</v>
      </c>
      <c r="R48" s="178" t="e">
        <f t="shared" ca="1" si="36"/>
        <v>#N/A</v>
      </c>
      <c r="S48" s="115" t="e">
        <f t="shared" ca="1" si="37"/>
        <v>#N/A</v>
      </c>
      <c r="T48" s="115" t="e">
        <f t="shared" ca="1" si="38"/>
        <v>#N/A</v>
      </c>
      <c r="U48" s="115" t="e">
        <f t="shared" ca="1" si="39"/>
        <v>#N/A</v>
      </c>
      <c r="V48" s="115" t="e">
        <f t="shared" ca="1" si="40"/>
        <v>#N/A</v>
      </c>
      <c r="W48" s="178" t="e">
        <f t="shared" ca="1" si="47"/>
        <v>#N/A</v>
      </c>
      <c r="X48" s="97"/>
      <c r="Y48" s="178" t="e">
        <f>Angle_2!O13-AVERAGE(Angle_2!N13,Angle_2!O13)</f>
        <v>#DIV/0!</v>
      </c>
      <c r="Z48" s="214" t="e">
        <f t="shared" si="48"/>
        <v>#DIV/0!</v>
      </c>
      <c r="AA48" s="178" t="e">
        <f t="shared" ca="1" si="49"/>
        <v>#VALUE!</v>
      </c>
      <c r="AB48" s="178" t="e">
        <f t="shared" ca="1" si="50"/>
        <v>#VALUE!</v>
      </c>
      <c r="AC48" s="178" t="e">
        <f t="shared" ca="1" si="41"/>
        <v>#VALUE!</v>
      </c>
      <c r="AD48" s="178" t="str">
        <f t="shared" si="51"/>
        <v/>
      </c>
      <c r="AE48" s="178" t="str">
        <f t="shared" si="42"/>
        <v/>
      </c>
    </row>
    <row r="49" spans="1:31" ht="15" customHeight="1">
      <c r="B49" s="100"/>
      <c r="C49" s="94"/>
      <c r="E49" s="113"/>
      <c r="M49" s="94"/>
      <c r="N49" s="94"/>
      <c r="O49" s="94"/>
      <c r="P49" s="94"/>
      <c r="Q49" s="94"/>
      <c r="R49" s="94"/>
      <c r="T49" s="95"/>
      <c r="U49" s="95"/>
    </row>
    <row r="50" spans="1:31" ht="15" customHeight="1">
      <c r="B50" s="572" t="s">
        <v>183</v>
      </c>
      <c r="C50" s="572" t="s">
        <v>94</v>
      </c>
      <c r="D50" s="589" t="s">
        <v>184</v>
      </c>
      <c r="E50" s="589"/>
      <c r="F50" s="589"/>
      <c r="G50" s="437" t="s">
        <v>97</v>
      </c>
      <c r="H50" s="439"/>
      <c r="I50" s="579" t="s">
        <v>260</v>
      </c>
      <c r="J50" s="580"/>
      <c r="K50" s="580"/>
      <c r="L50" s="581"/>
      <c r="M50" s="94"/>
      <c r="N50" s="579" t="s">
        <v>96</v>
      </c>
      <c r="O50" s="580"/>
      <c r="P50" s="580"/>
      <c r="Q50" s="581"/>
      <c r="R50" s="434" t="s">
        <v>103</v>
      </c>
      <c r="S50" s="563"/>
      <c r="T50" s="563"/>
      <c r="U50" s="563"/>
      <c r="V50" s="563"/>
      <c r="W50" s="563"/>
      <c r="X50" s="97"/>
      <c r="Y50" s="558" t="s">
        <v>316</v>
      </c>
      <c r="Z50" s="559"/>
      <c r="AA50" s="559"/>
      <c r="AB50" s="560"/>
      <c r="AC50" s="561" t="s">
        <v>103</v>
      </c>
      <c r="AD50" s="593"/>
      <c r="AE50" s="562"/>
    </row>
    <row r="51" spans="1:31" ht="15" customHeight="1">
      <c r="B51" s="424"/>
      <c r="C51" s="425"/>
      <c r="D51" s="590" t="s">
        <v>185</v>
      </c>
      <c r="E51" s="591"/>
      <c r="F51" s="592"/>
      <c r="G51" s="437" t="s">
        <v>180</v>
      </c>
      <c r="H51" s="439"/>
      <c r="I51" s="421" t="s">
        <v>229</v>
      </c>
      <c r="J51" s="422"/>
      <c r="K51" s="421" t="s">
        <v>230</v>
      </c>
      <c r="L51" s="422"/>
      <c r="M51" s="94"/>
      <c r="N51" s="579" t="s">
        <v>95</v>
      </c>
      <c r="O51" s="581"/>
      <c r="P51" s="579" t="s">
        <v>80</v>
      </c>
      <c r="Q51" s="581"/>
      <c r="R51" s="423" t="s">
        <v>241</v>
      </c>
      <c r="S51" s="558" t="s">
        <v>80</v>
      </c>
      <c r="T51" s="560"/>
      <c r="U51" s="558" t="s">
        <v>265</v>
      </c>
      <c r="V51" s="560"/>
      <c r="W51" s="185" t="s">
        <v>266</v>
      </c>
      <c r="X51" s="97"/>
      <c r="Y51" s="196" t="s">
        <v>321</v>
      </c>
      <c r="Z51" s="196" t="s">
        <v>322</v>
      </c>
      <c r="AA51" s="558" t="s">
        <v>295</v>
      </c>
      <c r="AB51" s="560"/>
      <c r="AC51" s="586" t="s">
        <v>323</v>
      </c>
      <c r="AD51" s="561" t="s">
        <v>315</v>
      </c>
      <c r="AE51" s="562"/>
    </row>
    <row r="52" spans="1:31" ht="15" customHeight="1">
      <c r="B52" s="425"/>
      <c r="C52" s="155" t="s">
        <v>149</v>
      </c>
      <c r="D52" s="155" t="s">
        <v>186</v>
      </c>
      <c r="E52" s="155" t="s">
        <v>187</v>
      </c>
      <c r="F52" s="150" t="s">
        <v>59</v>
      </c>
      <c r="G52" s="119" t="s">
        <v>181</v>
      </c>
      <c r="H52" s="118" t="s">
        <v>182</v>
      </c>
      <c r="I52" s="119" t="s">
        <v>181</v>
      </c>
      <c r="J52" s="118" t="s">
        <v>182</v>
      </c>
      <c r="K52" s="119" t="s">
        <v>181</v>
      </c>
      <c r="L52" s="118" t="s">
        <v>182</v>
      </c>
      <c r="M52" s="94"/>
      <c r="N52" s="119" t="s">
        <v>181</v>
      </c>
      <c r="O52" s="118" t="s">
        <v>182</v>
      </c>
      <c r="P52" s="119" t="s">
        <v>181</v>
      </c>
      <c r="Q52" s="118" t="s">
        <v>182</v>
      </c>
      <c r="R52" s="425"/>
      <c r="S52" s="119" t="s">
        <v>181</v>
      </c>
      <c r="T52" s="118" t="s">
        <v>182</v>
      </c>
      <c r="U52" s="119" t="s">
        <v>181</v>
      </c>
      <c r="V52" s="118" t="s">
        <v>182</v>
      </c>
      <c r="W52" s="185"/>
      <c r="X52" s="97"/>
      <c r="Y52" s="201" t="s">
        <v>320</v>
      </c>
      <c r="Z52" s="201" t="s">
        <v>324</v>
      </c>
      <c r="AA52" s="201" t="s">
        <v>325</v>
      </c>
      <c r="AB52" s="201" t="s">
        <v>326</v>
      </c>
      <c r="AC52" s="587"/>
      <c r="AD52" s="156">
        <f>IF(TYPE(MATCH("FAIL",AD53:AD62,0))=16,0,1)</f>
        <v>0</v>
      </c>
      <c r="AE52" s="156">
        <f>IF(TYPE(MATCH("FAIL",AE53:AE62,0))=16,0,1)</f>
        <v>0</v>
      </c>
    </row>
    <row r="53" spans="1:31" ht="15" customHeight="1">
      <c r="B53" s="114" t="str">
        <f>B39</f>
        <v/>
      </c>
      <c r="C53" s="114" t="str">
        <f>C39</f>
        <v/>
      </c>
      <c r="D53" s="116" t="str">
        <f>D39</f>
        <v/>
      </c>
      <c r="E53" s="116" t="str">
        <f>E39</f>
        <v/>
      </c>
      <c r="F53" s="121" t="str">
        <f>F39</f>
        <v/>
      </c>
      <c r="G53" s="153" t="str">
        <f t="shared" ref="G53:G62" si="52">IF(B24=FALSE,"",Y24)</f>
        <v/>
      </c>
      <c r="H53" s="153" t="str">
        <f t="shared" ref="H53:H62" si="53">IF(B24=FALSE,"",Z24)</f>
        <v/>
      </c>
      <c r="I53" s="125" t="str">
        <f>IF(B24=FALSE,"",D53-G53)</f>
        <v/>
      </c>
      <c r="J53" s="125" t="str">
        <f>IF(OR(N24="ⅹ",B24=FALSE),"-",E53-H53)</f>
        <v>-</v>
      </c>
      <c r="K53" s="125" t="str">
        <f>IF(B24=FALSE,"",DEGREES(ATAN(I53*10^-6/1))*3600)</f>
        <v/>
      </c>
      <c r="L53" s="125" t="str">
        <f>IF(OR(N24="ⅹ",B24=FALSE),"-",DEGREES(ATAN(J53*10^-6/1))*3600)</f>
        <v>-</v>
      </c>
      <c r="M53" s="94"/>
      <c r="N53" s="115" t="str">
        <f t="shared" ref="N53:N62" si="54">IF(K53="","",ROUND(K53,$M$76))</f>
        <v/>
      </c>
      <c r="O53" s="115" t="str">
        <f t="shared" ref="O53:O62" si="55">IF(L53="-","-",ROUND(L53,$M$76))</f>
        <v>-</v>
      </c>
      <c r="P53" s="115" t="str">
        <f t="shared" ref="P53:P62" si="56">IF(K53="","",ROUND(C53+N53,$M$76))</f>
        <v/>
      </c>
      <c r="Q53" s="115" t="str">
        <f t="shared" ref="Q53:Q62" si="57">IF(L53="-","-",ROUND(C53+L53,$M$76))</f>
        <v>-</v>
      </c>
      <c r="R53" s="178" t="e">
        <f t="shared" ref="R53:R62" ca="1" si="58">TEXT(C53,$P$76)</f>
        <v>#N/A</v>
      </c>
      <c r="S53" s="115" t="e">
        <f t="shared" ref="S53:S62" ca="1" si="59">TEXT(P53,$P$76)</f>
        <v>#N/A</v>
      </c>
      <c r="T53" s="115" t="e">
        <f t="shared" ref="T53:T62" ca="1" si="60">TEXT(Q53,$P$76)</f>
        <v>#N/A</v>
      </c>
      <c r="U53" s="115" t="e">
        <f t="shared" ref="U53:U62" ca="1" si="61">TEXT(N53,$P$76)</f>
        <v>#N/A</v>
      </c>
      <c r="V53" s="115" t="e">
        <f t="shared" ref="V53:V62" ca="1" si="62">TEXT(O53,$P$76)</f>
        <v>#N/A</v>
      </c>
      <c r="W53" s="178" t="e">
        <f ca="1">S$76</f>
        <v>#N/A</v>
      </c>
      <c r="X53" s="97"/>
      <c r="Y53" s="178" t="e">
        <f>Angle_2!O4-AVERAGE(Angle_2!N4,Angle_2!O4)</f>
        <v>#DIV/0!</v>
      </c>
      <c r="Z53" s="214" t="e">
        <f>DEGREES(ATAN((Y53*$E$4)*10^-6/1))*3600</f>
        <v>#DIV/0!</v>
      </c>
      <c r="AA53" s="178" t="e">
        <f ca="1">ROUND($C53-$Z53,$M$76)</f>
        <v>#VALUE!</v>
      </c>
      <c r="AB53" s="178" t="e">
        <f ca="1">ROUND($C53+$Z53,$M$76)</f>
        <v>#VALUE!</v>
      </c>
      <c r="AC53" s="178" t="e">
        <f t="shared" ref="AC53:AC62" ca="1" si="63">"± "&amp;TEXT(AB53-C53,$P$76)</f>
        <v>#VALUE!</v>
      </c>
      <c r="AD53" s="178" t="str">
        <f>IF(P53="","",IF(AND(AA53&lt;=P53,P53&lt;=AB53),"PASS","FAIL"))</f>
        <v/>
      </c>
      <c r="AE53" s="178" t="str">
        <f t="shared" ref="AE53:AE62" si="64">IF(Q53="-","",IF(AND(AA53&lt;=Q53,Q53&lt;=AB53),"PASS","FAIL"))</f>
        <v/>
      </c>
    </row>
    <row r="54" spans="1:31" ht="15" customHeight="1">
      <c r="B54" s="114" t="str">
        <f t="shared" ref="B54:F62" si="65">B40</f>
        <v/>
      </c>
      <c r="C54" s="114" t="str">
        <f t="shared" si="65"/>
        <v/>
      </c>
      <c r="D54" s="116" t="str">
        <f t="shared" si="65"/>
        <v/>
      </c>
      <c r="E54" s="116" t="str">
        <f t="shared" si="65"/>
        <v/>
      </c>
      <c r="F54" s="121" t="str">
        <f t="shared" si="65"/>
        <v/>
      </c>
      <c r="G54" s="153" t="str">
        <f t="shared" si="52"/>
        <v/>
      </c>
      <c r="H54" s="153" t="str">
        <f t="shared" si="53"/>
        <v/>
      </c>
      <c r="I54" s="125" t="str">
        <f t="shared" ref="I54:I62" si="66">IF(B25=FALSE,"",D54-G54)</f>
        <v/>
      </c>
      <c r="J54" s="125" t="str">
        <f t="shared" ref="J54:J62" si="67">IF(OR(N25="ⅹ",B25=FALSE),"-",E54-H54)</f>
        <v>-</v>
      </c>
      <c r="K54" s="125" t="str">
        <f t="shared" ref="K54:K62" si="68">IF(B25=FALSE,"",DEGREES(ATAN(I54*10^-6/1))*3600)</f>
        <v/>
      </c>
      <c r="L54" s="125" t="str">
        <f t="shared" ref="L54:L62" si="69">IF(OR(N25="ⅹ",B25=FALSE),"-",DEGREES(ATAN(J54*10^-6/1))*3600)</f>
        <v>-</v>
      </c>
      <c r="M54" s="94"/>
      <c r="N54" s="115" t="str">
        <f t="shared" si="54"/>
        <v/>
      </c>
      <c r="O54" s="115" t="str">
        <f t="shared" si="55"/>
        <v>-</v>
      </c>
      <c r="P54" s="115" t="str">
        <f t="shared" si="56"/>
        <v/>
      </c>
      <c r="Q54" s="115" t="str">
        <f t="shared" si="57"/>
        <v>-</v>
      </c>
      <c r="R54" s="178" t="e">
        <f t="shared" ca="1" si="58"/>
        <v>#N/A</v>
      </c>
      <c r="S54" s="115" t="e">
        <f t="shared" ca="1" si="59"/>
        <v>#N/A</v>
      </c>
      <c r="T54" s="115" t="e">
        <f t="shared" ca="1" si="60"/>
        <v>#N/A</v>
      </c>
      <c r="U54" s="115" t="e">
        <f t="shared" ca="1" si="61"/>
        <v>#N/A</v>
      </c>
      <c r="V54" s="115" t="e">
        <f t="shared" ca="1" si="62"/>
        <v>#N/A</v>
      </c>
      <c r="W54" s="178" t="e">
        <f t="shared" ref="W54:W62" ca="1" si="70">S$76</f>
        <v>#N/A</v>
      </c>
      <c r="X54" s="97"/>
      <c r="Y54" s="178" t="e">
        <f>Angle_2!O5-AVERAGE(Angle_2!N5,Angle_2!O5)</f>
        <v>#DIV/0!</v>
      </c>
      <c r="Z54" s="214" t="e">
        <f t="shared" ref="Z54:Z62" si="71">DEGREES(ATAN((Y54*$E$4)*10^-6/1))*3600</f>
        <v>#DIV/0!</v>
      </c>
      <c r="AA54" s="178" t="e">
        <f t="shared" ref="AA54:AA62" ca="1" si="72">ROUND($C54-$Z54,$M$76)</f>
        <v>#VALUE!</v>
      </c>
      <c r="AB54" s="178" t="e">
        <f t="shared" ref="AB54:AB62" ca="1" si="73">ROUND($C54+$Z54,$M$76)</f>
        <v>#VALUE!</v>
      </c>
      <c r="AC54" s="178" t="e">
        <f t="shared" ca="1" si="63"/>
        <v>#VALUE!</v>
      </c>
      <c r="AD54" s="178" t="str">
        <f t="shared" ref="AD54:AD62" si="74">IF(P54="","",IF(AND(AA54&lt;=P54,P54&lt;=AB54),"PASS","FAIL"))</f>
        <v/>
      </c>
      <c r="AE54" s="178" t="str">
        <f t="shared" si="64"/>
        <v/>
      </c>
    </row>
    <row r="55" spans="1:31" ht="15" customHeight="1">
      <c r="B55" s="114" t="str">
        <f t="shared" si="65"/>
        <v/>
      </c>
      <c r="C55" s="114" t="str">
        <f t="shared" si="65"/>
        <v/>
      </c>
      <c r="D55" s="116" t="str">
        <f t="shared" si="65"/>
        <v/>
      </c>
      <c r="E55" s="116" t="str">
        <f t="shared" si="65"/>
        <v/>
      </c>
      <c r="F55" s="121" t="str">
        <f t="shared" si="65"/>
        <v/>
      </c>
      <c r="G55" s="153" t="str">
        <f t="shared" si="52"/>
        <v/>
      </c>
      <c r="H55" s="153" t="str">
        <f t="shared" si="53"/>
        <v/>
      </c>
      <c r="I55" s="125" t="str">
        <f t="shared" si="66"/>
        <v/>
      </c>
      <c r="J55" s="125" t="str">
        <f t="shared" si="67"/>
        <v>-</v>
      </c>
      <c r="K55" s="125" t="str">
        <f t="shared" si="68"/>
        <v/>
      </c>
      <c r="L55" s="125" t="str">
        <f t="shared" si="69"/>
        <v>-</v>
      </c>
      <c r="M55" s="94"/>
      <c r="N55" s="115" t="str">
        <f t="shared" si="54"/>
        <v/>
      </c>
      <c r="O55" s="115" t="str">
        <f t="shared" si="55"/>
        <v>-</v>
      </c>
      <c r="P55" s="115" t="str">
        <f t="shared" si="56"/>
        <v/>
      </c>
      <c r="Q55" s="115" t="str">
        <f t="shared" si="57"/>
        <v>-</v>
      </c>
      <c r="R55" s="178" t="e">
        <f t="shared" ca="1" si="58"/>
        <v>#N/A</v>
      </c>
      <c r="S55" s="115" t="e">
        <f t="shared" ca="1" si="59"/>
        <v>#N/A</v>
      </c>
      <c r="T55" s="115" t="e">
        <f t="shared" ca="1" si="60"/>
        <v>#N/A</v>
      </c>
      <c r="U55" s="115" t="e">
        <f t="shared" ca="1" si="61"/>
        <v>#N/A</v>
      </c>
      <c r="V55" s="115" t="e">
        <f t="shared" ca="1" si="62"/>
        <v>#N/A</v>
      </c>
      <c r="W55" s="178" t="e">
        <f t="shared" ca="1" si="70"/>
        <v>#N/A</v>
      </c>
      <c r="X55" s="97"/>
      <c r="Y55" s="178" t="e">
        <f>Angle_2!O6-AVERAGE(Angle_2!N6,Angle_2!O6)</f>
        <v>#DIV/0!</v>
      </c>
      <c r="Z55" s="214" t="e">
        <f t="shared" si="71"/>
        <v>#DIV/0!</v>
      </c>
      <c r="AA55" s="178" t="e">
        <f t="shared" ca="1" si="72"/>
        <v>#VALUE!</v>
      </c>
      <c r="AB55" s="178" t="e">
        <f t="shared" ca="1" si="73"/>
        <v>#VALUE!</v>
      </c>
      <c r="AC55" s="178" t="e">
        <f t="shared" ca="1" si="63"/>
        <v>#VALUE!</v>
      </c>
      <c r="AD55" s="178" t="str">
        <f t="shared" si="74"/>
        <v/>
      </c>
      <c r="AE55" s="178" t="str">
        <f t="shared" si="64"/>
        <v/>
      </c>
    </row>
    <row r="56" spans="1:31" ht="15" customHeight="1">
      <c r="B56" s="114" t="str">
        <f t="shared" si="65"/>
        <v/>
      </c>
      <c r="C56" s="114" t="str">
        <f t="shared" si="65"/>
        <v/>
      </c>
      <c r="D56" s="116" t="str">
        <f t="shared" si="65"/>
        <v/>
      </c>
      <c r="E56" s="116" t="str">
        <f t="shared" si="65"/>
        <v/>
      </c>
      <c r="F56" s="121" t="str">
        <f t="shared" si="65"/>
        <v/>
      </c>
      <c r="G56" s="153" t="str">
        <f t="shared" si="52"/>
        <v/>
      </c>
      <c r="H56" s="153" t="str">
        <f t="shared" si="53"/>
        <v/>
      </c>
      <c r="I56" s="125" t="str">
        <f t="shared" si="66"/>
        <v/>
      </c>
      <c r="J56" s="125" t="str">
        <f t="shared" si="67"/>
        <v>-</v>
      </c>
      <c r="K56" s="125" t="str">
        <f t="shared" si="68"/>
        <v/>
      </c>
      <c r="L56" s="125" t="str">
        <f t="shared" si="69"/>
        <v>-</v>
      </c>
      <c r="M56" s="94"/>
      <c r="N56" s="115" t="str">
        <f t="shared" si="54"/>
        <v/>
      </c>
      <c r="O56" s="115" t="str">
        <f t="shared" si="55"/>
        <v>-</v>
      </c>
      <c r="P56" s="115" t="str">
        <f t="shared" si="56"/>
        <v/>
      </c>
      <c r="Q56" s="115" t="str">
        <f t="shared" si="57"/>
        <v>-</v>
      </c>
      <c r="R56" s="178" t="e">
        <f t="shared" ca="1" si="58"/>
        <v>#N/A</v>
      </c>
      <c r="S56" s="115" t="e">
        <f t="shared" ca="1" si="59"/>
        <v>#N/A</v>
      </c>
      <c r="T56" s="115" t="e">
        <f t="shared" ca="1" si="60"/>
        <v>#N/A</v>
      </c>
      <c r="U56" s="115" t="e">
        <f t="shared" ca="1" si="61"/>
        <v>#N/A</v>
      </c>
      <c r="V56" s="115" t="e">
        <f t="shared" ca="1" si="62"/>
        <v>#N/A</v>
      </c>
      <c r="W56" s="178" t="e">
        <f t="shared" ca="1" si="70"/>
        <v>#N/A</v>
      </c>
      <c r="X56" s="97"/>
      <c r="Y56" s="178" t="e">
        <f>Angle_2!O7-AVERAGE(Angle_2!N7,Angle_2!O7)</f>
        <v>#DIV/0!</v>
      </c>
      <c r="Z56" s="214" t="e">
        <f t="shared" si="71"/>
        <v>#DIV/0!</v>
      </c>
      <c r="AA56" s="178" t="e">
        <f t="shared" ca="1" si="72"/>
        <v>#VALUE!</v>
      </c>
      <c r="AB56" s="178" t="e">
        <f t="shared" ca="1" si="73"/>
        <v>#VALUE!</v>
      </c>
      <c r="AC56" s="178" t="e">
        <f t="shared" ca="1" si="63"/>
        <v>#VALUE!</v>
      </c>
      <c r="AD56" s="178" t="str">
        <f t="shared" si="74"/>
        <v/>
      </c>
      <c r="AE56" s="178" t="str">
        <f t="shared" si="64"/>
        <v/>
      </c>
    </row>
    <row r="57" spans="1:31" ht="15" customHeight="1">
      <c r="B57" s="114" t="str">
        <f t="shared" si="65"/>
        <v/>
      </c>
      <c r="C57" s="114" t="str">
        <f t="shared" si="65"/>
        <v/>
      </c>
      <c r="D57" s="116" t="str">
        <f t="shared" si="65"/>
        <v/>
      </c>
      <c r="E57" s="116" t="str">
        <f t="shared" si="65"/>
        <v/>
      </c>
      <c r="F57" s="121" t="str">
        <f t="shared" si="65"/>
        <v/>
      </c>
      <c r="G57" s="153" t="str">
        <f t="shared" si="52"/>
        <v/>
      </c>
      <c r="H57" s="153" t="str">
        <f t="shared" si="53"/>
        <v/>
      </c>
      <c r="I57" s="125" t="str">
        <f t="shared" si="66"/>
        <v/>
      </c>
      <c r="J57" s="125" t="str">
        <f t="shared" si="67"/>
        <v>-</v>
      </c>
      <c r="K57" s="125" t="str">
        <f t="shared" si="68"/>
        <v/>
      </c>
      <c r="L57" s="125" t="str">
        <f t="shared" si="69"/>
        <v>-</v>
      </c>
      <c r="M57" s="94"/>
      <c r="N57" s="115" t="str">
        <f t="shared" si="54"/>
        <v/>
      </c>
      <c r="O57" s="115" t="str">
        <f t="shared" si="55"/>
        <v>-</v>
      </c>
      <c r="P57" s="115" t="str">
        <f t="shared" si="56"/>
        <v/>
      </c>
      <c r="Q57" s="115" t="str">
        <f t="shared" si="57"/>
        <v>-</v>
      </c>
      <c r="R57" s="178" t="e">
        <f t="shared" ca="1" si="58"/>
        <v>#N/A</v>
      </c>
      <c r="S57" s="115" t="e">
        <f t="shared" ca="1" si="59"/>
        <v>#N/A</v>
      </c>
      <c r="T57" s="115" t="e">
        <f t="shared" ca="1" si="60"/>
        <v>#N/A</v>
      </c>
      <c r="U57" s="115" t="e">
        <f t="shared" ca="1" si="61"/>
        <v>#N/A</v>
      </c>
      <c r="V57" s="115" t="e">
        <f t="shared" ca="1" si="62"/>
        <v>#N/A</v>
      </c>
      <c r="W57" s="178" t="e">
        <f t="shared" ca="1" si="70"/>
        <v>#N/A</v>
      </c>
      <c r="X57" s="97"/>
      <c r="Y57" s="178" t="e">
        <f>Angle_2!O8-AVERAGE(Angle_2!N8,Angle_2!O8)</f>
        <v>#DIV/0!</v>
      </c>
      <c r="Z57" s="214" t="e">
        <f t="shared" si="71"/>
        <v>#DIV/0!</v>
      </c>
      <c r="AA57" s="178" t="e">
        <f t="shared" ca="1" si="72"/>
        <v>#VALUE!</v>
      </c>
      <c r="AB57" s="178" t="e">
        <f t="shared" ca="1" si="73"/>
        <v>#VALUE!</v>
      </c>
      <c r="AC57" s="178" t="e">
        <f t="shared" ca="1" si="63"/>
        <v>#VALUE!</v>
      </c>
      <c r="AD57" s="178" t="str">
        <f t="shared" si="74"/>
        <v/>
      </c>
      <c r="AE57" s="178" t="str">
        <f t="shared" si="64"/>
        <v/>
      </c>
    </row>
    <row r="58" spans="1:31" ht="15" customHeight="1">
      <c r="B58" s="114" t="str">
        <f t="shared" si="65"/>
        <v/>
      </c>
      <c r="C58" s="114" t="str">
        <f t="shared" si="65"/>
        <v/>
      </c>
      <c r="D58" s="116" t="str">
        <f t="shared" si="65"/>
        <v/>
      </c>
      <c r="E58" s="116" t="str">
        <f t="shared" si="65"/>
        <v/>
      </c>
      <c r="F58" s="121" t="str">
        <f t="shared" si="65"/>
        <v/>
      </c>
      <c r="G58" s="153" t="str">
        <f t="shared" si="52"/>
        <v/>
      </c>
      <c r="H58" s="153" t="str">
        <f t="shared" si="53"/>
        <v/>
      </c>
      <c r="I58" s="125" t="str">
        <f t="shared" si="66"/>
        <v/>
      </c>
      <c r="J58" s="125" t="str">
        <f t="shared" si="67"/>
        <v>-</v>
      </c>
      <c r="K58" s="125" t="str">
        <f t="shared" si="68"/>
        <v/>
      </c>
      <c r="L58" s="125" t="str">
        <f t="shared" si="69"/>
        <v>-</v>
      </c>
      <c r="M58" s="94"/>
      <c r="N58" s="115" t="str">
        <f t="shared" si="54"/>
        <v/>
      </c>
      <c r="O58" s="115" t="str">
        <f t="shared" si="55"/>
        <v>-</v>
      </c>
      <c r="P58" s="115" t="str">
        <f t="shared" si="56"/>
        <v/>
      </c>
      <c r="Q58" s="115" t="str">
        <f t="shared" si="57"/>
        <v>-</v>
      </c>
      <c r="R58" s="178" t="e">
        <f t="shared" ca="1" si="58"/>
        <v>#N/A</v>
      </c>
      <c r="S58" s="115" t="e">
        <f t="shared" ca="1" si="59"/>
        <v>#N/A</v>
      </c>
      <c r="T58" s="115" t="e">
        <f t="shared" ca="1" si="60"/>
        <v>#N/A</v>
      </c>
      <c r="U58" s="115" t="e">
        <f t="shared" ca="1" si="61"/>
        <v>#N/A</v>
      </c>
      <c r="V58" s="115" t="e">
        <f t="shared" ca="1" si="62"/>
        <v>#N/A</v>
      </c>
      <c r="W58" s="178" t="e">
        <f t="shared" ca="1" si="70"/>
        <v>#N/A</v>
      </c>
      <c r="X58" s="97"/>
      <c r="Y58" s="178" t="e">
        <f>Angle_2!O9-AVERAGE(Angle_2!N9,Angle_2!O9)</f>
        <v>#DIV/0!</v>
      </c>
      <c r="Z58" s="214" t="e">
        <f t="shared" si="71"/>
        <v>#DIV/0!</v>
      </c>
      <c r="AA58" s="178" t="e">
        <f t="shared" ca="1" si="72"/>
        <v>#VALUE!</v>
      </c>
      <c r="AB58" s="178" t="e">
        <f t="shared" ca="1" si="73"/>
        <v>#VALUE!</v>
      </c>
      <c r="AC58" s="178" t="e">
        <f t="shared" ca="1" si="63"/>
        <v>#VALUE!</v>
      </c>
      <c r="AD58" s="178" t="str">
        <f t="shared" si="74"/>
        <v/>
      </c>
      <c r="AE58" s="178" t="str">
        <f t="shared" si="64"/>
        <v/>
      </c>
    </row>
    <row r="59" spans="1:31" ht="15" customHeight="1">
      <c r="B59" s="114" t="str">
        <f t="shared" si="65"/>
        <v/>
      </c>
      <c r="C59" s="114" t="str">
        <f t="shared" si="65"/>
        <v/>
      </c>
      <c r="D59" s="116" t="str">
        <f t="shared" si="65"/>
        <v/>
      </c>
      <c r="E59" s="116" t="str">
        <f t="shared" si="65"/>
        <v/>
      </c>
      <c r="F59" s="121" t="str">
        <f t="shared" si="65"/>
        <v/>
      </c>
      <c r="G59" s="153" t="str">
        <f t="shared" si="52"/>
        <v/>
      </c>
      <c r="H59" s="153" t="str">
        <f t="shared" si="53"/>
        <v/>
      </c>
      <c r="I59" s="125" t="str">
        <f t="shared" si="66"/>
        <v/>
      </c>
      <c r="J59" s="125" t="str">
        <f t="shared" si="67"/>
        <v>-</v>
      </c>
      <c r="K59" s="125" t="str">
        <f t="shared" si="68"/>
        <v/>
      </c>
      <c r="L59" s="125" t="str">
        <f t="shared" si="69"/>
        <v>-</v>
      </c>
      <c r="M59" s="94"/>
      <c r="N59" s="115" t="str">
        <f t="shared" si="54"/>
        <v/>
      </c>
      <c r="O59" s="115" t="str">
        <f t="shared" si="55"/>
        <v>-</v>
      </c>
      <c r="P59" s="115" t="str">
        <f t="shared" si="56"/>
        <v/>
      </c>
      <c r="Q59" s="115" t="str">
        <f t="shared" si="57"/>
        <v>-</v>
      </c>
      <c r="R59" s="178" t="e">
        <f t="shared" ca="1" si="58"/>
        <v>#N/A</v>
      </c>
      <c r="S59" s="115" t="e">
        <f t="shared" ca="1" si="59"/>
        <v>#N/A</v>
      </c>
      <c r="T59" s="115" t="e">
        <f t="shared" ca="1" si="60"/>
        <v>#N/A</v>
      </c>
      <c r="U59" s="115" t="e">
        <f t="shared" ca="1" si="61"/>
        <v>#N/A</v>
      </c>
      <c r="V59" s="115" t="e">
        <f t="shared" ca="1" si="62"/>
        <v>#N/A</v>
      </c>
      <c r="W59" s="178" t="e">
        <f t="shared" ca="1" si="70"/>
        <v>#N/A</v>
      </c>
      <c r="X59" s="97"/>
      <c r="Y59" s="178" t="e">
        <f>Angle_2!O10-AVERAGE(Angle_2!N10,Angle_2!O10)</f>
        <v>#DIV/0!</v>
      </c>
      <c r="Z59" s="214" t="e">
        <f t="shared" si="71"/>
        <v>#DIV/0!</v>
      </c>
      <c r="AA59" s="178" t="e">
        <f t="shared" ca="1" si="72"/>
        <v>#VALUE!</v>
      </c>
      <c r="AB59" s="178" t="e">
        <f t="shared" ca="1" si="73"/>
        <v>#VALUE!</v>
      </c>
      <c r="AC59" s="178" t="e">
        <f t="shared" ca="1" si="63"/>
        <v>#VALUE!</v>
      </c>
      <c r="AD59" s="178" t="str">
        <f t="shared" si="74"/>
        <v/>
      </c>
      <c r="AE59" s="178" t="str">
        <f t="shared" si="64"/>
        <v/>
      </c>
    </row>
    <row r="60" spans="1:31" ht="15" customHeight="1">
      <c r="B60" s="114" t="str">
        <f t="shared" si="65"/>
        <v/>
      </c>
      <c r="C60" s="114" t="str">
        <f t="shared" si="65"/>
        <v/>
      </c>
      <c r="D60" s="116" t="str">
        <f t="shared" si="65"/>
        <v/>
      </c>
      <c r="E60" s="116" t="str">
        <f t="shared" si="65"/>
        <v/>
      </c>
      <c r="F60" s="121" t="str">
        <f t="shared" si="65"/>
        <v/>
      </c>
      <c r="G60" s="153" t="str">
        <f t="shared" si="52"/>
        <v/>
      </c>
      <c r="H60" s="153" t="str">
        <f t="shared" si="53"/>
        <v/>
      </c>
      <c r="I60" s="125" t="str">
        <f t="shared" si="66"/>
        <v/>
      </c>
      <c r="J60" s="125" t="str">
        <f t="shared" si="67"/>
        <v>-</v>
      </c>
      <c r="K60" s="125" t="str">
        <f t="shared" si="68"/>
        <v/>
      </c>
      <c r="L60" s="125" t="str">
        <f t="shared" si="69"/>
        <v>-</v>
      </c>
      <c r="M60" s="94"/>
      <c r="N60" s="115" t="str">
        <f t="shared" si="54"/>
        <v/>
      </c>
      <c r="O60" s="115" t="str">
        <f t="shared" si="55"/>
        <v>-</v>
      </c>
      <c r="P60" s="115" t="str">
        <f t="shared" si="56"/>
        <v/>
      </c>
      <c r="Q60" s="115" t="str">
        <f t="shared" si="57"/>
        <v>-</v>
      </c>
      <c r="R60" s="178" t="e">
        <f t="shared" ca="1" si="58"/>
        <v>#N/A</v>
      </c>
      <c r="S60" s="115" t="e">
        <f t="shared" ca="1" si="59"/>
        <v>#N/A</v>
      </c>
      <c r="T60" s="115" t="e">
        <f t="shared" ca="1" si="60"/>
        <v>#N/A</v>
      </c>
      <c r="U60" s="115" t="e">
        <f t="shared" ca="1" si="61"/>
        <v>#N/A</v>
      </c>
      <c r="V60" s="115" t="e">
        <f t="shared" ca="1" si="62"/>
        <v>#N/A</v>
      </c>
      <c r="W60" s="178" t="e">
        <f t="shared" ca="1" si="70"/>
        <v>#N/A</v>
      </c>
      <c r="X60" s="97"/>
      <c r="Y60" s="178" t="e">
        <f>Angle_2!O11-AVERAGE(Angle_2!N11,Angle_2!O11)</f>
        <v>#DIV/0!</v>
      </c>
      <c r="Z60" s="214" t="e">
        <f t="shared" si="71"/>
        <v>#DIV/0!</v>
      </c>
      <c r="AA60" s="178" t="e">
        <f t="shared" ca="1" si="72"/>
        <v>#VALUE!</v>
      </c>
      <c r="AB60" s="178" t="e">
        <f t="shared" ca="1" si="73"/>
        <v>#VALUE!</v>
      </c>
      <c r="AC60" s="178" t="e">
        <f t="shared" ca="1" si="63"/>
        <v>#VALUE!</v>
      </c>
      <c r="AD60" s="178" t="str">
        <f t="shared" si="74"/>
        <v/>
      </c>
      <c r="AE60" s="178" t="str">
        <f t="shared" si="64"/>
        <v/>
      </c>
    </row>
    <row r="61" spans="1:31" ht="15" customHeight="1">
      <c r="B61" s="114" t="str">
        <f t="shared" si="65"/>
        <v/>
      </c>
      <c r="C61" s="114" t="str">
        <f t="shared" si="65"/>
        <v/>
      </c>
      <c r="D61" s="116" t="str">
        <f t="shared" si="65"/>
        <v/>
      </c>
      <c r="E61" s="116" t="str">
        <f t="shared" si="65"/>
        <v/>
      </c>
      <c r="F61" s="121" t="str">
        <f t="shared" si="65"/>
        <v/>
      </c>
      <c r="G61" s="153" t="str">
        <f t="shared" si="52"/>
        <v/>
      </c>
      <c r="H61" s="153" t="str">
        <f t="shared" si="53"/>
        <v/>
      </c>
      <c r="I61" s="125" t="str">
        <f t="shared" si="66"/>
        <v/>
      </c>
      <c r="J61" s="125" t="str">
        <f t="shared" si="67"/>
        <v>-</v>
      </c>
      <c r="K61" s="125" t="str">
        <f t="shared" si="68"/>
        <v/>
      </c>
      <c r="L61" s="125" t="str">
        <f t="shared" si="69"/>
        <v>-</v>
      </c>
      <c r="M61" s="94"/>
      <c r="N61" s="115" t="str">
        <f t="shared" si="54"/>
        <v/>
      </c>
      <c r="O61" s="115" t="str">
        <f t="shared" si="55"/>
        <v>-</v>
      </c>
      <c r="P61" s="115" t="str">
        <f t="shared" si="56"/>
        <v/>
      </c>
      <c r="Q61" s="115" t="str">
        <f t="shared" si="57"/>
        <v>-</v>
      </c>
      <c r="R61" s="178" t="e">
        <f t="shared" ca="1" si="58"/>
        <v>#N/A</v>
      </c>
      <c r="S61" s="115" t="e">
        <f t="shared" ca="1" si="59"/>
        <v>#N/A</v>
      </c>
      <c r="T61" s="115" t="e">
        <f t="shared" ca="1" si="60"/>
        <v>#N/A</v>
      </c>
      <c r="U61" s="115" t="e">
        <f t="shared" ca="1" si="61"/>
        <v>#N/A</v>
      </c>
      <c r="V61" s="115" t="e">
        <f t="shared" ca="1" si="62"/>
        <v>#N/A</v>
      </c>
      <c r="W61" s="178" t="e">
        <f t="shared" ca="1" si="70"/>
        <v>#N/A</v>
      </c>
      <c r="X61" s="97"/>
      <c r="Y61" s="178" t="e">
        <f>Angle_2!O12-AVERAGE(Angle_2!N12,Angle_2!O12)</f>
        <v>#DIV/0!</v>
      </c>
      <c r="Z61" s="214" t="e">
        <f t="shared" si="71"/>
        <v>#DIV/0!</v>
      </c>
      <c r="AA61" s="178" t="e">
        <f t="shared" ca="1" si="72"/>
        <v>#VALUE!</v>
      </c>
      <c r="AB61" s="178" t="e">
        <f t="shared" ca="1" si="73"/>
        <v>#VALUE!</v>
      </c>
      <c r="AC61" s="178" t="e">
        <f t="shared" ca="1" si="63"/>
        <v>#VALUE!</v>
      </c>
      <c r="AD61" s="178" t="str">
        <f t="shared" si="74"/>
        <v/>
      </c>
      <c r="AE61" s="178" t="str">
        <f t="shared" si="64"/>
        <v/>
      </c>
    </row>
    <row r="62" spans="1:31" ht="15" customHeight="1">
      <c r="B62" s="114" t="str">
        <f t="shared" si="65"/>
        <v/>
      </c>
      <c r="C62" s="114" t="str">
        <f t="shared" si="65"/>
        <v/>
      </c>
      <c r="D62" s="116" t="str">
        <f t="shared" si="65"/>
        <v/>
      </c>
      <c r="E62" s="116" t="str">
        <f t="shared" si="65"/>
        <v/>
      </c>
      <c r="F62" s="121" t="str">
        <f t="shared" si="65"/>
        <v/>
      </c>
      <c r="G62" s="153" t="str">
        <f t="shared" si="52"/>
        <v/>
      </c>
      <c r="H62" s="153" t="str">
        <f t="shared" si="53"/>
        <v/>
      </c>
      <c r="I62" s="125" t="str">
        <f t="shared" si="66"/>
        <v/>
      </c>
      <c r="J62" s="125" t="str">
        <f t="shared" si="67"/>
        <v>-</v>
      </c>
      <c r="K62" s="125" t="str">
        <f t="shared" si="68"/>
        <v/>
      </c>
      <c r="L62" s="125" t="str">
        <f t="shared" si="69"/>
        <v>-</v>
      </c>
      <c r="M62" s="94"/>
      <c r="N62" s="115" t="str">
        <f t="shared" si="54"/>
        <v/>
      </c>
      <c r="O62" s="115" t="str">
        <f t="shared" si="55"/>
        <v>-</v>
      </c>
      <c r="P62" s="115" t="str">
        <f t="shared" si="56"/>
        <v/>
      </c>
      <c r="Q62" s="115" t="str">
        <f t="shared" si="57"/>
        <v>-</v>
      </c>
      <c r="R62" s="178" t="e">
        <f t="shared" ca="1" si="58"/>
        <v>#N/A</v>
      </c>
      <c r="S62" s="115" t="e">
        <f t="shared" ca="1" si="59"/>
        <v>#N/A</v>
      </c>
      <c r="T62" s="115" t="e">
        <f t="shared" ca="1" si="60"/>
        <v>#N/A</v>
      </c>
      <c r="U62" s="115" t="e">
        <f t="shared" ca="1" si="61"/>
        <v>#N/A</v>
      </c>
      <c r="V62" s="115" t="e">
        <f t="shared" ca="1" si="62"/>
        <v>#N/A</v>
      </c>
      <c r="W62" s="178" t="e">
        <f t="shared" ca="1" si="70"/>
        <v>#N/A</v>
      </c>
      <c r="X62" s="97"/>
      <c r="Y62" s="178" t="e">
        <f>Angle_2!O13-AVERAGE(Angle_2!N13,Angle_2!O13)</f>
        <v>#DIV/0!</v>
      </c>
      <c r="Z62" s="214" t="e">
        <f t="shared" si="71"/>
        <v>#DIV/0!</v>
      </c>
      <c r="AA62" s="178" t="e">
        <f t="shared" ca="1" si="72"/>
        <v>#VALUE!</v>
      </c>
      <c r="AB62" s="178" t="e">
        <f t="shared" ca="1" si="73"/>
        <v>#VALUE!</v>
      </c>
      <c r="AC62" s="178" t="e">
        <f t="shared" ca="1" si="63"/>
        <v>#VALUE!</v>
      </c>
      <c r="AD62" s="178" t="str">
        <f t="shared" si="74"/>
        <v/>
      </c>
      <c r="AE62" s="178" t="str">
        <f t="shared" si="64"/>
        <v/>
      </c>
    </row>
    <row r="63" spans="1:31" ht="15" customHeight="1">
      <c r="N63" s="94"/>
      <c r="O63" s="94"/>
      <c r="P63" s="94"/>
      <c r="Q63" s="94"/>
      <c r="R63" s="94"/>
      <c r="S63" s="94"/>
      <c r="T63" s="94"/>
      <c r="X63" s="94"/>
    </row>
    <row r="64" spans="1:31" ht="15" customHeight="1">
      <c r="A64" s="112" t="s">
        <v>195</v>
      </c>
      <c r="C64" s="93"/>
      <c r="D64" s="93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  <c r="T64" s="97"/>
    </row>
    <row r="65" spans="1:22" ht="15" customHeight="1">
      <c r="A65" s="112"/>
      <c r="B65" s="572"/>
      <c r="C65" s="572" t="s">
        <v>196</v>
      </c>
      <c r="D65" s="585" t="s">
        <v>99</v>
      </c>
      <c r="E65" s="572" t="s">
        <v>122</v>
      </c>
      <c r="F65" s="572" t="s">
        <v>59</v>
      </c>
      <c r="G65" s="432" t="s">
        <v>197</v>
      </c>
      <c r="H65" s="578"/>
      <c r="I65" s="433"/>
      <c r="J65" s="579">
        <v>1</v>
      </c>
      <c r="K65" s="580"/>
      <c r="L65" s="580"/>
      <c r="M65" s="580"/>
      <c r="N65" s="581"/>
      <c r="O65" s="150">
        <v>2</v>
      </c>
      <c r="P65" s="152">
        <v>3</v>
      </c>
      <c r="Q65" s="579">
        <v>4</v>
      </c>
      <c r="R65" s="581"/>
      <c r="S65" s="150">
        <v>5</v>
      </c>
      <c r="T65" s="423" t="s">
        <v>312</v>
      </c>
    </row>
    <row r="66" spans="1:22" ht="15" customHeight="1">
      <c r="A66" s="112"/>
      <c r="B66" s="425"/>
      <c r="C66" s="424"/>
      <c r="D66" s="557"/>
      <c r="E66" s="425"/>
      <c r="F66" s="425"/>
      <c r="G66" s="434"/>
      <c r="H66" s="563"/>
      <c r="I66" s="435"/>
      <c r="J66" s="579" t="s">
        <v>198</v>
      </c>
      <c r="K66" s="581"/>
      <c r="L66" s="150" t="s">
        <v>199</v>
      </c>
      <c r="M66" s="579" t="s">
        <v>100</v>
      </c>
      <c r="N66" s="581"/>
      <c r="O66" s="150" t="s">
        <v>101</v>
      </c>
      <c r="P66" s="212" t="s">
        <v>123</v>
      </c>
      <c r="Q66" s="579" t="s">
        <v>200</v>
      </c>
      <c r="R66" s="581"/>
      <c r="S66" s="150" t="s">
        <v>102</v>
      </c>
      <c r="T66" s="588"/>
    </row>
    <row r="67" spans="1:22" ht="15" customHeight="1">
      <c r="A67" s="112"/>
      <c r="B67" s="152" t="s">
        <v>104</v>
      </c>
      <c r="C67" s="157" t="s">
        <v>201</v>
      </c>
      <c r="D67" s="158" t="s">
        <v>185</v>
      </c>
      <c r="E67" s="159" t="e">
        <f ca="1">OFFSET(D38,H4,0)</f>
        <v>#N/A</v>
      </c>
      <c r="F67" s="160" t="s">
        <v>192</v>
      </c>
      <c r="G67" s="115">
        <f>Angle_2!G17</f>
        <v>0</v>
      </c>
      <c r="H67" s="115">
        <f>Angle_2!H17</f>
        <v>0</v>
      </c>
      <c r="I67" s="115">
        <f>Angle_2!I17</f>
        <v>0</v>
      </c>
      <c r="J67" s="161" t="e">
        <f ca="1">SQRT(SUMSQ(G67,H67*OFFSET(D9,H4,0)))</f>
        <v>#N/A</v>
      </c>
      <c r="K67" s="115"/>
      <c r="L67" s="115">
        <f>Angle_2!J17</f>
        <v>0</v>
      </c>
      <c r="M67" s="162" t="e">
        <f ca="1">J67/L67</f>
        <v>#N/A</v>
      </c>
      <c r="N67" s="160" t="s">
        <v>149</v>
      </c>
      <c r="O67" s="154" t="s">
        <v>145</v>
      </c>
      <c r="P67" s="163">
        <v>1</v>
      </c>
      <c r="Q67" s="122" t="e">
        <f ca="1">ABS(M67*P67)</f>
        <v>#N/A</v>
      </c>
      <c r="R67" s="160" t="s">
        <v>149</v>
      </c>
      <c r="S67" s="115" t="s">
        <v>146</v>
      </c>
      <c r="T67" s="209">
        <f t="shared" ref="T67:T71" si="75">IF(S67="∞",0,Q67^4/S67)</f>
        <v>0</v>
      </c>
    </row>
    <row r="68" spans="1:22" ht="15" customHeight="1">
      <c r="A68" s="112"/>
      <c r="B68" s="152" t="s">
        <v>105</v>
      </c>
      <c r="C68" s="164" t="s">
        <v>202</v>
      </c>
      <c r="D68" s="158" t="s">
        <v>180</v>
      </c>
      <c r="E68" s="159" t="e">
        <f ca="1">OFFSET(G38,H4,0)</f>
        <v>#N/A</v>
      </c>
      <c r="F68" s="160" t="s">
        <v>192</v>
      </c>
      <c r="G68" s="165">
        <f>MAX(AA10:AB19,AA24:AB33)</f>
        <v>0</v>
      </c>
      <c r="H68" s="115"/>
      <c r="I68" s="160" t="s">
        <v>192</v>
      </c>
      <c r="J68" s="166">
        <f>DEGREES(ATAN(G68*10^-6/1))*3600</f>
        <v>0</v>
      </c>
      <c r="K68" s="115"/>
      <c r="L68" s="167">
        <v>5</v>
      </c>
      <c r="M68" s="162">
        <f>J68/SQRT(L68)</f>
        <v>0</v>
      </c>
      <c r="N68" s="160" t="s">
        <v>149</v>
      </c>
      <c r="O68" s="154" t="s">
        <v>147</v>
      </c>
      <c r="P68" s="163">
        <v>-1</v>
      </c>
      <c r="Q68" s="122">
        <f>ABS(M68*P68)</f>
        <v>0</v>
      </c>
      <c r="R68" s="160" t="s">
        <v>149</v>
      </c>
      <c r="S68" s="115">
        <v>4</v>
      </c>
      <c r="T68" s="209">
        <f t="shared" si="75"/>
        <v>0</v>
      </c>
    </row>
    <row r="69" spans="1:22" ht="15" customHeight="1">
      <c r="A69" s="112"/>
      <c r="B69" s="152" t="s">
        <v>124</v>
      </c>
      <c r="C69" s="124" t="s">
        <v>72</v>
      </c>
      <c r="D69" s="158" t="s">
        <v>203</v>
      </c>
      <c r="E69" s="115">
        <v>0</v>
      </c>
      <c r="F69" s="160" t="s">
        <v>192</v>
      </c>
      <c r="G69" s="160">
        <f>F4</f>
        <v>0</v>
      </c>
      <c r="H69" s="115"/>
      <c r="I69" s="160" t="s">
        <v>192</v>
      </c>
      <c r="J69" s="166">
        <f>DEGREES(ATAN(G69*10^-6/1))*3600</f>
        <v>0</v>
      </c>
      <c r="K69" s="115">
        <v>2</v>
      </c>
      <c r="L69" s="167">
        <v>3</v>
      </c>
      <c r="M69" s="162">
        <f>J69/K69/SQRT(L69)</f>
        <v>0</v>
      </c>
      <c r="N69" s="160" t="s">
        <v>149</v>
      </c>
      <c r="O69" s="154" t="s">
        <v>148</v>
      </c>
      <c r="P69" s="163">
        <v>1</v>
      </c>
      <c r="Q69" s="122">
        <f>ABS(M69*P69)</f>
        <v>0</v>
      </c>
      <c r="R69" s="160" t="s">
        <v>149</v>
      </c>
      <c r="S69" s="115" t="s">
        <v>146</v>
      </c>
      <c r="T69" s="209">
        <f t="shared" si="75"/>
        <v>0</v>
      </c>
    </row>
    <row r="70" spans="1:22" ht="15" customHeight="1">
      <c r="A70" s="112"/>
      <c r="B70" s="150" t="s">
        <v>74</v>
      </c>
      <c r="C70" s="124" t="s">
        <v>204</v>
      </c>
      <c r="D70" s="158" t="s">
        <v>205</v>
      </c>
      <c r="E70" s="115">
        <v>0</v>
      </c>
      <c r="F70" s="160" t="s">
        <v>192</v>
      </c>
      <c r="G70" s="160">
        <f>G69</f>
        <v>0</v>
      </c>
      <c r="H70" s="115"/>
      <c r="I70" s="160" t="s">
        <v>192</v>
      </c>
      <c r="J70" s="166">
        <f>DEGREES(ATAN(G70*10^-6/1))*3600</f>
        <v>0</v>
      </c>
      <c r="K70" s="115"/>
      <c r="L70" s="167">
        <v>3</v>
      </c>
      <c r="M70" s="162">
        <f>J70/SQRT(L70)</f>
        <v>0</v>
      </c>
      <c r="N70" s="160" t="s">
        <v>149</v>
      </c>
      <c r="O70" s="154" t="s">
        <v>148</v>
      </c>
      <c r="P70" s="163">
        <v>1</v>
      </c>
      <c r="Q70" s="122">
        <f>ABS(M70*P70)</f>
        <v>0</v>
      </c>
      <c r="R70" s="160" t="s">
        <v>149</v>
      </c>
      <c r="S70" s="115">
        <f>ROUNDDOWN(1/2*(100/20)^2,0)</f>
        <v>12</v>
      </c>
      <c r="T70" s="209">
        <f t="shared" si="75"/>
        <v>0</v>
      </c>
    </row>
    <row r="71" spans="1:22" ht="15" customHeight="1">
      <c r="A71" s="112"/>
      <c r="B71" s="150" t="s">
        <v>125</v>
      </c>
      <c r="C71" s="124" t="s">
        <v>206</v>
      </c>
      <c r="D71" s="158" t="s">
        <v>207</v>
      </c>
      <c r="E71" s="115">
        <v>0</v>
      </c>
      <c r="F71" s="160" t="s">
        <v>192</v>
      </c>
      <c r="G71" s="160">
        <v>0.2</v>
      </c>
      <c r="H71" s="115"/>
      <c r="I71" s="160" t="s">
        <v>149</v>
      </c>
      <c r="J71" s="115">
        <f>G71</f>
        <v>0.2</v>
      </c>
      <c r="K71" s="115">
        <v>2</v>
      </c>
      <c r="L71" s="167">
        <v>3</v>
      </c>
      <c r="M71" s="162">
        <f>J71/K71/SQRT(L71)</f>
        <v>5.7735026918962581E-2</v>
      </c>
      <c r="N71" s="160" t="s">
        <v>149</v>
      </c>
      <c r="O71" s="154" t="s">
        <v>148</v>
      </c>
      <c r="P71" s="163">
        <v>1</v>
      </c>
      <c r="Q71" s="122">
        <f>ABS(M71*P71)</f>
        <v>5.7735026918962581E-2</v>
      </c>
      <c r="R71" s="160" t="s">
        <v>149</v>
      </c>
      <c r="S71" s="115" t="s">
        <v>146</v>
      </c>
      <c r="T71" s="209">
        <f t="shared" si="75"/>
        <v>0</v>
      </c>
    </row>
    <row r="72" spans="1:22" ht="15" customHeight="1">
      <c r="A72" s="112"/>
      <c r="B72" s="150" t="s">
        <v>126</v>
      </c>
      <c r="C72" s="124" t="s">
        <v>208</v>
      </c>
      <c r="D72" s="158" t="s">
        <v>228</v>
      </c>
      <c r="E72" s="159" t="e">
        <f ca="1">E67-E68</f>
        <v>#N/A</v>
      </c>
      <c r="F72" s="160" t="s">
        <v>192</v>
      </c>
      <c r="G72" s="582"/>
      <c r="H72" s="583"/>
      <c r="I72" s="583"/>
      <c r="J72" s="583"/>
      <c r="K72" s="583"/>
      <c r="L72" s="583"/>
      <c r="M72" s="583"/>
      <c r="N72" s="583"/>
      <c r="O72" s="583"/>
      <c r="P72" s="584"/>
      <c r="Q72" s="123" t="e">
        <f ca="1">SQRT(SUMSQ(Q67:Q71))</f>
        <v>#N/A</v>
      </c>
      <c r="R72" s="160" t="s">
        <v>149</v>
      </c>
      <c r="S72" s="211" t="str">
        <f>IF(T72=0,"∞",ROUNDDOWN(Q72^4/T72,0))</f>
        <v>∞</v>
      </c>
      <c r="T72" s="210">
        <f>SUM(T67:T71)</f>
        <v>0</v>
      </c>
    </row>
    <row r="73" spans="1:22" ht="15" customHeight="1">
      <c r="A73" s="112"/>
      <c r="B73" s="106"/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</row>
    <row r="74" spans="1:22" ht="15" customHeight="1">
      <c r="A74" s="112"/>
      <c r="B74" s="556"/>
      <c r="C74" s="558" t="s">
        <v>297</v>
      </c>
      <c r="D74" s="559"/>
      <c r="E74" s="559"/>
      <c r="F74" s="559"/>
      <c r="G74" s="560"/>
      <c r="H74" s="200" t="s">
        <v>107</v>
      </c>
      <c r="I74" s="150" t="s">
        <v>72</v>
      </c>
      <c r="J74" s="558" t="s">
        <v>298</v>
      </c>
      <c r="K74" s="559"/>
      <c r="L74" s="559"/>
      <c r="M74" s="560"/>
      <c r="N74" s="150" t="s">
        <v>133</v>
      </c>
      <c r="O74" s="558" t="s">
        <v>299</v>
      </c>
      <c r="P74" s="559"/>
      <c r="Q74" s="560"/>
      <c r="R74" s="423" t="s">
        <v>300</v>
      </c>
      <c r="S74" s="558" t="s">
        <v>301</v>
      </c>
      <c r="T74" s="560"/>
    </row>
    <row r="75" spans="1:22" ht="15" customHeight="1">
      <c r="A75" s="112"/>
      <c r="B75" s="557"/>
      <c r="C75" s="201">
        <v>1</v>
      </c>
      <c r="D75" s="201"/>
      <c r="E75" s="201"/>
      <c r="F75" s="201" t="s">
        <v>302</v>
      </c>
      <c r="G75" s="201" t="s">
        <v>303</v>
      </c>
      <c r="H75" s="118" t="s">
        <v>209</v>
      </c>
      <c r="I75" s="118" t="s">
        <v>210</v>
      </c>
      <c r="J75" s="150" t="s">
        <v>109</v>
      </c>
      <c r="K75" s="196" t="s">
        <v>304</v>
      </c>
      <c r="L75" s="150" t="s">
        <v>111</v>
      </c>
      <c r="M75" s="150" t="s">
        <v>107</v>
      </c>
      <c r="N75" s="118"/>
      <c r="O75" s="196" t="s">
        <v>305</v>
      </c>
      <c r="P75" s="150" t="s">
        <v>110</v>
      </c>
      <c r="Q75" s="150" t="s">
        <v>111</v>
      </c>
      <c r="R75" s="425"/>
      <c r="S75" s="196" t="s">
        <v>313</v>
      </c>
      <c r="T75" s="196" t="s">
        <v>314</v>
      </c>
    </row>
    <row r="76" spans="1:22" ht="15" customHeight="1">
      <c r="A76" s="112"/>
      <c r="B76" s="201" t="s">
        <v>306</v>
      </c>
      <c r="C76" s="208" t="e">
        <f ca="1">Q72</f>
        <v>#N/A</v>
      </c>
      <c r="D76" s="202"/>
      <c r="E76" s="202"/>
      <c r="F76" s="203" t="str">
        <f>R72</f>
        <v>˝</v>
      </c>
      <c r="G76" s="103" t="e">
        <f ca="1">C78*C76</f>
        <v>#N/A</v>
      </c>
      <c r="H76" s="103" t="e">
        <f ca="1">MAX(G76:G77)</f>
        <v>#N/A</v>
      </c>
      <c r="I76" s="108">
        <f>Angle_2!L4</f>
        <v>0</v>
      </c>
      <c r="J76" s="98" t="e">
        <f ca="1">IF(H76&lt;0.00001,6,IF(H76&lt;0.0001,5,IF(H76&lt;0.001,4,IF(H76&lt;0.01,3,IF(H76&lt;0.1,2,IF(H76&lt;1,1,IF(H76&lt;10,0,IF(H76&lt;100,-1,-2))))))))+K77</f>
        <v>#N/A</v>
      </c>
      <c r="K76" s="204"/>
      <c r="L76" s="169">
        <v>1</v>
      </c>
      <c r="M76" s="125" t="e">
        <f ca="1">J76</f>
        <v>#N/A</v>
      </c>
      <c r="N76" s="170" t="e">
        <f ca="1">ABS((H76-ROUND(H76,M76))/H76*100)</f>
        <v>#N/A</v>
      </c>
      <c r="O76" s="115" t="e">
        <f ca="1">OFFSET(P144,MATCH(M76,O145:O154,0),0)</f>
        <v>#N/A</v>
      </c>
      <c r="P76" s="115" t="e">
        <f ca="1">OFFSET(P144,MATCH(M76,O145:O154,0),0)</f>
        <v>#N/A</v>
      </c>
      <c r="Q76" s="115" t="str">
        <f ca="1">OFFSET(P144,MATCH(L76,O145:O154,0),0)</f>
        <v>0.0</v>
      </c>
      <c r="R76" s="99" t="str">
        <f ca="1">IFERROR(IF(H76=G76,0,1),"")</f>
        <v/>
      </c>
      <c r="S76" s="104" t="e">
        <f ca="1">TEXT(IF(N76&gt;5,ROUNDUP(H76,M76),ROUND(H76,M76)),P76)</f>
        <v>#N/A</v>
      </c>
      <c r="T76" s="104" t="e">
        <f ca="1">S76&amp;H75</f>
        <v>#N/A</v>
      </c>
    </row>
    <row r="77" spans="1:22" ht="15" customHeight="1">
      <c r="A77" s="112"/>
      <c r="B77" s="201" t="s">
        <v>307</v>
      </c>
      <c r="C77" s="168" t="e">
        <f ca="1">OFFSET(Angle_2!G3,H4,0)</f>
        <v>#N/A</v>
      </c>
      <c r="D77" s="168" t="e">
        <f ca="1">OFFSET(Angle_2!H3,H4,0)</f>
        <v>#N/A</v>
      </c>
      <c r="E77" s="205" t="e">
        <f ca="1">OFFSET(D9,H4,0)</f>
        <v>#N/A</v>
      </c>
      <c r="F77" s="203" t="e">
        <f ca="1">OFFSET(Angle_2!I3,H4,0)</f>
        <v>#N/A</v>
      </c>
      <c r="G77" s="103" t="e">
        <f ca="1">SQRT(SUMSQ(C77,D77*E77))</f>
        <v>#N/A</v>
      </c>
      <c r="J77" s="196" t="s">
        <v>292</v>
      </c>
      <c r="K77" s="197">
        <v>1</v>
      </c>
      <c r="L77" s="198" t="s">
        <v>293</v>
      </c>
      <c r="M77" s="199" t="b">
        <f>IF(O77=TRUE,FALSE,기본정보!$A$52)</f>
        <v>0</v>
      </c>
      <c r="N77" s="198" t="s">
        <v>294</v>
      </c>
      <c r="O77" s="199" t="b">
        <f>기본정보!$A$46=0</f>
        <v>1</v>
      </c>
      <c r="R77" s="113"/>
      <c r="S77" s="113"/>
      <c r="T77" s="106"/>
      <c r="U77" s="106"/>
      <c r="V77" s="106"/>
    </row>
    <row r="78" spans="1:22" ht="15" customHeight="1">
      <c r="A78" s="112"/>
      <c r="B78" s="118" t="s">
        <v>106</v>
      </c>
      <c r="C78" s="163">
        <f ca="1">IF(S72&gt;=10,2,OFFSET(J144,MATCH(S72,I145:I154,0),0))</f>
        <v>2</v>
      </c>
      <c r="D78" s="96"/>
      <c r="G78" s="113"/>
      <c r="H78" s="113"/>
      <c r="I78" s="113"/>
      <c r="J78" s="113"/>
      <c r="K78" s="113"/>
      <c r="L78" s="113"/>
      <c r="O78" s="113"/>
      <c r="P78" s="113"/>
      <c r="Q78" s="113"/>
      <c r="R78" s="113"/>
      <c r="S78" s="113"/>
      <c r="T78" s="106"/>
      <c r="U78" s="106"/>
      <c r="V78" s="106"/>
    </row>
    <row r="79" spans="1:22" ht="15" customHeight="1">
      <c r="A79" s="112"/>
      <c r="B79" s="96"/>
      <c r="C79" s="96"/>
      <c r="D79" s="96"/>
      <c r="G79" s="113"/>
      <c r="H79" s="113"/>
      <c r="I79" s="113"/>
      <c r="J79" s="113"/>
      <c r="K79" s="113"/>
      <c r="L79" s="113"/>
      <c r="O79" s="113"/>
      <c r="P79" s="113"/>
      <c r="Q79" s="113"/>
      <c r="R79" s="113"/>
      <c r="S79" s="113"/>
      <c r="T79" s="106"/>
      <c r="U79" s="106"/>
      <c r="V79" s="106"/>
    </row>
    <row r="80" spans="1:22" ht="15" customHeight="1">
      <c r="A80" s="100" t="s">
        <v>371</v>
      </c>
      <c r="B80" s="96"/>
      <c r="C80" s="96"/>
      <c r="D80" s="96"/>
      <c r="G80" s="113"/>
      <c r="H80" s="113"/>
      <c r="I80" s="113"/>
      <c r="J80" s="113"/>
      <c r="K80" s="113"/>
      <c r="L80" s="113"/>
      <c r="O80" s="113"/>
      <c r="P80" s="113"/>
      <c r="Q80" s="113"/>
      <c r="R80" s="113"/>
      <c r="S80" s="113"/>
      <c r="T80" s="106"/>
      <c r="U80" s="106"/>
      <c r="V80" s="106"/>
    </row>
    <row r="81" spans="1:28" ht="15" customHeight="1">
      <c r="A81" s="112" t="s">
        <v>456</v>
      </c>
      <c r="D81" s="96"/>
      <c r="E81" s="95"/>
      <c r="F81" s="95"/>
      <c r="G81" s="95"/>
      <c r="H81" s="95"/>
      <c r="K81" s="95"/>
      <c r="L81" s="95"/>
      <c r="M81" s="95"/>
      <c r="N81" s="95"/>
      <c r="Z81" s="96"/>
      <c r="AA81" s="96"/>
      <c r="AB81" s="96"/>
    </row>
    <row r="82" spans="1:28" ht="15" customHeight="1">
      <c r="B82" s="201" t="s">
        <v>372</v>
      </c>
      <c r="C82" s="201" t="s">
        <v>59</v>
      </c>
      <c r="D82" s="96"/>
      <c r="E82" s="95"/>
      <c r="F82" s="95"/>
      <c r="G82" s="95"/>
      <c r="H82" s="95"/>
      <c r="K82" s="95"/>
      <c r="L82" s="95"/>
      <c r="M82" s="95"/>
      <c r="N82" s="95"/>
      <c r="Z82" s="96"/>
      <c r="AA82" s="96"/>
      <c r="AB82" s="96"/>
    </row>
    <row r="83" spans="1:28" ht="15" customHeight="1">
      <c r="B83" s="178">
        <f>Squareness_2!I4</f>
        <v>0</v>
      </c>
      <c r="C83" s="178">
        <f>Squareness_2!J4</f>
        <v>0</v>
      </c>
      <c r="D83" s="96"/>
      <c r="E83" s="95"/>
      <c r="F83" s="95"/>
      <c r="G83" s="95"/>
      <c r="H83" s="95"/>
      <c r="K83" s="95"/>
      <c r="L83" s="95"/>
      <c r="M83" s="95"/>
      <c r="N83" s="95"/>
      <c r="Z83" s="96"/>
      <c r="AA83" s="96"/>
      <c r="AB83" s="96"/>
    </row>
    <row r="84" spans="1:28" ht="15" customHeight="1">
      <c r="D84" s="96"/>
      <c r="E84" s="95"/>
      <c r="F84" s="95"/>
      <c r="G84" s="95"/>
      <c r="H84" s="95"/>
      <c r="K84" s="95"/>
      <c r="L84" s="95"/>
      <c r="M84" s="95"/>
      <c r="N84" s="95"/>
      <c r="Z84" s="96"/>
      <c r="AA84" s="96"/>
      <c r="AB84" s="96"/>
    </row>
    <row r="85" spans="1:28" ht="15" customHeight="1">
      <c r="A85" s="112" t="s">
        <v>457</v>
      </c>
      <c r="O85" s="95"/>
      <c r="P85" s="95"/>
      <c r="Q85" s="95"/>
      <c r="R85" s="102" t="s">
        <v>459</v>
      </c>
      <c r="V85" s="96"/>
    </row>
    <row r="86" spans="1:28" ht="15" customHeight="1">
      <c r="B86" s="423" t="s">
        <v>373</v>
      </c>
      <c r="C86" s="423" t="s">
        <v>374</v>
      </c>
      <c r="D86" s="423" t="s">
        <v>471</v>
      </c>
      <c r="E86" s="423" t="s">
        <v>472</v>
      </c>
      <c r="F86" s="423" t="s">
        <v>470</v>
      </c>
      <c r="G86" s="414" t="s">
        <v>375</v>
      </c>
      <c r="H86" s="415"/>
      <c r="I86" s="415"/>
      <c r="J86" s="415"/>
      <c r="K86" s="415"/>
      <c r="L86" s="556" t="s">
        <v>377</v>
      </c>
      <c r="M86" s="556" t="s">
        <v>378</v>
      </c>
      <c r="N86" s="423" t="s">
        <v>376</v>
      </c>
      <c r="O86" s="423" t="s">
        <v>212</v>
      </c>
      <c r="P86" s="423" t="s">
        <v>447</v>
      </c>
      <c r="R86" s="561" t="s">
        <v>448</v>
      </c>
      <c r="S86" s="562"/>
      <c r="T86" s="434" t="s">
        <v>449</v>
      </c>
      <c r="U86" s="563"/>
      <c r="V86" s="563"/>
      <c r="W86" s="563"/>
      <c r="X86" s="563"/>
      <c r="Y86" s="563"/>
      <c r="Z86" s="563"/>
    </row>
    <row r="87" spans="1:28" ht="15" customHeight="1">
      <c r="B87" s="424"/>
      <c r="C87" s="424"/>
      <c r="D87" s="424"/>
      <c r="E87" s="424"/>
      <c r="F87" s="424"/>
      <c r="G87" s="201" t="s">
        <v>75</v>
      </c>
      <c r="H87" s="201" t="s">
        <v>176</v>
      </c>
      <c r="I87" s="201" t="s">
        <v>177</v>
      </c>
      <c r="J87" s="201" t="s">
        <v>178</v>
      </c>
      <c r="K87" s="201" t="s">
        <v>179</v>
      </c>
      <c r="L87" s="557"/>
      <c r="M87" s="557"/>
      <c r="N87" s="425"/>
      <c r="O87" s="425"/>
      <c r="P87" s="425"/>
      <c r="R87" s="244" t="s">
        <v>296</v>
      </c>
      <c r="S87" s="244" t="s">
        <v>98</v>
      </c>
      <c r="T87" s="201" t="s">
        <v>450</v>
      </c>
      <c r="U87" s="196" t="s">
        <v>451</v>
      </c>
      <c r="V87" s="240" t="s">
        <v>95</v>
      </c>
      <c r="W87" s="196" t="s">
        <v>452</v>
      </c>
      <c r="X87" s="185" t="s">
        <v>448</v>
      </c>
      <c r="Y87" s="185" t="s">
        <v>453</v>
      </c>
      <c r="Z87" s="185" t="s">
        <v>454</v>
      </c>
    </row>
    <row r="88" spans="1:28" ht="15" customHeight="1">
      <c r="B88" s="425"/>
      <c r="C88" s="425"/>
      <c r="D88" s="425"/>
      <c r="E88" s="425"/>
      <c r="F88" s="425"/>
      <c r="G88" s="201" t="s">
        <v>369</v>
      </c>
      <c r="H88" s="201" t="s">
        <v>379</v>
      </c>
      <c r="I88" s="201" t="s">
        <v>380</v>
      </c>
      <c r="J88" s="201" t="s">
        <v>369</v>
      </c>
      <c r="K88" s="201" t="s">
        <v>369</v>
      </c>
      <c r="L88" s="201" t="s">
        <v>379</v>
      </c>
      <c r="M88" s="201" t="s">
        <v>379</v>
      </c>
      <c r="N88" s="201" t="s">
        <v>369</v>
      </c>
      <c r="O88" s="201" t="s">
        <v>381</v>
      </c>
      <c r="P88" s="201" t="s">
        <v>192</v>
      </c>
      <c r="R88" s="201" t="s">
        <v>192</v>
      </c>
      <c r="S88" s="201" t="s">
        <v>192</v>
      </c>
      <c r="T88" s="201"/>
      <c r="U88" s="201" t="s">
        <v>192</v>
      </c>
      <c r="V88" s="201" t="s">
        <v>192</v>
      </c>
      <c r="W88" s="201" t="s">
        <v>192</v>
      </c>
      <c r="X88" s="201" t="s">
        <v>455</v>
      </c>
      <c r="Y88" s="101">
        <f>IF(TYPE(MATCH("FAIL",Y89:Y90,0))=16,0,1)</f>
        <v>0</v>
      </c>
      <c r="Z88" s="201" t="s">
        <v>192</v>
      </c>
    </row>
    <row r="89" spans="1:28" ht="15" customHeight="1">
      <c r="B89" s="184" t="b">
        <f>IF(TRIM(Squareness_2!B4)="",FALSE,TRUE)</f>
        <v>0</v>
      </c>
      <c r="C89" s="419" t="str">
        <f>IF(B89=FALSE,"",Squareness_2!A4)</f>
        <v/>
      </c>
      <c r="D89" s="417" t="str">
        <f>IF(B90=FALSE,"",VALUE(Squareness_2!B5))</f>
        <v/>
      </c>
      <c r="E89" s="417" t="str">
        <f>IF(B90=FALSE,"",Squareness_2!C5)</f>
        <v/>
      </c>
      <c r="F89" s="178" t="s">
        <v>382</v>
      </c>
      <c r="G89" s="178" t="str">
        <f>IF($B89=FALSE,"",Squareness_2!N4)</f>
        <v/>
      </c>
      <c r="H89" s="178" t="str">
        <f>IF($B89=FALSE,"",Squareness_2!O4)</f>
        <v/>
      </c>
      <c r="I89" s="178" t="str">
        <f>IF($B89=FALSE,"",Squareness_2!P4)</f>
        <v/>
      </c>
      <c r="J89" s="178" t="str">
        <f>IF($B89=FALSE,"",Squareness_2!Q4)</f>
        <v/>
      </c>
      <c r="K89" s="178" t="str">
        <f>IF($B89=FALSE,"",Squareness_2!R4)</f>
        <v/>
      </c>
      <c r="L89" s="235" t="str">
        <f>IF($B89=FALSE,"",AVERAGE(G89:K89))</f>
        <v/>
      </c>
      <c r="M89" s="214" t="str">
        <f>IF($B89=FALSE,"",STDEV(G89:K89))</f>
        <v/>
      </c>
      <c r="N89" s="178" t="str">
        <f>IF($B89=FALSE,"",Squareness_2!D11)</f>
        <v/>
      </c>
      <c r="O89" s="222"/>
      <c r="P89" s="222"/>
      <c r="R89" s="178" t="e">
        <f ca="1">ROUND(Squareness_2!K4/($D89/1000),$M$110)</f>
        <v>#VALUE!</v>
      </c>
      <c r="S89" s="178" t="e">
        <f ca="1">ROUND(Squareness_2!L4/($D89/1000),$M$110)</f>
        <v>#VALUE!</v>
      </c>
      <c r="T89" s="178" t="str">
        <f>C89</f>
        <v/>
      </c>
      <c r="U89" s="178">
        <v>0</v>
      </c>
      <c r="V89" s="225" t="e">
        <f ca="1">IF(SIGN($P94)=-1,"+",IF(SIGN(P94)=0,"","-"))&amp;TEXT(ABS($P94),$P$110)</f>
        <v>#VALUE!</v>
      </c>
      <c r="W89" s="225" t="e">
        <f ca="1">IF(SIGN($P94)=1,"+","")&amp;TEXT($P94,$P$110)</f>
        <v>#VALUE!</v>
      </c>
      <c r="X89" s="178" t="e">
        <f ca="1">"± "&amp;TEXT(S89-U89,$P$110)</f>
        <v>#VALUE!</v>
      </c>
      <c r="Y89" s="178" t="str">
        <f>IF(B89=FALSE,"",IF(AND(R89&lt;=P94,P94&lt;=S89),"PASS","FAIL"))</f>
        <v/>
      </c>
      <c r="Z89" s="225" t="e">
        <f ca="1">S110</f>
        <v>#DIV/0!</v>
      </c>
    </row>
    <row r="90" spans="1:28" ht="15" customHeight="1">
      <c r="B90" s="184" t="b">
        <f>IF(TRIM(Squareness_2!B5)="",FALSE,TRUE)</f>
        <v>0</v>
      </c>
      <c r="C90" s="420"/>
      <c r="D90" s="418"/>
      <c r="E90" s="418"/>
      <c r="F90" s="178" t="s">
        <v>383</v>
      </c>
      <c r="G90" s="178" t="str">
        <f>IF($B90=FALSE,"",Squareness_2!N5)</f>
        <v/>
      </c>
      <c r="H90" s="178" t="str">
        <f>IF($B90=FALSE,"",Squareness_2!O5)</f>
        <v/>
      </c>
      <c r="I90" s="178" t="str">
        <f>IF($B90=FALSE,"",Squareness_2!P5)</f>
        <v/>
      </c>
      <c r="J90" s="178" t="str">
        <f>IF($B90=FALSE,"",Squareness_2!Q5)</f>
        <v/>
      </c>
      <c r="K90" s="178" t="str">
        <f>IF($B90=FALSE,"",Squareness_2!R5)</f>
        <v/>
      </c>
      <c r="L90" s="235" t="str">
        <f t="shared" ref="L90:L92" si="76">IF($B90=FALSE,"",AVERAGE(G90:K90))</f>
        <v/>
      </c>
      <c r="M90" s="214" t="str">
        <f t="shared" ref="M90:M92" si="77">IF($B90=FALSE,"",STDEV(G90:K90))</f>
        <v/>
      </c>
      <c r="N90" s="178" t="str">
        <f>IF($B90=FALSE,"",Squareness_2!D12)</f>
        <v/>
      </c>
      <c r="O90" s="222"/>
      <c r="P90" s="222"/>
      <c r="R90" s="178" t="e">
        <f ca="1">ROUND(Squareness_2!K6/($D91/1000),$M$110)</f>
        <v>#VALUE!</v>
      </c>
      <c r="S90" s="178" t="e">
        <f ca="1">ROUND(Squareness_2!L6/($D91/1000),$M$110)</f>
        <v>#VALUE!</v>
      </c>
      <c r="T90" s="178" t="str">
        <f>C91</f>
        <v/>
      </c>
      <c r="U90" s="178">
        <v>0</v>
      </c>
      <c r="V90" s="225" t="e">
        <f ca="1">IF(SIGN($P96)=-1,"+",IF(SIGN(P96)=0,"","-"))&amp;TEXT(ABS($P96),$P$110)</f>
        <v>#VALUE!</v>
      </c>
      <c r="W90" s="225" t="e">
        <f ca="1">IF(SIGN($P96)=1,"+","")&amp;TEXT($P96,$P$110)</f>
        <v>#VALUE!</v>
      </c>
      <c r="X90" s="178" t="e">
        <f ca="1">"± "&amp;TEXT(S90-U90,$P$110)</f>
        <v>#VALUE!</v>
      </c>
      <c r="Y90" s="178" t="str">
        <f>IF(B91=FALSE,"",IF(AND(R90&lt;=P96,P96&lt;=S90),"PASS","FAIL"))</f>
        <v/>
      </c>
      <c r="Z90" s="225" t="e">
        <f ca="1">S110</f>
        <v>#DIV/0!</v>
      </c>
    </row>
    <row r="91" spans="1:28" ht="15" customHeight="1">
      <c r="B91" s="184" t="b">
        <f>IF(TRIM(Squareness_2!B6)="",FALSE,TRUE)</f>
        <v>0</v>
      </c>
      <c r="C91" s="419" t="str">
        <f>IF(B91=FALSE,"",Squareness_2!A6)</f>
        <v/>
      </c>
      <c r="D91" s="417" t="str">
        <f>IF(B92=FALSE,"",Squareness_2!B7)</f>
        <v/>
      </c>
      <c r="E91" s="417" t="str">
        <f>IF(B92=FALSE,"",Squareness_2!C7)</f>
        <v/>
      </c>
      <c r="F91" s="178" t="s">
        <v>384</v>
      </c>
      <c r="G91" s="178" t="str">
        <f>IF($B91=FALSE,"",Squareness_2!N6)</f>
        <v/>
      </c>
      <c r="H91" s="178" t="str">
        <f>IF($B91=FALSE,"",Squareness_2!O6)</f>
        <v/>
      </c>
      <c r="I91" s="178" t="str">
        <f>IF($B91=FALSE,"",Squareness_2!P6)</f>
        <v/>
      </c>
      <c r="J91" s="178" t="str">
        <f>IF($B91=FALSE,"",Squareness_2!Q6)</f>
        <v/>
      </c>
      <c r="K91" s="178" t="str">
        <f>IF($B91=FALSE,"",Squareness_2!R6)</f>
        <v/>
      </c>
      <c r="L91" s="235" t="str">
        <f t="shared" si="76"/>
        <v/>
      </c>
      <c r="M91" s="214" t="str">
        <f t="shared" si="77"/>
        <v/>
      </c>
      <c r="N91" s="178" t="str">
        <f>IF($B91=FALSE,"",Squareness_2!D13)</f>
        <v/>
      </c>
      <c r="O91" s="222"/>
      <c r="P91" s="222"/>
    </row>
    <row r="92" spans="1:28" ht="15" customHeight="1">
      <c r="B92" s="184" t="b">
        <f>IF(TRIM(Squareness_2!B7)="",FALSE,TRUE)</f>
        <v>0</v>
      </c>
      <c r="C92" s="420"/>
      <c r="D92" s="418"/>
      <c r="E92" s="418"/>
      <c r="F92" s="178" t="s">
        <v>385</v>
      </c>
      <c r="G92" s="178" t="str">
        <f>IF($B92=FALSE,"",Squareness_2!N7)</f>
        <v/>
      </c>
      <c r="H92" s="178" t="str">
        <f>IF($B92=FALSE,"",Squareness_2!O7)</f>
        <v/>
      </c>
      <c r="I92" s="178" t="str">
        <f>IF($B92=FALSE,"",Squareness_2!P7)</f>
        <v/>
      </c>
      <c r="J92" s="178" t="str">
        <f>IF($B92=FALSE,"",Squareness_2!Q7)</f>
        <v/>
      </c>
      <c r="K92" s="178" t="str">
        <f>IF($B92=FALSE,"",Squareness_2!R7)</f>
        <v/>
      </c>
      <c r="L92" s="235" t="str">
        <f t="shared" si="76"/>
        <v/>
      </c>
      <c r="M92" s="214" t="str">
        <f t="shared" si="77"/>
        <v/>
      </c>
      <c r="N92" s="178" t="str">
        <f>IF($B92=FALSE,"",Squareness_2!D14)</f>
        <v/>
      </c>
      <c r="O92" s="222"/>
      <c r="P92" s="222"/>
      <c r="U92" s="95"/>
    </row>
    <row r="93" spans="1:28" ht="15" customHeight="1">
      <c r="B93" s="564" t="str">
        <f>C89</f>
        <v/>
      </c>
      <c r="C93" s="565"/>
      <c r="D93" s="414" t="s">
        <v>386</v>
      </c>
      <c r="E93" s="415"/>
      <c r="F93" s="416"/>
      <c r="G93" s="178" t="e">
        <f>G90-G89</f>
        <v>#VALUE!</v>
      </c>
      <c r="H93" s="178" t="e">
        <f>H90-H89</f>
        <v>#VALUE!</v>
      </c>
      <c r="I93" s="178" t="e">
        <f>I90-I89</f>
        <v>#VALUE!</v>
      </c>
      <c r="J93" s="178" t="e">
        <f>J90-J89</f>
        <v>#VALUE!</v>
      </c>
      <c r="K93" s="178" t="e">
        <f>K90-K89</f>
        <v>#VALUE!</v>
      </c>
      <c r="L93" s="235" t="e">
        <f t="shared" ref="L93:L96" si="78">AVERAGE(G93:K93)</f>
        <v>#VALUE!</v>
      </c>
      <c r="M93" s="214" t="e">
        <f t="shared" ref="M93:M96" si="79">STDEV(G93:K93)</f>
        <v>#VALUE!</v>
      </c>
      <c r="N93" s="222"/>
      <c r="O93" s="222"/>
      <c r="P93" s="222"/>
      <c r="U93" s="95"/>
    </row>
    <row r="94" spans="1:28" ht="15" customHeight="1">
      <c r="B94" s="566"/>
      <c r="C94" s="567"/>
      <c r="D94" s="414" t="s">
        <v>387</v>
      </c>
      <c r="E94" s="415"/>
      <c r="F94" s="416"/>
      <c r="G94" s="178" t="e">
        <f>1/($D89/1000)*G93</f>
        <v>#VALUE!</v>
      </c>
      <c r="H94" s="178" t="e">
        <f>1/($D89/1000)*H93</f>
        <v>#VALUE!</v>
      </c>
      <c r="I94" s="178" t="e">
        <f>1/($D89/1000)*I93</f>
        <v>#VALUE!</v>
      </c>
      <c r="J94" s="178" t="e">
        <f>1/($D89/1000)*J93</f>
        <v>#VALUE!</v>
      </c>
      <c r="K94" s="178" t="e">
        <f>1/($D89/1000)*K93</f>
        <v>#VALUE!</v>
      </c>
      <c r="L94" s="241" t="e">
        <f t="shared" si="78"/>
        <v>#VALUE!</v>
      </c>
      <c r="M94" s="214" t="e">
        <f t="shared" si="79"/>
        <v>#VALUE!</v>
      </c>
      <c r="N94" s="242" t="e">
        <f>N90/(D89/1000)</f>
        <v>#VALUE!</v>
      </c>
      <c r="O94" s="243" t="e">
        <f>L94-N94</f>
        <v>#VALUE!</v>
      </c>
      <c r="P94" s="230" t="e">
        <f ca="1">ROUND(O94,M110)</f>
        <v>#VALUE!</v>
      </c>
      <c r="U94" s="95"/>
      <c r="X94" s="96"/>
    </row>
    <row r="95" spans="1:28" ht="15" customHeight="1">
      <c r="B95" s="564" t="str">
        <f>C91</f>
        <v/>
      </c>
      <c r="C95" s="565"/>
      <c r="D95" s="414" t="s">
        <v>386</v>
      </c>
      <c r="E95" s="415"/>
      <c r="F95" s="416"/>
      <c r="G95" s="178" t="e">
        <f>G92-G91</f>
        <v>#VALUE!</v>
      </c>
      <c r="H95" s="178" t="e">
        <f>H92-H91</f>
        <v>#VALUE!</v>
      </c>
      <c r="I95" s="178" t="e">
        <f>I92-I91</f>
        <v>#VALUE!</v>
      </c>
      <c r="J95" s="178" t="e">
        <f>J92-J91</f>
        <v>#VALUE!</v>
      </c>
      <c r="K95" s="178" t="e">
        <f>K92-K91</f>
        <v>#VALUE!</v>
      </c>
      <c r="L95" s="235" t="e">
        <f t="shared" si="78"/>
        <v>#VALUE!</v>
      </c>
      <c r="M95" s="214" t="e">
        <f t="shared" si="79"/>
        <v>#VALUE!</v>
      </c>
      <c r="N95" s="222"/>
      <c r="O95" s="222"/>
      <c r="P95" s="222"/>
    </row>
    <row r="96" spans="1:28" ht="15" customHeight="1">
      <c r="B96" s="566"/>
      <c r="C96" s="567"/>
      <c r="D96" s="414" t="s">
        <v>387</v>
      </c>
      <c r="E96" s="415"/>
      <c r="F96" s="416"/>
      <c r="G96" s="178" t="e">
        <f>1/($D91/1000)*G95</f>
        <v>#VALUE!</v>
      </c>
      <c r="H96" s="178" t="e">
        <f>1/($D91/1000)*H95</f>
        <v>#VALUE!</v>
      </c>
      <c r="I96" s="178" t="e">
        <f>1/($D91/1000)*I95</f>
        <v>#VALUE!</v>
      </c>
      <c r="J96" s="178" t="e">
        <f>1/($D91/1000)*J95</f>
        <v>#VALUE!</v>
      </c>
      <c r="K96" s="178" t="e">
        <f>1/($D91/1000)*K95</f>
        <v>#VALUE!</v>
      </c>
      <c r="L96" s="241" t="e">
        <f t="shared" si="78"/>
        <v>#VALUE!</v>
      </c>
      <c r="M96" s="214" t="e">
        <f t="shared" si="79"/>
        <v>#VALUE!</v>
      </c>
      <c r="N96" s="242" t="e">
        <f>N92/(D91/1000)</f>
        <v>#VALUE!</v>
      </c>
      <c r="O96" s="243" t="e">
        <f>L96-N96</f>
        <v>#VALUE!</v>
      </c>
      <c r="P96" s="230" t="e">
        <f ca="1">ROUND(O96,M110)</f>
        <v>#VALUE!</v>
      </c>
    </row>
    <row r="97" spans="1:21" ht="15" customHeight="1">
      <c r="O97" s="95"/>
      <c r="P97" s="95"/>
    </row>
    <row r="98" spans="1:21" ht="15" customHeight="1">
      <c r="A98" s="112" t="s">
        <v>458</v>
      </c>
      <c r="C98" s="93"/>
      <c r="D98" s="93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</row>
    <row r="99" spans="1:21" ht="15" customHeight="1">
      <c r="A99" s="112"/>
      <c r="B99" s="423"/>
      <c r="C99" s="423" t="s">
        <v>388</v>
      </c>
      <c r="D99" s="556" t="s">
        <v>389</v>
      </c>
      <c r="E99" s="423" t="s">
        <v>390</v>
      </c>
      <c r="F99" s="423" t="s">
        <v>391</v>
      </c>
      <c r="G99" s="558">
        <v>1</v>
      </c>
      <c r="H99" s="559"/>
      <c r="I99" s="559"/>
      <c r="J99" s="559"/>
      <c r="K99" s="560"/>
      <c r="L99" s="196">
        <v>2</v>
      </c>
      <c r="M99" s="558">
        <v>3</v>
      </c>
      <c r="N99" s="560"/>
      <c r="O99" s="558">
        <v>4</v>
      </c>
      <c r="P99" s="560"/>
      <c r="Q99" s="196">
        <v>5</v>
      </c>
      <c r="R99" s="423" t="s">
        <v>392</v>
      </c>
      <c r="S99" s="95"/>
      <c r="T99" s="95"/>
      <c r="U99" s="95"/>
    </row>
    <row r="100" spans="1:21" ht="15" customHeight="1">
      <c r="A100" s="112"/>
      <c r="B100" s="425"/>
      <c r="C100" s="424"/>
      <c r="D100" s="568"/>
      <c r="E100" s="424"/>
      <c r="F100" s="424"/>
      <c r="G100" s="573" t="s">
        <v>393</v>
      </c>
      <c r="H100" s="574"/>
      <c r="I100" s="239" t="s">
        <v>394</v>
      </c>
      <c r="J100" s="573" t="s">
        <v>395</v>
      </c>
      <c r="K100" s="574"/>
      <c r="L100" s="239" t="s">
        <v>396</v>
      </c>
      <c r="M100" s="558" t="s">
        <v>397</v>
      </c>
      <c r="N100" s="560"/>
      <c r="O100" s="573" t="s">
        <v>398</v>
      </c>
      <c r="P100" s="574"/>
      <c r="Q100" s="239" t="s">
        <v>399</v>
      </c>
      <c r="R100" s="424"/>
      <c r="S100" s="95"/>
      <c r="T100" s="95"/>
      <c r="U100" s="95"/>
    </row>
    <row r="101" spans="1:21" ht="15" customHeight="1">
      <c r="A101" s="112"/>
      <c r="B101" s="238" t="s">
        <v>400</v>
      </c>
      <c r="C101" s="223" t="s">
        <v>401</v>
      </c>
      <c r="D101" s="224" t="s">
        <v>402</v>
      </c>
      <c r="E101" s="225" t="e">
        <f>L94</f>
        <v>#VALUE!</v>
      </c>
      <c r="F101" s="226" t="s">
        <v>403</v>
      </c>
      <c r="G101" s="227">
        <f>J102</f>
        <v>0</v>
      </c>
      <c r="H101" s="214" t="e">
        <f>J103</f>
        <v>#DIV/0!</v>
      </c>
      <c r="I101" s="178"/>
      <c r="J101" s="228" t="e">
        <f>SQRT(SUMSQ(G101:H101))</f>
        <v>#DIV/0!</v>
      </c>
      <c r="K101" s="226" t="s">
        <v>404</v>
      </c>
      <c r="L101" s="229" t="s">
        <v>405</v>
      </c>
      <c r="M101" s="197" t="e">
        <f>1/(D89/1000)</f>
        <v>#VALUE!</v>
      </c>
      <c r="N101" s="226" t="s">
        <v>632</v>
      </c>
      <c r="O101" s="214" t="e">
        <f>ABS(J101*M101)</f>
        <v>#DIV/0!</v>
      </c>
      <c r="P101" s="226" t="s">
        <v>403</v>
      </c>
      <c r="Q101" s="178" t="e">
        <f>ROUNDDOWN(J101^4/(J102^4/Q102),0)</f>
        <v>#DIV/0!</v>
      </c>
      <c r="R101" s="230" t="e">
        <f t="shared" ref="R101:R105" si="80">IF(Q101="∞",0,O101^4/Q101)</f>
        <v>#DIV/0!</v>
      </c>
      <c r="S101" s="95"/>
      <c r="T101" s="95"/>
      <c r="U101" s="95"/>
    </row>
    <row r="102" spans="1:21" ht="15" customHeight="1">
      <c r="A102" s="112"/>
      <c r="B102" s="238" t="s">
        <v>406</v>
      </c>
      <c r="C102" s="223" t="s">
        <v>407</v>
      </c>
      <c r="D102" s="224" t="s">
        <v>408</v>
      </c>
      <c r="E102" s="225" t="e">
        <f>E101</f>
        <v>#VALUE!</v>
      </c>
      <c r="F102" s="226" t="s">
        <v>403</v>
      </c>
      <c r="G102" s="231">
        <f>MAX(M89:M92)</f>
        <v>0</v>
      </c>
      <c r="H102" s="178"/>
      <c r="I102" s="232">
        <v>5</v>
      </c>
      <c r="J102" s="307">
        <f>G102/(IF(H102="",1,H102)*SQRT(I102))</f>
        <v>0</v>
      </c>
      <c r="K102" s="308" t="s">
        <v>404</v>
      </c>
      <c r="L102" s="309" t="s">
        <v>409</v>
      </c>
      <c r="M102" s="310">
        <v>1</v>
      </c>
      <c r="N102" s="308"/>
      <c r="O102" s="311">
        <f>ABS(J102*M102)</f>
        <v>0</v>
      </c>
      <c r="P102" s="308" t="s">
        <v>404</v>
      </c>
      <c r="Q102" s="312">
        <v>4</v>
      </c>
      <c r="R102" s="233"/>
      <c r="S102" s="95"/>
      <c r="T102" s="95"/>
      <c r="U102" s="95"/>
    </row>
    <row r="103" spans="1:21" ht="15" customHeight="1">
      <c r="A103" s="112"/>
      <c r="B103" s="238" t="s">
        <v>410</v>
      </c>
      <c r="C103" s="223" t="s">
        <v>411</v>
      </c>
      <c r="D103" s="224" t="s">
        <v>412</v>
      </c>
      <c r="E103" s="178">
        <v>0</v>
      </c>
      <c r="F103" s="226" t="s">
        <v>413</v>
      </c>
      <c r="G103" s="231">
        <f>Squareness_2!T17</f>
        <v>0</v>
      </c>
      <c r="H103" s="178"/>
      <c r="I103" s="178">
        <f>Squareness_2!W17</f>
        <v>0</v>
      </c>
      <c r="J103" s="313" t="e">
        <f>G103/I103</f>
        <v>#DIV/0!</v>
      </c>
      <c r="K103" s="308" t="s">
        <v>404</v>
      </c>
      <c r="L103" s="309" t="s">
        <v>405</v>
      </c>
      <c r="M103" s="310">
        <v>1</v>
      </c>
      <c r="N103" s="308"/>
      <c r="O103" s="311" t="e">
        <f>ABS(J103*M103)</f>
        <v>#DIV/0!</v>
      </c>
      <c r="P103" s="308" t="s">
        <v>404</v>
      </c>
      <c r="Q103" s="312" t="s">
        <v>414</v>
      </c>
      <c r="R103" s="233"/>
      <c r="S103" s="95"/>
      <c r="T103" s="95"/>
      <c r="U103" s="95"/>
    </row>
    <row r="104" spans="1:21" ht="15" customHeight="1">
      <c r="A104" s="112"/>
      <c r="B104" s="238" t="s">
        <v>415</v>
      </c>
      <c r="C104" s="223" t="s">
        <v>416</v>
      </c>
      <c r="D104" s="224" t="s">
        <v>417</v>
      </c>
      <c r="E104" s="235" t="e">
        <f>N94</f>
        <v>#VALUE!</v>
      </c>
      <c r="F104" s="226" t="s">
        <v>418</v>
      </c>
      <c r="G104" s="231">
        <f>Squareness_2!F11</f>
        <v>0</v>
      </c>
      <c r="H104" s="178"/>
      <c r="I104" s="178">
        <f>Squareness_2!H11</f>
        <v>0</v>
      </c>
      <c r="J104" s="234" t="e">
        <f>G104/I104</f>
        <v>#DIV/0!</v>
      </c>
      <c r="K104" s="226" t="s">
        <v>404</v>
      </c>
      <c r="L104" s="229" t="s">
        <v>405</v>
      </c>
      <c r="M104" s="197" t="e">
        <f>-1/(D89/1000)</f>
        <v>#VALUE!</v>
      </c>
      <c r="N104" s="226" t="s">
        <v>633</v>
      </c>
      <c r="O104" s="214" t="e">
        <f>ABS(J104*M104)</f>
        <v>#DIV/0!</v>
      </c>
      <c r="P104" s="226" t="s">
        <v>403</v>
      </c>
      <c r="Q104" s="178" t="s">
        <v>414</v>
      </c>
      <c r="R104" s="230">
        <f t="shared" si="80"/>
        <v>0</v>
      </c>
      <c r="S104" s="95"/>
      <c r="T104" s="95"/>
      <c r="U104" s="95"/>
    </row>
    <row r="105" spans="1:21" ht="15" customHeight="1">
      <c r="A105" s="112"/>
      <c r="B105" s="238" t="s">
        <v>419</v>
      </c>
      <c r="C105" s="223" t="s">
        <v>420</v>
      </c>
      <c r="D105" s="224" t="s">
        <v>421</v>
      </c>
      <c r="E105" s="178">
        <v>0</v>
      </c>
      <c r="F105" s="226" t="s">
        <v>403</v>
      </c>
      <c r="G105" s="178">
        <f>Squareness_2!R39</f>
        <v>0</v>
      </c>
      <c r="H105" s="178">
        <v>5</v>
      </c>
      <c r="I105" s="232">
        <v>3</v>
      </c>
      <c r="J105" s="228">
        <f t="shared" ref="J105" si="81">G105/(IF(H105="",1,H105)*SQRT(I105))</f>
        <v>0</v>
      </c>
      <c r="K105" s="226" t="s">
        <v>404</v>
      </c>
      <c r="L105" s="229" t="s">
        <v>488</v>
      </c>
      <c r="M105" s="197" t="e">
        <f>1/(D89/1000)</f>
        <v>#VALUE!</v>
      </c>
      <c r="N105" s="226" t="s">
        <v>634</v>
      </c>
      <c r="O105" s="214" t="e">
        <f>ABS(J105*M105)</f>
        <v>#VALUE!</v>
      </c>
      <c r="P105" s="226" t="s">
        <v>418</v>
      </c>
      <c r="Q105" s="178" t="s">
        <v>422</v>
      </c>
      <c r="R105" s="230">
        <f t="shared" si="80"/>
        <v>0</v>
      </c>
      <c r="S105" s="95"/>
      <c r="T105" s="95"/>
      <c r="U105" s="95"/>
    </row>
    <row r="106" spans="1:21" ht="15" customHeight="1">
      <c r="A106" s="112"/>
      <c r="B106" s="238" t="s">
        <v>126</v>
      </c>
      <c r="C106" s="223" t="s">
        <v>423</v>
      </c>
      <c r="D106" s="224" t="s">
        <v>424</v>
      </c>
      <c r="E106" s="225" t="e">
        <f>E101-E104</f>
        <v>#VALUE!</v>
      </c>
      <c r="F106" s="226" t="s">
        <v>403</v>
      </c>
      <c r="G106" s="569"/>
      <c r="H106" s="570"/>
      <c r="I106" s="570"/>
      <c r="J106" s="570"/>
      <c r="K106" s="570"/>
      <c r="L106" s="570"/>
      <c r="M106" s="570"/>
      <c r="N106" s="571"/>
      <c r="O106" s="234" t="e">
        <f>SQRT(SUMSQ(O101,O104,O105))</f>
        <v>#DIV/0!</v>
      </c>
      <c r="P106" s="226" t="s">
        <v>418</v>
      </c>
      <c r="Q106" s="211" t="e">
        <f>IF(R106=0,"∞",ROUNDDOWN(O106^4/R106,0))</f>
        <v>#DIV/0!</v>
      </c>
      <c r="R106" s="236" t="e">
        <f>SUM(R101:R105)</f>
        <v>#DIV/0!</v>
      </c>
      <c r="S106" s="95"/>
      <c r="T106" s="95"/>
      <c r="U106" s="95"/>
    </row>
    <row r="107" spans="1:21" ht="15" customHeight="1">
      <c r="O107" s="95"/>
      <c r="P107" s="95"/>
    </row>
    <row r="108" spans="1:21" ht="15" customHeight="1">
      <c r="B108" s="556"/>
      <c r="C108" s="558" t="s">
        <v>425</v>
      </c>
      <c r="D108" s="559"/>
      <c r="E108" s="559"/>
      <c r="F108" s="559"/>
      <c r="G108" s="560"/>
      <c r="H108" s="196" t="s">
        <v>426</v>
      </c>
      <c r="I108" s="196" t="s">
        <v>427</v>
      </c>
      <c r="J108" s="558" t="s">
        <v>428</v>
      </c>
      <c r="K108" s="559"/>
      <c r="L108" s="559"/>
      <c r="M108" s="560"/>
      <c r="N108" s="196" t="s">
        <v>429</v>
      </c>
      <c r="O108" s="558" t="s">
        <v>430</v>
      </c>
      <c r="P108" s="559"/>
      <c r="Q108" s="560"/>
      <c r="R108" s="423" t="s">
        <v>431</v>
      </c>
      <c r="S108" s="558" t="s">
        <v>432</v>
      </c>
      <c r="T108" s="560"/>
    </row>
    <row r="109" spans="1:21" ht="15" customHeight="1">
      <c r="B109" s="557"/>
      <c r="C109" s="201">
        <v>1</v>
      </c>
      <c r="D109" s="201"/>
      <c r="E109" s="201"/>
      <c r="F109" s="201" t="s">
        <v>433</v>
      </c>
      <c r="G109" s="201" t="s">
        <v>434</v>
      </c>
      <c r="H109" s="201" t="s">
        <v>370</v>
      </c>
      <c r="I109" s="201">
        <f>C83</f>
        <v>0</v>
      </c>
      <c r="J109" s="196" t="s">
        <v>435</v>
      </c>
      <c r="K109" s="196" t="s">
        <v>436</v>
      </c>
      <c r="L109" s="196" t="s">
        <v>437</v>
      </c>
      <c r="M109" s="196" t="s">
        <v>438</v>
      </c>
      <c r="N109" s="201"/>
      <c r="O109" s="196" t="s">
        <v>439</v>
      </c>
      <c r="P109" s="196" t="s">
        <v>436</v>
      </c>
      <c r="Q109" s="196" t="s">
        <v>437</v>
      </c>
      <c r="R109" s="425"/>
      <c r="S109" s="196" t="s">
        <v>440</v>
      </c>
      <c r="T109" s="196" t="s">
        <v>441</v>
      </c>
    </row>
    <row r="110" spans="1:21" ht="15" customHeight="1">
      <c r="B110" s="201" t="s">
        <v>425</v>
      </c>
      <c r="C110" s="208" t="e">
        <f>O106</f>
        <v>#DIV/0!</v>
      </c>
      <c r="D110" s="202"/>
      <c r="E110" s="237" t="e">
        <f>D89/1000</f>
        <v>#VALUE!</v>
      </c>
      <c r="F110" s="203" t="str">
        <f>P106</f>
        <v>μm/m</v>
      </c>
      <c r="G110" s="103" t="e">
        <f ca="1">C112*C110</f>
        <v>#DIV/0!</v>
      </c>
      <c r="H110" s="103" t="e">
        <f ca="1">MAX(G110:G111)</f>
        <v>#DIV/0!</v>
      </c>
      <c r="I110" s="108">
        <f>B83</f>
        <v>0</v>
      </c>
      <c r="J110" s="98" t="e">
        <f ca="1">IF(H110&lt;0.00001,6,IF(H110&lt;0.0001,5,IF(H110&lt;0.001,4,IF(H110&lt;0.01,3,IF(H110&lt;0.1,2,IF(H110&lt;1,1,IF(H110&lt;10,0,IF(H110&lt;100,-1,-2))))))))+K111</f>
        <v>#DIV/0!</v>
      </c>
      <c r="K110" s="204"/>
      <c r="L110" s="178">
        <f>IFERROR(LEN(I110)-FIND(".",I110),0)</f>
        <v>0</v>
      </c>
      <c r="M110" s="230" t="e">
        <f ca="1">J110</f>
        <v>#DIV/0!</v>
      </c>
      <c r="N110" s="170" t="e">
        <f ca="1">ABS((H110-ROUND(H110,M110))/H110*100)</f>
        <v>#DIV/0!</v>
      </c>
      <c r="O110" s="178" t="e">
        <f ca="1">OFFSET(P144,MATCH(J110,O145:O154,0),0)</f>
        <v>#DIV/0!</v>
      </c>
      <c r="P110" s="178" t="e">
        <f ca="1">OFFSET(P144,MATCH(M110,O145:O154,0),0)</f>
        <v>#DIV/0!</v>
      </c>
      <c r="Q110" s="178" t="str">
        <f ca="1">OFFSET(P144,MATCH(L110,O145:O154,0),0)</f>
        <v>0</v>
      </c>
      <c r="R110" s="99" t="str">
        <f ca="1">IFERROR(IF(H110=G110,0,1),"")</f>
        <v/>
      </c>
      <c r="S110" s="104" t="e">
        <f ca="1">TEXT(IF(N110&gt;5,ROUNDUP(H110,M110),ROUND(H110,M110)),P110)</f>
        <v>#DIV/0!</v>
      </c>
      <c r="T110" s="104" t="e">
        <f ca="1">S110&amp;" "&amp;H109</f>
        <v>#DIV/0!</v>
      </c>
    </row>
    <row r="111" spans="1:21" ht="15" customHeight="1">
      <c r="B111" s="201" t="s">
        <v>442</v>
      </c>
      <c r="C111" s="168">
        <f>Squareness_2!D4</f>
        <v>0</v>
      </c>
      <c r="D111" s="168">
        <f>Squareness_2!E4</f>
        <v>0</v>
      </c>
      <c r="E111" s="168" t="e">
        <f>D89/1000</f>
        <v>#VALUE!</v>
      </c>
      <c r="F111" s="203" t="str">
        <f>F110</f>
        <v>μm/m</v>
      </c>
      <c r="G111" s="108" t="e">
        <f>1/E111*C111</f>
        <v>#VALUE!</v>
      </c>
      <c r="J111" s="196" t="s">
        <v>443</v>
      </c>
      <c r="K111" s="197">
        <v>1</v>
      </c>
      <c r="L111" s="198" t="s">
        <v>444</v>
      </c>
      <c r="M111" s="199" t="b">
        <f>IF(O111=TRUE,FALSE,기본정보!$A$52)</f>
        <v>0</v>
      </c>
      <c r="N111" s="198" t="s">
        <v>445</v>
      </c>
      <c r="O111" s="199" t="b">
        <f>기본정보!$A$46=0</f>
        <v>1</v>
      </c>
      <c r="R111" s="113"/>
      <c r="S111" s="113"/>
      <c r="T111" s="106"/>
    </row>
    <row r="112" spans="1:21" ht="15" customHeight="1">
      <c r="B112" s="201" t="s">
        <v>446</v>
      </c>
      <c r="C112" s="197" t="e">
        <f ca="1">IF(Q106&gt;=10,2,OFFSET(J144,MATCH(Q106,I145:I154,0),0))</f>
        <v>#DIV/0!</v>
      </c>
      <c r="D112" s="96"/>
      <c r="G112" s="113"/>
      <c r="H112" s="113"/>
      <c r="I112" s="113"/>
      <c r="J112" s="113"/>
      <c r="K112" s="113"/>
      <c r="L112" s="113"/>
      <c r="O112" s="113"/>
      <c r="P112" s="113"/>
      <c r="Q112" s="113"/>
      <c r="R112" s="113"/>
      <c r="S112" s="113"/>
      <c r="T112" s="106"/>
    </row>
    <row r="113" spans="1:22" ht="15" customHeight="1">
      <c r="A113" s="112"/>
      <c r="B113" s="96"/>
      <c r="C113" s="96"/>
      <c r="D113" s="96"/>
      <c r="G113" s="113"/>
      <c r="H113" s="113"/>
      <c r="I113" s="113"/>
      <c r="J113" s="113"/>
      <c r="K113" s="113"/>
      <c r="L113" s="113"/>
      <c r="O113" s="113"/>
      <c r="P113" s="113"/>
      <c r="Q113" s="113"/>
      <c r="R113" s="113"/>
      <c r="S113" s="113"/>
      <c r="T113" s="106"/>
      <c r="U113" s="106"/>
      <c r="V113" s="106"/>
    </row>
    <row r="114" spans="1:22" ht="15" customHeight="1">
      <c r="A114" s="100" t="s">
        <v>537</v>
      </c>
      <c r="B114" s="96"/>
      <c r="C114" s="96"/>
      <c r="D114" s="96"/>
      <c r="G114" s="113"/>
      <c r="H114" s="113"/>
      <c r="I114" s="113"/>
      <c r="J114" s="113"/>
      <c r="K114" s="113"/>
      <c r="L114" s="113"/>
      <c r="O114" s="113"/>
      <c r="P114" s="113"/>
      <c r="Q114" s="113"/>
      <c r="R114" s="113"/>
      <c r="S114" s="113"/>
      <c r="T114" s="106"/>
      <c r="U114" s="106"/>
      <c r="V114" s="106"/>
    </row>
    <row r="115" spans="1:22" ht="15" customHeight="1">
      <c r="A115" s="112" t="s">
        <v>538</v>
      </c>
      <c r="D115" s="96"/>
      <c r="G115" s="113"/>
      <c r="H115" s="113"/>
      <c r="I115" s="113"/>
      <c r="J115" s="113"/>
      <c r="K115" s="113"/>
      <c r="L115" s="113"/>
      <c r="O115" s="113"/>
      <c r="P115" s="113"/>
      <c r="Q115" s="113"/>
      <c r="R115" s="113"/>
      <c r="S115" s="113"/>
      <c r="T115" s="106"/>
    </row>
    <row r="116" spans="1:22" ht="15" customHeight="1">
      <c r="B116" s="201" t="s">
        <v>539</v>
      </c>
      <c r="C116" s="201" t="s">
        <v>59</v>
      </c>
      <c r="D116" s="96"/>
      <c r="G116" s="113"/>
      <c r="H116" s="113"/>
      <c r="I116" s="113"/>
      <c r="J116" s="113"/>
      <c r="K116" s="113"/>
      <c r="L116" s="113"/>
      <c r="O116" s="113"/>
      <c r="P116" s="113"/>
      <c r="Q116" s="113"/>
      <c r="R116" s="113"/>
      <c r="S116" s="113"/>
      <c r="T116" s="106"/>
    </row>
    <row r="117" spans="1:22" ht="15" customHeight="1">
      <c r="B117" s="178">
        <f>Flatness_1!I4</f>
        <v>0</v>
      </c>
      <c r="C117" s="178">
        <f>Flatness_1!J4</f>
        <v>0</v>
      </c>
      <c r="D117" s="96"/>
      <c r="G117" s="113"/>
      <c r="H117" s="113"/>
      <c r="I117" s="113"/>
      <c r="J117" s="113"/>
      <c r="K117" s="113"/>
      <c r="L117" s="113"/>
      <c r="O117" s="113"/>
      <c r="P117" s="113"/>
      <c r="Q117" s="113"/>
      <c r="R117" s="113"/>
      <c r="S117" s="113"/>
      <c r="T117" s="106"/>
    </row>
    <row r="118" spans="1:22" ht="15" customHeight="1">
      <c r="B118" s="96"/>
      <c r="C118" s="96"/>
      <c r="D118" s="96"/>
      <c r="G118" s="113"/>
      <c r="H118" s="113"/>
      <c r="I118" s="113"/>
      <c r="J118" s="113"/>
      <c r="K118" s="113"/>
      <c r="L118" s="113"/>
      <c r="O118" s="113"/>
      <c r="P118" s="113"/>
      <c r="Q118" s="113"/>
      <c r="R118" s="113"/>
      <c r="S118" s="113"/>
      <c r="T118" s="106"/>
    </row>
    <row r="119" spans="1:22" ht="15" customHeight="1">
      <c r="A119" s="112" t="s">
        <v>540</v>
      </c>
      <c r="M119" s="102" t="s">
        <v>612</v>
      </c>
      <c r="R119" s="95"/>
      <c r="S119" s="95"/>
      <c r="T119" s="95"/>
    </row>
    <row r="120" spans="1:22" ht="15" customHeight="1">
      <c r="B120" s="423" t="s">
        <v>541</v>
      </c>
      <c r="C120" s="423" t="s">
        <v>542</v>
      </c>
      <c r="D120" s="414" t="s">
        <v>543</v>
      </c>
      <c r="E120" s="415"/>
      <c r="F120" s="415"/>
      <c r="G120" s="415"/>
      <c r="H120" s="415"/>
      <c r="I120" s="556" t="s">
        <v>544</v>
      </c>
      <c r="J120" s="556" t="s">
        <v>545</v>
      </c>
      <c r="K120" s="423" t="s">
        <v>613</v>
      </c>
      <c r="L120" s="113"/>
      <c r="M120" s="561" t="s">
        <v>614</v>
      </c>
      <c r="N120" s="562"/>
      <c r="O120" s="434" t="s">
        <v>615</v>
      </c>
      <c r="P120" s="563"/>
      <c r="Q120" s="563"/>
      <c r="R120" s="563"/>
      <c r="S120" s="563"/>
      <c r="T120" s="563"/>
      <c r="U120" s="95"/>
    </row>
    <row r="121" spans="1:22" ht="15" customHeight="1">
      <c r="B121" s="594"/>
      <c r="C121" s="594"/>
      <c r="D121" s="201" t="s">
        <v>546</v>
      </c>
      <c r="E121" s="201" t="s">
        <v>176</v>
      </c>
      <c r="F121" s="201" t="s">
        <v>177</v>
      </c>
      <c r="G121" s="201" t="s">
        <v>178</v>
      </c>
      <c r="H121" s="201" t="s">
        <v>179</v>
      </c>
      <c r="I121" s="557"/>
      <c r="J121" s="557"/>
      <c r="K121" s="425"/>
      <c r="L121" s="113"/>
      <c r="M121" s="244" t="s">
        <v>616</v>
      </c>
      <c r="N121" s="244" t="s">
        <v>617</v>
      </c>
      <c r="O121" s="196" t="s">
        <v>618</v>
      </c>
      <c r="P121" s="304" t="s">
        <v>619</v>
      </c>
      <c r="Q121" s="196" t="s">
        <v>80</v>
      </c>
      <c r="R121" s="185" t="s">
        <v>79</v>
      </c>
      <c r="S121" s="185" t="s">
        <v>620</v>
      </c>
      <c r="T121" s="185" t="s">
        <v>621</v>
      </c>
      <c r="U121" s="95"/>
    </row>
    <row r="122" spans="1:22" ht="15" customHeight="1">
      <c r="B122" s="425"/>
      <c r="C122" s="425"/>
      <c r="D122" s="201" t="s">
        <v>547</v>
      </c>
      <c r="E122" s="201" t="s">
        <v>547</v>
      </c>
      <c r="F122" s="201" t="s">
        <v>547</v>
      </c>
      <c r="G122" s="201" t="s">
        <v>548</v>
      </c>
      <c r="H122" s="201" t="s">
        <v>548</v>
      </c>
      <c r="I122" s="201" t="s">
        <v>547</v>
      </c>
      <c r="J122" s="201" t="s">
        <v>547</v>
      </c>
      <c r="K122" s="201" t="s">
        <v>547</v>
      </c>
      <c r="L122" s="113"/>
      <c r="M122" s="201" t="s">
        <v>567</v>
      </c>
      <c r="N122" s="201" t="s">
        <v>567</v>
      </c>
      <c r="O122" s="201" t="s">
        <v>547</v>
      </c>
      <c r="P122" s="201" t="s">
        <v>567</v>
      </c>
      <c r="Q122" s="201" t="s">
        <v>567</v>
      </c>
      <c r="R122" s="201" t="s">
        <v>567</v>
      </c>
      <c r="S122" s="101">
        <f>IF(TYPE(MATCH("FAIL",S123,0))=16,0,1)</f>
        <v>0</v>
      </c>
      <c r="T122" s="201" t="s">
        <v>547</v>
      </c>
      <c r="U122" s="95"/>
    </row>
    <row r="123" spans="1:22" ht="15" customHeight="1">
      <c r="B123" s="184" t="b">
        <f>IF(TRIM(Flatness_1!B4)="",FALSE,TRUE)</f>
        <v>0</v>
      </c>
      <c r="C123" s="178" t="s">
        <v>549</v>
      </c>
      <c r="D123" s="178" t="str">
        <f>IF($B123=FALSE,"",Flatness_1!N4)</f>
        <v/>
      </c>
      <c r="E123" s="178" t="str">
        <f>IF($B123=FALSE,"",Flatness_1!O4)</f>
        <v/>
      </c>
      <c r="F123" s="178" t="str">
        <f>IF($B123=FALSE,"",Flatness_1!P4)</f>
        <v/>
      </c>
      <c r="G123" s="178" t="str">
        <f>IF($B123=FALSE,"",Flatness_1!Q4)</f>
        <v/>
      </c>
      <c r="H123" s="178" t="str">
        <f>IF($B123=FALSE,"",Flatness_1!R4)</f>
        <v/>
      </c>
      <c r="I123" s="235" t="str">
        <f>IF($B123=FALSE,"",AVERAGE(D123:H123))</f>
        <v/>
      </c>
      <c r="J123" s="214" t="str">
        <f>IF($B123=FALSE,"",STDEV(D123:H123))</f>
        <v/>
      </c>
      <c r="K123" s="222"/>
      <c r="L123" s="113"/>
      <c r="M123" s="178" t="e">
        <f ca="1">ROUND(Flatness_1!K4,$M$139)</f>
        <v>#VALUE!</v>
      </c>
      <c r="N123" s="178" t="e">
        <f ca="1">ROUND(Flatness_1!L4,$M$139)</f>
        <v>#VALUE!</v>
      </c>
      <c r="O123" s="178">
        <v>0</v>
      </c>
      <c r="P123" s="225" t="e">
        <f ca="1">TEXT(-$K125,$P$139)</f>
        <v>#VALUE!</v>
      </c>
      <c r="Q123" s="225" t="e">
        <f ca="1">TEXT($K125,$P$139)</f>
        <v>#VALUE!</v>
      </c>
      <c r="R123" s="178" t="e">
        <f ca="1">"± "&amp;TEXT(N123-O123,$P$139)</f>
        <v>#VALUE!</v>
      </c>
      <c r="S123" s="178" t="str">
        <f>IF(B123=FALSE,"",IF(AND(M123&lt;=K125,K125&lt;=N123),"PASS","FAIL"))</f>
        <v/>
      </c>
      <c r="T123" s="225" t="e">
        <f ca="1">S139</f>
        <v>#VALUE!</v>
      </c>
      <c r="U123" s="95"/>
    </row>
    <row r="124" spans="1:22" ht="15" customHeight="1">
      <c r="B124" s="184" t="b">
        <f>IF(TRIM(Flatness_1!B5)="",FALSE,TRUE)</f>
        <v>0</v>
      </c>
      <c r="C124" s="178" t="s">
        <v>550</v>
      </c>
      <c r="D124" s="178" t="str">
        <f>IF($B124=FALSE,"",Flatness_1!N5)</f>
        <v/>
      </c>
      <c r="E124" s="178" t="str">
        <f>IF($B124=FALSE,"",Flatness_1!O5)</f>
        <v/>
      </c>
      <c r="F124" s="178" t="str">
        <f>IF($B124=FALSE,"",Flatness_1!P5)</f>
        <v/>
      </c>
      <c r="G124" s="178" t="str">
        <f>IF($B124=FALSE,"",Flatness_1!Q5)</f>
        <v/>
      </c>
      <c r="H124" s="178" t="str">
        <f>IF($B124=FALSE,"",Flatness_1!R5)</f>
        <v/>
      </c>
      <c r="I124" s="235" t="str">
        <f t="shared" ref="I124:I125" si="82">IF($B124=FALSE,"",AVERAGE(D124:H124))</f>
        <v/>
      </c>
      <c r="J124" s="214" t="str">
        <f t="shared" ref="J124:J125" si="83">IF($B124=FALSE,"",STDEV(D124:H124))</f>
        <v/>
      </c>
      <c r="K124" s="222"/>
      <c r="L124" s="113"/>
      <c r="M124" s="113"/>
      <c r="N124" s="113"/>
      <c r="O124" s="106"/>
      <c r="Q124" s="95"/>
      <c r="R124" s="95"/>
      <c r="S124" s="95"/>
      <c r="T124" s="95"/>
      <c r="U124" s="95"/>
    </row>
    <row r="125" spans="1:22" ht="15" customHeight="1">
      <c r="B125" s="558" t="s">
        <v>551</v>
      </c>
      <c r="C125" s="560"/>
      <c r="D125" s="178" t="e">
        <f>D123-D124</f>
        <v>#VALUE!</v>
      </c>
      <c r="E125" s="178" t="e">
        <f t="shared" ref="E125:H125" si="84">E123-E124</f>
        <v>#VALUE!</v>
      </c>
      <c r="F125" s="178" t="e">
        <f t="shared" si="84"/>
        <v>#VALUE!</v>
      </c>
      <c r="G125" s="178" t="e">
        <f t="shared" si="84"/>
        <v>#VALUE!</v>
      </c>
      <c r="H125" s="178" t="e">
        <f t="shared" si="84"/>
        <v>#VALUE!</v>
      </c>
      <c r="I125" s="241" t="e">
        <f t="shared" si="82"/>
        <v>#VALUE!</v>
      </c>
      <c r="J125" s="214" t="e">
        <f t="shared" si="83"/>
        <v>#VALUE!</v>
      </c>
      <c r="K125" s="230" t="e">
        <f ca="1">ROUND(I125,M139)</f>
        <v>#VALUE!</v>
      </c>
      <c r="L125" s="113"/>
      <c r="M125" s="113"/>
      <c r="N125" s="113"/>
      <c r="O125" s="106"/>
      <c r="Q125" s="95"/>
      <c r="R125" s="95"/>
      <c r="S125" s="95"/>
      <c r="T125" s="95"/>
      <c r="U125" s="95"/>
    </row>
    <row r="126" spans="1:22" ht="15" customHeight="1">
      <c r="B126" s="96"/>
      <c r="C126" s="96"/>
      <c r="D126" s="96"/>
      <c r="G126" s="113"/>
      <c r="H126" s="113"/>
      <c r="I126" s="113"/>
      <c r="J126" s="113"/>
      <c r="K126" s="113"/>
      <c r="L126" s="113"/>
      <c r="O126" s="113"/>
      <c r="P126" s="113"/>
      <c r="Q126" s="113"/>
      <c r="R126" s="113"/>
      <c r="S126" s="113"/>
      <c r="T126" s="106"/>
    </row>
    <row r="127" spans="1:22" ht="15" customHeight="1">
      <c r="A127" s="112" t="s">
        <v>552</v>
      </c>
      <c r="C127" s="93"/>
      <c r="D127" s="93"/>
      <c r="E127" s="97"/>
      <c r="F127" s="97"/>
      <c r="G127" s="97"/>
      <c r="H127" s="97"/>
      <c r="I127" s="97"/>
      <c r="J127" s="97"/>
      <c r="K127" s="97"/>
      <c r="L127" s="97"/>
      <c r="M127" s="97"/>
      <c r="N127" s="97"/>
      <c r="O127" s="97"/>
      <c r="P127" s="97"/>
      <c r="Q127" s="97"/>
      <c r="R127" s="97"/>
      <c r="S127" s="97"/>
      <c r="T127" s="97"/>
    </row>
    <row r="128" spans="1:22" ht="15" customHeight="1">
      <c r="A128" s="112"/>
      <c r="B128" s="423"/>
      <c r="C128" s="423" t="s">
        <v>553</v>
      </c>
      <c r="D128" s="556" t="s">
        <v>554</v>
      </c>
      <c r="E128" s="423" t="s">
        <v>555</v>
      </c>
      <c r="F128" s="423" t="s">
        <v>556</v>
      </c>
      <c r="G128" s="558">
        <v>1</v>
      </c>
      <c r="H128" s="559"/>
      <c r="I128" s="559"/>
      <c r="J128" s="559"/>
      <c r="K128" s="560"/>
      <c r="L128" s="196">
        <v>2</v>
      </c>
      <c r="M128" s="303">
        <v>3</v>
      </c>
      <c r="N128" s="558">
        <v>4</v>
      </c>
      <c r="O128" s="560"/>
      <c r="P128" s="196">
        <v>5</v>
      </c>
      <c r="Q128" s="423" t="s">
        <v>557</v>
      </c>
      <c r="S128" s="95"/>
      <c r="T128" s="95"/>
      <c r="U128" s="95"/>
    </row>
    <row r="129" spans="1:28" ht="15" customHeight="1">
      <c r="A129" s="112"/>
      <c r="B129" s="425"/>
      <c r="C129" s="594"/>
      <c r="D129" s="595"/>
      <c r="E129" s="594"/>
      <c r="F129" s="594"/>
      <c r="G129" s="573" t="s">
        <v>553</v>
      </c>
      <c r="H129" s="574"/>
      <c r="I129" s="302" t="s">
        <v>558</v>
      </c>
      <c r="J129" s="573" t="s">
        <v>559</v>
      </c>
      <c r="K129" s="574"/>
      <c r="L129" s="302" t="s">
        <v>560</v>
      </c>
      <c r="M129" s="305" t="s">
        <v>561</v>
      </c>
      <c r="N129" s="573" t="s">
        <v>562</v>
      </c>
      <c r="O129" s="574"/>
      <c r="P129" s="302" t="s">
        <v>563</v>
      </c>
      <c r="Q129" s="594"/>
      <c r="S129" s="95"/>
      <c r="T129" s="95"/>
      <c r="U129" s="95"/>
    </row>
    <row r="130" spans="1:28" ht="15" customHeight="1">
      <c r="A130" s="112"/>
      <c r="B130" s="303" t="s">
        <v>564</v>
      </c>
      <c r="C130" s="223" t="s">
        <v>565</v>
      </c>
      <c r="D130" s="224" t="s">
        <v>566</v>
      </c>
      <c r="E130" s="225" t="e">
        <f>I125</f>
        <v>#VALUE!</v>
      </c>
      <c r="F130" s="226" t="s">
        <v>547</v>
      </c>
      <c r="G130" s="227"/>
      <c r="H130" s="214"/>
      <c r="I130" s="178"/>
      <c r="J130" s="228" t="e">
        <f>SQRT(SUMSQ(J131:J134))</f>
        <v>#VALUE!</v>
      </c>
      <c r="K130" s="226" t="s">
        <v>567</v>
      </c>
      <c r="L130" s="229" t="s">
        <v>568</v>
      </c>
      <c r="M130" s="197">
        <v>1</v>
      </c>
      <c r="N130" s="214" t="e">
        <f>ABS(J130*M130)</f>
        <v>#VALUE!</v>
      </c>
      <c r="O130" s="226" t="s">
        <v>567</v>
      </c>
      <c r="P130" s="178" t="e">
        <f>ROUNDDOWN(J130^4/(J131^4/P131),0)</f>
        <v>#VALUE!</v>
      </c>
      <c r="Q130" s="230" t="e">
        <f t="shared" ref="Q130" si="85">IF(P130="∞",0,N130^4/P130)</f>
        <v>#VALUE!</v>
      </c>
      <c r="S130" s="95"/>
      <c r="T130" s="95"/>
      <c r="U130" s="95"/>
    </row>
    <row r="131" spans="1:28" ht="15" customHeight="1">
      <c r="A131" s="112"/>
      <c r="B131" s="303" t="s">
        <v>569</v>
      </c>
      <c r="C131" s="223" t="s">
        <v>570</v>
      </c>
      <c r="D131" s="306" t="s">
        <v>571</v>
      </c>
      <c r="E131" s="225" t="s">
        <v>572</v>
      </c>
      <c r="F131" s="226" t="s">
        <v>567</v>
      </c>
      <c r="G131" s="231" t="e">
        <f>J125</f>
        <v>#VALUE!</v>
      </c>
      <c r="H131" s="178"/>
      <c r="I131" s="232">
        <v>5</v>
      </c>
      <c r="J131" s="307" t="e">
        <f>G131/(IF(H131="",1,H131)*SQRT(I131))</f>
        <v>#VALUE!</v>
      </c>
      <c r="K131" s="308" t="s">
        <v>567</v>
      </c>
      <c r="L131" s="309" t="s">
        <v>573</v>
      </c>
      <c r="M131" s="310">
        <v>1</v>
      </c>
      <c r="N131" s="311" t="e">
        <f>ABS(J131*M131)</f>
        <v>#VALUE!</v>
      </c>
      <c r="O131" s="308" t="s">
        <v>574</v>
      </c>
      <c r="P131" s="312">
        <v>4</v>
      </c>
      <c r="Q131" s="233"/>
      <c r="S131" s="95"/>
      <c r="T131" s="95"/>
      <c r="U131" s="95"/>
    </row>
    <row r="132" spans="1:28" ht="15" customHeight="1">
      <c r="A132" s="112"/>
      <c r="B132" s="303" t="s">
        <v>575</v>
      </c>
      <c r="C132" s="223" t="s">
        <v>576</v>
      </c>
      <c r="D132" s="306" t="s">
        <v>577</v>
      </c>
      <c r="E132" s="178" t="s">
        <v>572</v>
      </c>
      <c r="F132" s="226" t="s">
        <v>574</v>
      </c>
      <c r="G132" s="231">
        <f>Flatness_1!T9</f>
        <v>0</v>
      </c>
      <c r="H132" s="178"/>
      <c r="I132" s="178">
        <f>Flatness_1!W9</f>
        <v>0</v>
      </c>
      <c r="J132" s="313" t="e">
        <f>G132/I132</f>
        <v>#DIV/0!</v>
      </c>
      <c r="K132" s="308" t="s">
        <v>567</v>
      </c>
      <c r="L132" s="309" t="s">
        <v>568</v>
      </c>
      <c r="M132" s="310">
        <v>1</v>
      </c>
      <c r="N132" s="311" t="e">
        <f>ABS(J132*M132)</f>
        <v>#DIV/0!</v>
      </c>
      <c r="O132" s="308" t="s">
        <v>567</v>
      </c>
      <c r="P132" s="312" t="s">
        <v>578</v>
      </c>
      <c r="Q132" s="233"/>
      <c r="S132" s="95"/>
      <c r="T132" s="95"/>
      <c r="U132" s="95"/>
    </row>
    <row r="133" spans="1:28" ht="15" customHeight="1">
      <c r="A133" s="112"/>
      <c r="B133" s="303" t="s">
        <v>579</v>
      </c>
      <c r="C133" s="223" t="s">
        <v>580</v>
      </c>
      <c r="D133" s="306" t="s">
        <v>581</v>
      </c>
      <c r="E133" s="235" t="s">
        <v>582</v>
      </c>
      <c r="F133" s="226" t="s">
        <v>574</v>
      </c>
      <c r="G133" s="214">
        <f>SQRT(SUMSQ(SQRT(SUMSQ(Flatness_1!T35,Flatness_1!U35*Flatness_1!N35)),SQRT(SUMSQ(Flatness_1!T36,Flatness_1!U36*Flatness_1!N36)))+2*(SQRT(SUMSQ(Flatness_1!T35,Flatness_1!U35*Flatness_1!N35))*SQRT(SUMSQ(Flatness_1!T36,Flatness_1!U36*Flatness_1!N36))))/1000</f>
        <v>0</v>
      </c>
      <c r="H133" s="214">
        <f>SQRT(SUMSQ(Flatness_1!T37,Flatness_1!U37*Flatness_1!N37))/1000</f>
        <v>0</v>
      </c>
      <c r="I133" s="178">
        <v>2</v>
      </c>
      <c r="J133" s="313">
        <f>SQRT(SUMSQ(G133/I133,H133/I133))</f>
        <v>0</v>
      </c>
      <c r="K133" s="308" t="s">
        <v>567</v>
      </c>
      <c r="L133" s="309" t="s">
        <v>568</v>
      </c>
      <c r="M133" s="310">
        <v>1</v>
      </c>
      <c r="N133" s="311">
        <f>ABS(J133*M133)</f>
        <v>0</v>
      </c>
      <c r="O133" s="308" t="s">
        <v>567</v>
      </c>
      <c r="P133" s="312" t="s">
        <v>578</v>
      </c>
      <c r="Q133" s="233"/>
      <c r="S133" s="95"/>
      <c r="T133" s="95"/>
      <c r="U133" s="95"/>
    </row>
    <row r="134" spans="1:28" ht="15" customHeight="1">
      <c r="A134" s="112"/>
      <c r="B134" s="303" t="s">
        <v>583</v>
      </c>
      <c r="C134" s="223" t="s">
        <v>584</v>
      </c>
      <c r="D134" s="306" t="s">
        <v>585</v>
      </c>
      <c r="E134" s="178" t="s">
        <v>572</v>
      </c>
      <c r="F134" s="226" t="s">
        <v>586</v>
      </c>
      <c r="G134" s="178">
        <f>Flatness_1!P31</f>
        <v>0</v>
      </c>
      <c r="H134" s="178">
        <v>5</v>
      </c>
      <c r="I134" s="232">
        <v>3</v>
      </c>
      <c r="J134" s="307">
        <f t="shared" ref="J134" si="86">G134/(IF(H134="",1,H134)*SQRT(I134))</f>
        <v>0</v>
      </c>
      <c r="K134" s="308" t="s">
        <v>567</v>
      </c>
      <c r="L134" s="309" t="s">
        <v>587</v>
      </c>
      <c r="M134" s="310">
        <v>1</v>
      </c>
      <c r="N134" s="311">
        <f>ABS(J134*M134)</f>
        <v>0</v>
      </c>
      <c r="O134" s="308" t="s">
        <v>586</v>
      </c>
      <c r="P134" s="312" t="s">
        <v>578</v>
      </c>
      <c r="Q134" s="233"/>
      <c r="S134" s="95"/>
      <c r="T134" s="95"/>
      <c r="U134" s="95"/>
    </row>
    <row r="135" spans="1:28" ht="15" customHeight="1">
      <c r="A135" s="112"/>
      <c r="B135" s="303" t="s">
        <v>588</v>
      </c>
      <c r="C135" s="223" t="s">
        <v>589</v>
      </c>
      <c r="D135" s="224" t="s">
        <v>590</v>
      </c>
      <c r="E135" s="225" t="e">
        <f>E130</f>
        <v>#VALUE!</v>
      </c>
      <c r="F135" s="226" t="s">
        <v>567</v>
      </c>
      <c r="G135" s="569"/>
      <c r="H135" s="570"/>
      <c r="I135" s="570"/>
      <c r="J135" s="570"/>
      <c r="K135" s="570"/>
      <c r="L135" s="570"/>
      <c r="M135" s="571"/>
      <c r="N135" s="234" t="e">
        <f>N130</f>
        <v>#VALUE!</v>
      </c>
      <c r="O135" s="226" t="s">
        <v>567</v>
      </c>
      <c r="P135" s="211" t="e">
        <f>IF(Q135=0,"∞",ROUNDDOWN(N135^4/Q135,0))</f>
        <v>#VALUE!</v>
      </c>
      <c r="Q135" s="236" t="e">
        <f>SUM(Q130:Q134)</f>
        <v>#VALUE!</v>
      </c>
      <c r="S135" s="95"/>
      <c r="T135" s="95"/>
      <c r="U135" s="95"/>
    </row>
    <row r="136" spans="1:28" ht="15" customHeight="1">
      <c r="O136" s="95"/>
      <c r="P136" s="95"/>
    </row>
    <row r="137" spans="1:28" ht="15" customHeight="1">
      <c r="B137" s="556"/>
      <c r="C137" s="558" t="s">
        <v>591</v>
      </c>
      <c r="D137" s="559"/>
      <c r="E137" s="559"/>
      <c r="F137" s="559"/>
      <c r="G137" s="560"/>
      <c r="H137" s="196" t="s">
        <v>592</v>
      </c>
      <c r="I137" s="196" t="s">
        <v>593</v>
      </c>
      <c r="J137" s="558" t="s">
        <v>594</v>
      </c>
      <c r="K137" s="559"/>
      <c r="L137" s="559"/>
      <c r="M137" s="560"/>
      <c r="N137" s="196" t="s">
        <v>595</v>
      </c>
      <c r="O137" s="558" t="s">
        <v>596</v>
      </c>
      <c r="P137" s="559"/>
      <c r="Q137" s="560"/>
      <c r="R137" s="423" t="s">
        <v>597</v>
      </c>
      <c r="S137" s="558" t="s">
        <v>598</v>
      </c>
      <c r="T137" s="560"/>
    </row>
    <row r="138" spans="1:28" ht="15" customHeight="1">
      <c r="B138" s="557"/>
      <c r="C138" s="201">
        <v>1</v>
      </c>
      <c r="D138" s="201"/>
      <c r="E138" s="201"/>
      <c r="F138" s="201" t="s">
        <v>599</v>
      </c>
      <c r="G138" s="201" t="s">
        <v>600</v>
      </c>
      <c r="H138" s="201" t="s">
        <v>601</v>
      </c>
      <c r="I138" s="201">
        <f>C117</f>
        <v>0</v>
      </c>
      <c r="J138" s="196" t="s">
        <v>602</v>
      </c>
      <c r="K138" s="196" t="s">
        <v>603</v>
      </c>
      <c r="L138" s="196" t="s">
        <v>604</v>
      </c>
      <c r="M138" s="196" t="s">
        <v>592</v>
      </c>
      <c r="N138" s="201"/>
      <c r="O138" s="196" t="s">
        <v>602</v>
      </c>
      <c r="P138" s="196" t="s">
        <v>603</v>
      </c>
      <c r="Q138" s="196" t="s">
        <v>604</v>
      </c>
      <c r="R138" s="425"/>
      <c r="S138" s="196" t="s">
        <v>605</v>
      </c>
      <c r="T138" s="196" t="s">
        <v>606</v>
      </c>
    </row>
    <row r="139" spans="1:28" ht="15" customHeight="1">
      <c r="B139" s="201" t="s">
        <v>591</v>
      </c>
      <c r="C139" s="208" t="e">
        <f>N135</f>
        <v>#VALUE!</v>
      </c>
      <c r="D139" s="202"/>
      <c r="E139" s="237"/>
      <c r="F139" s="203" t="str">
        <f>O135</f>
        <v>μm</v>
      </c>
      <c r="G139" s="103" t="e">
        <f ca="1">C141*C139</f>
        <v>#VALUE!</v>
      </c>
      <c r="H139" s="103" t="e">
        <f ca="1">MAX(G139:G140)</f>
        <v>#VALUE!</v>
      </c>
      <c r="I139" s="108">
        <f>B117</f>
        <v>0</v>
      </c>
      <c r="J139" s="98" t="e">
        <f ca="1">IF(H139&lt;0.00001,6,IF(H139&lt;0.0001,5,IF(H139&lt;0.001,4,IF(H139&lt;0.01,3,IF(H139&lt;0.1,2,IF(H139&lt;1,1,IF(H139&lt;10,0,IF(H139&lt;100,-1,-2))))))))+K140</f>
        <v>#VALUE!</v>
      </c>
      <c r="K139" s="204"/>
      <c r="L139" s="178">
        <f>IFERROR(LEN(I139)-FIND(".",I139),0)</f>
        <v>0</v>
      </c>
      <c r="M139" s="230" t="e">
        <f ca="1">J139</f>
        <v>#VALUE!</v>
      </c>
      <c r="N139" s="170" t="e">
        <f ca="1">ABS((H139-ROUND(H139,M139))/H139*100)</f>
        <v>#VALUE!</v>
      </c>
      <c r="O139" s="178" t="e">
        <f ca="1">OFFSET(P144,MATCH(J139,O145:O154,0),0)</f>
        <v>#VALUE!</v>
      </c>
      <c r="P139" s="178" t="e">
        <f ca="1">OFFSET(P144,MATCH(M139,O145:O154,0),0)</f>
        <v>#VALUE!</v>
      </c>
      <c r="Q139" s="178" t="str">
        <f ca="1">OFFSET(P144,MATCH(L139,O145:O154,0),0)</f>
        <v>0</v>
      </c>
      <c r="R139" s="99" t="str">
        <f ca="1">IFERROR(IF(H139=G139,0,1),"")</f>
        <v/>
      </c>
      <c r="S139" s="104" t="e">
        <f ca="1">TEXT(IF(N139&gt;5,ROUNDUP(H139,M139),ROUND(H139,M139)),P139)</f>
        <v>#VALUE!</v>
      </c>
      <c r="T139" s="104" t="e">
        <f ca="1">S139&amp;" "&amp;H138</f>
        <v>#VALUE!</v>
      </c>
    </row>
    <row r="140" spans="1:28" ht="15" customHeight="1">
      <c r="B140" s="201" t="s">
        <v>607</v>
      </c>
      <c r="C140" s="168">
        <f>Flatness_1!D4</f>
        <v>0</v>
      </c>
      <c r="D140" s="168"/>
      <c r="E140" s="168"/>
      <c r="F140" s="203">
        <f>Flatness_1!F4</f>
        <v>0</v>
      </c>
      <c r="G140" s="108">
        <f>C140</f>
        <v>0</v>
      </c>
      <c r="J140" s="196" t="s">
        <v>608</v>
      </c>
      <c r="K140" s="197">
        <v>1</v>
      </c>
      <c r="L140" s="198" t="s">
        <v>609</v>
      </c>
      <c r="M140" s="199" t="b">
        <f>IF(O140=TRUE,FALSE,기본정보!$A$52)</f>
        <v>0</v>
      </c>
      <c r="N140" s="198" t="s">
        <v>610</v>
      </c>
      <c r="O140" s="199" t="b">
        <f>기본정보!$A$46=0</f>
        <v>1</v>
      </c>
      <c r="R140" s="113"/>
      <c r="S140" s="113"/>
      <c r="T140" s="106"/>
    </row>
    <row r="141" spans="1:28" ht="15" customHeight="1">
      <c r="B141" s="201" t="s">
        <v>611</v>
      </c>
      <c r="C141" s="197" t="e">
        <f ca="1">IF(P135&gt;=10,2,OFFSET(J144,MATCH(P135,I145:I154,0),0))</f>
        <v>#VALUE!</v>
      </c>
      <c r="D141" s="96"/>
      <c r="G141" s="113"/>
      <c r="H141" s="113"/>
      <c r="I141" s="113"/>
      <c r="J141" s="113"/>
      <c r="K141" s="113"/>
      <c r="L141" s="113"/>
      <c r="O141" s="113"/>
      <c r="P141" s="113"/>
      <c r="Q141" s="113"/>
      <c r="R141" s="113"/>
      <c r="S141" s="113"/>
      <c r="T141" s="106"/>
    </row>
    <row r="142" spans="1:28" ht="15" customHeight="1">
      <c r="B142" s="96"/>
      <c r="C142" s="96"/>
      <c r="D142" s="96"/>
      <c r="G142" s="113"/>
      <c r="H142" s="113"/>
      <c r="I142" s="113"/>
      <c r="J142" s="113"/>
      <c r="K142" s="113"/>
      <c r="L142" s="113"/>
      <c r="O142" s="113"/>
      <c r="P142" s="113"/>
      <c r="Q142" s="113"/>
      <c r="R142" s="113"/>
      <c r="S142" s="113"/>
      <c r="T142" s="106"/>
    </row>
    <row r="143" spans="1:28" ht="15" customHeight="1">
      <c r="D143" s="96"/>
      <c r="E143" s="95"/>
      <c r="F143" s="95"/>
      <c r="G143" s="95"/>
      <c r="H143" s="95"/>
      <c r="I143" s="124" t="s">
        <v>52</v>
      </c>
      <c r="J143" s="124" t="s">
        <v>108</v>
      </c>
      <c r="K143" s="95"/>
      <c r="L143" s="95"/>
      <c r="M143" s="95"/>
      <c r="N143" s="95"/>
      <c r="O143" s="151" t="s">
        <v>113</v>
      </c>
      <c r="P143" s="151" t="s">
        <v>112</v>
      </c>
      <c r="Z143" s="96"/>
      <c r="AA143" s="96"/>
      <c r="AB143" s="96"/>
    </row>
    <row r="144" spans="1:28" ht="15" customHeight="1">
      <c r="D144" s="96"/>
      <c r="E144" s="95"/>
      <c r="F144" s="95"/>
      <c r="G144" s="95"/>
      <c r="H144" s="95"/>
      <c r="I144" s="124"/>
      <c r="J144" s="124">
        <v>95.45</v>
      </c>
      <c r="K144" s="95"/>
      <c r="L144" s="95"/>
      <c r="M144" s="95"/>
      <c r="N144" s="95"/>
      <c r="O144" s="149" t="s">
        <v>115</v>
      </c>
      <c r="P144" s="149" t="s">
        <v>114</v>
      </c>
      <c r="T144" s="95"/>
      <c r="U144" s="95"/>
    </row>
    <row r="145" spans="2:27" ht="15" customHeight="1">
      <c r="D145" s="96"/>
      <c r="E145" s="95"/>
      <c r="F145" s="95"/>
      <c r="G145" s="95"/>
      <c r="H145" s="95"/>
      <c r="I145" s="115">
        <v>1</v>
      </c>
      <c r="J145" s="115">
        <v>13.97</v>
      </c>
      <c r="K145" s="95"/>
      <c r="L145" s="95"/>
      <c r="M145" s="95"/>
      <c r="N145" s="95"/>
      <c r="O145" s="126">
        <v>0</v>
      </c>
      <c r="P145" s="127" t="s">
        <v>116</v>
      </c>
      <c r="T145" s="95"/>
      <c r="U145" s="95"/>
    </row>
    <row r="146" spans="2:27" ht="15" customHeight="1">
      <c r="D146" s="96"/>
      <c r="E146" s="95"/>
      <c r="F146" s="95"/>
      <c r="G146" s="95"/>
      <c r="H146" s="95"/>
      <c r="I146" s="115">
        <v>2</v>
      </c>
      <c r="J146" s="115">
        <v>4.53</v>
      </c>
      <c r="K146" s="95"/>
      <c r="L146" s="95"/>
      <c r="M146" s="95"/>
      <c r="N146" s="95"/>
      <c r="O146" s="126">
        <v>1</v>
      </c>
      <c r="P146" s="127" t="s">
        <v>117</v>
      </c>
      <c r="U146" s="95"/>
      <c r="Y146" s="96"/>
      <c r="Z146" s="96"/>
      <c r="AA146" s="96"/>
    </row>
    <row r="147" spans="2:27" ht="15" customHeight="1">
      <c r="I147" s="115">
        <v>3</v>
      </c>
      <c r="J147" s="115">
        <v>3.31</v>
      </c>
      <c r="O147" s="126">
        <v>2</v>
      </c>
      <c r="P147" s="127" t="s">
        <v>118</v>
      </c>
    </row>
    <row r="148" spans="2:27" ht="15" customHeight="1">
      <c r="I148" s="115">
        <v>4</v>
      </c>
      <c r="J148" s="115">
        <v>2.87</v>
      </c>
      <c r="O148" s="126">
        <v>3</v>
      </c>
      <c r="P148" s="127" t="s">
        <v>119</v>
      </c>
    </row>
    <row r="149" spans="2:27" ht="15" customHeight="1">
      <c r="I149" s="115">
        <v>5</v>
      </c>
      <c r="J149" s="115">
        <v>2.65</v>
      </c>
      <c r="O149" s="126">
        <v>4</v>
      </c>
      <c r="P149" s="127" t="s">
        <v>120</v>
      </c>
    </row>
    <row r="150" spans="2:27" ht="15" customHeight="1">
      <c r="I150" s="115">
        <v>6</v>
      </c>
      <c r="J150" s="115">
        <v>2.52</v>
      </c>
      <c r="O150" s="126">
        <v>5</v>
      </c>
      <c r="P150" s="127" t="s">
        <v>121</v>
      </c>
    </row>
    <row r="151" spans="2:27" ht="15" customHeight="1">
      <c r="I151" s="115">
        <v>7</v>
      </c>
      <c r="J151" s="115">
        <v>2.4300000000000002</v>
      </c>
      <c r="O151" s="206">
        <v>6</v>
      </c>
      <c r="P151" s="207" t="s">
        <v>308</v>
      </c>
    </row>
    <row r="152" spans="2:27" ht="15" customHeight="1">
      <c r="I152" s="115">
        <v>8</v>
      </c>
      <c r="J152" s="115">
        <v>2.37</v>
      </c>
      <c r="O152" s="206">
        <v>7</v>
      </c>
      <c r="P152" s="207" t="s">
        <v>309</v>
      </c>
    </row>
    <row r="153" spans="2:27" ht="15" customHeight="1">
      <c r="I153" s="115">
        <v>9</v>
      </c>
      <c r="J153" s="115">
        <v>2.3199999999999998</v>
      </c>
      <c r="O153" s="206">
        <v>8</v>
      </c>
      <c r="P153" s="207" t="s">
        <v>310</v>
      </c>
    </row>
    <row r="154" spans="2:27" ht="15" customHeight="1">
      <c r="I154" s="115" t="s">
        <v>53</v>
      </c>
      <c r="J154" s="115">
        <v>2</v>
      </c>
      <c r="O154" s="206">
        <v>9</v>
      </c>
      <c r="P154" s="207" t="s">
        <v>311</v>
      </c>
    </row>
    <row r="155" spans="2:27" ht="15" customHeight="1">
      <c r="O155" s="95"/>
      <c r="P155" s="95"/>
    </row>
    <row r="156" spans="2:27" ht="15" customHeight="1">
      <c r="B156" s="105" t="s">
        <v>127</v>
      </c>
      <c r="C156" s="106"/>
      <c r="D156" s="106"/>
      <c r="E156" s="106"/>
      <c r="F156" s="106"/>
      <c r="G156" s="106"/>
      <c r="H156" s="106"/>
      <c r="I156" s="106"/>
      <c r="J156" s="106"/>
      <c r="K156" s="106"/>
      <c r="L156" s="106"/>
      <c r="M156" s="106"/>
      <c r="N156" s="106"/>
      <c r="Q156" s="106"/>
    </row>
    <row r="157" spans="2:27" ht="15" customHeight="1">
      <c r="B157" s="106"/>
      <c r="C157" s="171" t="s">
        <v>128</v>
      </c>
      <c r="D157" s="128"/>
      <c r="E157" s="128" t="s">
        <v>129</v>
      </c>
      <c r="F157" s="128" t="s">
        <v>130</v>
      </c>
      <c r="G157" s="106"/>
      <c r="H157" s="128" t="s">
        <v>129</v>
      </c>
      <c r="I157" s="128" t="s">
        <v>211</v>
      </c>
      <c r="J157" s="128" t="s">
        <v>212</v>
      </c>
      <c r="K157" s="128" t="s">
        <v>213</v>
      </c>
      <c r="L157" s="128" t="s">
        <v>214</v>
      </c>
      <c r="M157" s="128" t="s">
        <v>131</v>
      </c>
      <c r="N157" s="95"/>
    </row>
    <row r="158" spans="2:27" ht="15" customHeight="1">
      <c r="B158" s="106"/>
      <c r="C158" s="171" t="s">
        <v>215</v>
      </c>
      <c r="D158" s="129"/>
      <c r="E158" s="130">
        <v>36200</v>
      </c>
      <c r="F158" s="575" t="s">
        <v>216</v>
      </c>
      <c r="G158" s="106"/>
      <c r="H158" s="131">
        <f>E158</f>
        <v>36200</v>
      </c>
      <c r="I158" s="131">
        <f>MAX(Angle_2!E4:E13)</f>
        <v>0</v>
      </c>
      <c r="J158" s="131">
        <v>0</v>
      </c>
      <c r="K158" s="131">
        <f>MAX(I158-4,0)*(H158/4)</f>
        <v>0</v>
      </c>
      <c r="L158" s="131">
        <f>J158*14100</f>
        <v>0</v>
      </c>
      <c r="M158" s="131">
        <f>H158+K158</f>
        <v>36200</v>
      </c>
      <c r="N158" s="95"/>
    </row>
    <row r="159" spans="2:27" ht="15" customHeight="1">
      <c r="B159" s="106"/>
      <c r="C159" s="171" t="s">
        <v>217</v>
      </c>
      <c r="D159" s="129"/>
      <c r="E159" s="130">
        <v>55100</v>
      </c>
      <c r="F159" s="576"/>
      <c r="G159" s="106"/>
      <c r="H159" s="107"/>
      <c r="L159" s="106"/>
      <c r="M159" s="106"/>
      <c r="N159" s="106"/>
      <c r="Q159" s="106"/>
    </row>
    <row r="160" spans="2:27" ht="15" customHeight="1">
      <c r="B160" s="106"/>
      <c r="C160" s="171" t="s">
        <v>218</v>
      </c>
      <c r="D160" s="129"/>
      <c r="E160" s="130">
        <v>36200</v>
      </c>
      <c r="F160" s="577"/>
      <c r="G160" s="106"/>
      <c r="H160" s="107"/>
      <c r="L160" s="106"/>
      <c r="M160" s="106"/>
      <c r="N160" s="106"/>
      <c r="Q160" s="106"/>
    </row>
    <row r="161" spans="2:18" ht="15" customHeight="1">
      <c r="B161" s="96"/>
      <c r="C161" s="96"/>
      <c r="D161" s="96"/>
      <c r="H161" s="107"/>
      <c r="I161" s="106"/>
      <c r="J161" s="106"/>
      <c r="K161" s="106"/>
      <c r="Q161" s="95"/>
    </row>
    <row r="162" spans="2:18" ht="15" customHeight="1">
      <c r="B162" s="96"/>
      <c r="C162" s="96"/>
      <c r="D162" s="96"/>
      <c r="H162" s="107"/>
      <c r="I162" s="106"/>
      <c r="J162" s="106"/>
      <c r="K162" s="106"/>
      <c r="O162" s="95"/>
      <c r="P162" s="95"/>
      <c r="Q162" s="95"/>
    </row>
    <row r="163" spans="2:18" ht="15" customHeight="1">
      <c r="B163" s="96"/>
      <c r="C163" s="96"/>
      <c r="D163" s="96"/>
      <c r="J163" s="59"/>
      <c r="K163" s="59"/>
      <c r="L163" s="59"/>
      <c r="P163" s="95"/>
      <c r="Q163" s="95"/>
      <c r="R163" s="95"/>
    </row>
    <row r="164" spans="2:18" ht="15" customHeight="1">
      <c r="B164" s="96"/>
      <c r="C164" s="96"/>
      <c r="D164" s="96"/>
      <c r="I164" s="107"/>
      <c r="J164" s="97"/>
      <c r="K164" s="97"/>
      <c r="P164" s="95"/>
      <c r="Q164" s="95"/>
      <c r="R164" s="95"/>
    </row>
    <row r="165" spans="2:18" ht="15" customHeight="1">
      <c r="B165" s="96"/>
      <c r="C165" s="96"/>
      <c r="D165" s="96"/>
      <c r="I165" s="107"/>
      <c r="J165" s="97"/>
      <c r="K165" s="97"/>
      <c r="P165" s="95"/>
      <c r="Q165" s="95"/>
      <c r="R165" s="95"/>
    </row>
    <row r="166" spans="2:18" ht="15" customHeight="1">
      <c r="B166" s="96"/>
      <c r="C166" s="96"/>
      <c r="D166" s="96"/>
      <c r="J166" s="97"/>
      <c r="K166" s="97"/>
      <c r="P166" s="95"/>
      <c r="Q166" s="95"/>
      <c r="R166" s="95"/>
    </row>
    <row r="167" spans="2:18" ht="15" customHeight="1">
      <c r="B167" s="96"/>
      <c r="C167" s="96"/>
      <c r="D167" s="96"/>
      <c r="P167" s="95"/>
      <c r="Q167" s="95"/>
      <c r="R167" s="95"/>
    </row>
  </sheetData>
  <mergeCells count="170">
    <mergeCell ref="R137:R138"/>
    <mergeCell ref="S137:T137"/>
    <mergeCell ref="K120:K121"/>
    <mergeCell ref="M120:N120"/>
    <mergeCell ref="O120:T120"/>
    <mergeCell ref="N128:O128"/>
    <mergeCell ref="Q128:Q129"/>
    <mergeCell ref="G129:H129"/>
    <mergeCell ref="J129:K129"/>
    <mergeCell ref="N129:O129"/>
    <mergeCell ref="G135:M135"/>
    <mergeCell ref="B137:B138"/>
    <mergeCell ref="C137:G137"/>
    <mergeCell ref="J137:M137"/>
    <mergeCell ref="O137:Q137"/>
    <mergeCell ref="B120:B122"/>
    <mergeCell ref="C120:C122"/>
    <mergeCell ref="D120:H120"/>
    <mergeCell ref="I120:I121"/>
    <mergeCell ref="J120:J121"/>
    <mergeCell ref="B125:C125"/>
    <mergeCell ref="B128:B129"/>
    <mergeCell ref="C128:C129"/>
    <mergeCell ref="D128:D129"/>
    <mergeCell ref="E128:E129"/>
    <mergeCell ref="F128:F129"/>
    <mergeCell ref="G128:K128"/>
    <mergeCell ref="Y8:Z8"/>
    <mergeCell ref="AD37:AE37"/>
    <mergeCell ref="AD51:AE51"/>
    <mergeCell ref="B74:B75"/>
    <mergeCell ref="C74:G74"/>
    <mergeCell ref="J74:M74"/>
    <mergeCell ref="O74:Q74"/>
    <mergeCell ref="R74:R75"/>
    <mergeCell ref="AC37:AC38"/>
    <mergeCell ref="N50:Q50"/>
    <mergeCell ref="AC50:AE50"/>
    <mergeCell ref="N37:O37"/>
    <mergeCell ref="P37:Q37"/>
    <mergeCell ref="S37:T37"/>
    <mergeCell ref="R37:R38"/>
    <mergeCell ref="C36:C37"/>
    <mergeCell ref="D36:F36"/>
    <mergeCell ref="D37:F37"/>
    <mergeCell ref="G37:H37"/>
    <mergeCell ref="I37:J37"/>
    <mergeCell ref="AC36:AE36"/>
    <mergeCell ref="G36:H36"/>
    <mergeCell ref="I36:L36"/>
    <mergeCell ref="K37:L37"/>
    <mergeCell ref="O7:X7"/>
    <mergeCell ref="E8:F8"/>
    <mergeCell ref="G8:H8"/>
    <mergeCell ref="I8:J8"/>
    <mergeCell ref="K8:L8"/>
    <mergeCell ref="M8:N8"/>
    <mergeCell ref="O8:P8"/>
    <mergeCell ref="Q8:R8"/>
    <mergeCell ref="S8:T8"/>
    <mergeCell ref="U8:V8"/>
    <mergeCell ref="W8:X8"/>
    <mergeCell ref="C7:D8"/>
    <mergeCell ref="AA7:AB7"/>
    <mergeCell ref="AA8:AB8"/>
    <mergeCell ref="B21:B23"/>
    <mergeCell ref="C21:D22"/>
    <mergeCell ref="E21:N21"/>
    <mergeCell ref="O21:X21"/>
    <mergeCell ref="Y21:Z21"/>
    <mergeCell ref="AA21:AB21"/>
    <mergeCell ref="E22:F22"/>
    <mergeCell ref="G22:H22"/>
    <mergeCell ref="I22:J22"/>
    <mergeCell ref="K22:L22"/>
    <mergeCell ref="M22:N22"/>
    <mergeCell ref="O22:P22"/>
    <mergeCell ref="B7:B9"/>
    <mergeCell ref="AA22:AB22"/>
    <mergeCell ref="Q22:R22"/>
    <mergeCell ref="S22:T22"/>
    <mergeCell ref="U22:V22"/>
    <mergeCell ref="W22:X22"/>
    <mergeCell ref="Y22:Z22"/>
    <mergeCell ref="Y7:Z7"/>
    <mergeCell ref="E7:N7"/>
    <mergeCell ref="U37:V37"/>
    <mergeCell ref="R36:W36"/>
    <mergeCell ref="Y36:AB36"/>
    <mergeCell ref="B50:B52"/>
    <mergeCell ref="C50:C51"/>
    <mergeCell ref="D50:F50"/>
    <mergeCell ref="G50:H50"/>
    <mergeCell ref="I50:L50"/>
    <mergeCell ref="D51:F51"/>
    <mergeCell ref="G51:H51"/>
    <mergeCell ref="I51:J51"/>
    <mergeCell ref="K51:L51"/>
    <mergeCell ref="R50:W50"/>
    <mergeCell ref="Y50:AB50"/>
    <mergeCell ref="B36:B38"/>
    <mergeCell ref="N36:Q36"/>
    <mergeCell ref="AA37:AB37"/>
    <mergeCell ref="AC51:AC52"/>
    <mergeCell ref="R51:R52"/>
    <mergeCell ref="Q65:R65"/>
    <mergeCell ref="J66:K66"/>
    <mergeCell ref="M66:N66"/>
    <mergeCell ref="Q66:R66"/>
    <mergeCell ref="N51:O51"/>
    <mergeCell ref="P51:Q51"/>
    <mergeCell ref="S51:T51"/>
    <mergeCell ref="AA51:AB51"/>
    <mergeCell ref="U51:V51"/>
    <mergeCell ref="T65:T66"/>
    <mergeCell ref="F158:F160"/>
    <mergeCell ref="G65:I66"/>
    <mergeCell ref="J65:N65"/>
    <mergeCell ref="G72:P72"/>
    <mergeCell ref="P86:P87"/>
    <mergeCell ref="B86:B88"/>
    <mergeCell ref="C89:C90"/>
    <mergeCell ref="C91:C92"/>
    <mergeCell ref="B93:C94"/>
    <mergeCell ref="D93:F93"/>
    <mergeCell ref="D94:F94"/>
    <mergeCell ref="N86:N87"/>
    <mergeCell ref="O86:O87"/>
    <mergeCell ref="F86:F88"/>
    <mergeCell ref="D86:D88"/>
    <mergeCell ref="E86:E88"/>
    <mergeCell ref="G99:K99"/>
    <mergeCell ref="G100:H100"/>
    <mergeCell ref="J100:K100"/>
    <mergeCell ref="C86:C88"/>
    <mergeCell ref="B65:B66"/>
    <mergeCell ref="C65:C66"/>
    <mergeCell ref="D65:D66"/>
    <mergeCell ref="E65:E66"/>
    <mergeCell ref="F65:F66"/>
    <mergeCell ref="D91:D92"/>
    <mergeCell ref="D89:D90"/>
    <mergeCell ref="E89:E90"/>
    <mergeCell ref="E91:E92"/>
    <mergeCell ref="S74:T74"/>
    <mergeCell ref="O99:P99"/>
    <mergeCell ref="R99:R100"/>
    <mergeCell ref="O100:P100"/>
    <mergeCell ref="G86:K86"/>
    <mergeCell ref="M86:M87"/>
    <mergeCell ref="L86:L87"/>
    <mergeCell ref="M100:N100"/>
    <mergeCell ref="M99:N99"/>
    <mergeCell ref="B108:B109"/>
    <mergeCell ref="C108:G108"/>
    <mergeCell ref="J108:M108"/>
    <mergeCell ref="O108:Q108"/>
    <mergeCell ref="R108:R109"/>
    <mergeCell ref="S108:T108"/>
    <mergeCell ref="R86:S86"/>
    <mergeCell ref="T86:Z86"/>
    <mergeCell ref="B95:C96"/>
    <mergeCell ref="D95:F95"/>
    <mergeCell ref="D96:F96"/>
    <mergeCell ref="B99:B100"/>
    <mergeCell ref="C99:C100"/>
    <mergeCell ref="D99:D100"/>
    <mergeCell ref="E99:E100"/>
    <mergeCell ref="F99:F100"/>
    <mergeCell ref="G106:N106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13</vt:i4>
      </vt:variant>
      <vt:variant>
        <vt:lpstr>이름이 지정된 범위</vt:lpstr>
      </vt:variant>
      <vt:variant>
        <vt:i4>35</vt:i4>
      </vt:variant>
    </vt:vector>
  </HeadingPairs>
  <TitlesOfParts>
    <vt:vector size="48" baseType="lpstr">
      <vt:lpstr>기본정보</vt:lpstr>
      <vt:lpstr>교정결과</vt:lpstr>
      <vt:lpstr>교정결과-E</vt:lpstr>
      <vt:lpstr>교정결과-HY</vt:lpstr>
      <vt:lpstr>판정결과</vt:lpstr>
      <vt:lpstr>부록</vt:lpstr>
      <vt:lpstr>RAWDATA</vt:lpstr>
      <vt:lpstr>측정불확도추정보고서</vt:lpstr>
      <vt:lpstr>Calcu</vt:lpstr>
      <vt:lpstr>STD_Data</vt:lpstr>
      <vt:lpstr>Angle_2</vt:lpstr>
      <vt:lpstr>Squareness_2</vt:lpstr>
      <vt:lpstr>Flatness_1</vt:lpstr>
      <vt:lpstr>Angle_2_CMC</vt:lpstr>
      <vt:lpstr>Angle_2_Condition</vt:lpstr>
      <vt:lpstr>Angle_2_Resolution</vt:lpstr>
      <vt:lpstr>Angle_2_Result</vt:lpstr>
      <vt:lpstr>Angle_2_Result2</vt:lpstr>
      <vt:lpstr>Angle_2_Result3</vt:lpstr>
      <vt:lpstr>Angle_2_Spec</vt:lpstr>
      <vt:lpstr>Angle_2_STD1</vt:lpstr>
      <vt:lpstr>'교정결과-E'!B_Tag</vt:lpstr>
      <vt:lpstr>'교정결과-HY'!B_Tag</vt:lpstr>
      <vt:lpstr>B_Tag</vt:lpstr>
      <vt:lpstr>판정결과!B_Tag_2</vt:lpstr>
      <vt:lpstr>부록!B_Tag_3</vt:lpstr>
      <vt:lpstr>Flatness_1!Flatness_1_CMC</vt:lpstr>
      <vt:lpstr>Flatness_1!Flatness_1_Condition</vt:lpstr>
      <vt:lpstr>Flatness_1!Flatness_1_Resolution</vt:lpstr>
      <vt:lpstr>Flatness_1!Flatness_1_Result</vt:lpstr>
      <vt:lpstr>Flatness_1!Flatness_1_Spec</vt:lpstr>
      <vt:lpstr>Flatness_1!Flatness_1_STD1</vt:lpstr>
      <vt:lpstr>Flatness_1!Flatness_1_STD2</vt:lpstr>
      <vt:lpstr>Flatness_1!Flatness_1_STD3</vt:lpstr>
      <vt:lpstr>기본정보!Print_Area</vt:lpstr>
      <vt:lpstr>교정결과!Print_Titles</vt:lpstr>
      <vt:lpstr>'교정결과-E'!Print_Titles</vt:lpstr>
      <vt:lpstr>'교정결과-HY'!Print_Titles</vt:lpstr>
      <vt:lpstr>부록!Print_Titles</vt:lpstr>
      <vt:lpstr>판정결과!Print_Titles</vt:lpstr>
      <vt:lpstr>Squareness_2!Squareness_2_CMC</vt:lpstr>
      <vt:lpstr>Squareness_2!Squareness_2_Condition</vt:lpstr>
      <vt:lpstr>Squareness_2!Squareness_2_Resolution</vt:lpstr>
      <vt:lpstr>Squareness_2!Squareness_2_Result</vt:lpstr>
      <vt:lpstr>Squareness_2!Squareness_2_Spec</vt:lpstr>
      <vt:lpstr>Squareness_2!Squareness_2_STD1</vt:lpstr>
      <vt:lpstr>Squareness_2_STD2</vt:lpstr>
      <vt:lpstr>Squareness_2_STD3</vt:lpstr>
    </vt:vector>
  </TitlesOfParts>
  <Company>HCT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노트북-5</dc:creator>
  <cp:lastModifiedBy>Jey Jey</cp:lastModifiedBy>
  <cp:lastPrinted>2021-06-21T06:29:16Z</cp:lastPrinted>
  <dcterms:created xsi:type="dcterms:W3CDTF">2004-11-10T00:11:43Z</dcterms:created>
  <dcterms:modified xsi:type="dcterms:W3CDTF">2021-07-23T06:15:43Z</dcterms:modified>
</cp:coreProperties>
</file>