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7"/>
  </bookViews>
  <sheets>
    <sheet name="기본정보" sheetId="13" r:id="rId1"/>
    <sheet name="교정결과" sheetId="11" r:id="rId2"/>
    <sheet name="교정결과-E" sheetId="24" r:id="rId3"/>
    <sheet name="교정결과-HY" sheetId="31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STD_Data" sheetId="29" r:id="rId10"/>
    <sheet name="Length_6_1" sheetId="14" r:id="rId11"/>
  </sheets>
  <definedNames>
    <definedName name="_xlnm._FilterDatabase" localSheetId="0" hidden="1">기본정보!#REF!</definedName>
    <definedName name="B_Tag" localSheetId="2">'교정결과-E'!$E$23:$H$23</definedName>
    <definedName name="B_Tag" localSheetId="3">'교정결과-HY'!$B$22:$Q$22</definedName>
    <definedName name="B_Tag">교정결과!$E$22:$G$22</definedName>
    <definedName name="B_Tag_2" localSheetId="4">판정결과!$D$14:$I$14</definedName>
    <definedName name="B_Tag_3" localSheetId="5">부록!$B$11:$K$11</definedName>
    <definedName name="Length_6_1_CMC">Length_6_1!$D$4:$F$13</definedName>
    <definedName name="Length_6_1_Condition">Length_6_1!$A$4:$C$13</definedName>
    <definedName name="Length_6_1_Result">Length_6_1!$J$4:$N$13</definedName>
    <definedName name="Length_6_1_Result3">Length_6_1!$O$4:$P$13</definedName>
    <definedName name="Length_6_1_Spec">Length_6_1!$G$4:$I$13</definedName>
    <definedName name="Length_6_1_STD1">Length_6_1!$A$17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S17" i="21" l="1"/>
  <c r="S15" i="21"/>
  <c r="S13" i="21"/>
  <c r="S11" i="21"/>
  <c r="S9" i="21"/>
  <c r="R17" i="21"/>
  <c r="R15" i="21"/>
  <c r="R13" i="21"/>
  <c r="R11" i="21"/>
  <c r="R9" i="21"/>
  <c r="Q26" i="21" l="1"/>
  <c r="Q23" i="21"/>
  <c r="O32" i="21" l="1"/>
  <c r="M32" i="21" s="1"/>
  <c r="K32" i="21" l="1"/>
  <c r="F9" i="31"/>
  <c r="F8" i="31"/>
  <c r="F7" i="31"/>
  <c r="F6" i="31"/>
  <c r="A4" i="31"/>
  <c r="W8" i="21"/>
  <c r="H8" i="21" l="1"/>
  <c r="I8" i="21" s="1"/>
  <c r="J8" i="21" s="1"/>
  <c r="K8" i="21" s="1"/>
  <c r="L8" i="21" s="1"/>
  <c r="M8" i="21" s="1"/>
  <c r="AM41" i="23" l="1"/>
  <c r="M41" i="23"/>
  <c r="AP40" i="23"/>
  <c r="AM40" i="23"/>
  <c r="AA40" i="23"/>
  <c r="V40" i="23"/>
  <c r="S40" i="23"/>
  <c r="AP39" i="23"/>
  <c r="AM39" i="23"/>
  <c r="V39" i="23"/>
  <c r="S39" i="23"/>
  <c r="M39" i="23"/>
  <c r="AP38" i="23"/>
  <c r="AM38" i="23"/>
  <c r="V38" i="23"/>
  <c r="S38" i="23"/>
  <c r="M38" i="23"/>
  <c r="AP37" i="23"/>
  <c r="AM37" i="23"/>
  <c r="V37" i="23"/>
  <c r="S37" i="23"/>
  <c r="M37" i="23"/>
  <c r="B14" i="23"/>
  <c r="B12" i="23"/>
  <c r="B10" i="23"/>
  <c r="B8" i="23"/>
  <c r="B6" i="23"/>
  <c r="C17" i="21" l="1"/>
  <c r="B13" i="23" s="1"/>
  <c r="C15" i="21"/>
  <c r="B11" i="23" s="1"/>
  <c r="C11" i="21"/>
  <c r="B7" i="23" s="1"/>
  <c r="C13" i="21"/>
  <c r="B9" i="23" s="1"/>
  <c r="C9" i="21"/>
  <c r="C18" i="3" l="1"/>
  <c r="C14" i="3"/>
  <c r="C16" i="3"/>
  <c r="P84" i="23"/>
  <c r="B5" i="23"/>
  <c r="C10" i="3"/>
  <c r="C12" i="3"/>
  <c r="E17" i="24"/>
  <c r="E16" i="24"/>
  <c r="E15" i="24"/>
  <c r="E14" i="24"/>
  <c r="E13" i="24"/>
  <c r="E14" i="11"/>
  <c r="E15" i="11"/>
  <c r="E16" i="11"/>
  <c r="E17" i="11"/>
  <c r="E13" i="11"/>
  <c r="V23" i="21" l="1"/>
  <c r="V24" i="21"/>
  <c r="V25" i="21"/>
  <c r="V26" i="21"/>
  <c r="V22" i="21"/>
  <c r="R92" i="23" l="1"/>
  <c r="Y84" i="23"/>
  <c r="AC83" i="23"/>
  <c r="T78" i="23"/>
  <c r="T65" i="23"/>
  <c r="S52" i="23"/>
  <c r="AA52" i="23" s="1"/>
  <c r="AB105" i="23"/>
  <c r="I89" i="23"/>
  <c r="V105" i="23"/>
  <c r="I75" i="23"/>
  <c r="P105" i="23"/>
  <c r="I62" i="23"/>
  <c r="J105" i="23"/>
  <c r="I49" i="23"/>
  <c r="K46" i="23"/>
  <c r="T76" i="23" l="1"/>
  <c r="N85" i="23"/>
  <c r="G23" i="21" l="1"/>
  <c r="B18" i="21"/>
  <c r="P18" i="21" s="1"/>
  <c r="B17" i="21"/>
  <c r="B16" i="21"/>
  <c r="P16" i="21" s="1"/>
  <c r="B15" i="21"/>
  <c r="B14" i="21"/>
  <c r="P14" i="21" s="1"/>
  <c r="B13" i="21"/>
  <c r="B12" i="21"/>
  <c r="P12" i="21" s="1"/>
  <c r="B11" i="21"/>
  <c r="B10" i="21"/>
  <c r="B9" i="21"/>
  <c r="F3" i="21"/>
  <c r="F32" i="21" s="1"/>
  <c r="E3" i="21"/>
  <c r="C32" i="21" s="1"/>
  <c r="G32" i="21" s="1"/>
  <c r="D3" i="21"/>
  <c r="G26" i="21" s="1"/>
  <c r="Y82" i="23" s="1"/>
  <c r="N87" i="23" s="1"/>
  <c r="C3" i="21"/>
  <c r="H26" i="21" s="1"/>
  <c r="AL83" i="23" s="1"/>
  <c r="X85" i="23" s="1"/>
  <c r="T87" i="23" s="1"/>
  <c r="B3" i="21"/>
  <c r="H49" i="21"/>
  <c r="F31" i="21"/>
  <c r="T22" i="21" l="1"/>
  <c r="A15" i="31" s="1"/>
  <c r="P9" i="21"/>
  <c r="V9" i="21"/>
  <c r="T24" i="21"/>
  <c r="A17" i="31" s="1"/>
  <c r="V13" i="21"/>
  <c r="P13" i="21"/>
  <c r="T26" i="21"/>
  <c r="A19" i="31" s="1"/>
  <c r="V17" i="21"/>
  <c r="P17" i="21"/>
  <c r="P11" i="21"/>
  <c r="V11" i="21"/>
  <c r="T25" i="21"/>
  <c r="A18" i="31" s="1"/>
  <c r="V15" i="21"/>
  <c r="P15" i="21"/>
  <c r="L11" i="21"/>
  <c r="T23" i="21"/>
  <c r="A16" i="31" s="1"/>
  <c r="Z87" i="23"/>
  <c r="O92" i="23" s="1"/>
  <c r="V92" i="23" s="1"/>
  <c r="J23" i="21"/>
  <c r="O37" i="23" s="1"/>
  <c r="V45" i="23"/>
  <c r="P47" i="23" s="1"/>
  <c r="U47" i="23" s="1"/>
  <c r="P52" i="23" s="1"/>
  <c r="H10" i="21"/>
  <c r="V6" i="23" s="1"/>
  <c r="D10" i="21"/>
  <c r="H18" i="21"/>
  <c r="V14" i="23" s="1"/>
  <c r="D18" i="21"/>
  <c r="K11" i="21"/>
  <c r="D11" i="21"/>
  <c r="K15" i="21"/>
  <c r="D15" i="21"/>
  <c r="H14" i="21"/>
  <c r="V10" i="23" s="1"/>
  <c r="D14" i="21"/>
  <c r="H12" i="21"/>
  <c r="V8" i="23" s="1"/>
  <c r="D12" i="21"/>
  <c r="H16" i="21"/>
  <c r="V12" i="23" s="1"/>
  <c r="D16" i="21"/>
  <c r="K9" i="21"/>
  <c r="D9" i="21"/>
  <c r="K13" i="21"/>
  <c r="D13" i="21"/>
  <c r="K17" i="21"/>
  <c r="D17" i="21"/>
  <c r="H13" i="21"/>
  <c r="V9" i="23" s="1"/>
  <c r="F11" i="21"/>
  <c r="L7" i="23" s="1"/>
  <c r="I18" i="21"/>
  <c r="AA14" i="23" s="1"/>
  <c r="H11" i="21"/>
  <c r="V7" i="23" s="1"/>
  <c r="F13" i="21"/>
  <c r="L9" i="23" s="1"/>
  <c r="I10" i="21"/>
  <c r="AA6" i="23" s="1"/>
  <c r="E10" i="21"/>
  <c r="G6" i="23" s="1"/>
  <c r="H17" i="21"/>
  <c r="V13" i="23" s="1"/>
  <c r="M17" i="21"/>
  <c r="H9" i="21"/>
  <c r="V5" i="23" s="1"/>
  <c r="I16" i="21"/>
  <c r="AA12" i="23" s="1"/>
  <c r="E18" i="21"/>
  <c r="G14" i="23" s="1"/>
  <c r="J15" i="21"/>
  <c r="AF11" i="23" s="1"/>
  <c r="J9" i="21"/>
  <c r="AF5" i="23" s="1"/>
  <c r="E12" i="21"/>
  <c r="G8" i="23" s="1"/>
  <c r="J17" i="21"/>
  <c r="AF13" i="23" s="1"/>
  <c r="J11" i="21"/>
  <c r="AF7" i="23" s="1"/>
  <c r="I12" i="21"/>
  <c r="AA8" i="23" s="1"/>
  <c r="E14" i="21"/>
  <c r="G10" i="23" s="1"/>
  <c r="F15" i="21"/>
  <c r="L11" i="23" s="1"/>
  <c r="M11" i="21"/>
  <c r="L14" i="21"/>
  <c r="F9" i="21"/>
  <c r="L5" i="23" s="1"/>
  <c r="J13" i="21"/>
  <c r="AF9" i="23" s="1"/>
  <c r="I14" i="21"/>
  <c r="AA10" i="23" s="1"/>
  <c r="H15" i="21"/>
  <c r="V11" i="23" s="1"/>
  <c r="E16" i="21"/>
  <c r="G12" i="23" s="1"/>
  <c r="F17" i="21"/>
  <c r="L13" i="23" s="1"/>
  <c r="L12" i="21"/>
  <c r="M15" i="21"/>
  <c r="E9" i="21"/>
  <c r="G5" i="23" s="1"/>
  <c r="I9" i="21"/>
  <c r="AA5" i="23" s="1"/>
  <c r="F10" i="21"/>
  <c r="L6" i="23" s="1"/>
  <c r="J10" i="21"/>
  <c r="AF6" i="23" s="1"/>
  <c r="E11" i="21"/>
  <c r="G7" i="23" s="1"/>
  <c r="I11" i="21"/>
  <c r="AA7" i="23" s="1"/>
  <c r="F12" i="21"/>
  <c r="L8" i="23" s="1"/>
  <c r="J12" i="21"/>
  <c r="AF8" i="23" s="1"/>
  <c r="E13" i="21"/>
  <c r="G9" i="23" s="1"/>
  <c r="I13" i="21"/>
  <c r="AA9" i="23" s="1"/>
  <c r="F14" i="21"/>
  <c r="L10" i="23" s="1"/>
  <c r="J14" i="21"/>
  <c r="AF10" i="23" s="1"/>
  <c r="E15" i="21"/>
  <c r="G11" i="23" s="1"/>
  <c r="I15" i="21"/>
  <c r="AA11" i="23" s="1"/>
  <c r="F16" i="21"/>
  <c r="L12" i="23" s="1"/>
  <c r="J16" i="21"/>
  <c r="AF12" i="23" s="1"/>
  <c r="E17" i="21"/>
  <c r="G13" i="23" s="1"/>
  <c r="I17" i="21"/>
  <c r="AA13" i="23" s="1"/>
  <c r="F18" i="21"/>
  <c r="L14" i="23" s="1"/>
  <c r="J18" i="21"/>
  <c r="AF14" i="23" s="1"/>
  <c r="G10" i="21"/>
  <c r="Q6" i="23" s="1"/>
  <c r="K10" i="21"/>
  <c r="G12" i="21"/>
  <c r="Q8" i="23" s="1"/>
  <c r="K12" i="21"/>
  <c r="G14" i="21"/>
  <c r="Q10" i="23" s="1"/>
  <c r="K14" i="21"/>
  <c r="G16" i="21"/>
  <c r="Q12" i="23" s="1"/>
  <c r="K16" i="21"/>
  <c r="G18" i="21"/>
  <c r="Q14" i="23" s="1"/>
  <c r="K18" i="21"/>
  <c r="G9" i="21"/>
  <c r="Q5" i="23" s="1"/>
  <c r="G11" i="21"/>
  <c r="Q7" i="23" s="1"/>
  <c r="G13" i="21"/>
  <c r="Q9" i="23" s="1"/>
  <c r="G15" i="21"/>
  <c r="Q11" i="23" s="1"/>
  <c r="G17" i="21"/>
  <c r="Q13" i="23" s="1"/>
  <c r="L13" i="21"/>
  <c r="L10" i="21"/>
  <c r="N11" i="21"/>
  <c r="M12" i="21"/>
  <c r="M14" i="21"/>
  <c r="N15" i="21"/>
  <c r="M16" i="21"/>
  <c r="L16" i="21"/>
  <c r="O13" i="21"/>
  <c r="E23" i="21"/>
  <c r="N9" i="21"/>
  <c r="O11" i="21"/>
  <c r="M13" i="21"/>
  <c r="N17" i="21"/>
  <c r="M18" i="21"/>
  <c r="L18" i="21"/>
  <c r="N13" i="21"/>
  <c r="O15" i="21"/>
  <c r="O17" i="21"/>
  <c r="L15" i="21"/>
  <c r="L17" i="21"/>
  <c r="V8" i="21" l="1"/>
  <c r="H3" i="21" s="1"/>
  <c r="AP10" i="23"/>
  <c r="AK10" i="23"/>
  <c r="AK13" i="23"/>
  <c r="AP13" i="23"/>
  <c r="AK8" i="23"/>
  <c r="AP8" i="23"/>
  <c r="AK9" i="23"/>
  <c r="AP9" i="23"/>
  <c r="AP7" i="23"/>
  <c r="AK7" i="23"/>
  <c r="AP14" i="23"/>
  <c r="AK14" i="23"/>
  <c r="AK6" i="23"/>
  <c r="AP6" i="23"/>
  <c r="AP5" i="23"/>
  <c r="AK5" i="23"/>
  <c r="H37" i="23"/>
  <c r="P63" i="23"/>
  <c r="AP12" i="23"/>
  <c r="AK12" i="23"/>
  <c r="AK11" i="23"/>
  <c r="AP11" i="23"/>
  <c r="A12" i="11"/>
  <c r="A12" i="24"/>
  <c r="J26" i="21"/>
  <c r="A16" i="11"/>
  <c r="A16" i="24"/>
  <c r="A11" i="24"/>
  <c r="A14" i="24"/>
  <c r="A13" i="11"/>
  <c r="A13" i="24"/>
  <c r="A17" i="11"/>
  <c r="A17" i="24"/>
  <c r="A15" i="11"/>
  <c r="A15" i="24"/>
  <c r="A11" i="11"/>
  <c r="A14" i="11"/>
  <c r="A10" i="30"/>
  <c r="A13" i="30"/>
  <c r="A11" i="30"/>
  <c r="A12" i="30"/>
  <c r="A9" i="30"/>
  <c r="F49" i="21"/>
  <c r="I49" i="21" s="1"/>
  <c r="J49" i="21" s="1"/>
  <c r="K49" i="21" s="1"/>
  <c r="A48" i="13" s="1"/>
  <c r="E25" i="21"/>
  <c r="M10" i="21"/>
  <c r="L9" i="21"/>
  <c r="E24" i="21" s="1"/>
  <c r="M9" i="21"/>
  <c r="H4" i="3"/>
  <c r="E4" i="3"/>
  <c r="C4" i="3"/>
  <c r="H3" i="3"/>
  <c r="E3" i="3"/>
  <c r="C3" i="3"/>
  <c r="H13" i="30" l="1"/>
  <c r="L19" i="31"/>
  <c r="H10" i="30"/>
  <c r="L16" i="31"/>
  <c r="H12" i="30"/>
  <c r="L18" i="31"/>
  <c r="H11" i="30"/>
  <c r="L17" i="31"/>
  <c r="M25" i="21"/>
  <c r="AA39" i="23" s="1"/>
  <c r="T64" i="23"/>
  <c r="R51" i="23"/>
  <c r="H38" i="23"/>
  <c r="U63" i="23"/>
  <c r="P50" i="23"/>
  <c r="H39" i="23"/>
  <c r="H71" i="23" s="1"/>
  <c r="N26" i="21"/>
  <c r="AH40" i="23" s="1"/>
  <c r="O40" i="23"/>
  <c r="P76" i="23"/>
  <c r="H46" i="23"/>
  <c r="M23" i="21"/>
  <c r="AA37" i="23" s="1"/>
  <c r="G25" i="21"/>
  <c r="G24" i="21"/>
  <c r="M24" i="21"/>
  <c r="AA38" i="23" s="1"/>
  <c r="O9" i="21"/>
  <c r="E27" i="21"/>
  <c r="H41" i="23" s="1"/>
  <c r="AA63" i="23" l="1"/>
  <c r="L65" i="23" s="1"/>
  <c r="AD97" i="23"/>
  <c r="AB104" i="23"/>
  <c r="V50" i="23"/>
  <c r="L52" i="23" s="1"/>
  <c r="W52" i="23" s="1"/>
  <c r="J24" i="21"/>
  <c r="O38" i="23" s="1"/>
  <c r="Q59" i="23"/>
  <c r="P60" i="23" s="1"/>
  <c r="V60" i="23" s="1"/>
  <c r="Q65" i="23" s="1"/>
  <c r="J25" i="21"/>
  <c r="Q72" i="23"/>
  <c r="P73" i="23" s="1"/>
  <c r="V73" i="23" s="1"/>
  <c r="Q78" i="23" s="1"/>
  <c r="H58" i="23"/>
  <c r="S77" i="23"/>
  <c r="Y76" i="23" s="1"/>
  <c r="L78" i="23" s="1"/>
  <c r="N23" i="21"/>
  <c r="F17" i="3"/>
  <c r="X65" i="23" l="1"/>
  <c r="N24" i="21"/>
  <c r="Q24" i="21" s="1"/>
  <c r="N25" i="21"/>
  <c r="Q25" i="21" s="1"/>
  <c r="O39" i="23"/>
  <c r="X78" i="23"/>
  <c r="N27" i="21"/>
  <c r="AH41" i="23" s="1"/>
  <c r="AH37" i="23"/>
  <c r="D17" i="3"/>
  <c r="B19" i="3"/>
  <c r="G12" i="3"/>
  <c r="E11" i="3"/>
  <c r="D15" i="3"/>
  <c r="F12" i="3"/>
  <c r="D10" i="3"/>
  <c r="B17" i="3"/>
  <c r="F13" i="3"/>
  <c r="E13" i="3"/>
  <c r="F15" i="3"/>
  <c r="F11" i="3"/>
  <c r="F19" i="3"/>
  <c r="G17" i="3"/>
  <c r="G13" i="3"/>
  <c r="G14" i="3"/>
  <c r="D11" i="3"/>
  <c r="H15" i="3"/>
  <c r="H10" i="3"/>
  <c r="B13" i="3"/>
  <c r="G18" i="3"/>
  <c r="E19" i="3"/>
  <c r="I13" i="3"/>
  <c r="I19" i="3"/>
  <c r="F14" i="3"/>
  <c r="F10" i="3"/>
  <c r="E15" i="3"/>
  <c r="F18" i="3"/>
  <c r="I17" i="3"/>
  <c r="I16" i="3"/>
  <c r="I12" i="3"/>
  <c r="D19" i="3"/>
  <c r="E18" i="3"/>
  <c r="H16" i="3"/>
  <c r="B15" i="3"/>
  <c r="H12" i="3"/>
  <c r="B11" i="3"/>
  <c r="I18" i="3"/>
  <c r="I14" i="3"/>
  <c r="I10" i="3"/>
  <c r="G10" i="3"/>
  <c r="F16" i="3"/>
  <c r="D14" i="3"/>
  <c r="H11" i="3"/>
  <c r="H18" i="3"/>
  <c r="D13" i="3"/>
  <c r="G16" i="3"/>
  <c r="D18" i="3"/>
  <c r="E17" i="3"/>
  <c r="E16" i="3"/>
  <c r="E12" i="3"/>
  <c r="H19" i="3"/>
  <c r="H17" i="3"/>
  <c r="D16" i="3"/>
  <c r="H13" i="3"/>
  <c r="D12" i="3"/>
  <c r="G19" i="3"/>
  <c r="I15" i="3"/>
  <c r="E14" i="3"/>
  <c r="I11" i="3"/>
  <c r="E10" i="3"/>
  <c r="H14" i="3"/>
  <c r="G15" i="3"/>
  <c r="G11" i="3"/>
  <c r="B14" i="3"/>
  <c r="B10" i="3"/>
  <c r="B12" i="3"/>
  <c r="B16" i="3"/>
  <c r="B18" i="3"/>
  <c r="AH39" i="23" l="1"/>
  <c r="V97" i="23" s="1"/>
  <c r="AH38" i="23"/>
  <c r="P104" i="23" s="1"/>
  <c r="Q27" i="21"/>
  <c r="P27" i="21" s="1"/>
  <c r="J104" i="23"/>
  <c r="F97" i="23"/>
  <c r="J103" i="23"/>
  <c r="F98" i="23"/>
  <c r="F100" i="23" s="1"/>
  <c r="L111" i="23" s="1"/>
  <c r="P10" i="21"/>
  <c r="V104" i="23" l="1"/>
  <c r="N97" i="23"/>
  <c r="C33" i="21"/>
  <c r="H21" i="31" s="1"/>
  <c r="AP41" i="23"/>
  <c r="AG103" i="23" s="1"/>
  <c r="H9" i="30" l="1"/>
  <c r="L15" i="31"/>
  <c r="I111" i="23"/>
  <c r="C31" i="21"/>
  <c r="G31" i="21" s="1"/>
  <c r="H31" i="21" s="1"/>
  <c r="R31" i="21" s="1"/>
  <c r="G3" i="21" s="1"/>
  <c r="F21" i="11"/>
  <c r="G22" i="24"/>
  <c r="C9" i="25"/>
  <c r="C8" i="25"/>
  <c r="C7" i="25"/>
  <c r="C6" i="25"/>
  <c r="J31" i="21" l="1"/>
  <c r="M31" i="21" s="1"/>
  <c r="P31" i="21" s="1"/>
  <c r="N31" i="21" l="1"/>
  <c r="S31" i="21" s="1"/>
  <c r="W24" i="21"/>
  <c r="W23" i="21"/>
  <c r="W26" i="21"/>
  <c r="W22" i="21"/>
  <c r="W25" i="21"/>
  <c r="U25" i="21"/>
  <c r="U23" i="21"/>
  <c r="U26" i="21"/>
  <c r="U24" i="21"/>
  <c r="U22" i="21"/>
  <c r="U13" i="21"/>
  <c r="H17" i="31" s="1"/>
  <c r="U11" i="21"/>
  <c r="T11" i="21"/>
  <c r="J16" i="31" s="1"/>
  <c r="K16" i="31" s="1"/>
  <c r="U17" i="21"/>
  <c r="U16" i="21"/>
  <c r="T10" i="21"/>
  <c r="T12" i="21"/>
  <c r="T18" i="21"/>
  <c r="U14" i="21"/>
  <c r="T13" i="21"/>
  <c r="J17" i="31" s="1"/>
  <c r="K17" i="31" s="1"/>
  <c r="U9" i="21"/>
  <c r="T17" i="21"/>
  <c r="U18" i="21"/>
  <c r="U15" i="21"/>
  <c r="H18" i="31" s="1"/>
  <c r="T16" i="21"/>
  <c r="T15" i="21"/>
  <c r="U12" i="21"/>
  <c r="U10" i="21"/>
  <c r="T14" i="21"/>
  <c r="T9" i="21"/>
  <c r="A50" i="13"/>
  <c r="E9" i="24"/>
  <c r="E8" i="24"/>
  <c r="E7" i="24"/>
  <c r="E6" i="24"/>
  <c r="A4" i="24"/>
  <c r="W13" i="21" l="1"/>
  <c r="W11" i="21"/>
  <c r="W17" i="21"/>
  <c r="W15" i="21"/>
  <c r="T31" i="21"/>
  <c r="W9" i="21"/>
  <c r="C43" i="13"/>
  <c r="F13" i="30"/>
  <c r="J19" i="31"/>
  <c r="K19" i="31" s="1"/>
  <c r="F12" i="30"/>
  <c r="J18" i="31"/>
  <c r="K18" i="31" s="1"/>
  <c r="F11" i="30"/>
  <c r="F10" i="30"/>
  <c r="F9" i="30"/>
  <c r="J15" i="31"/>
  <c r="K15" i="31" s="1"/>
  <c r="G13" i="30"/>
  <c r="H19" i="31"/>
  <c r="G11" i="30"/>
  <c r="G12" i="30"/>
  <c r="G10" i="30"/>
  <c r="H16" i="31"/>
  <c r="G9" i="30"/>
  <c r="H15" i="31"/>
  <c r="F14" i="24"/>
  <c r="F14" i="11"/>
  <c r="F17" i="24"/>
  <c r="F17" i="11"/>
  <c r="F13" i="24"/>
  <c r="E11" i="11"/>
  <c r="F13" i="11"/>
  <c r="E11" i="24"/>
  <c r="F16" i="24"/>
  <c r="F16" i="11"/>
  <c r="F15" i="24"/>
  <c r="F15" i="11"/>
  <c r="E9" i="11"/>
  <c r="E8" i="11"/>
  <c r="E7" i="11"/>
  <c r="E6" i="11"/>
  <c r="Q15" i="31" l="1"/>
  <c r="E20" i="11"/>
  <c r="Q16" i="31"/>
  <c r="Q19" i="31"/>
  <c r="Q18" i="31"/>
  <c r="Q17" i="31"/>
  <c r="A4" i="11"/>
  <c r="E21" i="24" l="1"/>
  <c r="R111" i="23"/>
</calcChain>
</file>

<file path=xl/sharedStrings.xml><?xml version="1.0" encoding="utf-8"?>
<sst xmlns="http://schemas.openxmlformats.org/spreadsheetml/2006/main" count="519" uniqueCount="371">
  <si>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</si>
  <si>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</si>
  <si>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</si>
  <si>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</si>
  <si>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</si>
  <si>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</si>
  <si>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</si>
  <si>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</si>
  <si>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</si>
  <si>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</si>
  <si>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</si>
  <si>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</si>
  <si>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</si>
  <si>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</si>
  <si>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</si>
  <si>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</si>
  <si>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</si>
  <si>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</si>
  <si>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</si>
  <si>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</si>
  <si>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</si>
  <si>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</si>
  <si>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</si>
  <si>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</si>
  <si>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</si>
  <si>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</si>
  <si>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</si>
  <si>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</si>
  <si>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</si>
  <si>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</si>
  <si>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</si>
  <si>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</si>
  <si>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</si>
  <si>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</si>
  <si>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</si>
  <si>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</si>
  <si>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</si>
  <si>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</si>
  <si>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</si>
  <si>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</si>
  <si>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</si>
  <si>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</si>
  <si>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</si>
  <si>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</si>
  <si>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</si>
  <si>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</si>
  <si>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</si>
  <si>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</si>
  <si>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</si>
  <si>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</si>
  <si>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</si>
  <si>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</si>
  <si>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</si>
  <si>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</si>
  <si>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</si>
  <si>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</si>
  <si>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</si>
  <si>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</si>
  <si>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</si>
  <si>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</si>
  <si>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</si>
  <si>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</si>
  <si>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등록번호</t>
    <phoneticPr fontId="77" type="noConversion"/>
  </si>
  <si>
    <t>기기명(종류)</t>
    <phoneticPr fontId="77" type="noConversion"/>
  </si>
  <si>
    <t>측정값</t>
    <phoneticPr fontId="77" type="noConversion"/>
  </si>
  <si>
    <t>단위</t>
    <phoneticPr fontId="77" type="noConversion"/>
  </si>
  <si>
    <t>보정값</t>
    <phoneticPr fontId="77" type="noConversion"/>
  </si>
  <si>
    <t>불확도 1</t>
    <phoneticPr fontId="77" type="noConversion"/>
  </si>
  <si>
    <t>불확도 단위</t>
    <phoneticPr fontId="77" type="noConversion"/>
  </si>
  <si>
    <t>포함인자</t>
    <phoneticPr fontId="77" type="noConversion"/>
  </si>
  <si>
    <t>판정결과</t>
    <phoneticPr fontId="4" type="noConversion"/>
  </si>
  <si>
    <t>2회</t>
  </si>
  <si>
    <t>3회</t>
  </si>
  <si>
    <t>◆ 측정불확도 추정보고서 ◆</t>
    <phoneticPr fontId="4" type="noConversion"/>
  </si>
  <si>
    <t>C</t>
    <phoneticPr fontId="4" type="noConversion"/>
  </si>
  <si>
    <t>D</t>
    <phoneticPr fontId="4" type="noConversion"/>
  </si>
  <si>
    <t>|</t>
    <phoneticPr fontId="4" type="noConversion"/>
  </si>
  <si>
    <t>×</t>
    <phoneticPr fontId="4" type="noConversion"/>
  </si>
  <si>
    <t>U</t>
    <phoneticPr fontId="4" type="noConversion"/>
  </si>
  <si>
    <t>k</t>
    <phoneticPr fontId="4" type="noConversion"/>
  </si>
  <si>
    <t>B4. 감도계수 :</t>
    <phoneticPr fontId="4" type="noConversion"/>
  </si>
  <si>
    <t>B6. 자유도 :</t>
    <phoneticPr fontId="4" type="noConversion"/>
  </si>
  <si>
    <t>∞</t>
    <phoneticPr fontId="4" type="noConversion"/>
  </si>
  <si>
    <t>C3. 확률분포 :</t>
    <phoneticPr fontId="4" type="noConversion"/>
  </si>
  <si>
    <t>C6. 자유도 :</t>
    <phoneticPr fontId="4" type="noConversion"/>
  </si>
  <si>
    <t>D6. 자유도 :</t>
    <phoneticPr fontId="4" type="noConversion"/>
  </si>
  <si>
    <t>+</t>
    <phoneticPr fontId="4" type="noConversion"/>
  </si>
  <si>
    <t>1회</t>
    <phoneticPr fontId="4" type="noConversion"/>
  </si>
  <si>
    <t xml:space="preserve"> 성적서발급번호(Certificate No) :</t>
    <phoneticPr fontId="4" type="noConversion"/>
  </si>
  <si>
    <t>교정번호</t>
    <phoneticPr fontId="4" type="noConversion"/>
  </si>
  <si>
    <t>교정일자</t>
    <phoneticPr fontId="4" type="noConversion"/>
  </si>
  <si>
    <t>○ 측정데이터</t>
    <phoneticPr fontId="4" type="noConversion"/>
  </si>
  <si>
    <t>교정자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</si>
  <si>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</si>
  <si>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</si>
  <si>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</si>
  <si>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</si>
  <si>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3rd</t>
    <phoneticPr fontId="4" type="noConversion"/>
  </si>
  <si>
    <t>4th</t>
    <phoneticPr fontId="4" type="noConversion"/>
  </si>
  <si>
    <t>5th</t>
    <phoneticPr fontId="4" type="noConversion"/>
  </si>
  <si>
    <t>기준기 교정데이터</t>
    <phoneticPr fontId="4" type="noConversion"/>
  </si>
  <si>
    <t>기준기명</t>
    <phoneticPr fontId="4" type="noConversion"/>
  </si>
  <si>
    <t>번호</t>
    <phoneticPr fontId="77" type="noConversion"/>
  </si>
  <si>
    <t>측정위치</t>
    <phoneticPr fontId="77" type="noConversion"/>
  </si>
  <si>
    <t>명목값</t>
    <phoneticPr fontId="77" type="noConversion"/>
  </si>
  <si>
    <t>기준값</t>
    <phoneticPr fontId="77" type="noConversion"/>
  </si>
  <si>
    <t>단위</t>
    <phoneticPr fontId="77" type="noConversion"/>
  </si>
  <si>
    <t>불확도 2</t>
  </si>
  <si>
    <t>비고</t>
    <phoneticPr fontId="4" type="noConversion"/>
  </si>
  <si>
    <t>열팽창계수</t>
    <phoneticPr fontId="77" type="noConversion"/>
  </si>
  <si>
    <t>단위</t>
    <phoneticPr fontId="4" type="noConversion"/>
  </si>
  <si>
    <t>개수</t>
    <phoneticPr fontId="4" type="noConversion"/>
  </si>
  <si>
    <t>교정일자</t>
    <phoneticPr fontId="77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</si>
  <si>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</si>
  <si>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r>
      <t>4회</t>
    </r>
    <r>
      <rPr>
        <b/>
        <sz val="9"/>
        <color indexed="9"/>
        <rFont val="굴림"/>
        <family val="3"/>
        <charset val="129"/>
      </rPr>
      <t/>
    </r>
  </si>
  <si>
    <r>
      <t>5회</t>
    </r>
    <r>
      <rPr>
        <b/>
        <sz val="9"/>
        <color indexed="9"/>
        <rFont val="굴림"/>
        <family val="3"/>
        <charset val="129"/>
      </rPr>
      <t/>
    </r>
  </si>
  <si>
    <t>μm</t>
    <phoneticPr fontId="4" type="noConversion"/>
  </si>
  <si>
    <t>CMC단위</t>
    <phoneticPr fontId="4" type="noConversion"/>
  </si>
  <si>
    <t>사용?</t>
    <phoneticPr fontId="4" type="noConversion"/>
  </si>
  <si>
    <t>2회</t>
    <phoneticPr fontId="4" type="noConversion"/>
  </si>
  <si>
    <t>1. 교정조건</t>
    <phoneticPr fontId="4" type="noConversion"/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</si>
  <si>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</si>
  <si>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</si>
  <si>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자리수 맞춤</t>
    <phoneticPr fontId="4" type="noConversion"/>
  </si>
  <si>
    <t>Pass/Fail</t>
    <phoneticPr fontId="4" type="noConversion"/>
  </si>
  <si>
    <t>Min</t>
    <phoneticPr fontId="4" type="noConversion"/>
  </si>
  <si>
    <t>Max</t>
    <phoneticPr fontId="4" type="noConversion"/>
  </si>
  <si>
    <t>요인</t>
    <phoneticPr fontId="4" type="noConversion"/>
  </si>
  <si>
    <t>입력량</t>
    <phoneticPr fontId="4" type="noConversion"/>
  </si>
  <si>
    <t>추정값</t>
    <phoneticPr fontId="4" type="noConversion"/>
  </si>
  <si>
    <t>요인(값)</t>
    <phoneticPr fontId="4" type="noConversion"/>
  </si>
  <si>
    <t>나눔수</t>
    <phoneticPr fontId="4" type="noConversion"/>
  </si>
  <si>
    <t>표준불확도</t>
    <phoneticPr fontId="4" type="noConversion"/>
  </si>
  <si>
    <t>확률분포</t>
    <phoneticPr fontId="4" type="noConversion"/>
  </si>
  <si>
    <t>감도계수</t>
    <phoneticPr fontId="4" type="noConversion"/>
  </si>
  <si>
    <t>불확도기여량</t>
    <phoneticPr fontId="4" type="noConversion"/>
  </si>
  <si>
    <t>자유도</t>
    <phoneticPr fontId="4" type="noConversion"/>
  </si>
  <si>
    <t>A</t>
    <phoneticPr fontId="4" type="noConversion"/>
  </si>
  <si>
    <t>B</t>
    <phoneticPr fontId="4" type="noConversion"/>
  </si>
  <si>
    <t>정규</t>
    <phoneticPr fontId="4" type="noConversion"/>
  </si>
  <si>
    <t>E</t>
    <phoneticPr fontId="4" type="noConversion"/>
  </si>
  <si>
    <t>F</t>
    <phoneticPr fontId="4" type="noConversion"/>
  </si>
  <si>
    <t>합성표준</t>
    <phoneticPr fontId="4" type="noConversion"/>
  </si>
  <si>
    <t>측정불확도</t>
    <phoneticPr fontId="4" type="noConversion"/>
  </si>
  <si>
    <t>선택</t>
    <phoneticPr fontId="4" type="noConversion"/>
  </si>
  <si>
    <t>Number Format</t>
    <phoneticPr fontId="4" type="noConversion"/>
  </si>
  <si>
    <t>신뢰수준(%)</t>
    <phoneticPr fontId="4" type="noConversion"/>
  </si>
  <si>
    <t>Number</t>
    <phoneticPr fontId="4" type="noConversion"/>
  </si>
  <si>
    <t>소수점</t>
    <phoneticPr fontId="4" type="noConversion"/>
  </si>
  <si>
    <t>Format</t>
    <phoneticPr fontId="4" type="noConversion"/>
  </si>
  <si>
    <t>자리수</t>
    <phoneticPr fontId="4" type="noConversion"/>
  </si>
  <si>
    <t>0</t>
    <phoneticPr fontId="4" type="noConversion"/>
  </si>
  <si>
    <t>0.0</t>
    <phoneticPr fontId="4" type="noConversion"/>
  </si>
  <si>
    <t>0.00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</si>
  <si>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</si>
  <si>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</si>
  <si>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</si>
  <si>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0.000 000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</si>
  <si>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</si>
  <si>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</si>
  <si>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</si>
  <si>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t>4회</t>
  </si>
  <si>
    <t>5회</t>
  </si>
  <si>
    <t>(mm)</t>
    <phoneticPr fontId="4" type="noConversion"/>
  </si>
  <si>
    <t>■ 반복 측정 결과</t>
    <phoneticPr fontId="4" type="noConversion"/>
  </si>
  <si>
    <t>3회</t>
    <phoneticPr fontId="4" type="noConversion"/>
  </si>
  <si>
    <t>4회</t>
    <phoneticPr fontId="4" type="noConversion"/>
  </si>
  <si>
    <t>5회</t>
    <phoneticPr fontId="4" type="noConversion"/>
  </si>
  <si>
    <t>■ 수학적 모델</t>
    <phoneticPr fontId="4" type="noConversion"/>
  </si>
  <si>
    <t>:</t>
    <phoneticPr fontId="4" type="noConversion"/>
  </si>
  <si>
    <t>■ 합성표준불확도 관계식</t>
    <phoneticPr fontId="4" type="noConversion"/>
  </si>
  <si>
    <t>※ 감도계수</t>
    <phoneticPr fontId="4" type="noConversion"/>
  </si>
  <si>
    <t>■ 불확도 총괄표</t>
    <phoneticPr fontId="4" type="noConversion"/>
  </si>
  <si>
    <t>불확도 기여량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</si>
  <si>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</si>
  <si>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t>■ 표준불확도 성분의 계산</t>
    <phoneticPr fontId="4" type="noConversion"/>
  </si>
  <si>
    <t>A2. 표준불확도 :</t>
    <phoneticPr fontId="4" type="noConversion"/>
  </si>
  <si>
    <r>
      <rPr>
        <sz val="10"/>
        <rFont val="맑은 고딕"/>
        <family val="3"/>
        <charset val="129"/>
      </rPr>
      <t>※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</rPr>
      <t>표준편차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 :</t>
    </r>
    <phoneticPr fontId="4" type="noConversion"/>
  </si>
  <si>
    <t>s</t>
    <phoneticPr fontId="4" type="noConversion"/>
  </si>
  <si>
    <t>=</t>
    <phoneticPr fontId="4" type="noConversion"/>
  </si>
  <si>
    <t>A4. 감도계수 :</t>
    <phoneticPr fontId="4" type="noConversion"/>
  </si>
  <si>
    <t>B5. 불확도 기여도 :</t>
    <phoneticPr fontId="4" type="noConversion"/>
  </si>
  <si>
    <t>C2. 표준불확도 :</t>
    <phoneticPr fontId="4" type="noConversion"/>
  </si>
  <si>
    <t>D2. 표준불확도 :</t>
    <phoneticPr fontId="4" type="noConversion"/>
  </si>
  <si>
    <t>D3. 확률분포 :</t>
    <phoneticPr fontId="4" type="noConversion"/>
  </si>
  <si>
    <t>■ 합성표준불확도 계산</t>
    <phoneticPr fontId="4" type="noConversion"/>
  </si>
  <si>
    <t>■ 유효자유도</t>
    <phoneticPr fontId="4" type="noConversion"/>
  </si>
  <si>
    <r>
      <t xml:space="preserve">이 때 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=2를 적용한다.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</si>
  <si>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</si>
  <si>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</si>
  <si>
    <t>≒</t>
    <phoneticPr fontId="4" type="noConversion"/>
  </si>
  <si>
    <t>● 교정료 계산</t>
    <phoneticPr fontId="4" type="noConversion"/>
  </si>
  <si>
    <t>기본수수료</t>
    <phoneticPr fontId="4" type="noConversion"/>
  </si>
  <si>
    <t>추가수수료</t>
    <phoneticPr fontId="4" type="noConversion"/>
  </si>
  <si>
    <t>소계</t>
    <phoneticPr fontId="4" type="noConversion"/>
  </si>
  <si>
    <t>합계</t>
    <phoneticPr fontId="4" type="noConversion"/>
  </si>
  <si>
    <t>A1. 추정값 :</t>
    <phoneticPr fontId="4" type="noConversion"/>
  </si>
  <si>
    <t>A3. 확률분포 :</t>
    <phoneticPr fontId="4" type="noConversion"/>
  </si>
  <si>
    <t>A5. 불확도 기여도 :</t>
    <phoneticPr fontId="4" type="noConversion"/>
  </si>
  <si>
    <t>A6. 자유도 :</t>
    <phoneticPr fontId="4" type="noConversion"/>
  </si>
  <si>
    <t>B2. 표준불확도 :</t>
    <phoneticPr fontId="4" type="noConversion"/>
  </si>
  <si>
    <t>B3. 확률분포 :</t>
    <phoneticPr fontId="4" type="noConversion"/>
  </si>
  <si>
    <t>■ 측정불확도</t>
    <phoneticPr fontId="4" type="noConversion"/>
  </si>
  <si>
    <t>사용중지?</t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</si>
  <si>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</si>
  <si>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</si>
  <si>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</si>
  <si>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|u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</si>
  <si>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5% rule</t>
    <phoneticPr fontId="4" type="noConversion"/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</si>
  <si>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</si>
  <si>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</si>
  <si>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단위</t>
    <phoneticPr fontId="4" type="noConversion"/>
  </si>
  <si>
    <t>k</t>
    <phoneticPr fontId="4" type="noConversion"/>
  </si>
  <si>
    <t>호칭</t>
    <phoneticPr fontId="4" type="noConversion"/>
  </si>
  <si>
    <t>측정항목</t>
    <phoneticPr fontId="4" type="noConversion"/>
  </si>
  <si>
    <t>단색광원 파장</t>
    <phoneticPr fontId="4" type="noConversion"/>
  </si>
  <si>
    <t>λ</t>
    <phoneticPr fontId="4" type="noConversion"/>
  </si>
  <si>
    <t>단색광원</t>
    <phoneticPr fontId="4" type="noConversion"/>
  </si>
  <si>
    <t>t</t>
    <phoneticPr fontId="4" type="noConversion"/>
  </si>
  <si>
    <t>표준옵티컬플랫</t>
    <phoneticPr fontId="4" type="noConversion"/>
  </si>
  <si>
    <t>계산(μm)</t>
    <phoneticPr fontId="4" type="noConversion"/>
  </si>
  <si>
    <t>호칭값</t>
    <phoneticPr fontId="4" type="noConversion"/>
  </si>
  <si>
    <t>2. 평면도 교정결과</t>
    <phoneticPr fontId="4" type="noConversion"/>
  </si>
  <si>
    <t>6. 성적서용</t>
    <phoneticPr fontId="4" type="noConversion"/>
  </si>
  <si>
    <t>평면도</t>
    <phoneticPr fontId="4" type="noConversion"/>
  </si>
  <si>
    <t>(μm)</t>
    <phoneticPr fontId="4" type="noConversion"/>
  </si>
  <si>
    <t>번호</t>
    <phoneticPr fontId="4" type="noConversion"/>
  </si>
  <si>
    <t>● 평면도 교정결과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</si>
  <si>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평면도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</si>
  <si>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호칭
(mm)</t>
    <phoneticPr fontId="4" type="noConversion"/>
  </si>
  <si>
    <t>단색광원의 파장</t>
    <phoneticPr fontId="4" type="noConversion"/>
  </si>
  <si>
    <t>-</t>
    <phoneticPr fontId="4" type="noConversion"/>
  </si>
  <si>
    <r>
      <rPr>
        <b/>
        <sz val="10"/>
        <rFont val="맑은 고딕"/>
        <family val="1"/>
        <scheme val="major"/>
      </rPr>
      <t>1</t>
    </r>
    <r>
      <rPr>
        <b/>
        <sz val="10"/>
        <rFont val="맑은 고딕"/>
        <family val="3"/>
        <charset val="129"/>
        <scheme val="major"/>
      </rPr>
      <t xml:space="preserve">. 단색광원 파장의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λ</t>
    </r>
    <r>
      <rPr>
        <b/>
        <sz val="10"/>
        <rFont val="Times New Roman"/>
        <family val="1"/>
      </rPr>
      <t>)</t>
    </r>
    <phoneticPr fontId="4" type="noConversion"/>
  </si>
  <si>
    <t>※ 단색 광원의 교정성적서에 주어진 측정불확도가</t>
    <phoneticPr fontId="4" type="noConversion"/>
  </si>
  <si>
    <r>
      <t xml:space="preserve">(신뢰수준 약 95 %, </t>
    </r>
    <r>
      <rPr>
        <i/>
        <sz val="10"/>
        <rFont val="times"/>
        <family val="1"/>
      </rPr>
      <t>k</t>
    </r>
    <r>
      <rPr>
        <sz val="10"/>
        <rFont val="맑은 고딕"/>
        <family val="3"/>
        <charset val="129"/>
        <scheme val="major"/>
      </rPr>
      <t>=2</t>
    </r>
    <r>
      <rPr>
        <sz val="10"/>
        <rFont val="맑은 고딕"/>
        <family val="3"/>
        <charset val="129"/>
        <scheme val="major"/>
      </rPr>
      <t>) 이다.</t>
    </r>
  </si>
  <si>
    <t>nm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</si>
  <si>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λ</t>
    </r>
    <r>
      <rPr>
        <sz val="10"/>
        <rFont val="Times New Roman"/>
        <family val="1"/>
      </rPr>
      <t xml:space="preserve">) = </t>
    </r>
    <r>
      <rPr>
        <sz val="10"/>
        <rFont val="맑은 고딕"/>
        <family val="3"/>
        <charset val="129"/>
      </rPr>
      <t>∞</t>
    </r>
    <phoneticPr fontId="4" type="noConversion"/>
  </si>
  <si>
    <t>B1. 추정값 :</t>
    <phoneticPr fontId="4" type="noConversion"/>
  </si>
  <si>
    <t>=</t>
  </si>
  <si>
    <t>+</t>
  </si>
  <si>
    <t>3. 평면도 불확도 계산</t>
    <phoneticPr fontId="4" type="noConversion"/>
  </si>
  <si>
    <t>직경</t>
    <phoneticPr fontId="4" type="noConversion"/>
  </si>
  <si>
    <t>MEASURED VALUE</t>
    <phoneticPr fontId="4" type="noConversion"/>
  </si>
  <si>
    <t>fees</t>
    <phoneticPr fontId="4" type="noConversion"/>
  </si>
  <si>
    <t>P/F</t>
    <phoneticPr fontId="4" type="noConversion"/>
  </si>
  <si>
    <t>개수</t>
    <phoneticPr fontId="4" type="noConversion"/>
  </si>
  <si>
    <t>표준옵티컬플랫 평면도</t>
    <phoneticPr fontId="4" type="noConversion"/>
  </si>
  <si>
    <t>표준옵티컬플랫 불확도</t>
    <phoneticPr fontId="4" type="noConversion"/>
  </si>
  <si>
    <t>평균
(mm)</t>
    <phoneticPr fontId="4" type="noConversion"/>
  </si>
  <si>
    <t>표준편차
(mm)</t>
    <phoneticPr fontId="4" type="noConversion"/>
  </si>
  <si>
    <t>간섭무늬간거리</t>
    <phoneticPr fontId="4" type="noConversion"/>
  </si>
  <si>
    <t>a</t>
    <phoneticPr fontId="4" type="noConversion"/>
  </si>
  <si>
    <t>mm</t>
    <phoneticPr fontId="4" type="noConversion"/>
  </si>
  <si>
    <t>mm</t>
    <phoneticPr fontId="4" type="noConversion"/>
  </si>
  <si>
    <t>간섭무늬휨</t>
    <phoneticPr fontId="4" type="noConversion"/>
  </si>
  <si>
    <t>b</t>
    <phoneticPr fontId="4" type="noConversion"/>
  </si>
  <si>
    <t>δu</t>
    <phoneticPr fontId="4" type="noConversion"/>
  </si>
  <si>
    <t>E</t>
    <phoneticPr fontId="4" type="noConversion"/>
  </si>
  <si>
    <t>측정데이터 (mm)</t>
    <phoneticPr fontId="4" type="noConversion"/>
  </si>
  <si>
    <t>옵티컬 플랫의 평면도</t>
    <phoneticPr fontId="4" type="noConversion"/>
  </si>
  <si>
    <t>간섭무늬간의 거리</t>
    <phoneticPr fontId="4" type="noConversion"/>
  </si>
  <si>
    <t>간섭무늬의 휨</t>
    <phoneticPr fontId="4" type="noConversion"/>
  </si>
  <si>
    <r>
      <t>δ</t>
    </r>
    <r>
      <rPr>
        <i/>
        <vertAlign val="subscript"/>
        <sz val="10"/>
        <rFont val="Times New Roman"/>
        <family val="1"/>
      </rPr>
      <t>u</t>
    </r>
    <phoneticPr fontId="4" type="noConversion"/>
  </si>
  <si>
    <t>표준 옵티컬 플랫의 불확도 성분에 의한 보정값</t>
    <phoneticPr fontId="4" type="noConversion"/>
  </si>
  <si>
    <t>+ - 부호는 볼록 또는 오목 평면을 표시한 것이다.</t>
    <phoneticPr fontId="4" type="noConversion"/>
  </si>
  <si>
    <t>×</t>
    <phoneticPr fontId="4" type="noConversion"/>
  </si>
  <si>
    <r>
      <rPr>
        <b/>
        <sz val="10"/>
        <rFont val="맑은 고딕"/>
        <family val="1"/>
        <scheme val="major"/>
      </rPr>
      <t>2</t>
    </r>
    <r>
      <rPr>
        <b/>
        <sz val="10"/>
        <rFont val="맑은 고딕"/>
        <family val="3"/>
        <charset val="129"/>
        <scheme val="major"/>
      </rPr>
      <t xml:space="preserve">. 간섭무늬간의 거리에 대한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a</t>
    </r>
    <r>
      <rPr>
        <b/>
        <sz val="10"/>
        <rFont val="Times New Roman"/>
        <family val="1"/>
      </rPr>
      <t>)</t>
    </r>
    <phoneticPr fontId="4" type="noConversion"/>
  </si>
  <si>
    <t>※ 깊이게이지의 불확도와 반복도에 의한 불확도로 구성되나 깊이 게이지의 불확도는 상대적으로 매우 작아서</t>
    <phoneticPr fontId="4" type="noConversion"/>
  </si>
  <si>
    <t>무시 가능하므로 생략한다. 반복도에 의한 불확도는 표준편차를 측정 횟수의 제곱근으로 나누어 구한다.</t>
    <phoneticPr fontId="4" type="noConversion"/>
  </si>
  <si>
    <t>(</t>
    <phoneticPr fontId="4" type="noConversion"/>
  </si>
  <si>
    <t>mm)</t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</si>
  <si>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</si>
  <si>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a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  <scheme val="minor"/>
      </rPr>
      <t>- 1 = 5 - 1 = 4</t>
    </r>
    <phoneticPr fontId="4" type="noConversion"/>
  </si>
  <si>
    <r>
      <t xml:space="preserve">3. 간섭무늬의 휨에 대한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b</t>
    </r>
    <r>
      <rPr>
        <b/>
        <sz val="10"/>
        <rFont val="Times New Roman"/>
        <family val="1"/>
      </rPr>
      <t>)</t>
    </r>
    <phoneticPr fontId="4" type="noConversion"/>
  </si>
  <si>
    <t>C1. 추정값 :</t>
    <phoneticPr fontId="4" type="noConversion"/>
  </si>
  <si>
    <t>C4. 감도계수 :</t>
    <phoneticPr fontId="4" type="noConversion"/>
  </si>
  <si>
    <t>C5. 불확도 기여도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</si>
  <si>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b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 xml:space="preserve"> </t>
    </r>
    <r>
      <rPr>
        <sz val="10"/>
        <rFont val="맑은 고딕"/>
        <family val="3"/>
        <charset val="129"/>
        <scheme val="minor"/>
      </rPr>
      <t>- 1 = 5 - 1 = 4</t>
    </r>
    <phoneticPr fontId="4" type="noConversion"/>
  </si>
  <si>
    <t>※ 표준 옵티컬 플랫의 교정성적서에 주어진 측정불확도가</t>
    <phoneticPr fontId="4" type="noConversion"/>
  </si>
  <si>
    <r>
      <t xml:space="preserve">μm 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=2) 이다.</t>
    </r>
    <phoneticPr fontId="4" type="noConversion"/>
  </si>
  <si>
    <t>※ 교정에 사용된 표준 옵티컬 플랫의 직경이</t>
    <phoneticPr fontId="4" type="noConversion"/>
  </si>
  <si>
    <t>mm 이고, 면적은</t>
    <phoneticPr fontId="4" type="noConversion"/>
  </si>
  <si>
    <r>
      <t>mm</t>
    </r>
    <r>
      <rPr>
        <vertAlign val="superscript"/>
        <sz val="10"/>
        <rFont val="맑은 고딕"/>
        <family val="3"/>
        <charset val="129"/>
        <scheme val="major"/>
      </rPr>
      <t>2</t>
    </r>
    <r>
      <rPr>
        <sz val="10"/>
        <rFont val="맑은 고딕"/>
        <family val="3"/>
        <charset val="129"/>
        <scheme val="major"/>
      </rPr>
      <t>, 평면도는</t>
    </r>
    <phoneticPr fontId="4" type="noConversion"/>
  </si>
  <si>
    <t>μm 이고</t>
    <phoneticPr fontId="4" type="noConversion"/>
  </si>
  <si>
    <t>교정대상 옵티컬 플랫의 직경이</t>
    <phoneticPr fontId="4" type="noConversion"/>
  </si>
  <si>
    <r>
      <t>mm</t>
    </r>
    <r>
      <rPr>
        <vertAlign val="superscript"/>
        <sz val="10"/>
        <rFont val="맑은 고딕"/>
        <family val="3"/>
        <charset val="129"/>
        <scheme val="major"/>
      </rPr>
      <t>2</t>
    </r>
    <r>
      <rPr>
        <sz val="10"/>
        <rFont val="맑은 고딕"/>
        <family val="3"/>
        <charset val="129"/>
        <scheme val="major"/>
      </rPr>
      <t xml:space="preserve"> 일 때</t>
    </r>
    <phoneticPr fontId="4" type="noConversion"/>
  </si>
  <si>
    <t>표준 옵티컬 플랫 면적의</t>
  </si>
  <si>
    <t>이므로 평면도는</t>
    <phoneticPr fontId="4" type="noConversion"/>
  </si>
  <si>
    <t>μm 이다.</t>
    <phoneticPr fontId="4" type="noConversion"/>
  </si>
  <si>
    <t>D1. 추정값 :</t>
    <phoneticPr fontId="4" type="noConversion"/>
  </si>
  <si>
    <t>+</t>
    <phoneticPr fontId="4" type="noConversion"/>
  </si>
  <si>
    <t>D4. 감도계수 :</t>
    <phoneticPr fontId="4" type="noConversion"/>
  </si>
  <si>
    <t>D5. 불확도 기여도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</si>
  <si>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</t>
    </r>
    <r>
      <rPr>
        <i/>
        <vertAlign val="subscript"/>
        <sz val="10"/>
        <rFont val="Times New Roman"/>
        <family val="1"/>
      </rPr>
      <t>u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</si>
  <si>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r>
      <t xml:space="preserve">※ 유효자유도 계산 결과 값을 이용하여 t 분포표에서 신뢰수준 약 95%에 해당하는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값을 찾아서 계산한다.</t>
    </r>
    <phoneticPr fontId="4" type="noConversion"/>
  </si>
  <si>
    <t>측정결과 (mm)</t>
    <phoneticPr fontId="4" type="noConversion"/>
  </si>
  <si>
    <r>
      <t xml:space="preserve">(신뢰수준 약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>=</t>
    </r>
    <phoneticPr fontId="4" type="noConversion"/>
  </si>
  <si>
    <r>
      <t xml:space="preserve">(Confidence level about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>=</t>
    </r>
    <phoneticPr fontId="4" type="noConversion"/>
  </si>
  <si>
    <t>기준값</t>
    <phoneticPr fontId="4" type="noConversion"/>
  </si>
  <si>
    <t>MEASURED VALUE (간섭무늬 증/감)</t>
    <phoneticPr fontId="4" type="noConversion"/>
  </si>
  <si>
    <t>A면</t>
    <phoneticPr fontId="4" type="noConversion"/>
  </si>
  <si>
    <t>증/감</t>
    <phoneticPr fontId="4" type="noConversion"/>
  </si>
  <si>
    <t xml:space="preserve">※ When the sign of the flatness is '+', the convex plane </t>
    <phoneticPr fontId="4" type="noConversion"/>
  </si>
  <si>
    <t>and '-' is the concave plane.</t>
    <phoneticPr fontId="4" type="noConversion"/>
  </si>
  <si>
    <t>※ 평면도의 부호가 '+' 일 때 볼록평면, '-' 일 때 오목평면 임.</t>
    <phoneticPr fontId="4" type="noConversion"/>
  </si>
  <si>
    <t>S/N</t>
    <phoneticPr fontId="4" type="noConversion"/>
  </si>
  <si>
    <t>1. 평면도 교정 결과</t>
    <phoneticPr fontId="4" type="noConversion"/>
  </si>
  <si>
    <t>1. Flatness Calibration Result</t>
    <phoneticPr fontId="4" type="noConversion"/>
  </si>
  <si>
    <t>구분</t>
    <phoneticPr fontId="4" type="noConversion"/>
  </si>
  <si>
    <r>
      <t xml:space="preserve">4. 표준 옵티컬 플랫의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</t>
    </r>
    <r>
      <rPr>
        <b/>
        <i/>
        <vertAlign val="subscript"/>
        <sz val="10"/>
        <rFont val="Times New Roman"/>
        <family val="1"/>
      </rPr>
      <t>u</t>
    </r>
    <r>
      <rPr>
        <b/>
        <sz val="10"/>
        <rFont val="Times New Roman"/>
        <family val="1"/>
      </rPr>
      <t>)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</si>
  <si>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λ</t>
    </r>
    <r>
      <rPr>
        <sz val="10"/>
        <rFont val="Times New Roman"/>
        <family val="1"/>
      </rPr>
      <t>)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</si>
  <si>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a</t>
    </r>
    <r>
      <rPr>
        <sz val="10"/>
        <rFont val="Times New Roman"/>
        <family val="1"/>
      </rPr>
      <t>)</t>
    </r>
    <phoneticPr fontId="4" type="noConversion"/>
  </si>
  <si>
    <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b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</si>
  <si>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</t>
    </r>
    <r>
      <rPr>
        <i/>
        <vertAlign val="subscript"/>
        <sz val="10"/>
        <rFont val="Times New Roman"/>
        <family val="1"/>
      </rPr>
      <t>u</t>
    </r>
    <r>
      <rPr>
        <sz val="10"/>
        <rFont val="Times New Roman"/>
        <family val="1"/>
      </rPr>
      <t xml:space="preserve">) </t>
    </r>
    <phoneticPr fontId="4" type="noConversion"/>
  </si>
  <si>
    <t>사용?</t>
    <phoneticPr fontId="4" type="noConversion"/>
  </si>
  <si>
    <t>구분</t>
    <phoneticPr fontId="4" type="noConversion"/>
  </si>
  <si>
    <t>직경</t>
    <phoneticPr fontId="4" type="noConversion"/>
  </si>
  <si>
    <t>측정항목</t>
    <phoneticPr fontId="4" type="noConversion"/>
  </si>
  <si>
    <t>측정결과</t>
    <phoneticPr fontId="4" type="noConversion"/>
  </si>
  <si>
    <t>평균</t>
    <phoneticPr fontId="4" type="noConversion"/>
  </si>
  <si>
    <t>표준편차</t>
    <phoneticPr fontId="4" type="noConversion"/>
  </si>
  <si>
    <t>파장</t>
    <phoneticPr fontId="4" type="noConversion"/>
  </si>
  <si>
    <t>표기용</t>
    <phoneticPr fontId="4" type="noConversion"/>
  </si>
  <si>
    <t>2회</t>
    <phoneticPr fontId="4" type="noConversion"/>
  </si>
  <si>
    <t>λ</t>
    <phoneticPr fontId="4" type="noConversion"/>
  </si>
  <si>
    <t>F</t>
    <phoneticPr fontId="4" type="noConversion"/>
  </si>
  <si>
    <t>mm</t>
    <phoneticPr fontId="4" type="noConversion"/>
  </si>
  <si>
    <t>μm</t>
    <phoneticPr fontId="4" type="noConversion"/>
  </si>
  <si>
    <t>μm</t>
    <phoneticPr fontId="4" type="noConversion"/>
  </si>
  <si>
    <t>μm</t>
    <phoneticPr fontId="4" type="noConversion"/>
  </si>
  <si>
    <t>μm</t>
    <phoneticPr fontId="4" type="noConversion"/>
  </si>
  <si>
    <t>교정값</t>
    <phoneticPr fontId="4" type="noConversion"/>
  </si>
  <si>
    <t>μm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</si>
  <si>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맑은 고딕"/>
        <family val="3"/>
        <charset val="129"/>
        <scheme val="major"/>
      </rPr>
      <t>(</t>
    </r>
    <r>
      <rPr>
        <i/>
        <sz val="10"/>
        <rFont val="Times New Roman"/>
        <family val="1"/>
      </rPr>
      <t>F</t>
    </r>
    <r>
      <rPr>
        <sz val="10"/>
        <rFont val="맑은 고딕"/>
        <family val="3"/>
        <charset val="129"/>
        <scheme val="major"/>
      </rPr>
      <t>)</t>
    </r>
    <phoneticPr fontId="4" type="noConversion"/>
  </si>
  <si>
    <t>불확도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</si>
  <si>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</si>
  <si>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 xml:space="preserve"> 성적서발급번호(Certificate No) :</t>
    <phoneticPr fontId="4" type="noConversion"/>
  </si>
  <si>
    <t>● 교정결과</t>
    <phoneticPr fontId="4" type="noConversion"/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</si>
  <si>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</si>
  <si>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</si>
  <si>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</si>
  <si>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</si>
  <si>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Measurement Uncertainty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</si>
  <si>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</si>
  <si>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</si>
  <si>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</si>
  <si>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</si>
  <si>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Nominal Value</t>
    <phoneticPr fontId="4" type="noConversion"/>
  </si>
  <si>
    <t>μm</t>
    <phoneticPr fontId="4" type="noConversion"/>
  </si>
  <si>
    <t>※ 신뢰수준 약 95 %,</t>
  </si>
  <si>
    <t>Measured
Value</t>
    <phoneticPr fontId="4" type="noConversion"/>
  </si>
  <si>
    <t>Correction
Value</t>
    <phoneticPr fontId="4" type="noConversion"/>
  </si>
  <si>
    <t>Pass
/Fail</t>
    <phoneticPr fontId="4" type="noConversion"/>
  </si>
  <si>
    <t>Measured
Value</t>
    <phoneticPr fontId="4" type="noConversion"/>
  </si>
  <si>
    <t>Correction
Value</t>
    <phoneticPr fontId="4" type="noConversion"/>
  </si>
  <si>
    <t>Pass
/Fail</t>
    <phoneticPr fontId="4" type="noConversion"/>
  </si>
  <si>
    <t>U &amp; r</t>
  </si>
  <si>
    <t>U+α</t>
    <phoneticPr fontId="4" type="noConversion"/>
  </si>
  <si>
    <t>U&amp;r</t>
    <phoneticPr fontId="4" type="noConversion"/>
  </si>
  <si>
    <t>HCT</t>
    <phoneticPr fontId="4" type="noConversion"/>
  </si>
  <si>
    <t>분해능</t>
    <phoneticPr fontId="4" type="noConversion"/>
  </si>
  <si>
    <t>소수점 자리수</t>
    <phoneticPr fontId="4" type="noConversion"/>
  </si>
  <si>
    <t>불확도</t>
    <phoneticPr fontId="4" type="noConversion"/>
  </si>
  <si>
    <t>성적서</t>
    <phoneticPr fontId="4" type="noConversion"/>
  </si>
  <si>
    <t>성적서</t>
    <phoneticPr fontId="4" type="noConversion"/>
  </si>
  <si>
    <t>Rawdata</t>
    <phoneticPr fontId="4" type="noConversion"/>
  </si>
  <si>
    <t>CMC초과?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</si>
  <si>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</si>
  <si>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t>불확도표기</t>
    <phoneticPr fontId="4" type="noConversion"/>
  </si>
  <si>
    <t>값</t>
    <phoneticPr fontId="4" type="noConversion"/>
  </si>
  <si>
    <t>단위포함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</si>
</sst>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0_ "/>
    <numFmt numFmtId="189" formatCode="0.000000_ "/>
    <numFmt numFmtId="190" formatCode="0.00\ &quot;mg&quot;"/>
    <numFmt numFmtId="191" formatCode="0.000\ &quot;kg&quot;"/>
    <numFmt numFmtId="192" formatCode="0.0_ "/>
    <numFmt numFmtId="193" formatCode="#\ ##0.0\ &quot;mg&quot;"/>
    <numFmt numFmtId="194" formatCode="0.000"/>
    <numFmt numFmtId="195" formatCode="0.00000"/>
    <numFmt numFmtId="196" formatCode="####\-##\-##"/>
    <numFmt numFmtId="197" formatCode="0.000_);[Red]\(0.000\)"/>
    <numFmt numFmtId="198" formatCode="0.0000_);[Red]\(0.0000\)"/>
    <numFmt numFmtId="199" formatCode="0.0000_ "/>
    <numFmt numFmtId="200" formatCode="\√\(0\)"/>
    <numFmt numFmtId="201" formatCode="0.0"/>
    <numFmt numFmtId="202" formatCode="#0.0\ E+00"/>
    <numFmt numFmtId="203" formatCode="&quot;0&quot;.0#\ E+00"/>
    <numFmt numFmtId="204" formatCode="0.00\ &quot;μm&quot;"/>
    <numFmt numFmtId="205" formatCode="0.00\ \℃"/>
    <numFmt numFmtId="206" formatCode="0.000\ 00"/>
    <numFmt numFmtId="207" formatCode="0.000\ &quot;μm&quot;"/>
    <numFmt numFmtId="208" formatCode="_-* #,##0_-;\-* #,##0_-;_-* &quot;-&quot;??_-;_-@_-"/>
    <numFmt numFmtId="209" formatCode="0.0000"/>
    <numFmt numFmtId="210" formatCode="0\ &quot;nm&quot;"/>
    <numFmt numFmtId="211" formatCode="0.000000"/>
    <numFmt numFmtId="212" formatCode="General\ &quot;μm&quot;"/>
    <numFmt numFmtId="213" formatCode="\(\ General"/>
    <numFmt numFmtId="214" formatCode="#\ ###"/>
    <numFmt numFmtId="215" formatCode="0.00000\ &quot;μm&quot;"/>
    <numFmt numFmtId="216" formatCode="0_ "/>
  </numFmts>
  <fonts count="96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sz val="9"/>
      <name val="Arial Unicode MS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b/>
      <sz val="9"/>
      <color rgb="FFFF0000"/>
      <name val="Tahoma"/>
      <family val="2"/>
    </font>
    <font>
      <b/>
      <sz val="10"/>
      <name val="Times New Roman"/>
      <family val="1"/>
    </font>
    <font>
      <b/>
      <sz val="10"/>
      <color rgb="FFFF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ajor"/>
    </font>
    <font>
      <sz val="9"/>
      <name val="돋움"/>
      <family val="3"/>
      <charset val="129"/>
    </font>
    <font>
      <i/>
      <sz val="10"/>
      <name val="times"/>
      <family val="1"/>
    </font>
    <font>
      <sz val="10"/>
      <name val="바탕"/>
      <family val="1"/>
      <charset val="129"/>
    </font>
    <font>
      <vertAlign val="superscript"/>
      <sz val="10"/>
      <name val="맑은 고딕"/>
      <family val="3"/>
      <charset val="129"/>
      <scheme val="major"/>
    </font>
    <font>
      <b/>
      <i/>
      <vertAlign val="subscript"/>
      <sz val="10"/>
      <name val="Times New Roman"/>
      <family val="1"/>
    </font>
    <font>
      <b/>
      <sz val="9"/>
      <color indexed="8"/>
      <name val="Arial Unicode MS"/>
      <family val="3"/>
      <charset val="129"/>
    </font>
    <font>
      <b/>
      <vertAlign val="superscript"/>
      <sz val="9"/>
      <color indexed="9"/>
      <name val="맑은 고딕"/>
      <family val="3"/>
      <charset val="129"/>
      <scheme val="major"/>
    </font>
    <font>
      <sz val="9"/>
      <color rgb="FFFF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</borders>
  <cellStyleXfs count="104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9" applyNumberFormat="0" applyBorder="0" applyAlignment="0" applyProtection="0"/>
    <xf numFmtId="0" fontId="17" fillId="22" borderId="60" applyNumberFormat="0" applyAlignment="0" applyProtection="0">
      <alignment vertical="center"/>
    </xf>
    <xf numFmtId="0" fontId="3" fillId="23" borderId="57" applyNumberFormat="0" applyFont="0" applyAlignment="0" applyProtection="0">
      <alignment vertical="center"/>
    </xf>
    <xf numFmtId="0" fontId="24" fillId="0" borderId="61" applyNumberFormat="0" applyFill="0" applyAlignment="0" applyProtection="0">
      <alignment vertical="center"/>
    </xf>
    <xf numFmtId="0" fontId="25" fillId="7" borderId="60" applyNumberFormat="0" applyAlignment="0" applyProtection="0">
      <alignment vertical="center"/>
    </xf>
    <xf numFmtId="0" fontId="31" fillId="22" borderId="62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9" applyNumberFormat="0" applyBorder="0" applyAlignment="0" applyProtection="0"/>
    <xf numFmtId="0" fontId="17" fillId="22" borderId="60" applyNumberFormat="0" applyAlignment="0" applyProtection="0">
      <alignment vertical="center"/>
    </xf>
    <xf numFmtId="0" fontId="3" fillId="23" borderId="57" applyNumberFormat="0" applyFont="0" applyAlignment="0" applyProtection="0">
      <alignment vertical="center"/>
    </xf>
    <xf numFmtId="0" fontId="24" fillId="0" borderId="61" applyNumberFormat="0" applyFill="0" applyAlignment="0" applyProtection="0">
      <alignment vertical="center"/>
    </xf>
    <xf numFmtId="0" fontId="25" fillId="7" borderId="60" applyNumberFormat="0" applyAlignment="0" applyProtection="0">
      <alignment vertical="center"/>
    </xf>
    <xf numFmtId="0" fontId="31" fillId="22" borderId="62" applyNumberFormat="0" applyAlignment="0" applyProtection="0">
      <alignment vertical="center"/>
    </xf>
    <xf numFmtId="0" fontId="6" fillId="0" borderId="0"/>
  </cellStyleXfs>
  <cellXfs count="46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49" fontId="55" fillId="0" borderId="25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 applyAlignment="1">
      <alignment vertical="center"/>
    </xf>
    <xf numFmtId="0" fontId="68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9" fillId="0" borderId="0" xfId="0" applyFont="1" applyBorder="1">
      <alignment vertical="center"/>
    </xf>
    <xf numFmtId="0" fontId="70" fillId="0" borderId="0" xfId="0" applyFont="1" applyBorder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89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4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69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190" fontId="68" fillId="0" borderId="0" xfId="0" applyNumberFormat="1" applyFont="1" applyBorder="1" applyAlignment="1">
      <alignment horizontal="center"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0" fontId="48" fillId="0" borderId="36" xfId="79" applyNumberFormat="1" applyFont="1" applyFill="1" applyBorder="1" applyAlignment="1">
      <alignment horizontal="center" vertical="center"/>
    </xf>
    <xf numFmtId="0" fontId="48" fillId="0" borderId="36" xfId="79" applyNumberFormat="1" applyFont="1" applyFill="1" applyBorder="1" applyAlignment="1">
      <alignment horizontal="left" vertical="center"/>
    </xf>
    <xf numFmtId="0" fontId="48" fillId="0" borderId="36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9" xfId="79" applyNumberFormat="1" applyFont="1" applyFill="1" applyBorder="1" applyAlignment="1">
      <alignment vertical="center"/>
    </xf>
    <xf numFmtId="0" fontId="48" fillId="0" borderId="39" xfId="79" applyNumberFormat="1" applyFont="1" applyFill="1" applyBorder="1" applyAlignment="1">
      <alignment horizontal="left" vertical="center"/>
    </xf>
    <xf numFmtId="0" fontId="48" fillId="0" borderId="39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2" fillId="0" borderId="38" xfId="0" applyNumberFormat="1" applyFont="1" applyBorder="1" applyAlignment="1">
      <alignment horizontal="center" vertical="center"/>
    </xf>
    <xf numFmtId="0" fontId="79" fillId="0" borderId="0" xfId="0" applyFont="1" applyBorder="1">
      <alignment vertical="center"/>
    </xf>
    <xf numFmtId="193" fontId="68" fillId="0" borderId="39" xfId="0" applyNumberFormat="1" applyFont="1" applyBorder="1" applyAlignment="1">
      <alignment vertical="center"/>
    </xf>
    <xf numFmtId="0" fontId="48" fillId="0" borderId="39" xfId="79" applyNumberFormat="1" applyFont="1" applyFill="1" applyBorder="1" applyAlignment="1">
      <alignment horizontal="center" vertical="center"/>
    </xf>
    <xf numFmtId="0" fontId="50" fillId="0" borderId="39" xfId="80" applyNumberFormat="1" applyFont="1" applyFill="1" applyBorder="1" applyAlignment="1">
      <alignment horizontal="right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41" xfId="79" applyNumberFormat="1" applyFont="1" applyFill="1" applyBorder="1" applyAlignment="1">
      <alignment horizontal="center" vertical="center"/>
    </xf>
    <xf numFmtId="0" fontId="60" fillId="31" borderId="41" xfId="0" applyNumberFormat="1" applyFont="1" applyFill="1" applyBorder="1" applyAlignment="1">
      <alignment horizontal="left" vertical="center"/>
    </xf>
    <xf numFmtId="0" fontId="70" fillId="0" borderId="0" xfId="0" applyFont="1" applyBorder="1" applyAlignment="1">
      <alignment vertical="center"/>
    </xf>
    <xf numFmtId="0" fontId="68" fillId="0" borderId="0" xfId="0" quotePrefix="1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2" xfId="0" applyNumberFormat="1" applyFont="1" applyBorder="1" applyAlignment="1">
      <alignment horizontal="center" vertical="center"/>
    </xf>
    <xf numFmtId="0" fontId="53" fillId="26" borderId="42" xfId="0" applyFont="1" applyFill="1" applyBorder="1" applyAlignment="1">
      <alignment horizontal="center" vertical="center" wrapText="1"/>
    </xf>
    <xf numFmtId="0" fontId="55" fillId="0" borderId="42" xfId="0" applyFont="1" applyBorder="1" applyAlignment="1">
      <alignment horizontal="center" vertical="center"/>
    </xf>
    <xf numFmtId="0" fontId="52" fillId="0" borderId="42" xfId="0" applyFont="1" applyBorder="1" applyAlignment="1">
      <alignment horizontal="center" vertical="center"/>
    </xf>
    <xf numFmtId="0" fontId="59" fillId="27" borderId="44" xfId="81" applyFont="1" applyFill="1" applyBorder="1" applyAlignment="1">
      <alignment horizontal="center" vertical="center"/>
    </xf>
    <xf numFmtId="0" fontId="52" fillId="0" borderId="42" xfId="0" applyNumberFormat="1" applyFont="1" applyBorder="1" applyAlignment="1">
      <alignment horizontal="center" vertical="center"/>
    </xf>
    <xf numFmtId="0" fontId="76" fillId="33" borderId="42" xfId="0" applyFont="1" applyFill="1" applyBorder="1">
      <alignment vertical="center"/>
    </xf>
    <xf numFmtId="0" fontId="80" fillId="0" borderId="0" xfId="0" applyNumberFormat="1" applyFont="1" applyFill="1" applyAlignment="1">
      <alignment horizontal="left" vertical="center" indent="1"/>
    </xf>
    <xf numFmtId="0" fontId="81" fillId="0" borderId="0" xfId="0" applyNumberFormat="1" applyFont="1" applyFill="1" applyBorder="1" applyAlignment="1">
      <alignment horizontal="center" vertical="center"/>
    </xf>
    <xf numFmtId="0" fontId="81" fillId="0" borderId="0" xfId="0" applyNumberFormat="1" applyFont="1" applyFill="1" applyBorder="1" applyAlignment="1">
      <alignment horizontal="left" vertical="center"/>
    </xf>
    <xf numFmtId="0" fontId="81" fillId="0" borderId="0" xfId="0" applyNumberFormat="1" applyFont="1">
      <alignment vertical="center"/>
    </xf>
    <xf numFmtId="0" fontId="81" fillId="0" borderId="0" xfId="0" applyNumberFormat="1" applyFont="1" applyFill="1" applyBorder="1" applyAlignment="1">
      <alignment vertical="center"/>
    </xf>
    <xf numFmtId="0" fontId="81" fillId="0" borderId="0" xfId="0" applyNumberFormat="1" applyFont="1" applyFill="1" applyAlignment="1">
      <alignment vertical="center"/>
    </xf>
    <xf numFmtId="0" fontId="80" fillId="0" borderId="0" xfId="0" applyNumberFormat="1" applyFont="1" applyFill="1" applyBorder="1" applyAlignment="1">
      <alignment vertical="center"/>
    </xf>
    <xf numFmtId="197" fontId="81" fillId="29" borderId="49" xfId="0" applyNumberFormat="1" applyFont="1" applyFill="1" applyBorder="1" applyAlignment="1">
      <alignment horizontal="center" vertical="center"/>
    </xf>
    <xf numFmtId="197" fontId="81" fillId="0" borderId="51" xfId="0" applyNumberFormat="1" applyFont="1" applyFill="1" applyBorder="1" applyAlignment="1">
      <alignment horizontal="center" vertical="center"/>
    </xf>
    <xf numFmtId="198" fontId="81" fillId="0" borderId="48" xfId="0" applyNumberFormat="1" applyFont="1" applyFill="1" applyBorder="1" applyAlignment="1">
      <alignment horizontal="center" vertical="center"/>
    </xf>
    <xf numFmtId="0" fontId="81" fillId="35" borderId="48" xfId="0" applyNumberFormat="1" applyFont="1" applyFill="1" applyBorder="1" applyAlignment="1">
      <alignment horizontal="center" vertical="center"/>
    </xf>
    <xf numFmtId="0" fontId="84" fillId="35" borderId="46" xfId="78" applyNumberFormat="1" applyFont="1" applyFill="1" applyBorder="1" applyAlignment="1">
      <alignment horizontal="center" vertical="center"/>
    </xf>
    <xf numFmtId="0" fontId="80" fillId="0" borderId="0" xfId="0" applyNumberFormat="1" applyFont="1" applyFill="1" applyAlignment="1">
      <alignment horizontal="left" vertical="center"/>
    </xf>
    <xf numFmtId="199" fontId="81" fillId="0" borderId="50" xfId="0" applyNumberFormat="1" applyFont="1" applyFill="1" applyBorder="1" applyAlignment="1">
      <alignment horizontal="center" vertical="center"/>
    </xf>
    <xf numFmtId="0" fontId="81" fillId="35" borderId="50" xfId="0" applyNumberFormat="1" applyFont="1" applyFill="1" applyBorder="1" applyAlignment="1">
      <alignment horizontal="center" vertical="center"/>
    </xf>
    <xf numFmtId="0" fontId="48" fillId="0" borderId="42" xfId="79" applyNumberFormat="1" applyFont="1" applyFill="1" applyBorder="1" applyAlignment="1">
      <alignment horizontal="center" vertical="center"/>
    </xf>
    <xf numFmtId="204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205" fontId="68" fillId="0" borderId="0" xfId="0" applyNumberFormat="1" applyFont="1" applyBorder="1" applyAlignment="1">
      <alignment vertical="center"/>
    </xf>
    <xf numFmtId="206" fontId="68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0" xfId="78" applyNumberFormat="1" applyFont="1" applyFill="1" applyBorder="1" applyAlignment="1">
      <alignment horizontal="center" vertical="center"/>
    </xf>
    <xf numFmtId="0" fontId="86" fillId="0" borderId="0" xfId="0" applyNumberFormat="1" applyFont="1" applyAlignment="1">
      <alignment vertical="center"/>
    </xf>
    <xf numFmtId="0" fontId="86" fillId="0" borderId="0" xfId="0" applyNumberFormat="1" applyFont="1" applyAlignment="1">
      <alignment horizontal="left" vertical="center" indent="1"/>
    </xf>
    <xf numFmtId="0" fontId="81" fillId="0" borderId="57" xfId="0" applyNumberFormat="1" applyFont="1" applyFill="1" applyBorder="1" applyAlignment="1">
      <alignment horizontal="center" vertical="center"/>
    </xf>
    <xf numFmtId="0" fontId="81" fillId="36" borderId="57" xfId="0" applyNumberFormat="1" applyFont="1" applyFill="1" applyBorder="1" applyAlignment="1">
      <alignment horizontal="center" vertical="center"/>
    </xf>
    <xf numFmtId="0" fontId="81" fillId="0" borderId="50" xfId="0" applyNumberFormat="1" applyFont="1" applyFill="1" applyBorder="1" applyAlignment="1">
      <alignment horizontal="center" vertical="center"/>
    </xf>
    <xf numFmtId="0" fontId="81" fillId="34" borderId="57" xfId="0" applyNumberFormat="1" applyFont="1" applyFill="1" applyBorder="1" applyAlignment="1">
      <alignment horizontal="center" vertical="center"/>
    </xf>
    <xf numFmtId="0" fontId="76" fillId="33" borderId="40" xfId="0" applyFont="1" applyFill="1" applyBorder="1">
      <alignment vertical="center"/>
    </xf>
    <xf numFmtId="0" fontId="82" fillId="28" borderId="57" xfId="0" applyNumberFormat="1" applyFont="1" applyFill="1" applyBorder="1" applyAlignment="1">
      <alignment horizontal="center" vertical="center"/>
    </xf>
    <xf numFmtId="49" fontId="55" fillId="0" borderId="40" xfId="0" applyNumberFormat="1" applyFont="1" applyBorder="1" applyAlignment="1">
      <alignment horizontal="center" vertical="center"/>
    </xf>
    <xf numFmtId="0" fontId="5" fillId="28" borderId="58" xfId="0" applyNumberFormat="1" applyFont="1" applyFill="1" applyBorder="1" applyAlignment="1">
      <alignment horizontal="center" vertical="center"/>
    </xf>
    <xf numFmtId="49" fontId="82" fillId="28" borderId="57" xfId="0" applyNumberFormat="1" applyFont="1" applyFill="1" applyBorder="1" applyAlignment="1">
      <alignment horizontal="center" vertical="center"/>
    </xf>
    <xf numFmtId="189" fontId="82" fillId="28" borderId="57" xfId="0" applyNumberFormat="1" applyFont="1" applyFill="1" applyBorder="1" applyAlignment="1">
      <alignment horizontal="center" vertical="center"/>
    </xf>
    <xf numFmtId="0" fontId="81" fillId="0" borderId="57" xfId="78" applyNumberFormat="1" applyFont="1" applyFill="1" applyBorder="1" applyAlignment="1">
      <alignment horizontal="center" vertical="center"/>
    </xf>
    <xf numFmtId="0" fontId="81" fillId="32" borderId="57" xfId="0" applyNumberFormat="1" applyFont="1" applyFill="1" applyBorder="1" applyAlignment="1">
      <alignment horizontal="center" vertical="center" wrapText="1"/>
    </xf>
    <xf numFmtId="0" fontId="81" fillId="0" borderId="57" xfId="0" applyNumberFormat="1" applyFont="1" applyFill="1" applyBorder="1" applyAlignment="1">
      <alignment horizontal="center" vertical="center" wrapText="1"/>
    </xf>
    <xf numFmtId="0" fontId="81" fillId="0" borderId="57" xfId="0" applyNumberFormat="1" applyFont="1" applyBorder="1" applyAlignment="1">
      <alignment horizontal="center" vertical="center"/>
    </xf>
    <xf numFmtId="2" fontId="81" fillId="29" borderId="57" xfId="0" applyNumberFormat="1" applyFont="1" applyFill="1" applyBorder="1" applyAlignment="1">
      <alignment horizontal="center" vertical="center"/>
    </xf>
    <xf numFmtId="192" fontId="81" fillId="0" borderId="57" xfId="0" applyNumberFormat="1" applyFont="1" applyFill="1" applyBorder="1" applyAlignment="1">
      <alignment horizontal="center" vertical="center"/>
    </xf>
    <xf numFmtId="201" fontId="81" fillId="0" borderId="57" xfId="0" applyNumberFormat="1" applyFont="1" applyFill="1" applyBorder="1" applyAlignment="1">
      <alignment horizontal="center" vertical="center"/>
    </xf>
    <xf numFmtId="0" fontId="81" fillId="29" borderId="57" xfId="0" applyNumberFormat="1" applyFont="1" applyFill="1" applyBorder="1" applyAlignment="1">
      <alignment horizontal="center" vertical="center"/>
    </xf>
    <xf numFmtId="200" fontId="81" fillId="0" borderId="57" xfId="0" applyNumberFormat="1" applyFont="1" applyFill="1" applyBorder="1" applyAlignment="1">
      <alignment horizontal="center" vertical="center"/>
    </xf>
    <xf numFmtId="202" fontId="81" fillId="0" borderId="57" xfId="0" applyNumberFormat="1" applyFont="1" applyFill="1" applyBorder="1" applyAlignment="1">
      <alignment horizontal="center" vertical="center"/>
    </xf>
    <xf numFmtId="203" fontId="81" fillId="0" borderId="57" xfId="0" applyNumberFormat="1" applyFont="1" applyFill="1" applyBorder="1" applyAlignment="1">
      <alignment horizontal="center" vertical="center"/>
    </xf>
    <xf numFmtId="0" fontId="87" fillId="0" borderId="57" xfId="0" applyNumberFormat="1" applyFont="1" applyFill="1" applyBorder="1" applyAlignment="1">
      <alignment horizontal="center" vertical="center"/>
    </xf>
    <xf numFmtId="0" fontId="81" fillId="0" borderId="57" xfId="0" applyNumberFormat="1" applyFont="1" applyFill="1" applyBorder="1" applyAlignment="1">
      <alignment horizontal="left" vertical="center"/>
    </xf>
    <xf numFmtId="49" fontId="81" fillId="0" borderId="57" xfId="0" applyNumberFormat="1" applyFont="1" applyFill="1" applyBorder="1" applyAlignment="1">
      <alignment horizontal="left" vertical="center"/>
    </xf>
    <xf numFmtId="195" fontId="81" fillId="0" borderId="57" xfId="0" applyNumberFormat="1" applyFont="1" applyFill="1" applyBorder="1" applyAlignment="1">
      <alignment horizontal="center" vertical="center"/>
    </xf>
    <xf numFmtId="194" fontId="81" fillId="29" borderId="57" xfId="0" applyNumberFormat="1" applyFont="1" applyFill="1" applyBorder="1" applyAlignment="1">
      <alignment horizontal="center" vertical="center"/>
    </xf>
    <xf numFmtId="194" fontId="81" fillId="0" borderId="57" xfId="0" applyNumberFormat="1" applyFont="1" applyFill="1" applyBorder="1" applyAlignment="1">
      <alignment horizontal="center" vertical="center"/>
    </xf>
    <xf numFmtId="188" fontId="81" fillId="0" borderId="50" xfId="0" applyNumberFormat="1" applyFont="1" applyFill="1" applyBorder="1" applyAlignment="1">
      <alignment horizontal="center" vertical="center"/>
    </xf>
    <xf numFmtId="0" fontId="52" fillId="0" borderId="42" xfId="0" applyNumberFormat="1" applyFont="1" applyBorder="1" applyAlignment="1">
      <alignment horizontal="center" vertical="center" shrinkToFit="1"/>
    </xf>
    <xf numFmtId="41" fontId="52" fillId="0" borderId="42" xfId="87" applyFont="1" applyBorder="1" applyAlignment="1">
      <alignment horizontal="center" vertical="center"/>
    </xf>
    <xf numFmtId="0" fontId="52" fillId="0" borderId="42" xfId="87" applyNumberFormat="1" applyFont="1" applyBorder="1" applyAlignment="1">
      <alignment horizontal="center" vertical="center"/>
    </xf>
    <xf numFmtId="41" fontId="52" fillId="0" borderId="42" xfId="0" applyNumberFormat="1" applyFont="1" applyBorder="1" applyAlignment="1">
      <alignment horizontal="center" vertical="center"/>
    </xf>
    <xf numFmtId="208" fontId="52" fillId="0" borderId="42" xfId="87" applyNumberFormat="1" applyFont="1" applyBorder="1" applyAlignment="1">
      <alignment horizontal="center" vertical="center"/>
    </xf>
    <xf numFmtId="41" fontId="52" fillId="0" borderId="42" xfId="87" applyNumberFormat="1" applyFont="1" applyBorder="1" applyAlignment="1">
      <alignment horizontal="center" vertical="center"/>
    </xf>
    <xf numFmtId="0" fontId="48" fillId="0" borderId="54" xfId="79" applyNumberFormat="1" applyFont="1" applyFill="1" applyBorder="1" applyAlignment="1">
      <alignment horizontal="center" vertical="center"/>
    </xf>
    <xf numFmtId="0" fontId="48" fillId="0" borderId="43" xfId="79" applyNumberFormat="1" applyFont="1" applyFill="1" applyBorder="1" applyAlignment="1">
      <alignment horizontal="center" vertical="center"/>
    </xf>
    <xf numFmtId="0" fontId="48" fillId="0" borderId="68" xfId="79" applyNumberFormat="1" applyFont="1" applyFill="1" applyBorder="1" applyAlignment="1">
      <alignment horizontal="center" vertical="center"/>
    </xf>
    <xf numFmtId="0" fontId="48" fillId="31" borderId="0" xfId="79" applyNumberFormat="1" applyFont="1" applyFill="1" applyBorder="1" applyAlignment="1">
      <alignment horizontal="center" vertical="center"/>
    </xf>
    <xf numFmtId="2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vertical="center" shrinkToFit="1"/>
    </xf>
    <xf numFmtId="0" fontId="7" fillId="28" borderId="58" xfId="0" applyNumberFormat="1" applyFont="1" applyFill="1" applyBorder="1" applyAlignment="1">
      <alignment horizontal="center" vertical="center"/>
    </xf>
    <xf numFmtId="0" fontId="1" fillId="0" borderId="57" xfId="78" applyNumberFormat="1" applyFont="1" applyFill="1" applyBorder="1" applyAlignment="1">
      <alignment horizontal="center" vertical="center"/>
    </xf>
    <xf numFmtId="196" fontId="1" fillId="0" borderId="57" xfId="78" applyNumberFormat="1" applyFont="1" applyFill="1" applyBorder="1" applyAlignment="1">
      <alignment horizontal="center" vertical="center"/>
    </xf>
    <xf numFmtId="49" fontId="1" fillId="0" borderId="57" xfId="78" applyNumberFormat="1" applyFont="1" applyFill="1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0" fontId="68" fillId="0" borderId="39" xfId="0" applyFont="1" applyBorder="1">
      <alignment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2" fontId="68" fillId="0" borderId="39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center" vertical="center"/>
    </xf>
    <xf numFmtId="191" fontId="68" fillId="0" borderId="0" xfId="0" applyNumberFormat="1" applyFont="1" applyBorder="1" applyAlignment="1">
      <alignment vertical="center"/>
    </xf>
    <xf numFmtId="0" fontId="68" fillId="0" borderId="0" xfId="0" applyNumberFormat="1" applyFont="1" applyBorder="1" applyAlignment="1">
      <alignment vertical="center"/>
    </xf>
    <xf numFmtId="194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206" fontId="68" fillId="0" borderId="0" xfId="0" applyNumberFormat="1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194" fontId="68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right" vertical="center"/>
    </xf>
    <xf numFmtId="0" fontId="68" fillId="0" borderId="39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82" fillId="28" borderId="58" xfId="0" applyNumberFormat="1" applyFont="1" applyFill="1" applyBorder="1" applyAlignment="1">
      <alignment horizontal="center" vertical="center" wrapText="1"/>
    </xf>
    <xf numFmtId="0" fontId="82" fillId="28" borderId="57" xfId="0" applyNumberFormat="1" applyFont="1" applyFill="1" applyBorder="1" applyAlignment="1">
      <alignment horizontal="center" vertical="center" wrapText="1"/>
    </xf>
    <xf numFmtId="0" fontId="82" fillId="28" borderId="46" xfId="0" applyNumberFormat="1" applyFont="1" applyFill="1" applyBorder="1" applyAlignment="1">
      <alignment horizontal="center" vertical="center"/>
    </xf>
    <xf numFmtId="0" fontId="82" fillId="28" borderId="63" xfId="0" applyNumberFormat="1" applyFont="1" applyFill="1" applyBorder="1" applyAlignment="1">
      <alignment horizontal="center" vertical="center" wrapText="1"/>
    </xf>
    <xf numFmtId="188" fontId="81" fillId="0" borderId="57" xfId="0" applyNumberFormat="1" applyFont="1" applyFill="1" applyBorder="1" applyAlignment="1">
      <alignment horizontal="center" vertical="center"/>
    </xf>
    <xf numFmtId="209" fontId="81" fillId="29" borderId="57" xfId="0" applyNumberFormat="1" applyFont="1" applyFill="1" applyBorder="1" applyAlignment="1">
      <alignment horizontal="center" vertical="center"/>
    </xf>
    <xf numFmtId="195" fontId="81" fillId="29" borderId="57" xfId="0" applyNumberFormat="1" applyFont="1" applyFill="1" applyBorder="1" applyAlignment="1">
      <alignment horizontal="center" vertical="center"/>
    </xf>
    <xf numFmtId="195" fontId="81" fillId="32" borderId="57" xfId="0" applyNumberFormat="1" applyFont="1" applyFill="1" applyBorder="1" applyAlignment="1">
      <alignment horizontal="center" vertical="center"/>
    </xf>
    <xf numFmtId="0" fontId="68" fillId="0" borderId="0" xfId="0" quotePrefix="1" applyFont="1" applyBorder="1">
      <alignment vertical="center"/>
    </xf>
    <xf numFmtId="188" fontId="68" fillId="0" borderId="39" xfId="0" applyNumberFormat="1" applyFont="1" applyBorder="1" applyAlignment="1">
      <alignment vertical="center"/>
    </xf>
    <xf numFmtId="0" fontId="65" fillId="0" borderId="39" xfId="0" applyFont="1" applyBorder="1" applyAlignment="1">
      <alignment vertical="center"/>
    </xf>
    <xf numFmtId="0" fontId="68" fillId="0" borderId="39" xfId="0" applyFont="1" applyBorder="1" applyAlignment="1">
      <alignment vertical="center"/>
    </xf>
    <xf numFmtId="213" fontId="68" fillId="0" borderId="0" xfId="0" applyNumberFormat="1" applyFont="1" applyAlignment="1">
      <alignment vertical="center"/>
    </xf>
    <xf numFmtId="0" fontId="91" fillId="0" borderId="0" xfId="0" applyFont="1" applyBorder="1" applyAlignment="1">
      <alignment horizontal="left" vertical="center"/>
    </xf>
    <xf numFmtId="0" fontId="68" fillId="0" borderId="41" xfId="0" applyNumberFormat="1" applyFont="1" applyBorder="1" applyAlignment="1">
      <alignment vertical="center"/>
    </xf>
    <xf numFmtId="207" fontId="68" fillId="0" borderId="0" xfId="0" applyNumberFormat="1" applyFont="1" applyBorder="1" applyAlignment="1">
      <alignment vertical="center" shrinkToFit="1"/>
    </xf>
    <xf numFmtId="9" fontId="68" fillId="0" borderId="0" xfId="86" applyFont="1" applyAlignment="1">
      <alignment horizontal="center" vertical="center"/>
    </xf>
    <xf numFmtId="191" fontId="68" fillId="0" borderId="39" xfId="0" applyNumberFormat="1" applyFont="1" applyBorder="1" applyAlignment="1">
      <alignment vertical="center"/>
    </xf>
    <xf numFmtId="205" fontId="68" fillId="0" borderId="39" xfId="0" applyNumberFormat="1" applyFont="1" applyBorder="1" applyAlignment="1">
      <alignment vertical="center"/>
    </xf>
    <xf numFmtId="209" fontId="68" fillId="0" borderId="39" xfId="0" applyNumberFormat="1" applyFont="1" applyBorder="1" applyAlignment="1">
      <alignment vertical="center"/>
    </xf>
    <xf numFmtId="0" fontId="48" fillId="0" borderId="69" xfId="79" applyNumberFormat="1" applyFont="1" applyFill="1" applyBorder="1" applyAlignment="1">
      <alignment vertical="center"/>
    </xf>
    <xf numFmtId="0" fontId="82" fillId="28" borderId="58" xfId="0" applyNumberFormat="1" applyFont="1" applyFill="1" applyBorder="1" applyAlignment="1">
      <alignment horizontal="center" vertical="center" wrapText="1"/>
    </xf>
    <xf numFmtId="0" fontId="53" fillId="26" borderId="59" xfId="0" quotePrefix="1" applyFont="1" applyFill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/>
    </xf>
    <xf numFmtId="0" fontId="52" fillId="0" borderId="59" xfId="0" applyFont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1"/>
    </xf>
    <xf numFmtId="0" fontId="48" fillId="0" borderId="59" xfId="79" applyNumberFormat="1" applyFont="1" applyFill="1" applyBorder="1" applyAlignment="1">
      <alignment horizontal="center" vertical="center"/>
    </xf>
    <xf numFmtId="0" fontId="81" fillId="0" borderId="57" xfId="0" applyNumberFormat="1" applyFont="1" applyFill="1" applyBorder="1" applyAlignment="1">
      <alignment vertical="center"/>
    </xf>
    <xf numFmtId="0" fontId="82" fillId="28" borderId="57" xfId="0" applyNumberFormat="1" applyFont="1" applyFill="1" applyBorder="1" applyAlignment="1">
      <alignment horizontal="center" vertical="center" wrapText="1"/>
    </xf>
    <xf numFmtId="189" fontId="82" fillId="28" borderId="57" xfId="0" applyNumberFormat="1" applyFont="1" applyFill="1" applyBorder="1" applyAlignment="1">
      <alignment horizontal="center" vertical="center" wrapText="1"/>
    </xf>
    <xf numFmtId="0" fontId="82" fillId="28" borderId="57" xfId="0" applyNumberFormat="1" applyFont="1" applyFill="1" applyBorder="1" applyAlignment="1">
      <alignment horizontal="center" vertical="center" wrapText="1"/>
    </xf>
    <xf numFmtId="189" fontId="82" fillId="28" borderId="63" xfId="0" applyNumberFormat="1" applyFont="1" applyFill="1" applyBorder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189" fontId="82" fillId="28" borderId="57" xfId="0" applyNumberFormat="1" applyFont="1" applyFill="1" applyBorder="1" applyAlignment="1">
      <alignment horizontal="center" vertical="center" wrapText="1"/>
    </xf>
    <xf numFmtId="0" fontId="48" fillId="0" borderId="69" xfId="79" applyNumberFormat="1" applyFont="1" applyFill="1" applyBorder="1" applyAlignment="1">
      <alignment horizontal="left" vertical="center"/>
    </xf>
    <xf numFmtId="0" fontId="50" fillId="0" borderId="69" xfId="80" applyNumberFormat="1" applyFont="1" applyFill="1" applyBorder="1" applyAlignment="1">
      <alignment horizontal="right" vertical="center"/>
    </xf>
    <xf numFmtId="0" fontId="48" fillId="0" borderId="69" xfId="79" applyNumberFormat="1" applyFont="1" applyFill="1" applyBorder="1" applyAlignment="1">
      <alignment horizontal="right" vertical="center"/>
    </xf>
    <xf numFmtId="0" fontId="48" fillId="0" borderId="69" xfId="79" applyNumberFormat="1" applyFont="1" applyFill="1" applyBorder="1" applyAlignment="1">
      <alignment horizontal="center" vertical="center"/>
    </xf>
    <xf numFmtId="49" fontId="60" fillId="0" borderId="0" xfId="79" applyNumberFormat="1" applyFont="1" applyFill="1" applyBorder="1" applyAlignment="1">
      <alignment vertical="center"/>
    </xf>
    <xf numFmtId="49" fontId="60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2"/>
    </xf>
    <xf numFmtId="216" fontId="93" fillId="37" borderId="69" xfId="103" applyNumberFormat="1" applyFont="1" applyFill="1" applyBorder="1" applyAlignment="1">
      <alignment horizontal="center" vertical="center" wrapText="1"/>
    </xf>
    <xf numFmtId="0" fontId="82" fillId="28" borderId="57" xfId="0" applyNumberFormat="1" applyFont="1" applyFill="1" applyBorder="1" applyAlignment="1">
      <alignment horizontal="center" vertical="center" wrapText="1"/>
    </xf>
    <xf numFmtId="49" fontId="60" fillId="37" borderId="69" xfId="79" applyNumberFormat="1" applyFont="1" applyFill="1" applyBorder="1" applyAlignment="1">
      <alignment horizontal="center" vertical="center" wrapText="1"/>
    </xf>
    <xf numFmtId="0" fontId="82" fillId="28" borderId="57" xfId="0" applyNumberFormat="1" applyFont="1" applyFill="1" applyBorder="1" applyAlignment="1">
      <alignment horizontal="center" vertical="center" wrapText="1"/>
    </xf>
    <xf numFmtId="49" fontId="81" fillId="0" borderId="0" xfId="0" applyNumberFormat="1" applyFont="1" applyFill="1" applyBorder="1" applyAlignment="1">
      <alignment horizontal="left" vertical="center"/>
    </xf>
    <xf numFmtId="199" fontId="81" fillId="35" borderId="50" xfId="0" applyNumberFormat="1" applyFont="1" applyFill="1" applyBorder="1" applyAlignment="1">
      <alignment horizontal="center" vertical="center"/>
    </xf>
    <xf numFmtId="0" fontId="81" fillId="38" borderId="57" xfId="0" applyNumberFormat="1" applyFont="1" applyFill="1" applyBorder="1" applyAlignment="1">
      <alignment horizontal="center" vertical="center"/>
    </xf>
    <xf numFmtId="0" fontId="82" fillId="28" borderId="57" xfId="0" applyNumberFormat="1" applyFont="1" applyFill="1" applyBorder="1" applyAlignment="1">
      <alignment horizontal="center" vertical="center" wrapText="1"/>
    </xf>
    <xf numFmtId="0" fontId="95" fillId="35" borderId="46" xfId="78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left" vertical="center" shrinkToFit="1"/>
    </xf>
    <xf numFmtId="0" fontId="11" fillId="0" borderId="1" xfId="0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0" borderId="26" xfId="0" applyFont="1" applyFill="1" applyBorder="1" applyAlignment="1">
      <alignment horizontal="center" vertical="center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63" fillId="0" borderId="35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47" fillId="0" borderId="0" xfId="79" applyNumberFormat="1" applyFont="1" applyAlignment="1">
      <alignment horizontal="center" wrapText="1"/>
    </xf>
    <xf numFmtId="49" fontId="75" fillId="0" borderId="0" xfId="82" applyNumberFormat="1" applyFont="1" applyFill="1" applyBorder="1" applyAlignment="1">
      <alignment horizontal="center" vertical="center" wrapText="1"/>
    </xf>
    <xf numFmtId="0" fontId="60" fillId="37" borderId="0" xfId="0" applyNumberFormat="1" applyFont="1" applyFill="1" applyAlignment="1">
      <alignment horizontal="center" vertical="center"/>
    </xf>
    <xf numFmtId="49" fontId="60" fillId="37" borderId="0" xfId="79" applyNumberFormat="1" applyFont="1" applyFill="1" applyBorder="1" applyAlignment="1">
      <alignment horizontal="center" vertical="center"/>
    </xf>
    <xf numFmtId="49" fontId="60" fillId="37" borderId="69" xfId="79" applyNumberFormat="1" applyFont="1" applyFill="1" applyBorder="1" applyAlignment="1">
      <alignment horizontal="center" vertical="center"/>
    </xf>
    <xf numFmtId="216" fontId="60" fillId="37" borderId="0" xfId="0" applyNumberFormat="1" applyFont="1" applyFill="1" applyBorder="1" applyAlignment="1">
      <alignment horizontal="center" vertical="center" wrapText="1"/>
    </xf>
    <xf numFmtId="216" fontId="60" fillId="37" borderId="69" xfId="0" applyNumberFormat="1" applyFont="1" applyFill="1" applyBorder="1" applyAlignment="1">
      <alignment horizontal="center" vertical="center" wrapText="1"/>
    </xf>
    <xf numFmtId="49" fontId="60" fillId="37" borderId="0" xfId="0" applyNumberFormat="1" applyFont="1" applyFill="1" applyBorder="1" applyAlignment="1">
      <alignment horizontal="center" vertical="center"/>
    </xf>
    <xf numFmtId="49" fontId="60" fillId="37" borderId="69" xfId="0" applyNumberFormat="1" applyFont="1" applyFill="1" applyBorder="1" applyAlignment="1">
      <alignment horizontal="center" vertical="center"/>
    </xf>
    <xf numFmtId="216" fontId="48" fillId="37" borderId="0" xfId="0" applyNumberFormat="1" applyFont="1" applyFill="1" applyAlignment="1">
      <alignment horizontal="center" vertical="center"/>
    </xf>
    <xf numFmtId="216" fontId="48" fillId="37" borderId="69" xfId="0" applyNumberFormat="1" applyFont="1" applyFill="1" applyBorder="1" applyAlignment="1">
      <alignment horizontal="center" vertical="center"/>
    </xf>
    <xf numFmtId="216" fontId="93" fillId="37" borderId="0" xfId="103" applyNumberFormat="1" applyFont="1" applyFill="1" applyBorder="1" applyAlignment="1">
      <alignment horizontal="center" vertical="center" wrapText="1"/>
    </xf>
    <xf numFmtId="216" fontId="93" fillId="37" borderId="69" xfId="103" applyNumberFormat="1" applyFont="1" applyFill="1" applyBorder="1" applyAlignment="1">
      <alignment horizontal="center" vertical="center" wrapText="1"/>
    </xf>
    <xf numFmtId="216" fontId="93" fillId="37" borderId="0" xfId="103" applyNumberFormat="1" applyFont="1" applyFill="1" applyBorder="1" applyAlignment="1">
      <alignment horizontal="center" vertical="center"/>
    </xf>
    <xf numFmtId="216" fontId="93" fillId="37" borderId="69" xfId="103" applyNumberFormat="1" applyFont="1" applyFill="1" applyBorder="1" applyAlignment="1">
      <alignment horizontal="center" vertical="center"/>
    </xf>
    <xf numFmtId="0" fontId="60" fillId="37" borderId="0" xfId="0" applyNumberFormat="1" applyFont="1" applyFill="1" applyBorder="1" applyAlignment="1">
      <alignment horizontal="center" vertical="center"/>
    </xf>
    <xf numFmtId="0" fontId="60" fillId="37" borderId="69" xfId="0" applyNumberFormat="1" applyFont="1" applyFill="1" applyBorder="1" applyAlignment="1">
      <alignment horizontal="center" vertical="center"/>
    </xf>
    <xf numFmtId="216" fontId="48" fillId="37" borderId="0" xfId="0" applyNumberFormat="1" applyFont="1" applyFill="1" applyBorder="1" applyAlignment="1">
      <alignment horizontal="center" vertical="center"/>
    </xf>
    <xf numFmtId="216" fontId="60" fillId="37" borderId="0" xfId="0" applyNumberFormat="1" applyFont="1" applyFill="1" applyBorder="1" applyAlignment="1">
      <alignment horizontal="center" vertical="center"/>
    </xf>
    <xf numFmtId="0" fontId="48" fillId="0" borderId="54" xfId="79" applyNumberFormat="1" applyFont="1" applyFill="1" applyBorder="1" applyAlignment="1">
      <alignment horizontal="center" vertical="center"/>
    </xf>
    <xf numFmtId="0" fontId="48" fillId="0" borderId="55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0" fontId="7" fillId="28" borderId="58" xfId="0" applyNumberFormat="1" applyFont="1" applyFill="1" applyBorder="1" applyAlignment="1">
      <alignment horizontal="center" vertical="center" wrapText="1"/>
    </xf>
    <xf numFmtId="0" fontId="7" fillId="28" borderId="70" xfId="0" applyNumberFormat="1" applyFont="1" applyFill="1" applyBorder="1" applyAlignment="1">
      <alignment horizontal="center" vertical="center" wrapText="1"/>
    </xf>
    <xf numFmtId="196" fontId="1" fillId="0" borderId="63" xfId="78" applyNumberFormat="1" applyFont="1" applyFill="1" applyBorder="1" applyAlignment="1">
      <alignment horizontal="center" vertical="center"/>
    </xf>
    <xf numFmtId="196" fontId="1" fillId="0" borderId="65" xfId="78" applyNumberFormat="1" applyFont="1" applyFill="1" applyBorder="1" applyAlignment="1">
      <alignment horizontal="center" vertical="center"/>
    </xf>
    <xf numFmtId="49" fontId="1" fillId="0" borderId="63" xfId="78" applyNumberFormat="1" applyFont="1" applyFill="1" applyBorder="1" applyAlignment="1">
      <alignment horizontal="center" vertical="center"/>
    </xf>
    <xf numFmtId="49" fontId="1" fillId="0" borderId="65" xfId="78" applyNumberFormat="1" applyFont="1" applyFill="1" applyBorder="1" applyAlignment="1">
      <alignment horizontal="center" vertical="center"/>
    </xf>
    <xf numFmtId="0" fontId="7" fillId="28" borderId="47" xfId="0" applyNumberFormat="1" applyFont="1" applyFill="1" applyBorder="1" applyAlignment="1">
      <alignment horizontal="center" vertical="center" wrapText="1"/>
    </xf>
    <xf numFmtId="0" fontId="7" fillId="28" borderId="63" xfId="0" applyNumberFormat="1" applyFont="1" applyFill="1" applyBorder="1" applyAlignment="1">
      <alignment horizontal="center" vertical="center"/>
    </xf>
    <xf numFmtId="0" fontId="7" fillId="28" borderId="64" xfId="0" applyNumberFormat="1" applyFont="1" applyFill="1" applyBorder="1" applyAlignment="1">
      <alignment horizontal="center" vertical="center"/>
    </xf>
    <xf numFmtId="0" fontId="7" fillId="28" borderId="65" xfId="0" applyNumberFormat="1" applyFont="1" applyFill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0" fontId="68" fillId="0" borderId="0" xfId="0" applyFont="1" applyBorder="1" applyAlignment="1">
      <alignment vertical="center"/>
    </xf>
    <xf numFmtId="0" fontId="68" fillId="0" borderId="39" xfId="0" applyNumberFormat="1" applyFont="1" applyBorder="1" applyAlignment="1">
      <alignment vertical="center"/>
    </xf>
    <xf numFmtId="0" fontId="68" fillId="0" borderId="0" xfId="0" applyFont="1" applyAlignment="1">
      <alignment horizontal="center" vertical="center"/>
    </xf>
    <xf numFmtId="211" fontId="68" fillId="0" borderId="0" xfId="0" applyNumberFormat="1" applyFont="1" applyBorder="1" applyAlignment="1">
      <alignment horizontal="left" vertical="center"/>
    </xf>
    <xf numFmtId="0" fontId="68" fillId="0" borderId="41" xfId="0" applyFont="1" applyBorder="1" applyAlignment="1">
      <alignment vertical="center"/>
    </xf>
    <xf numFmtId="0" fontId="68" fillId="0" borderId="41" xfId="0" applyNumberFormat="1" applyFont="1" applyBorder="1" applyAlignment="1">
      <alignment horizontal="center" vertical="center"/>
    </xf>
    <xf numFmtId="211" fontId="68" fillId="0" borderId="0" xfId="0" applyNumberFormat="1" applyFont="1" applyBorder="1" applyAlignment="1">
      <alignment horizontal="center" vertical="center"/>
    </xf>
    <xf numFmtId="209" fontId="68" fillId="0" borderId="0" xfId="0" applyNumberFormat="1" applyFont="1" applyBorder="1" applyAlignment="1">
      <alignment vertical="center"/>
    </xf>
    <xf numFmtId="191" fontId="68" fillId="0" borderId="0" xfId="0" applyNumberFormat="1" applyFont="1" applyBorder="1" applyAlignment="1">
      <alignment vertical="center"/>
    </xf>
    <xf numFmtId="0" fontId="68" fillId="0" borderId="0" xfId="0" applyNumberFormat="1" applyFont="1" applyBorder="1" applyAlignment="1">
      <alignment vertical="center"/>
    </xf>
    <xf numFmtId="195" fontId="68" fillId="0" borderId="0" xfId="0" applyNumberFormat="1" applyFont="1" applyBorder="1" applyAlignment="1">
      <alignment vertical="center"/>
    </xf>
    <xf numFmtId="0" fontId="68" fillId="0" borderId="42" xfId="0" applyFont="1" applyBorder="1" applyAlignment="1">
      <alignment horizontal="center" vertical="center"/>
    </xf>
    <xf numFmtId="0" fontId="68" fillId="0" borderId="54" xfId="0" applyFont="1" applyBorder="1" applyAlignment="1">
      <alignment horizontal="center" vertical="center"/>
    </xf>
    <xf numFmtId="0" fontId="70" fillId="0" borderId="55" xfId="0" applyFont="1" applyBorder="1" applyAlignment="1">
      <alignment horizontal="center" vertical="center"/>
    </xf>
    <xf numFmtId="0" fontId="70" fillId="0" borderId="37" xfId="0" applyFont="1" applyBorder="1" applyAlignment="1">
      <alignment horizontal="center" vertical="center"/>
    </xf>
    <xf numFmtId="0" fontId="70" fillId="0" borderId="39" xfId="0" applyFont="1" applyBorder="1" applyAlignment="1">
      <alignment horizontal="center" vertical="center"/>
    </xf>
    <xf numFmtId="0" fontId="70" fillId="0" borderId="45" xfId="0" applyFont="1" applyBorder="1" applyAlignment="1">
      <alignment horizontal="center" vertical="center"/>
    </xf>
    <xf numFmtId="194" fontId="68" fillId="0" borderId="39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194" fontId="68" fillId="0" borderId="0" xfId="0" applyNumberFormat="1" applyFont="1" applyBorder="1" applyAlignment="1">
      <alignment horizontal="right" vertical="center"/>
    </xf>
    <xf numFmtId="0" fontId="65" fillId="0" borderId="39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41" xfId="0" applyFont="1" applyBorder="1" applyAlignment="1">
      <alignment horizontal="center" vertical="center"/>
    </xf>
    <xf numFmtId="191" fontId="68" fillId="0" borderId="56" xfId="0" applyNumberFormat="1" applyFont="1" applyBorder="1" applyAlignment="1">
      <alignment vertical="center"/>
    </xf>
    <xf numFmtId="191" fontId="68" fillId="0" borderId="53" xfId="0" applyNumberFormat="1" applyFont="1" applyBorder="1" applyAlignment="1">
      <alignment vertical="center"/>
    </xf>
    <xf numFmtId="210" fontId="68" fillId="0" borderId="0" xfId="0" applyNumberFormat="1" applyFont="1" applyBorder="1" applyAlignment="1">
      <alignment horizontal="center" vertical="center"/>
    </xf>
    <xf numFmtId="194" fontId="68" fillId="0" borderId="0" xfId="0" applyNumberFormat="1" applyFont="1" applyBorder="1" applyAlignment="1">
      <alignment vertical="center"/>
    </xf>
    <xf numFmtId="0" fontId="68" fillId="0" borderId="0" xfId="0" applyFont="1" applyBorder="1">
      <alignment vertical="center"/>
    </xf>
    <xf numFmtId="0" fontId="68" fillId="0" borderId="52" xfId="0" applyNumberFormat="1" applyFont="1" applyBorder="1" applyAlignment="1">
      <alignment horizontal="center" vertical="center"/>
    </xf>
    <xf numFmtId="0" fontId="68" fillId="0" borderId="56" xfId="0" applyNumberFormat="1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center" vertical="center"/>
    </xf>
    <xf numFmtId="0" fontId="68" fillId="0" borderId="52" xfId="0" applyNumberFormat="1" applyFont="1" applyBorder="1" applyAlignment="1">
      <alignment horizontal="center" vertical="center" shrinkToFit="1"/>
    </xf>
    <xf numFmtId="0" fontId="68" fillId="0" borderId="56" xfId="0" applyNumberFormat="1" applyFont="1" applyBorder="1" applyAlignment="1">
      <alignment horizontal="center" vertical="center" shrinkToFit="1"/>
    </xf>
    <xf numFmtId="0" fontId="68" fillId="0" borderId="53" xfId="0" applyNumberFormat="1" applyFont="1" applyBorder="1" applyAlignment="1">
      <alignment horizontal="center" vertical="center" shrinkToFit="1"/>
    </xf>
    <xf numFmtId="0" fontId="68" fillId="32" borderId="43" xfId="0" applyFont="1" applyFill="1" applyBorder="1" applyAlignment="1">
      <alignment horizontal="center" vertical="center" wrapText="1"/>
    </xf>
    <xf numFmtId="0" fontId="68" fillId="32" borderId="41" xfId="0" applyFont="1" applyFill="1" applyBorder="1" applyAlignment="1">
      <alignment horizontal="center" vertical="center" wrapText="1"/>
    </xf>
    <xf numFmtId="0" fontId="68" fillId="32" borderId="44" xfId="0" applyFont="1" applyFill="1" applyBorder="1" applyAlignment="1">
      <alignment horizontal="center" vertical="center" wrapText="1"/>
    </xf>
    <xf numFmtId="0" fontId="68" fillId="32" borderId="37" xfId="0" applyFont="1" applyFill="1" applyBorder="1" applyAlignment="1">
      <alignment horizontal="center" vertical="center" wrapText="1"/>
    </xf>
    <xf numFmtId="0" fontId="68" fillId="32" borderId="39" xfId="0" applyFont="1" applyFill="1" applyBorder="1" applyAlignment="1">
      <alignment horizontal="center" vertical="center" wrapText="1"/>
    </xf>
    <xf numFmtId="0" fontId="68" fillId="32" borderId="45" xfId="0" applyFont="1" applyFill="1" applyBorder="1" applyAlignment="1">
      <alignment horizontal="center" vertical="center" wrapText="1"/>
    </xf>
    <xf numFmtId="0" fontId="68" fillId="32" borderId="52" xfId="0" applyFont="1" applyFill="1" applyBorder="1" applyAlignment="1">
      <alignment horizontal="center" vertical="center" wrapText="1"/>
    </xf>
    <xf numFmtId="0" fontId="68" fillId="32" borderId="56" xfId="0" applyFont="1" applyFill="1" applyBorder="1" applyAlignment="1">
      <alignment horizontal="center" vertical="center" wrapText="1"/>
    </xf>
    <xf numFmtId="0" fontId="68" fillId="32" borderId="53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/>
    </xf>
    <xf numFmtId="215" fontId="68" fillId="0" borderId="0" xfId="0" applyNumberFormat="1" applyFont="1" applyBorder="1" applyAlignment="1">
      <alignment horizontal="center" vertical="center"/>
    </xf>
    <xf numFmtId="207" fontId="68" fillId="0" borderId="0" xfId="0" applyNumberFormat="1" applyFont="1" applyBorder="1" applyAlignment="1">
      <alignment horizontal="center" vertical="center"/>
    </xf>
    <xf numFmtId="2" fontId="68" fillId="0" borderId="52" xfId="0" applyNumberFormat="1" applyFont="1" applyBorder="1" applyAlignment="1">
      <alignment horizontal="center" vertical="center"/>
    </xf>
    <xf numFmtId="194" fontId="68" fillId="0" borderId="52" xfId="0" applyNumberFormat="1" applyFont="1" applyBorder="1" applyAlignment="1">
      <alignment horizontal="center" vertical="center"/>
    </xf>
    <xf numFmtId="194" fontId="68" fillId="0" borderId="56" xfId="0" applyNumberFormat="1" applyFont="1" applyBorder="1" applyAlignment="1">
      <alignment horizontal="center" vertical="center"/>
    </xf>
    <xf numFmtId="194" fontId="68" fillId="0" borderId="53" xfId="0" applyNumberFormat="1" applyFont="1" applyBorder="1" applyAlignment="1">
      <alignment horizontal="center" vertical="center"/>
    </xf>
    <xf numFmtId="0" fontId="68" fillId="0" borderId="43" xfId="0" applyFont="1" applyBorder="1" applyAlignment="1">
      <alignment horizontal="center" vertical="center"/>
    </xf>
    <xf numFmtId="0" fontId="68" fillId="0" borderId="44" xfId="0" applyFont="1" applyBorder="1" applyAlignment="1">
      <alignment horizontal="center" vertical="center"/>
    </xf>
    <xf numFmtId="0" fontId="68" fillId="0" borderId="68" xfId="0" applyFont="1" applyBorder="1" applyAlignment="1">
      <alignment horizontal="center" vertical="center"/>
    </xf>
    <xf numFmtId="0" fontId="68" fillId="0" borderId="32" xfId="0" applyFont="1" applyBorder="1" applyAlignment="1">
      <alignment horizontal="center" vertical="center"/>
    </xf>
    <xf numFmtId="0" fontId="68" fillId="0" borderId="37" xfId="0" applyFont="1" applyBorder="1" applyAlignment="1">
      <alignment horizontal="center" vertical="center"/>
    </xf>
    <xf numFmtId="0" fontId="68" fillId="0" borderId="45" xfId="0" applyFont="1" applyBorder="1" applyAlignment="1">
      <alignment horizontal="center" vertical="center"/>
    </xf>
    <xf numFmtId="0" fontId="68" fillId="0" borderId="52" xfId="0" applyFont="1" applyBorder="1" applyAlignment="1">
      <alignment horizontal="center" vertical="center"/>
    </xf>
    <xf numFmtId="0" fontId="68" fillId="0" borderId="56" xfId="0" applyFont="1" applyBorder="1" applyAlignment="1">
      <alignment horizontal="center" vertical="center"/>
    </xf>
    <xf numFmtId="0" fontId="68" fillId="0" borderId="53" xfId="0" applyFont="1" applyBorder="1" applyAlignment="1">
      <alignment horizontal="center" vertical="center"/>
    </xf>
    <xf numFmtId="0" fontId="68" fillId="0" borderId="41" xfId="0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65" fillId="0" borderId="45" xfId="0" applyFont="1" applyBorder="1" applyAlignment="1">
      <alignment horizontal="center" vertical="center"/>
    </xf>
    <xf numFmtId="0" fontId="65" fillId="0" borderId="52" xfId="0" applyFont="1" applyBorder="1" applyAlignment="1">
      <alignment horizontal="center" vertical="center"/>
    </xf>
    <xf numFmtId="0" fontId="65" fillId="0" borderId="56" xfId="0" applyFont="1" applyBorder="1" applyAlignment="1">
      <alignment horizontal="center" vertical="center"/>
    </xf>
    <xf numFmtId="0" fontId="65" fillId="0" borderId="53" xfId="0" applyFont="1" applyBorder="1" applyAlignment="1">
      <alignment horizontal="center" vertical="center"/>
    </xf>
    <xf numFmtId="0" fontId="68" fillId="0" borderId="52" xfId="0" applyNumberFormat="1" applyFont="1" applyBorder="1" applyAlignment="1">
      <alignment horizontal="right" vertical="center"/>
    </xf>
    <xf numFmtId="0" fontId="68" fillId="0" borderId="56" xfId="0" applyNumberFormat="1" applyFont="1" applyBorder="1" applyAlignment="1">
      <alignment horizontal="right" vertical="center"/>
    </xf>
    <xf numFmtId="0" fontId="68" fillId="0" borderId="56" xfId="0" applyNumberFormat="1" applyFont="1" applyBorder="1" applyAlignment="1">
      <alignment vertical="center"/>
    </xf>
    <xf numFmtId="0" fontId="68" fillId="0" borderId="53" xfId="0" applyNumberFormat="1" applyFont="1" applyBorder="1" applyAlignment="1">
      <alignment vertical="center"/>
    </xf>
    <xf numFmtId="0" fontId="68" fillId="0" borderId="52" xfId="0" applyNumberFormat="1" applyFont="1" applyBorder="1" applyAlignment="1">
      <alignment vertical="center"/>
    </xf>
    <xf numFmtId="209" fontId="68" fillId="0" borderId="52" xfId="0" applyNumberFormat="1" applyFont="1" applyBorder="1" applyAlignment="1">
      <alignment horizontal="center" vertical="center"/>
    </xf>
    <xf numFmtId="209" fontId="68" fillId="0" borderId="56" xfId="0" applyNumberFormat="1" applyFont="1" applyBorder="1" applyAlignment="1">
      <alignment horizontal="center" vertical="center"/>
    </xf>
    <xf numFmtId="209" fontId="68" fillId="0" borderId="53" xfId="0" applyNumberFormat="1" applyFont="1" applyBorder="1" applyAlignment="1">
      <alignment horizontal="center" vertical="center"/>
    </xf>
    <xf numFmtId="195" fontId="68" fillId="0" borderId="52" xfId="0" applyNumberFormat="1" applyFont="1" applyBorder="1" applyAlignment="1">
      <alignment vertical="center"/>
    </xf>
    <xf numFmtId="195" fontId="68" fillId="0" borderId="56" xfId="0" applyNumberFormat="1" applyFont="1" applyBorder="1" applyAlignment="1">
      <alignment vertical="center"/>
    </xf>
    <xf numFmtId="209" fontId="68" fillId="0" borderId="52" xfId="0" applyNumberFormat="1" applyFont="1" applyBorder="1" applyAlignment="1">
      <alignment vertical="center"/>
    </xf>
    <xf numFmtId="209" fontId="68" fillId="0" borderId="56" xfId="0" applyNumberFormat="1" applyFont="1" applyBorder="1" applyAlignment="1">
      <alignment vertical="center"/>
    </xf>
    <xf numFmtId="211" fontId="68" fillId="0" borderId="52" xfId="0" applyNumberFormat="1" applyFont="1" applyBorder="1" applyAlignment="1">
      <alignment horizontal="center" vertical="center"/>
    </xf>
    <xf numFmtId="211" fontId="68" fillId="0" borderId="56" xfId="0" applyNumberFormat="1" applyFont="1" applyBorder="1" applyAlignment="1">
      <alignment horizontal="center" vertical="center"/>
    </xf>
    <xf numFmtId="211" fontId="68" fillId="0" borderId="53" xfId="0" applyNumberFormat="1" applyFont="1" applyBorder="1" applyAlignment="1">
      <alignment horizontal="center" vertical="center"/>
    </xf>
    <xf numFmtId="194" fontId="68" fillId="0" borderId="52" xfId="0" applyNumberFormat="1" applyFont="1" applyBorder="1" applyAlignment="1">
      <alignment horizontal="right" vertical="center"/>
    </xf>
    <xf numFmtId="194" fontId="68" fillId="0" borderId="56" xfId="0" applyNumberFormat="1" applyFont="1" applyBorder="1" applyAlignment="1">
      <alignment horizontal="right" vertical="center"/>
    </xf>
    <xf numFmtId="0" fontId="68" fillId="0" borderId="39" xfId="0" applyFont="1" applyBorder="1" applyAlignment="1">
      <alignment horizontal="center" vertical="center"/>
    </xf>
    <xf numFmtId="209" fontId="68" fillId="0" borderId="0" xfId="0" applyNumberFormat="1" applyFont="1" applyBorder="1" applyAlignment="1">
      <alignment horizontal="left" vertical="center"/>
    </xf>
    <xf numFmtId="0" fontId="68" fillId="0" borderId="0" xfId="0" applyNumberFormat="1" applyFont="1" applyBorder="1" applyAlignment="1">
      <alignment horizontal="center" vertical="center"/>
    </xf>
    <xf numFmtId="212" fontId="68" fillId="0" borderId="39" xfId="0" applyNumberFormat="1" applyFont="1" applyBorder="1" applyAlignment="1">
      <alignment vertical="center"/>
    </xf>
    <xf numFmtId="0" fontId="68" fillId="0" borderId="39" xfId="0" applyFont="1" applyBorder="1" applyAlignment="1">
      <alignment vertical="center"/>
    </xf>
    <xf numFmtId="214" fontId="68" fillId="0" borderId="0" xfId="87" applyNumberFormat="1" applyFont="1" applyBorder="1" applyAlignment="1">
      <alignment vertical="center"/>
    </xf>
    <xf numFmtId="9" fontId="68" fillId="0" borderId="0" xfId="86" applyFont="1" applyAlignment="1">
      <alignment horizontal="center" vertical="center"/>
    </xf>
    <xf numFmtId="195" fontId="68" fillId="0" borderId="39" xfId="0" applyNumberFormat="1" applyFont="1" applyBorder="1" applyAlignment="1">
      <alignment horizontal="center" vertical="center"/>
    </xf>
    <xf numFmtId="195" fontId="68" fillId="0" borderId="39" xfId="0" applyNumberFormat="1" applyFont="1" applyBorder="1" applyAlignment="1">
      <alignment horizontal="right" vertical="center"/>
    </xf>
    <xf numFmtId="206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201" fontId="68" fillId="0" borderId="0" xfId="0" applyNumberFormat="1" applyFont="1" applyBorder="1" applyAlignment="1">
      <alignment horizontal="center" vertical="center"/>
    </xf>
    <xf numFmtId="195" fontId="68" fillId="0" borderId="0" xfId="0" applyNumberFormat="1" applyFont="1" applyBorder="1" applyAlignment="1">
      <alignment horizontal="right" vertical="center"/>
    </xf>
    <xf numFmtId="209" fontId="68" fillId="0" borderId="39" xfId="0" applyNumberFormat="1" applyFont="1" applyBorder="1" applyAlignment="1">
      <alignment vertical="center"/>
    </xf>
    <xf numFmtId="209" fontId="68" fillId="0" borderId="0" xfId="0" applyNumberFormat="1" applyFont="1" applyBorder="1" applyAlignment="1">
      <alignment horizontal="center" vertical="center"/>
    </xf>
    <xf numFmtId="0" fontId="82" fillId="28" borderId="63" xfId="0" applyNumberFormat="1" applyFont="1" applyFill="1" applyBorder="1" applyAlignment="1">
      <alignment horizontal="center" vertical="center" wrapText="1"/>
    </xf>
    <xf numFmtId="0" fontId="82" fillId="28" borderId="64" xfId="0" applyNumberFormat="1" applyFont="1" applyFill="1" applyBorder="1" applyAlignment="1">
      <alignment horizontal="center" vertical="center" wrapText="1"/>
    </xf>
    <xf numFmtId="0" fontId="82" fillId="28" borderId="65" xfId="0" applyNumberFormat="1" applyFont="1" applyFill="1" applyBorder="1" applyAlignment="1">
      <alignment horizontal="center" vertical="center" wrapText="1"/>
    </xf>
    <xf numFmtId="0" fontId="81" fillId="0" borderId="58" xfId="0" applyNumberFormat="1" applyFont="1" applyFill="1" applyBorder="1" applyAlignment="1">
      <alignment horizontal="center" vertical="center"/>
    </xf>
    <xf numFmtId="0" fontId="81" fillId="0" borderId="46" xfId="0" applyNumberFormat="1" applyFont="1" applyFill="1" applyBorder="1" applyAlignment="1">
      <alignment horizontal="center" vertical="center"/>
    </xf>
    <xf numFmtId="0" fontId="82" fillId="28" borderId="58" xfId="0" applyNumberFormat="1" applyFont="1" applyFill="1" applyBorder="1" applyAlignment="1">
      <alignment horizontal="center" vertical="center" wrapText="1"/>
    </xf>
    <xf numFmtId="0" fontId="82" fillId="28" borderId="72" xfId="0" applyNumberFormat="1" applyFont="1" applyFill="1" applyBorder="1" applyAlignment="1">
      <alignment horizontal="center" vertical="center" wrapText="1"/>
    </xf>
    <xf numFmtId="0" fontId="82" fillId="28" borderId="46" xfId="0" applyNumberFormat="1" applyFont="1" applyFill="1" applyBorder="1" applyAlignment="1">
      <alignment horizontal="center" vertical="center" wrapText="1"/>
    </xf>
    <xf numFmtId="0" fontId="82" fillId="28" borderId="58" xfId="0" applyNumberFormat="1" applyFont="1" applyFill="1" applyBorder="1" applyAlignment="1">
      <alignment horizontal="center" vertical="center"/>
    </xf>
    <xf numFmtId="0" fontId="82" fillId="28" borderId="46" xfId="0" applyNumberFormat="1" applyFont="1" applyFill="1" applyBorder="1" applyAlignment="1">
      <alignment horizontal="center" vertical="center"/>
    </xf>
    <xf numFmtId="0" fontId="82" fillId="28" borderId="57" xfId="0" applyNumberFormat="1" applyFont="1" applyFill="1" applyBorder="1" applyAlignment="1">
      <alignment horizontal="center" vertical="center" wrapText="1"/>
    </xf>
    <xf numFmtId="0" fontId="82" fillId="28" borderId="47" xfId="0" applyNumberFormat="1" applyFont="1" applyFill="1" applyBorder="1" applyAlignment="1">
      <alignment horizontal="center" vertical="center"/>
    </xf>
    <xf numFmtId="0" fontId="82" fillId="28" borderId="70" xfId="0" applyNumberFormat="1" applyFont="1" applyFill="1" applyBorder="1" applyAlignment="1">
      <alignment horizontal="center" vertical="center"/>
    </xf>
    <xf numFmtId="0" fontId="82" fillId="28" borderId="63" xfId="0" applyNumberFormat="1" applyFont="1" applyFill="1" applyBorder="1" applyAlignment="1">
      <alignment horizontal="center" vertical="center"/>
    </xf>
    <xf numFmtId="0" fontId="82" fillId="28" borderId="64" xfId="0" applyNumberFormat="1" applyFont="1" applyFill="1" applyBorder="1" applyAlignment="1">
      <alignment horizontal="center" vertical="center"/>
    </xf>
    <xf numFmtId="0" fontId="82" fillId="28" borderId="65" xfId="0" applyNumberFormat="1" applyFont="1" applyFill="1" applyBorder="1" applyAlignment="1">
      <alignment horizontal="center" vertical="center"/>
    </xf>
    <xf numFmtId="189" fontId="82" fillId="28" borderId="57" xfId="0" applyNumberFormat="1" applyFont="1" applyFill="1" applyBorder="1" applyAlignment="1">
      <alignment horizontal="center" vertical="center" wrapText="1"/>
    </xf>
    <xf numFmtId="0" fontId="82" fillId="28" borderId="66" xfId="0" applyNumberFormat="1" applyFont="1" applyFill="1" applyBorder="1" applyAlignment="1">
      <alignment horizontal="center" vertical="center" wrapText="1"/>
    </xf>
    <xf numFmtId="0" fontId="82" fillId="28" borderId="71" xfId="0" applyNumberFormat="1" applyFont="1" applyFill="1" applyBorder="1" applyAlignment="1">
      <alignment horizontal="center" vertical="center" wrapText="1"/>
    </xf>
    <xf numFmtId="0" fontId="82" fillId="28" borderId="47" xfId="0" applyNumberFormat="1" applyFont="1" applyFill="1" applyBorder="1" applyAlignment="1">
      <alignment horizontal="center" vertical="center" wrapText="1"/>
    </xf>
    <xf numFmtId="189" fontId="82" fillId="28" borderId="58" xfId="0" applyNumberFormat="1" applyFont="1" applyFill="1" applyBorder="1" applyAlignment="1">
      <alignment horizontal="center" vertical="center" wrapText="1"/>
    </xf>
    <xf numFmtId="189" fontId="82" fillId="28" borderId="47" xfId="0" applyNumberFormat="1" applyFont="1" applyFill="1" applyBorder="1" applyAlignment="1">
      <alignment horizontal="center" vertical="center" wrapText="1"/>
    </xf>
    <xf numFmtId="199" fontId="81" fillId="0" borderId="58" xfId="0" applyNumberFormat="1" applyFont="1" applyFill="1" applyBorder="1" applyAlignment="1">
      <alignment horizontal="center" vertical="center"/>
    </xf>
    <xf numFmtId="0" fontId="81" fillId="32" borderId="58" xfId="0" applyNumberFormat="1" applyFont="1" applyFill="1" applyBorder="1" applyAlignment="1">
      <alignment horizontal="center" vertical="center"/>
    </xf>
    <xf numFmtId="0" fontId="81" fillId="32" borderId="46" xfId="0" applyNumberFormat="1" applyFont="1" applyFill="1" applyBorder="1" applyAlignment="1">
      <alignment horizontal="center" vertical="center"/>
    </xf>
    <xf numFmtId="2" fontId="81" fillId="34" borderId="58" xfId="0" applyNumberFormat="1" applyFont="1" applyFill="1" applyBorder="1" applyAlignment="1">
      <alignment horizontal="center" vertical="center"/>
    </xf>
    <xf numFmtId="2" fontId="81" fillId="34" borderId="46" xfId="0" applyNumberFormat="1" applyFont="1" applyFill="1" applyBorder="1" applyAlignment="1">
      <alignment horizontal="center" vertical="center"/>
    </xf>
    <xf numFmtId="208" fontId="52" fillId="0" borderId="54" xfId="87" applyNumberFormat="1" applyFont="1" applyBorder="1" applyAlignment="1">
      <alignment horizontal="center" vertical="center"/>
    </xf>
    <xf numFmtId="208" fontId="52" fillId="0" borderId="67" xfId="87" applyNumberFormat="1" applyFont="1" applyBorder="1" applyAlignment="1">
      <alignment horizontal="center" vertical="center"/>
    </xf>
    <xf numFmtId="208" fontId="52" fillId="0" borderId="55" xfId="87" applyNumberFormat="1" applyFont="1" applyBorder="1" applyAlignment="1">
      <alignment horizontal="center" vertical="center"/>
    </xf>
    <xf numFmtId="192" fontId="81" fillId="0" borderId="63" xfId="0" applyNumberFormat="1" applyFont="1" applyFill="1" applyBorder="1" applyAlignment="1">
      <alignment horizontal="center" vertical="center"/>
    </xf>
    <xf numFmtId="192" fontId="81" fillId="0" borderId="64" xfId="0" applyNumberFormat="1" applyFont="1" applyFill="1" applyBorder="1" applyAlignment="1">
      <alignment horizontal="center" vertical="center"/>
    </xf>
    <xf numFmtId="192" fontId="81" fillId="0" borderId="65" xfId="0" applyNumberFormat="1" applyFont="1" applyFill="1" applyBorder="1" applyAlignment="1">
      <alignment horizontal="center" vertical="center"/>
    </xf>
    <xf numFmtId="0" fontId="82" fillId="28" borderId="70" xfId="0" applyNumberFormat="1" applyFont="1" applyFill="1" applyBorder="1" applyAlignment="1">
      <alignment horizontal="center" vertical="center" wrapText="1"/>
    </xf>
    <xf numFmtId="41" fontId="52" fillId="0" borderId="54" xfId="87" applyFont="1" applyBorder="1" applyAlignment="1">
      <alignment horizontal="center" vertical="center" wrapText="1"/>
    </xf>
    <xf numFmtId="41" fontId="52" fillId="0" borderId="67" xfId="87" applyFont="1" applyBorder="1" applyAlignment="1">
      <alignment horizontal="center" vertical="center" wrapText="1"/>
    </xf>
    <xf numFmtId="41" fontId="52" fillId="0" borderId="55" xfId="87" applyFont="1" applyBorder="1" applyAlignment="1">
      <alignment horizontal="center" vertical="center" wrapText="1"/>
    </xf>
  </cellXfs>
  <cellStyles count="104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8"/>
    <cellStyle name="Input [yellow] 3" xfId="97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9"/>
    <cellStyle name="계산 3" xfId="98"/>
    <cellStyle name="나쁨" xfId="49" builtinId="27" customBuiltin="1"/>
    <cellStyle name="뒤에 오는 하이퍼링크_불확도(OPM)" xfId="50"/>
    <cellStyle name="메모" xfId="51" builtinId="10" customBuiltin="1"/>
    <cellStyle name="메모 2" xfId="90"/>
    <cellStyle name="메모 3" xfId="99"/>
    <cellStyle name="백분율" xfId="86" builtinId="5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7" builtinId="6"/>
    <cellStyle name="쉼표 [0] 2" xfId="94"/>
    <cellStyle name="쉼표 [0] 2 2" xfId="96"/>
    <cellStyle name="쉼표 [0] 3" xfId="95"/>
    <cellStyle name="스타일 1" xfId="56"/>
    <cellStyle name="연결된 셀" xfId="57" builtinId="24" customBuiltin="1"/>
    <cellStyle name="요약" xfId="58" builtinId="25" customBuiltin="1"/>
    <cellStyle name="요약 2" xfId="91"/>
    <cellStyle name="요약 3" xfId="100"/>
    <cellStyle name="입력" xfId="59" builtinId="20" customBuiltin="1"/>
    <cellStyle name="입력 2" xfId="92"/>
    <cellStyle name="입력 3" xfId="101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3"/>
    <cellStyle name="출력 3" xfId="102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Sheet1" xfId="81"/>
    <cellStyle name="표준_교정결과" xfId="10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20</xdr:row>
      <xdr:rowOff>9525</xdr:rowOff>
    </xdr:from>
    <xdr:to>
      <xdr:col>7</xdr:col>
      <xdr:colOff>267929</xdr:colOff>
      <xdr:row>20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33550" y="1146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33550" y="114681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0</xdr:rowOff>
        </xdr:from>
        <xdr:to>
          <xdr:col>12</xdr:col>
          <xdr:colOff>38100</xdr:colOff>
          <xdr:row>18</xdr:row>
          <xdr:rowOff>228600</xdr:rowOff>
        </xdr:to>
        <xdr:sp macro="" textlink="">
          <xdr:nvSpPr>
            <xdr:cNvPr id="2459" name="Object 411" hidden="1">
              <a:extLst>
                <a:ext uri="{63B3BB69-23CF-44E3-9099-C40C66FF867C}">
                  <a14:compatExt spid="_x0000_s2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27</xdr:row>
          <xdr:rowOff>19050</xdr:rowOff>
        </xdr:from>
        <xdr:to>
          <xdr:col>20</xdr:col>
          <xdr:colOff>123825</xdr:colOff>
          <xdr:row>28</xdr:row>
          <xdr:rowOff>19050</xdr:rowOff>
        </xdr:to>
        <xdr:sp macro="" textlink="">
          <xdr:nvSpPr>
            <xdr:cNvPr id="2460" name="Object 412" hidden="1">
              <a:extLst>
                <a:ext uri="{63B3BB69-23CF-44E3-9099-C40C66FF867C}">
                  <a14:compatExt spid="_x0000_s2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9525</xdr:rowOff>
        </xdr:from>
        <xdr:to>
          <xdr:col>24</xdr:col>
          <xdr:colOff>133350</xdr:colOff>
          <xdr:row>30</xdr:row>
          <xdr:rowOff>152400</xdr:rowOff>
        </xdr:to>
        <xdr:sp macro="" textlink="">
          <xdr:nvSpPr>
            <xdr:cNvPr id="2461" name="Object 413" hidden="1">
              <a:extLst>
                <a:ext uri="{63B3BB69-23CF-44E3-9099-C40C66FF867C}">
                  <a14:compatExt spid="_x0000_s2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102</xdr:row>
          <xdr:rowOff>9525</xdr:rowOff>
        </xdr:from>
        <xdr:to>
          <xdr:col>8</xdr:col>
          <xdr:colOff>142875</xdr:colOff>
          <xdr:row>104</xdr:row>
          <xdr:rowOff>180975</xdr:rowOff>
        </xdr:to>
        <xdr:sp macro="" textlink="">
          <xdr:nvSpPr>
            <xdr:cNvPr id="2462" name="Object 414" hidden="1">
              <a:extLst>
                <a:ext uri="{63B3BB69-23CF-44E3-9099-C40C66FF867C}">
                  <a14:compatExt spid="_x0000_s2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9525</xdr:colOff>
      <xdr:row>49</xdr:row>
      <xdr:rowOff>61912</xdr:rowOff>
    </xdr:from>
    <xdr:ext cx="997261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1228725" y="12368212"/>
              <a:ext cx="997261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𝜆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𝜕𝜆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228725" y="12368212"/>
              <a:ext cx="997261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𝑐_</a:t>
              </a:r>
              <a:r>
                <a:rPr lang="ko-KR" altLang="en-US" sz="1100" i="0">
                  <a:latin typeface="Cambria Math" panose="02040503050406030204" pitchFamily="18" charset="0"/>
                </a:rPr>
                <a:t>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𝐹/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=𝑏/2𝑎=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38100</xdr:colOff>
      <xdr:row>60</xdr:row>
      <xdr:rowOff>23812</xdr:rowOff>
    </xdr:from>
    <xdr:ext cx="207877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866900" y="14949487"/>
              <a:ext cx="20787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866900" y="14949487"/>
              <a:ext cx="20787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133350</xdr:colOff>
      <xdr:row>60</xdr:row>
      <xdr:rowOff>23812</xdr:rowOff>
    </xdr:from>
    <xdr:ext cx="20262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571750" y="14949487"/>
              <a:ext cx="20262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571750" y="14949487"/>
              <a:ext cx="20262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96</xdr:row>
      <xdr:rowOff>33337</xdr:rowOff>
    </xdr:from>
    <xdr:ext cx="99020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438150" y="23531512"/>
              <a:ext cx="9902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438150" y="23531512"/>
              <a:ext cx="9902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95</xdr:row>
          <xdr:rowOff>19050</xdr:rowOff>
        </xdr:from>
        <xdr:to>
          <xdr:col>20</xdr:col>
          <xdr:colOff>85725</xdr:colOff>
          <xdr:row>96</xdr:row>
          <xdr:rowOff>19050</xdr:rowOff>
        </xdr:to>
        <xdr:sp macro="" textlink="">
          <xdr:nvSpPr>
            <xdr:cNvPr id="2463" name="Object 415" hidden="1">
              <a:extLst>
                <a:ext uri="{63B3BB69-23CF-44E3-9099-C40C66FF867C}">
                  <a14:compatExt spid="_x0000_s2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123825</xdr:colOff>
      <xdr:row>96</xdr:row>
      <xdr:rowOff>33337</xdr:rowOff>
    </xdr:from>
    <xdr:ext cx="102124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1647825" y="23531512"/>
              <a:ext cx="10212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1647825" y="23531512"/>
              <a:ext cx="10212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9525</xdr:colOff>
      <xdr:row>103</xdr:row>
      <xdr:rowOff>33337</xdr:rowOff>
    </xdr:from>
    <xdr:ext cx="77296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13811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13811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102</xdr:row>
      <xdr:rowOff>33337</xdr:rowOff>
    </xdr:from>
    <xdr:ext cx="679866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2743200" y="24960262"/>
              <a:ext cx="679866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2743200" y="24960262"/>
              <a:ext cx="679866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85725</xdr:colOff>
      <xdr:row>112</xdr:row>
      <xdr:rowOff>0</xdr:rowOff>
    </xdr:from>
    <xdr:ext cx="65" cy="172227"/>
    <xdr:sp macro="" textlink="">
      <xdr:nvSpPr>
        <xdr:cNvPr id="37" name="TextBox 36"/>
        <xdr:cNvSpPr txBox="1"/>
      </xdr:nvSpPr>
      <xdr:spPr>
        <a:xfrm>
          <a:off x="2371725" y="27308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9525</xdr:colOff>
      <xdr:row>62</xdr:row>
      <xdr:rowOff>61912</xdr:rowOff>
    </xdr:from>
    <xdr:ext cx="1073820" cy="3218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228725" y="15463837"/>
              <a:ext cx="107382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sSup>
                          <m:sSup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228725" y="15463837"/>
              <a:ext cx="107382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𝑐_𝑎=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𝐹/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𝑎=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𝑏/〖2𝑎〗^2 =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12</xdr:col>
      <xdr:colOff>38100</xdr:colOff>
      <xdr:row>73</xdr:row>
      <xdr:rowOff>23812</xdr:rowOff>
    </xdr:from>
    <xdr:ext cx="207877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1866900" y="18045112"/>
              <a:ext cx="20787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1866900" y="18045112"/>
              <a:ext cx="207877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√𝑛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16</xdr:col>
      <xdr:colOff>133350</xdr:colOff>
      <xdr:row>73</xdr:row>
      <xdr:rowOff>23812</xdr:rowOff>
    </xdr:from>
    <xdr:ext cx="20262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2571750" y="18045112"/>
              <a:ext cx="20262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rad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2571750" y="18045112"/>
              <a:ext cx="20262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75</xdr:row>
      <xdr:rowOff>61912</xdr:rowOff>
    </xdr:from>
    <xdr:ext cx="1005980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228725" y="18559462"/>
              <a:ext cx="100598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num>
                      <m:den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</m:num>
                      <m:den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228725" y="18559462"/>
              <a:ext cx="100598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𝑐_𝑏=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𝐹/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𝜕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𝑏=</a:t>
              </a:r>
              <a:r>
                <a:rPr lang="ko-KR" altLang="en-US" sz="1100" b="0" i="0">
                  <a:latin typeface="Cambria Math" panose="02040503050406030204" pitchFamily="18" charset="0"/>
                </a:rPr>
                <a:t>𝜆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/2𝑎=</a:t>
              </a:r>
              <a:endParaRPr lang="ko-KR" alt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28575</xdr:colOff>
          <xdr:row>89</xdr:row>
          <xdr:rowOff>47625</xdr:rowOff>
        </xdr:from>
        <xdr:to>
          <xdr:col>12</xdr:col>
          <xdr:colOff>104775</xdr:colOff>
          <xdr:row>90</xdr:row>
          <xdr:rowOff>200025</xdr:rowOff>
        </xdr:to>
        <xdr:sp macro="" textlink="">
          <xdr:nvSpPr>
            <xdr:cNvPr id="2464" name="Object 416" hidden="1">
              <a:extLst>
                <a:ext uri="{63B3BB69-23CF-44E3-9099-C40C66FF867C}">
                  <a14:compatExt spid="_x0000_s2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20</xdr:col>
      <xdr:colOff>123825</xdr:colOff>
      <xdr:row>96</xdr:row>
      <xdr:rowOff>33337</xdr:rowOff>
    </xdr:from>
    <xdr:ext cx="102124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2867025" y="23531512"/>
              <a:ext cx="10212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2867025" y="23531512"/>
              <a:ext cx="102124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28</xdr:col>
      <xdr:colOff>123825</xdr:colOff>
      <xdr:row>96</xdr:row>
      <xdr:rowOff>33337</xdr:rowOff>
    </xdr:from>
    <xdr:ext cx="8350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4086225" y="23531512"/>
              <a:ext cx="835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4086225" y="23531512"/>
              <a:ext cx="8350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97</xdr:row>
      <xdr:rowOff>33337</xdr:rowOff>
    </xdr:from>
    <xdr:ext cx="99020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438150" y="23769637"/>
              <a:ext cx="9902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438150" y="23769637"/>
              <a:ext cx="9902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       )^2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15</xdr:col>
      <xdr:colOff>9525</xdr:colOff>
      <xdr:row>103</xdr:row>
      <xdr:rowOff>33337</xdr:rowOff>
    </xdr:from>
    <xdr:ext cx="77296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22955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22955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21</xdr:col>
      <xdr:colOff>9525</xdr:colOff>
      <xdr:row>103</xdr:row>
      <xdr:rowOff>33337</xdr:rowOff>
    </xdr:from>
    <xdr:ext cx="77296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32099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3209925" y="25198387"/>
              <a:ext cx="77296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    )^4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123825</xdr:colOff>
      <xdr:row>103</xdr:row>
      <xdr:rowOff>33337</xdr:rowOff>
    </xdr:from>
    <xdr:ext cx="6488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4086225" y="25198387"/>
              <a:ext cx="6488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           </m:t>
                            </m:r>
                          </m:e>
                        </m:d>
                      </m:e>
                      <m:sup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4086225" y="25198387"/>
              <a:ext cx="6488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            )^4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259" t="s">
        <v>0</v>
      </c>
      <c r="B1" s="260"/>
      <c r="C1" s="260"/>
      <c r="D1" s="260"/>
      <c r="E1" s="260"/>
      <c r="F1" s="260"/>
      <c r="G1" s="260"/>
      <c r="H1" s="261"/>
      <c r="I1" s="262"/>
      <c r="J1" s="263"/>
    </row>
    <row r="2" spans="1:13" ht="12.95" customHeight="1">
      <c r="A2" s="264" t="s">
        <v>1</v>
      </c>
      <c r="B2" s="264"/>
      <c r="C2" s="264"/>
      <c r="D2" s="264"/>
      <c r="E2" s="264"/>
      <c r="F2" s="264"/>
      <c r="G2" s="264"/>
      <c r="H2" s="264"/>
      <c r="I2" s="264"/>
      <c r="J2" s="264"/>
    </row>
    <row r="3" spans="1:13" ht="12.95" customHeight="1">
      <c r="A3" s="256" t="s">
        <v>2</v>
      </c>
      <c r="B3" s="253"/>
      <c r="C3" s="265"/>
      <c r="D3" s="265"/>
      <c r="E3" s="265"/>
      <c r="F3" s="253" t="s">
        <v>3</v>
      </c>
      <c r="G3" s="253"/>
      <c r="H3" s="266"/>
      <c r="I3" s="255"/>
      <c r="J3" s="255"/>
    </row>
    <row r="4" spans="1:13" ht="12.95" customHeight="1">
      <c r="A4" s="253" t="s">
        <v>4</v>
      </c>
      <c r="B4" s="253"/>
      <c r="C4" s="254"/>
      <c r="D4" s="253"/>
      <c r="E4" s="253"/>
      <c r="F4" s="253" t="s">
        <v>5</v>
      </c>
      <c r="G4" s="253"/>
      <c r="H4" s="253"/>
      <c r="I4" s="255"/>
      <c r="J4" s="255"/>
    </row>
    <row r="5" spans="1:13" ht="12.95" customHeight="1">
      <c r="A5" s="253" t="s">
        <v>6</v>
      </c>
      <c r="B5" s="253"/>
      <c r="C5" s="253"/>
      <c r="D5" s="255"/>
      <c r="E5" s="255"/>
      <c r="F5" s="256" t="s">
        <v>7</v>
      </c>
      <c r="G5" s="253"/>
      <c r="H5" s="257"/>
      <c r="I5" s="258"/>
      <c r="J5" s="258"/>
    </row>
    <row r="6" spans="1:13" ht="12.95" customHeight="1">
      <c r="A6" s="253" t="s">
        <v>8</v>
      </c>
      <c r="B6" s="253"/>
      <c r="C6" s="253"/>
      <c r="D6" s="255"/>
      <c r="E6" s="255"/>
      <c r="F6" s="256" t="s">
        <v>9</v>
      </c>
      <c r="G6" s="253"/>
      <c r="H6" s="257"/>
      <c r="I6" s="258"/>
      <c r="J6" s="258"/>
    </row>
    <row r="7" spans="1:13" ht="12.95" customHeight="1">
      <c r="A7" s="253" t="s">
        <v>10</v>
      </c>
      <c r="B7" s="253"/>
      <c r="C7" s="268"/>
      <c r="D7" s="255"/>
      <c r="E7" s="255"/>
      <c r="F7" s="256" t="s">
        <v>11</v>
      </c>
      <c r="G7" s="253"/>
      <c r="H7" s="253"/>
      <c r="I7" s="255"/>
      <c r="J7" s="255"/>
    </row>
    <row r="8" spans="1:13" ht="12.95" customHeight="1">
      <c r="A8" s="253" t="s">
        <v>12</v>
      </c>
      <c r="B8" s="253"/>
      <c r="C8" s="266"/>
      <c r="D8" s="267"/>
      <c r="E8" s="267"/>
      <c r="F8" s="256" t="s">
        <v>13</v>
      </c>
      <c r="G8" s="253"/>
      <c r="H8" s="253"/>
      <c r="I8" s="255"/>
      <c r="J8" s="255"/>
    </row>
    <row r="9" spans="1:13" ht="12.95" customHeight="1">
      <c r="A9" s="256" t="s">
        <v>35</v>
      </c>
      <c r="B9" s="253"/>
      <c r="C9" s="257"/>
      <c r="D9" s="258"/>
      <c r="E9" s="258"/>
      <c r="F9" s="269" t="s">
        <v>14</v>
      </c>
      <c r="G9" s="269"/>
      <c r="H9" s="257"/>
      <c r="I9" s="258"/>
      <c r="J9" s="258"/>
    </row>
    <row r="10" spans="1:13" ht="23.25" customHeight="1">
      <c r="A10" s="253" t="s">
        <v>15</v>
      </c>
      <c r="B10" s="253"/>
      <c r="C10" s="257"/>
      <c r="D10" s="258"/>
      <c r="E10" s="258"/>
      <c r="F10" s="253" t="s">
        <v>16</v>
      </c>
      <c r="G10" s="253"/>
      <c r="H10" s="34"/>
      <c r="I10" s="277" t="s">
        <v>17</v>
      </c>
      <c r="J10" s="278"/>
      <c r="K10" s="4"/>
    </row>
    <row r="11" spans="1:13" ht="12.95" customHeight="1">
      <c r="A11" s="264" t="s">
        <v>18</v>
      </c>
      <c r="B11" s="264"/>
      <c r="C11" s="264"/>
      <c r="D11" s="264"/>
      <c r="E11" s="264"/>
      <c r="F11" s="264"/>
      <c r="G11" s="264"/>
      <c r="H11" s="264"/>
      <c r="I11" s="264"/>
      <c r="J11" s="264"/>
      <c r="K11" s="5"/>
    </row>
    <row r="12" spans="1:13" ht="17.25" customHeight="1">
      <c r="A12" s="3" t="s">
        <v>19</v>
      </c>
      <c r="B12" s="85"/>
      <c r="C12" s="6" t="s">
        <v>20</v>
      </c>
      <c r="D12" s="86"/>
      <c r="E12" s="6" t="s">
        <v>21</v>
      </c>
      <c r="F12" s="87"/>
      <c r="G12" s="279" t="s">
        <v>22</v>
      </c>
      <c r="H12" s="275"/>
      <c r="I12" s="281" t="s">
        <v>23</v>
      </c>
      <c r="J12" s="282"/>
      <c r="K12" s="4"/>
      <c r="L12" s="7"/>
      <c r="M12" s="7"/>
    </row>
    <row r="13" spans="1:13" ht="17.25" customHeight="1">
      <c r="A13" s="8" t="s">
        <v>24</v>
      </c>
      <c r="B13" s="85"/>
      <c r="C13" s="8" t="s">
        <v>25</v>
      </c>
      <c r="D13" s="86"/>
      <c r="E13" s="6" t="s">
        <v>26</v>
      </c>
      <c r="F13" s="87"/>
      <c r="G13" s="280"/>
      <c r="H13" s="276"/>
      <c r="I13" s="283"/>
      <c r="J13" s="284"/>
      <c r="K13" s="5"/>
    </row>
    <row r="14" spans="1:13" ht="12.95" customHeight="1">
      <c r="A14" s="264" t="s">
        <v>27</v>
      </c>
      <c r="B14" s="264"/>
      <c r="C14" s="264"/>
      <c r="D14" s="264"/>
      <c r="E14" s="264"/>
      <c r="F14" s="264"/>
      <c r="G14" s="264"/>
      <c r="H14" s="264"/>
      <c r="I14" s="264"/>
      <c r="J14" s="264"/>
      <c r="K14" s="5"/>
    </row>
    <row r="15" spans="1:13" ht="39" customHeight="1">
      <c r="A15" s="272"/>
      <c r="B15" s="273"/>
      <c r="C15" s="273"/>
      <c r="D15" s="273"/>
      <c r="E15" s="273"/>
      <c r="F15" s="273"/>
      <c r="G15" s="273"/>
      <c r="H15" s="273"/>
      <c r="I15" s="273"/>
      <c r="J15" s="274"/>
    </row>
    <row r="16" spans="1:13" ht="12.95" customHeight="1">
      <c r="A16" s="264" t="s">
        <v>28</v>
      </c>
      <c r="B16" s="264"/>
      <c r="C16" s="264"/>
      <c r="D16" s="264"/>
      <c r="E16" s="264"/>
      <c r="F16" s="264"/>
      <c r="G16" s="264"/>
      <c r="H16" s="264"/>
      <c r="I16" s="264"/>
      <c r="J16" s="264"/>
    </row>
    <row r="17" spans="1:12" ht="12.95" customHeight="1">
      <c r="A17" s="3" t="s">
        <v>29</v>
      </c>
      <c r="B17" s="256" t="s">
        <v>30</v>
      </c>
      <c r="C17" s="253"/>
      <c r="D17" s="253"/>
      <c r="E17" s="253"/>
      <c r="F17" s="256" t="s">
        <v>31</v>
      </c>
      <c r="G17" s="253"/>
      <c r="H17" s="3" t="s">
        <v>10</v>
      </c>
      <c r="I17" s="2" t="s">
        <v>32</v>
      </c>
      <c r="J17" s="2" t="s">
        <v>33</v>
      </c>
      <c r="L17" s="5"/>
    </row>
    <row r="18" spans="1:12" ht="12.95" customHeight="1">
      <c r="A18" s="35"/>
      <c r="B18" s="270"/>
      <c r="C18" s="271"/>
      <c r="D18" s="271"/>
      <c r="E18" s="271"/>
      <c r="F18" s="270"/>
      <c r="G18" s="271"/>
      <c r="H18" s="40"/>
      <c r="I18" s="17"/>
      <c r="J18" s="84"/>
      <c r="L18" s="5"/>
    </row>
    <row r="19" spans="1:12" ht="12.95" customHeight="1">
      <c r="A19" s="35"/>
      <c r="B19" s="270"/>
      <c r="C19" s="271"/>
      <c r="D19" s="271"/>
      <c r="E19" s="271"/>
      <c r="F19" s="270"/>
      <c r="G19" s="271"/>
      <c r="H19" s="20"/>
      <c r="I19" s="20"/>
      <c r="J19" s="84"/>
      <c r="L19" s="5"/>
    </row>
    <row r="20" spans="1:12" ht="12.95" customHeight="1">
      <c r="A20" s="35"/>
      <c r="B20" s="270"/>
      <c r="C20" s="271"/>
      <c r="D20" s="271"/>
      <c r="E20" s="271"/>
      <c r="F20" s="270"/>
      <c r="G20" s="271"/>
      <c r="H20" s="31"/>
      <c r="I20" s="31"/>
      <c r="J20" s="84"/>
      <c r="L20" s="5"/>
    </row>
    <row r="21" spans="1:12" ht="12.95" customHeight="1">
      <c r="A21" s="35"/>
      <c r="B21" s="270"/>
      <c r="C21" s="271"/>
      <c r="D21" s="271"/>
      <c r="E21" s="271"/>
      <c r="F21" s="270"/>
      <c r="G21" s="271"/>
      <c r="H21" s="31"/>
      <c r="I21" s="9"/>
      <c r="J21" s="84"/>
      <c r="L21" s="5"/>
    </row>
    <row r="22" spans="1:12" ht="12.95" customHeight="1">
      <c r="A22" s="35"/>
      <c r="B22" s="270"/>
      <c r="C22" s="271"/>
      <c r="D22" s="271"/>
      <c r="E22" s="271"/>
      <c r="F22" s="270"/>
      <c r="G22" s="271"/>
      <c r="H22" s="19"/>
      <c r="I22" s="11"/>
      <c r="J22" s="84"/>
      <c r="L22" s="5"/>
    </row>
    <row r="23" spans="1:12" ht="12.95" customHeight="1">
      <c r="A23" s="35"/>
      <c r="B23" s="270"/>
      <c r="C23" s="271"/>
      <c r="D23" s="271"/>
      <c r="E23" s="271"/>
      <c r="F23" s="270"/>
      <c r="G23" s="271"/>
      <c r="H23" s="11"/>
      <c r="I23" s="9"/>
      <c r="J23" s="84"/>
      <c r="L23" s="5"/>
    </row>
    <row r="24" spans="1:12" ht="12.95" customHeight="1">
      <c r="A24" s="35"/>
      <c r="B24" s="270"/>
      <c r="C24" s="271"/>
      <c r="D24" s="271"/>
      <c r="E24" s="271"/>
      <c r="F24" s="270"/>
      <c r="G24" s="271"/>
      <c r="H24" s="15"/>
      <c r="I24" s="9"/>
      <c r="J24" s="84"/>
      <c r="L24" s="5"/>
    </row>
    <row r="25" spans="1:12" ht="12.95" customHeight="1">
      <c r="A25" s="35"/>
      <c r="B25" s="270"/>
      <c r="C25" s="271"/>
      <c r="D25" s="271"/>
      <c r="E25" s="271"/>
      <c r="F25" s="270"/>
      <c r="G25" s="271"/>
      <c r="H25" s="15"/>
      <c r="I25" s="9"/>
      <c r="J25" s="84"/>
      <c r="L25" s="5"/>
    </row>
    <row r="26" spans="1:12" ht="12.95" customHeight="1">
      <c r="A26" s="35"/>
      <c r="B26" s="270"/>
      <c r="C26" s="271"/>
      <c r="D26" s="271"/>
      <c r="E26" s="271"/>
      <c r="F26" s="270"/>
      <c r="G26" s="271"/>
      <c r="H26" s="15"/>
      <c r="I26" s="9"/>
      <c r="J26" s="84"/>
      <c r="L26" s="5"/>
    </row>
    <row r="27" spans="1:12" ht="12.95" customHeight="1">
      <c r="A27" s="35"/>
      <c r="B27" s="270"/>
      <c r="C27" s="271"/>
      <c r="D27" s="271"/>
      <c r="E27" s="271"/>
      <c r="F27" s="270"/>
      <c r="G27" s="271"/>
      <c r="H27" s="9"/>
      <c r="I27" s="9"/>
      <c r="J27" s="84"/>
    </row>
    <row r="28" spans="1:12" ht="12.95" customHeight="1">
      <c r="A28" s="35"/>
      <c r="B28" s="270"/>
      <c r="C28" s="271"/>
      <c r="D28" s="271"/>
      <c r="E28" s="271"/>
      <c r="F28" s="270"/>
      <c r="G28" s="271"/>
      <c r="H28" s="9"/>
      <c r="I28" s="9"/>
      <c r="J28" s="84"/>
    </row>
    <row r="29" spans="1:12" ht="12.95" customHeight="1">
      <c r="A29" s="35"/>
      <c r="B29" s="270"/>
      <c r="C29" s="271"/>
      <c r="D29" s="271"/>
      <c r="E29" s="271"/>
      <c r="F29" s="270"/>
      <c r="G29" s="271"/>
      <c r="H29" s="9"/>
      <c r="I29" s="9"/>
      <c r="J29" s="84"/>
    </row>
    <row r="30" spans="1:12" ht="12.95" customHeight="1">
      <c r="A30" s="35"/>
      <c r="B30" s="270"/>
      <c r="C30" s="271"/>
      <c r="D30" s="271"/>
      <c r="E30" s="271"/>
      <c r="F30" s="270"/>
      <c r="G30" s="271"/>
      <c r="H30" s="9"/>
      <c r="I30" s="9"/>
      <c r="J30" s="84"/>
    </row>
    <row r="31" spans="1:12" ht="12.95" customHeight="1">
      <c r="A31" s="35"/>
      <c r="B31" s="270"/>
      <c r="C31" s="271"/>
      <c r="D31" s="271"/>
      <c r="E31" s="271"/>
      <c r="F31" s="270"/>
      <c r="G31" s="271"/>
      <c r="H31" s="9"/>
      <c r="I31" s="9"/>
      <c r="J31" s="84"/>
    </row>
    <row r="32" spans="1:12" ht="12.95" customHeight="1">
      <c r="A32" s="35"/>
      <c r="B32" s="270"/>
      <c r="C32" s="271"/>
      <c r="D32" s="271"/>
      <c r="E32" s="271"/>
      <c r="F32" s="270"/>
      <c r="G32" s="271"/>
      <c r="H32" s="9"/>
      <c r="I32" s="9"/>
      <c r="J32" s="84"/>
    </row>
    <row r="33" spans="1:10" ht="12.95" customHeight="1">
      <c r="A33" s="35"/>
      <c r="B33" s="270"/>
      <c r="C33" s="271"/>
      <c r="D33" s="271"/>
      <c r="E33" s="271"/>
      <c r="F33" s="270"/>
      <c r="G33" s="271"/>
      <c r="H33" s="9"/>
      <c r="I33" s="9"/>
      <c r="J33" s="84"/>
    </row>
    <row r="34" spans="1:10" ht="12.95" customHeight="1">
      <c r="A34" s="35"/>
      <c r="B34" s="270"/>
      <c r="C34" s="271"/>
      <c r="D34" s="271"/>
      <c r="E34" s="271"/>
      <c r="F34" s="270"/>
      <c r="G34" s="271"/>
      <c r="H34" s="9"/>
      <c r="I34" s="9"/>
      <c r="J34" s="84"/>
    </row>
    <row r="35" spans="1:10" ht="12.95" customHeight="1">
      <c r="A35" s="35"/>
      <c r="B35" s="270"/>
      <c r="C35" s="271"/>
      <c r="D35" s="271"/>
      <c r="E35" s="271"/>
      <c r="F35" s="270"/>
      <c r="G35" s="271"/>
      <c r="H35" s="9"/>
      <c r="I35" s="9"/>
      <c r="J35" s="84"/>
    </row>
    <row r="36" spans="1:10" ht="12.95" customHeight="1">
      <c r="A36" s="35"/>
      <c r="B36" s="270"/>
      <c r="C36" s="271"/>
      <c r="D36" s="271"/>
      <c r="E36" s="271"/>
      <c r="F36" s="270"/>
      <c r="G36" s="271"/>
      <c r="H36" s="9"/>
      <c r="I36" s="9"/>
      <c r="J36" s="84"/>
    </row>
    <row r="37" spans="1:10" ht="12.95" customHeight="1">
      <c r="A37" s="35"/>
      <c r="B37" s="270"/>
      <c r="C37" s="271"/>
      <c r="D37" s="271"/>
      <c r="E37" s="271"/>
      <c r="F37" s="270"/>
      <c r="G37" s="271"/>
      <c r="H37" s="9"/>
      <c r="I37" s="9"/>
      <c r="J37" s="84"/>
    </row>
    <row r="38" spans="1:10" ht="12.95" customHeight="1">
      <c r="A38" s="39" t="s">
        <v>36</v>
      </c>
      <c r="B38" s="5"/>
      <c r="C38" s="5"/>
      <c r="D38" s="5"/>
      <c r="E38" s="5"/>
      <c r="J38" s="10"/>
    </row>
    <row r="39" spans="1:10" ht="12.95" customHeight="1">
      <c r="A39" s="294" t="s">
        <v>37</v>
      </c>
      <c r="B39" s="294"/>
      <c r="C39" s="294"/>
      <c r="D39" s="294"/>
      <c r="E39" s="294"/>
      <c r="F39" s="297" t="s">
        <v>38</v>
      </c>
      <c r="G39" s="285"/>
      <c r="H39" s="286"/>
      <c r="I39" s="286"/>
      <c r="J39" s="287"/>
    </row>
    <row r="40" spans="1:10" ht="12.95" customHeight="1">
      <c r="A40" s="294" t="s">
        <v>39</v>
      </c>
      <c r="B40" s="294"/>
      <c r="C40" s="294"/>
      <c r="D40" s="294"/>
      <c r="E40" s="294"/>
      <c r="F40" s="298"/>
      <c r="G40" s="288"/>
      <c r="H40" s="289"/>
      <c r="I40" s="289"/>
      <c r="J40" s="290"/>
    </row>
    <row r="41" spans="1:10" ht="12.95" customHeight="1">
      <c r="A41" s="294" t="s">
        <v>40</v>
      </c>
      <c r="B41" s="294"/>
      <c r="C41" s="294"/>
      <c r="D41" s="294"/>
      <c r="E41" s="294"/>
      <c r="F41" s="298"/>
      <c r="G41" s="288"/>
      <c r="H41" s="289"/>
      <c r="I41" s="289"/>
      <c r="J41" s="290"/>
    </row>
    <row r="42" spans="1:10" ht="12.95" customHeight="1">
      <c r="A42" s="294" t="s">
        <v>41</v>
      </c>
      <c r="B42" s="294"/>
      <c r="C42" s="295" t="s">
        <v>42</v>
      </c>
      <c r="D42" s="295"/>
      <c r="E42" s="295"/>
      <c r="F42" s="299"/>
      <c r="G42" s="291"/>
      <c r="H42" s="292"/>
      <c r="I42" s="292"/>
      <c r="J42" s="293"/>
    </row>
    <row r="43" spans="1:10" ht="12.95" customHeight="1">
      <c r="A43" s="296" t="s">
        <v>49</v>
      </c>
      <c r="B43" s="296"/>
      <c r="C43" s="296" t="e">
        <f ca="1">Calcu!G3</f>
        <v>#N/A</v>
      </c>
      <c r="D43" s="296"/>
      <c r="E43" s="296"/>
    </row>
    <row r="46" spans="1:10" ht="12.95" customHeight="1">
      <c r="B46" s="1" t="s">
        <v>209</v>
      </c>
    </row>
    <row r="47" spans="1:10" ht="12.95" customHeight="1">
      <c r="B47" s="1" t="s">
        <v>210</v>
      </c>
    </row>
    <row r="48" spans="1:10" ht="12.95" customHeight="1">
      <c r="A48" s="1">
        <f ca="1">Calcu!K49</f>
        <v>0</v>
      </c>
      <c r="B48" s="1" t="s">
        <v>243</v>
      </c>
    </row>
    <row r="49" spans="1:2" ht="12.95" customHeight="1">
      <c r="A49" s="108"/>
    </row>
    <row r="50" spans="1:2" ht="12.95" customHeight="1">
      <c r="A50" s="1" t="str">
        <f>Calcu!H3</f>
        <v>PASS</v>
      </c>
      <c r="B50" s="1" t="s">
        <v>244</v>
      </c>
    </row>
    <row r="52" spans="1:2" ht="12.95" customHeight="1">
      <c r="B52" s="1" t="s">
        <v>356</v>
      </c>
    </row>
  </sheetData>
  <sheetProtection selectLockedCells="1"/>
  <mergeCells count="95">
    <mergeCell ref="A43:B43"/>
    <mergeCell ref="C43:E43"/>
    <mergeCell ref="A39:B39"/>
    <mergeCell ref="C39:E39"/>
    <mergeCell ref="F39:F42"/>
    <mergeCell ref="G39:J42"/>
    <mergeCell ref="A40:B40"/>
    <mergeCell ref="C40:E40"/>
    <mergeCell ref="A41:B41"/>
    <mergeCell ref="C41:E41"/>
    <mergeCell ref="A42:B42"/>
    <mergeCell ref="C42:E42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A1:J1"/>
    <mergeCell ref="A2:J2"/>
    <mergeCell ref="A3:B3"/>
    <mergeCell ref="C3:E3"/>
    <mergeCell ref="F3:G3"/>
    <mergeCell ref="H3:J3"/>
    <mergeCell ref="A4:B4"/>
    <mergeCell ref="C4:E4"/>
    <mergeCell ref="F4:G4"/>
    <mergeCell ref="H4:J4"/>
    <mergeCell ref="A5:B5"/>
    <mergeCell ref="C5:E5"/>
    <mergeCell ref="F5:G5"/>
    <mergeCell ref="H5:J5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2"/>
  <sheetViews>
    <sheetView showGridLines="0" showWhiteSpace="0" zoomScaleNormal="100" zoomScaleSheetLayoutView="100" workbookViewId="0">
      <selection sqref="A1:J2"/>
    </sheetView>
  </sheetViews>
  <sheetFormatPr defaultColWidth="10.77734375" defaultRowHeight="15" customHeight="1"/>
  <cols>
    <col min="1" max="4" width="4.77734375" style="37" customWidth="1"/>
    <col min="5" max="6" width="20.77734375" style="37" customWidth="1"/>
    <col min="7" max="10" width="4.77734375" style="37" customWidth="1"/>
    <col min="11" max="16384" width="10.77734375" style="37"/>
  </cols>
  <sheetData>
    <row r="1" spans="1:10" s="47" customFormat="1" ht="33" customHeight="1">
      <c r="A1" s="300" t="s">
        <v>34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0" s="47" customFormat="1" ht="33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</row>
    <row r="3" spans="1:10" s="47" customFormat="1" ht="12.75" customHeight="1">
      <c r="A3" s="48" t="s">
        <v>88</v>
      </c>
      <c r="B3" s="48"/>
      <c r="C3" s="48"/>
      <c r="D3" s="21"/>
      <c r="E3" s="21"/>
      <c r="F3" s="21"/>
      <c r="G3" s="21"/>
      <c r="H3" s="21"/>
      <c r="I3" s="21"/>
      <c r="J3" s="21"/>
    </row>
    <row r="4" spans="1:10" s="49" customFormat="1" ht="13.5" customHeight="1">
      <c r="A4" s="88" t="str">
        <f>" 교   정   번   호(Calibration No) : "&amp;기본정보!H3</f>
        <v xml:space="preserve"> 교   정   번   호(Calibration No) : </v>
      </c>
      <c r="B4" s="88"/>
      <c r="C4" s="88"/>
      <c r="D4" s="89"/>
      <c r="E4" s="89"/>
      <c r="F4" s="89"/>
      <c r="G4" s="89"/>
      <c r="H4" s="98"/>
      <c r="I4" s="90"/>
      <c r="J4" s="98"/>
    </row>
    <row r="5" spans="1:10" s="36" customFormat="1" ht="15" customHeight="1"/>
    <row r="6" spans="1:10" ht="15" customHeight="1">
      <c r="E6" s="54" t="str">
        <f>"○ 품명 : "&amp;기본정보!C$5</f>
        <v xml:space="preserve">○ 품명 : </v>
      </c>
    </row>
    <row r="7" spans="1:10" ht="15" customHeight="1">
      <c r="E7" s="54" t="str">
        <f>"○ 제작회사 : "&amp;기본정보!C$6</f>
        <v xml:space="preserve">○ 제작회사 : </v>
      </c>
    </row>
    <row r="8" spans="1:10" ht="15" customHeight="1">
      <c r="E8" s="54" t="str">
        <f>"○ 형식 : "&amp;기본정보!C$7</f>
        <v xml:space="preserve">○ 형식 : </v>
      </c>
    </row>
    <row r="9" spans="1:10" ht="15" customHeight="1">
      <c r="E9" s="54" t="str">
        <f>"○ 기기번호 : "&amp;기본정보!C$8</f>
        <v xml:space="preserve">○ 기기번호 : </v>
      </c>
    </row>
    <row r="11" spans="1:10" ht="15" customHeight="1">
      <c r="A11" s="92" t="str">
        <f ca="1">IF(Calcu!T23=TRUE,"삭제","")</f>
        <v/>
      </c>
      <c r="E11" s="38" t="e">
        <f ca="1">"1. 평  면  도 : "&amp;Calcu!W22&amp;" μm"</f>
        <v>#N/A</v>
      </c>
    </row>
    <row r="12" spans="1:10" ht="15" customHeight="1">
      <c r="A12" s="92" t="str">
        <f ca="1">IF(Calcu!T23=TRUE,"","삭제")</f>
        <v>삭제</v>
      </c>
      <c r="E12" s="38" t="s">
        <v>306</v>
      </c>
    </row>
    <row r="13" spans="1:10" ht="15" customHeight="1">
      <c r="A13" s="92" t="str">
        <f ca="1">IF(Calcu!T22=TRUE,A12,"삭제")</f>
        <v>삭제</v>
      </c>
      <c r="E13" s="228">
        <f>Length_6_1!O4</f>
        <v>0</v>
      </c>
      <c r="F13" s="228" t="e">
        <f ca="1">Calcu!W22&amp;" μm"</f>
        <v>#N/A</v>
      </c>
    </row>
    <row r="14" spans="1:10" ht="15" customHeight="1">
      <c r="A14" s="92" t="str">
        <f ca="1">IF(Calcu!T23=TRUE,A12,"삭제")</f>
        <v>삭제</v>
      </c>
      <c r="E14" s="228">
        <f>Length_6_1!O5</f>
        <v>0</v>
      </c>
      <c r="F14" s="228" t="e">
        <f ca="1">Calcu!W23&amp;" μm"</f>
        <v>#N/A</v>
      </c>
    </row>
    <row r="15" spans="1:10" ht="15" customHeight="1">
      <c r="A15" s="92" t="str">
        <f ca="1">IF(Calcu!T24=TRUE,A12,"삭제")</f>
        <v>삭제</v>
      </c>
      <c r="E15" s="228">
        <f>Length_6_1!O6</f>
        <v>0</v>
      </c>
      <c r="F15" s="228" t="e">
        <f ca="1">Calcu!W24&amp;" μm"</f>
        <v>#N/A</v>
      </c>
    </row>
    <row r="16" spans="1:10" ht="15" customHeight="1">
      <c r="A16" s="92" t="str">
        <f ca="1">IF(Calcu!T25=TRUE,A12,"삭제")</f>
        <v>삭제</v>
      </c>
      <c r="E16" s="228">
        <f>Length_6_1!O7</f>
        <v>0</v>
      </c>
      <c r="F16" s="228" t="e">
        <f ca="1">Calcu!W25&amp;" μm"</f>
        <v>#N/A</v>
      </c>
    </row>
    <row r="17" spans="1:8" ht="15" customHeight="1">
      <c r="A17" s="92" t="str">
        <f ca="1">IF(Calcu!T26=TRUE,A12,"삭제")</f>
        <v>삭제</v>
      </c>
      <c r="E17" s="228">
        <f>Length_6_1!O8</f>
        <v>0</v>
      </c>
      <c r="F17" s="228" t="e">
        <f ca="1">Calcu!W26&amp;" μm"</f>
        <v>#N/A</v>
      </c>
    </row>
    <row r="18" spans="1:8" ht="15" customHeight="1">
      <c r="E18" s="38" t="s">
        <v>304</v>
      </c>
    </row>
    <row r="19" spans="1:8" ht="15" customHeight="1">
      <c r="E19" s="38"/>
    </row>
    <row r="20" spans="1:8" ht="15" customHeight="1">
      <c r="A20" s="44"/>
      <c r="E20" s="38" t="e">
        <f ca="1">"2. 측정불확도 : "&amp;Calcu!T31</f>
        <v>#N/A</v>
      </c>
      <c r="H20" s="38"/>
    </row>
    <row r="21" spans="1:8" ht="15" customHeight="1">
      <c r="A21" s="44"/>
      <c r="E21" s="53" t="s">
        <v>296</v>
      </c>
      <c r="F21" s="50" t="e">
        <f ca="1">Calcu!C33&amp;")"</f>
        <v>#N/A</v>
      </c>
    </row>
    <row r="22" spans="1:8" ht="15" customHeight="1">
      <c r="E22" s="73"/>
      <c r="F22" s="73"/>
      <c r="G22" s="74"/>
    </row>
  </sheetData>
  <mergeCells count="1">
    <mergeCell ref="A1:J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3"/>
  <sheetViews>
    <sheetView showGridLines="0" showWhiteSpace="0" zoomScaleNormal="100" zoomScaleSheetLayoutView="100" workbookViewId="0">
      <selection sqref="A1:J2"/>
    </sheetView>
  </sheetViews>
  <sheetFormatPr defaultColWidth="10.77734375" defaultRowHeight="15" customHeight="1"/>
  <cols>
    <col min="1" max="4" width="5.77734375" style="37" customWidth="1"/>
    <col min="5" max="6" width="15.77734375" style="37" customWidth="1"/>
    <col min="7" max="10" width="5.77734375" style="37" customWidth="1"/>
    <col min="11" max="16384" width="10.77734375" style="37"/>
  </cols>
  <sheetData>
    <row r="1" spans="1:10" s="78" customFormat="1" ht="33" customHeight="1">
      <c r="A1" s="301" t="s">
        <v>55</v>
      </c>
      <c r="B1" s="301"/>
      <c r="C1" s="301"/>
      <c r="D1" s="301"/>
      <c r="E1" s="301"/>
      <c r="F1" s="301"/>
      <c r="G1" s="301"/>
      <c r="H1" s="301"/>
      <c r="I1" s="301"/>
      <c r="J1" s="301"/>
    </row>
    <row r="2" spans="1:10" s="78" customFormat="1" ht="33" customHeight="1">
      <c r="A2" s="301"/>
      <c r="B2" s="301"/>
      <c r="C2" s="301"/>
      <c r="D2" s="301"/>
      <c r="E2" s="301"/>
      <c r="F2" s="301"/>
      <c r="G2" s="301"/>
      <c r="H2" s="301"/>
      <c r="I2" s="301"/>
      <c r="J2" s="301"/>
    </row>
    <row r="3" spans="1:10" s="47" customFormat="1" ht="12.75" customHeight="1">
      <c r="A3" s="48" t="s">
        <v>54</v>
      </c>
      <c r="B3" s="48"/>
      <c r="C3" s="48"/>
      <c r="D3" s="21"/>
      <c r="E3" s="21"/>
      <c r="F3" s="21"/>
      <c r="G3" s="21"/>
      <c r="H3" s="21"/>
      <c r="I3" s="21"/>
      <c r="J3" s="21"/>
    </row>
    <row r="4" spans="1:10" s="49" customFormat="1" ht="13.5" customHeight="1">
      <c r="A4" s="77" t="str">
        <f>" 교   정   번   호(Calibration No) : "&amp;기본정보!H3</f>
        <v xml:space="preserve"> 교   정   번   호(Calibration No) : </v>
      </c>
      <c r="B4" s="77"/>
      <c r="C4" s="88"/>
      <c r="D4" s="76"/>
      <c r="E4" s="76"/>
      <c r="F4" s="76"/>
      <c r="G4" s="89"/>
      <c r="H4" s="75"/>
      <c r="I4" s="76"/>
      <c r="J4" s="75"/>
    </row>
    <row r="5" spans="1:10" s="36" customFormat="1" ht="15" customHeight="1"/>
    <row r="6" spans="1:10" ht="15" customHeight="1">
      <c r="E6" s="54" t="str">
        <f>"○ Description : "&amp;기본정보!C$5</f>
        <v xml:space="preserve">○ Description : </v>
      </c>
    </row>
    <row r="7" spans="1:10" ht="15" customHeight="1">
      <c r="E7" s="54" t="str">
        <f>"○ Manufacturer  : "&amp;기본정보!C$6</f>
        <v xml:space="preserve">○ Manufacturer  : </v>
      </c>
    </row>
    <row r="8" spans="1:10" ht="15" customHeight="1">
      <c r="E8" s="54" t="str">
        <f>"○ Model Name : "&amp;기본정보!C$7</f>
        <v xml:space="preserve">○ Model Name : </v>
      </c>
    </row>
    <row r="9" spans="1:10" ht="15" customHeight="1">
      <c r="E9" s="54" t="str">
        <f>"○ Serial Number : "&amp;기본정보!C$8</f>
        <v xml:space="preserve">○ Serial Number : </v>
      </c>
    </row>
    <row r="11" spans="1:10" ht="15" customHeight="1">
      <c r="A11" s="92" t="str">
        <f ca="1">IF(Calcu!T23=TRUE,"삭제","")</f>
        <v/>
      </c>
      <c r="E11" s="36" t="e">
        <f ca="1">"1. Flatness : "&amp;Calcu!W22&amp;" μm"</f>
        <v>#N/A</v>
      </c>
      <c r="F11" s="51"/>
    </row>
    <row r="12" spans="1:10" ht="15" customHeight="1">
      <c r="A12" s="92" t="str">
        <f ca="1">IF(Calcu!T23=TRUE,"","삭제")</f>
        <v>삭제</v>
      </c>
      <c r="E12" s="38" t="s">
        <v>307</v>
      </c>
    </row>
    <row r="13" spans="1:10" ht="15" customHeight="1">
      <c r="A13" s="92" t="str">
        <f ca="1">IF(Calcu!T22=TRUE,A12,"삭제")</f>
        <v>삭제</v>
      </c>
      <c r="E13" s="228">
        <f>Length_6_1!O4</f>
        <v>0</v>
      </c>
      <c r="F13" s="228" t="e">
        <f ca="1">Calcu!W22&amp;" μm"</f>
        <v>#N/A</v>
      </c>
    </row>
    <row r="14" spans="1:10" ht="15" customHeight="1">
      <c r="A14" s="92" t="str">
        <f ca="1">IF(Calcu!T23=TRUE,A12,"삭제")</f>
        <v>삭제</v>
      </c>
      <c r="E14" s="228">
        <f>Length_6_1!O5</f>
        <v>0</v>
      </c>
      <c r="F14" s="228" t="e">
        <f ca="1">Calcu!W23&amp;" μm"</f>
        <v>#N/A</v>
      </c>
    </row>
    <row r="15" spans="1:10" ht="15" customHeight="1">
      <c r="A15" s="92" t="str">
        <f ca="1">IF(Calcu!T24=TRUE,A12,"삭제")</f>
        <v>삭제</v>
      </c>
      <c r="E15" s="228">
        <f>Length_6_1!O6</f>
        <v>0</v>
      </c>
      <c r="F15" s="228" t="e">
        <f ca="1">Calcu!W24&amp;" μm"</f>
        <v>#N/A</v>
      </c>
    </row>
    <row r="16" spans="1:10" ht="15" customHeight="1">
      <c r="A16" s="92" t="str">
        <f ca="1">IF(Calcu!T25=TRUE,A12,"삭제")</f>
        <v>삭제</v>
      </c>
      <c r="E16" s="228">
        <f>Length_6_1!O7</f>
        <v>0</v>
      </c>
      <c r="F16" s="228" t="e">
        <f ca="1">Calcu!W25&amp;" μm"</f>
        <v>#N/A</v>
      </c>
    </row>
    <row r="17" spans="1:9" ht="15" customHeight="1">
      <c r="A17" s="92" t="str">
        <f ca="1">IF(Calcu!T26=TRUE,A12,"삭제")</f>
        <v>삭제</v>
      </c>
      <c r="E17" s="228">
        <f>Length_6_1!O8</f>
        <v>0</v>
      </c>
      <c r="F17" s="228" t="e">
        <f ca="1">Calcu!W26&amp;" μm"</f>
        <v>#N/A</v>
      </c>
    </row>
    <row r="18" spans="1:9" ht="15" customHeight="1">
      <c r="A18" s="44"/>
      <c r="E18" s="38" t="s">
        <v>302</v>
      </c>
      <c r="F18" s="51"/>
      <c r="G18" s="51"/>
      <c r="H18" s="51"/>
      <c r="I18" s="51"/>
    </row>
    <row r="19" spans="1:9" ht="15" customHeight="1">
      <c r="A19" s="44"/>
      <c r="E19" s="227" t="s">
        <v>303</v>
      </c>
      <c r="F19" s="51"/>
      <c r="G19" s="51"/>
      <c r="H19" s="51"/>
      <c r="I19" s="51"/>
    </row>
    <row r="20" spans="1:9" ht="15" customHeight="1">
      <c r="A20" s="44"/>
      <c r="E20" s="51"/>
      <c r="F20" s="51"/>
      <c r="G20" s="51"/>
      <c r="H20" s="51"/>
      <c r="I20" s="51"/>
    </row>
    <row r="21" spans="1:9" ht="15" customHeight="1">
      <c r="A21" s="44"/>
      <c r="E21" s="38" t="e">
        <f ca="1">"2. Measurement uncertainty : "&amp;Calcu!T31</f>
        <v>#N/A</v>
      </c>
      <c r="H21" s="38"/>
    </row>
    <row r="22" spans="1:9" ht="15" customHeight="1">
      <c r="A22" s="44"/>
      <c r="F22" s="53" t="s">
        <v>297</v>
      </c>
      <c r="G22" s="50" t="e">
        <f ca="1">Calcu!C33&amp;")"</f>
        <v>#N/A</v>
      </c>
    </row>
    <row r="23" spans="1:9" ht="15" customHeight="1">
      <c r="E23" s="73"/>
      <c r="F23" s="73"/>
      <c r="G23" s="73"/>
      <c r="H23" s="74"/>
    </row>
  </sheetData>
  <mergeCells count="1">
    <mergeCell ref="A1:J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5" width="1.77734375" style="37" hidden="1" customWidth="1"/>
    <col min="6" max="6" width="9.21875" style="37" customWidth="1"/>
    <col min="7" max="7" width="4.44140625" style="37" bestFit="1" customWidth="1"/>
    <col min="8" max="8" width="8.77734375" style="37"/>
    <col min="9" max="9" width="1.77734375" style="37" customWidth="1"/>
    <col min="10" max="10" width="7.5546875" style="37" bestFit="1" customWidth="1"/>
    <col min="11" max="11" width="9.109375" style="37" bestFit="1" customWidth="1"/>
    <col min="12" max="12" width="5.21875" style="37" bestFit="1" customWidth="1"/>
    <col min="13" max="13" width="7.5546875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300" t="s">
        <v>335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</row>
    <row r="2" spans="1:17" s="47" customFormat="1" ht="33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</row>
    <row r="3" spans="1:17" s="47" customFormat="1" ht="12.75" customHeight="1">
      <c r="A3" s="48" t="s">
        <v>336</v>
      </c>
      <c r="B3" s="48"/>
      <c r="C3" s="48"/>
      <c r="D3" s="48"/>
      <c r="E3" s="48"/>
      <c r="F3" s="21"/>
      <c r="G3" s="21"/>
      <c r="H3" s="21"/>
      <c r="I3" s="21"/>
      <c r="J3" s="21"/>
      <c r="K3" s="21"/>
      <c r="L3" s="21"/>
      <c r="M3" s="21"/>
    </row>
    <row r="4" spans="1:17" s="49" customFormat="1" ht="13.5" customHeight="1">
      <c r="A4" s="222" t="str">
        <f>" 교   정   번   호(Calibration No) : "&amp;기본정보!H3</f>
        <v xml:space="preserve"> 교   정   번   호(Calibration No) : </v>
      </c>
      <c r="B4" s="222"/>
      <c r="C4" s="222"/>
      <c r="D4" s="222"/>
      <c r="E4" s="222"/>
      <c r="F4" s="237"/>
      <c r="G4" s="237"/>
      <c r="H4" s="237"/>
      <c r="I4" s="237"/>
      <c r="J4" s="237"/>
      <c r="K4" s="238"/>
      <c r="L4" s="239"/>
      <c r="M4" s="240"/>
      <c r="N4" s="240"/>
      <c r="O4" s="240"/>
      <c r="P4" s="240"/>
      <c r="Q4" s="240"/>
    </row>
    <row r="5" spans="1:17" s="36" customFormat="1" ht="15" customHeight="1"/>
    <row r="6" spans="1:17" ht="15" customHeight="1">
      <c r="F6" s="54" t="str">
        <f>"○ 품명 : "&amp;기본정보!C$5</f>
        <v xml:space="preserve">○ 품명 : </v>
      </c>
      <c r="G6" s="54"/>
    </row>
    <row r="7" spans="1:17" ht="15" customHeight="1">
      <c r="F7" s="54" t="str">
        <f>"○ 제작회사 : "&amp;기본정보!C$6</f>
        <v xml:space="preserve">○ 제작회사 : </v>
      </c>
      <c r="G7" s="54"/>
    </row>
    <row r="8" spans="1:17" ht="15" customHeight="1">
      <c r="F8" s="54" t="str">
        <f>"○ 형식 : "&amp;기본정보!C$7</f>
        <v xml:space="preserve">○ 형식 : </v>
      </c>
      <c r="G8" s="54"/>
    </row>
    <row r="9" spans="1:17" ht="15" customHeight="1">
      <c r="F9" s="54" t="str">
        <f>"○ 기기번호 : "&amp;기본정보!C$8</f>
        <v xml:space="preserve">○ 기기번호 : </v>
      </c>
      <c r="G9" s="54"/>
    </row>
    <row r="11" spans="1:17" ht="15" customHeight="1">
      <c r="F11" s="38" t="s">
        <v>337</v>
      </c>
      <c r="G11" s="38"/>
    </row>
    <row r="12" spans="1:17" ht="15" customHeight="1">
      <c r="A12" s="44"/>
      <c r="B12" s="44"/>
      <c r="C12" s="44"/>
      <c r="D12" s="44"/>
      <c r="E12" s="44"/>
    </row>
    <row r="13" spans="1:17" s="241" customFormat="1" ht="15" customHeight="1">
      <c r="B13" s="307"/>
      <c r="C13" s="309"/>
      <c r="D13" s="309"/>
      <c r="E13" s="309"/>
      <c r="F13" s="311" t="s">
        <v>347</v>
      </c>
      <c r="G13" s="313" t="s">
        <v>338</v>
      </c>
      <c r="H13" s="315" t="s">
        <v>339</v>
      </c>
      <c r="I13" s="317"/>
      <c r="J13" s="318" t="s">
        <v>340</v>
      </c>
      <c r="K13" s="318"/>
      <c r="L13" s="318"/>
      <c r="M13" s="302" t="s">
        <v>341</v>
      </c>
      <c r="N13" s="302"/>
      <c r="O13" s="302"/>
      <c r="P13" s="303"/>
      <c r="Q13" s="305" t="s">
        <v>342</v>
      </c>
    </row>
    <row r="14" spans="1:17" s="242" customFormat="1" ht="22.5">
      <c r="B14" s="308"/>
      <c r="C14" s="310"/>
      <c r="D14" s="310"/>
      <c r="E14" s="310"/>
      <c r="F14" s="312"/>
      <c r="G14" s="314"/>
      <c r="H14" s="316"/>
      <c r="I14" s="310"/>
      <c r="J14" s="244" t="s">
        <v>350</v>
      </c>
      <c r="K14" s="246" t="s">
        <v>351</v>
      </c>
      <c r="L14" s="246" t="s">
        <v>352</v>
      </c>
      <c r="M14" s="244" t="s">
        <v>353</v>
      </c>
      <c r="N14" s="246" t="s">
        <v>354</v>
      </c>
      <c r="O14" s="246" t="s">
        <v>355</v>
      </c>
      <c r="P14" s="304"/>
      <c r="Q14" s="306"/>
    </row>
    <row r="15" spans="1:17" ht="15" customHeight="1">
      <c r="A15" s="44" t="str">
        <f ca="1">IF(Calcu!T22=TRUE,"","삭제")</f>
        <v>삭제</v>
      </c>
      <c r="B15" s="43"/>
      <c r="C15" s="43"/>
      <c r="D15" s="43"/>
      <c r="E15" s="43"/>
      <c r="F15" s="51">
        <v>0</v>
      </c>
      <c r="G15" s="51" t="s">
        <v>348</v>
      </c>
      <c r="H15" s="51" t="e">
        <f ca="1">Calcu!U9</f>
        <v>#N/A</v>
      </c>
      <c r="J15" s="37" t="e">
        <f ca="1">Calcu!T9</f>
        <v>#N/A</v>
      </c>
      <c r="K15" s="37" t="e">
        <f ca="1">-J15</f>
        <v>#N/A</v>
      </c>
      <c r="L15" s="37" t="str">
        <f>LEFT(Calcu!V9)</f>
        <v/>
      </c>
      <c r="M15" s="37" t="s">
        <v>343</v>
      </c>
      <c r="N15" s="37" t="s">
        <v>343</v>
      </c>
      <c r="O15" s="37" t="s">
        <v>343</v>
      </c>
      <c r="Q15" s="37" t="e">
        <f ca="1">Calcu!W9</f>
        <v>#N/A</v>
      </c>
    </row>
    <row r="16" spans="1:17" ht="15" customHeight="1">
      <c r="A16" s="44" t="str">
        <f ca="1">IF(Calcu!T23=TRUE,"","삭제")</f>
        <v>삭제</v>
      </c>
      <c r="B16" s="43"/>
      <c r="C16" s="43"/>
      <c r="D16" s="43"/>
      <c r="E16" s="43"/>
      <c r="F16" s="51">
        <v>0</v>
      </c>
      <c r="G16" s="51" t="s">
        <v>348</v>
      </c>
      <c r="H16" s="51" t="e">
        <f ca="1">Calcu!U11</f>
        <v>#N/A</v>
      </c>
      <c r="J16" s="37" t="e">
        <f ca="1">Calcu!T11</f>
        <v>#N/A</v>
      </c>
      <c r="K16" s="37" t="e">
        <f t="shared" ref="K16:K19" ca="1" si="0">-J16</f>
        <v>#N/A</v>
      </c>
      <c r="L16" s="37" t="str">
        <f>LEFT(Calcu!V11)</f>
        <v/>
      </c>
      <c r="M16" s="37" t="s">
        <v>343</v>
      </c>
      <c r="N16" s="37" t="s">
        <v>343</v>
      </c>
      <c r="O16" s="37" t="s">
        <v>343</v>
      </c>
      <c r="Q16" s="37" t="e">
        <f ca="1">Calcu!W11</f>
        <v>#N/A</v>
      </c>
    </row>
    <row r="17" spans="1:17" ht="15" customHeight="1">
      <c r="A17" s="44" t="str">
        <f ca="1">IF(Calcu!T24=TRUE,"","삭제")</f>
        <v>삭제</v>
      </c>
      <c r="B17" s="43"/>
      <c r="C17" s="43"/>
      <c r="D17" s="43"/>
      <c r="E17" s="43"/>
      <c r="F17" s="51">
        <v>0</v>
      </c>
      <c r="G17" s="51" t="s">
        <v>348</v>
      </c>
      <c r="H17" s="51" t="e">
        <f ca="1">Calcu!U13</f>
        <v>#N/A</v>
      </c>
      <c r="J17" s="37" t="e">
        <f ca="1">Calcu!T13</f>
        <v>#N/A</v>
      </c>
      <c r="K17" s="37" t="e">
        <f t="shared" ca="1" si="0"/>
        <v>#N/A</v>
      </c>
      <c r="L17" s="37" t="str">
        <f>LEFT(Calcu!V13)</f>
        <v/>
      </c>
      <c r="M17" s="37" t="s">
        <v>343</v>
      </c>
      <c r="N17" s="37" t="s">
        <v>343</v>
      </c>
      <c r="O17" s="37" t="s">
        <v>344</v>
      </c>
      <c r="Q17" s="37" t="e">
        <f ca="1">Calcu!W13</f>
        <v>#N/A</v>
      </c>
    </row>
    <row r="18" spans="1:17" ht="15" customHeight="1">
      <c r="A18" s="44" t="str">
        <f ca="1">IF(Calcu!T25=TRUE,"","삭제")</f>
        <v>삭제</v>
      </c>
      <c r="B18" s="43"/>
      <c r="C18" s="43"/>
      <c r="D18" s="43"/>
      <c r="E18" s="43"/>
      <c r="F18" s="51">
        <v>0</v>
      </c>
      <c r="G18" s="51" t="s">
        <v>348</v>
      </c>
      <c r="H18" s="51" t="e">
        <f ca="1">Calcu!U15</f>
        <v>#N/A</v>
      </c>
      <c r="J18" s="37" t="e">
        <f ca="1">Calcu!T15</f>
        <v>#N/A</v>
      </c>
      <c r="K18" s="37" t="e">
        <f t="shared" ca="1" si="0"/>
        <v>#N/A</v>
      </c>
      <c r="L18" s="37" t="str">
        <f>LEFT(Calcu!V15)</f>
        <v/>
      </c>
      <c r="M18" s="37" t="s">
        <v>344</v>
      </c>
      <c r="N18" s="37" t="s">
        <v>345</v>
      </c>
      <c r="O18" s="37" t="s">
        <v>346</v>
      </c>
      <c r="Q18" s="37" t="e">
        <f ca="1">Calcu!W15</f>
        <v>#N/A</v>
      </c>
    </row>
    <row r="19" spans="1:17" ht="15" customHeight="1">
      <c r="A19" s="44" t="str">
        <f ca="1">IF(Calcu!T26=TRUE,"","삭제")</f>
        <v>삭제</v>
      </c>
      <c r="B19" s="43"/>
      <c r="C19" s="43"/>
      <c r="D19" s="43"/>
      <c r="E19" s="43"/>
      <c r="F19" s="51">
        <v>0</v>
      </c>
      <c r="G19" s="51" t="s">
        <v>348</v>
      </c>
      <c r="H19" s="51" t="e">
        <f ca="1">Calcu!U17</f>
        <v>#N/A</v>
      </c>
      <c r="J19" s="37" t="e">
        <f ca="1">Calcu!T17</f>
        <v>#N/A</v>
      </c>
      <c r="K19" s="37" t="e">
        <f t="shared" ca="1" si="0"/>
        <v>#N/A</v>
      </c>
      <c r="L19" s="37" t="str">
        <f>LEFT(Calcu!V17)</f>
        <v/>
      </c>
      <c r="M19" s="37" t="s">
        <v>344</v>
      </c>
      <c r="N19" s="37" t="s">
        <v>345</v>
      </c>
      <c r="O19" s="37" t="s">
        <v>346</v>
      </c>
      <c r="Q19" s="37" t="e">
        <f ca="1">Calcu!W17</f>
        <v>#N/A</v>
      </c>
    </row>
    <row r="20" spans="1:17" ht="15" customHeight="1">
      <c r="A20" s="44"/>
      <c r="F20" s="51"/>
      <c r="G20" s="51"/>
      <c r="H20" s="51"/>
    </row>
    <row r="21" spans="1:17" ht="15" customHeight="1">
      <c r="A21" s="44"/>
      <c r="G21" s="53" t="s">
        <v>349</v>
      </c>
      <c r="H21" s="243" t="e">
        <f ca="1">Calcu!C33</f>
        <v>#N/A</v>
      </c>
      <c r="K21" s="50"/>
      <c r="Q21" s="53"/>
    </row>
    <row r="22" spans="1:17" ht="15" customHeight="1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</sheetData>
  <mergeCells count="13">
    <mergeCell ref="M13:O13"/>
    <mergeCell ref="P13:P14"/>
    <mergeCell ref="Q13:Q14"/>
    <mergeCell ref="A1:Q2"/>
    <mergeCell ref="B13:B14"/>
    <mergeCell ref="C13:C14"/>
    <mergeCell ref="D13:D14"/>
    <mergeCell ref="E13:E14"/>
    <mergeCell ref="F13:F14"/>
    <mergeCell ref="G13:G14"/>
    <mergeCell ref="H13:H14"/>
    <mergeCell ref="I13:I14"/>
    <mergeCell ref="J13:L13"/>
  </mergeCells>
  <phoneticPr fontId="4" type="noConversion"/>
  <printOptions horizontalCentered="1"/>
  <pageMargins left="0" right="0" top="0.35433070866141736" bottom="0.59055118110236227" header="0" footer="0"/>
  <pageSetup paperSize="9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4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4" width="4.77734375" style="37" customWidth="1"/>
    <col min="5" max="8" width="10.77734375" style="37" customWidth="1"/>
    <col min="9" max="11" width="4.77734375" style="37" customWidth="1"/>
    <col min="12" max="12" width="4.77734375" style="91" customWidth="1"/>
    <col min="13" max="13" width="6.77734375" style="103" customWidth="1"/>
    <col min="14" max="16384" width="10.77734375" style="91"/>
  </cols>
  <sheetData>
    <row r="1" spans="1:13" s="78" customFormat="1" ht="33" customHeight="1">
      <c r="A1" s="321" t="s">
        <v>70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80"/>
    </row>
    <row r="2" spans="1:13" s="78" customFormat="1" ht="33" customHeight="1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80"/>
    </row>
    <row r="3" spans="1:13" s="78" customFormat="1" ht="12.75" customHeight="1">
      <c r="A3" s="48"/>
      <c r="B3" s="48"/>
      <c r="C3" s="48"/>
      <c r="D3" s="21"/>
      <c r="E3" s="21"/>
      <c r="F3" s="21"/>
      <c r="G3" s="21"/>
      <c r="H3" s="21"/>
      <c r="I3" s="21"/>
      <c r="J3" s="21"/>
      <c r="K3" s="21"/>
      <c r="L3" s="79"/>
      <c r="M3" s="102"/>
    </row>
    <row r="4" spans="1:13" s="80" customFormat="1" ht="13.5" customHeight="1">
      <c r="A4" s="88"/>
      <c r="B4" s="222"/>
      <c r="C4" s="88"/>
      <c r="D4" s="89"/>
      <c r="E4" s="89"/>
      <c r="F4" s="98"/>
      <c r="G4" s="89"/>
      <c r="H4" s="89"/>
      <c r="I4" s="99"/>
      <c r="J4" s="98"/>
      <c r="K4" s="98"/>
      <c r="L4" s="88"/>
      <c r="M4" s="36"/>
    </row>
    <row r="5" spans="1:13" s="81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3" s="83" customFormat="1" ht="15" customHeight="1">
      <c r="A6" s="43"/>
      <c r="B6" s="43"/>
      <c r="D6" s="43"/>
      <c r="E6" s="38" t="s">
        <v>227</v>
      </c>
      <c r="F6" s="37"/>
      <c r="G6" s="52"/>
      <c r="H6" s="52"/>
      <c r="I6" s="52"/>
      <c r="J6" s="37"/>
      <c r="K6" s="37"/>
      <c r="L6" s="92"/>
    </row>
    <row r="7" spans="1:13" s="83" customFormat="1" ht="15" customHeight="1">
      <c r="A7" s="43"/>
      <c r="B7" s="43"/>
      <c r="D7" s="43"/>
      <c r="E7" s="176" t="s">
        <v>298</v>
      </c>
      <c r="F7" s="176" t="s">
        <v>94</v>
      </c>
      <c r="G7" s="175" t="s">
        <v>93</v>
      </c>
      <c r="H7" s="319" t="s">
        <v>95</v>
      </c>
      <c r="I7" s="51"/>
    </row>
    <row r="8" spans="1:13" s="83" customFormat="1" ht="15" customHeight="1">
      <c r="A8" s="43"/>
      <c r="B8" s="43"/>
      <c r="D8" s="43"/>
      <c r="E8" s="177" t="s">
        <v>163</v>
      </c>
      <c r="F8" s="177" t="s">
        <v>225</v>
      </c>
      <c r="G8" s="177" t="s">
        <v>225</v>
      </c>
      <c r="H8" s="320"/>
      <c r="I8" s="51"/>
    </row>
    <row r="9" spans="1:13" s="83" customFormat="1" ht="15" customHeight="1">
      <c r="A9" s="43" t="str">
        <f ca="1">IF(Calcu!T22=TRUE,"","삭제")</f>
        <v>삭제</v>
      </c>
      <c r="B9" s="43"/>
      <c r="D9" s="43"/>
      <c r="E9" s="131">
        <v>0</v>
      </c>
      <c r="F9" s="131" t="e">
        <f ca="1">Calcu!T9</f>
        <v>#N/A</v>
      </c>
      <c r="G9" s="131" t="e">
        <f ca="1">Calcu!U9</f>
        <v>#N/A</v>
      </c>
      <c r="H9" s="131" t="str">
        <f>Calcu!V9</f>
        <v/>
      </c>
    </row>
    <row r="10" spans="1:13" s="83" customFormat="1" ht="15" customHeight="1">
      <c r="A10" s="43" t="str">
        <f ca="1">IF(Calcu!T23=TRUE,"","삭제")</f>
        <v>삭제</v>
      </c>
      <c r="B10" s="43"/>
      <c r="D10" s="43"/>
      <c r="E10" s="131">
        <v>0</v>
      </c>
      <c r="F10" s="131" t="e">
        <f ca="1">Calcu!T11</f>
        <v>#N/A</v>
      </c>
      <c r="G10" s="131" t="e">
        <f ca="1">Calcu!U11</f>
        <v>#N/A</v>
      </c>
      <c r="H10" s="131" t="str">
        <f>Calcu!V11</f>
        <v/>
      </c>
    </row>
    <row r="11" spans="1:13" s="83" customFormat="1" ht="15" customHeight="1">
      <c r="A11" s="43" t="str">
        <f ca="1">IF(Calcu!T24=TRUE,"","삭제")</f>
        <v>삭제</v>
      </c>
      <c r="B11" s="43"/>
      <c r="D11" s="43"/>
      <c r="E11" s="131">
        <v>0</v>
      </c>
      <c r="F11" s="131" t="e">
        <f ca="1">Calcu!T13</f>
        <v>#N/A</v>
      </c>
      <c r="G11" s="131" t="e">
        <f ca="1">Calcu!U13</f>
        <v>#N/A</v>
      </c>
      <c r="H11" s="131" t="str">
        <f>Calcu!V13</f>
        <v/>
      </c>
    </row>
    <row r="12" spans="1:13" s="83" customFormat="1" ht="15" customHeight="1">
      <c r="A12" s="43" t="str">
        <f ca="1">IF(Calcu!T25=TRUE,"","삭제")</f>
        <v>삭제</v>
      </c>
      <c r="B12" s="43"/>
      <c r="D12" s="43"/>
      <c r="E12" s="131">
        <v>0</v>
      </c>
      <c r="F12" s="131" t="e">
        <f ca="1">Calcu!T15</f>
        <v>#N/A</v>
      </c>
      <c r="G12" s="131" t="e">
        <f ca="1">Calcu!U15</f>
        <v>#N/A</v>
      </c>
      <c r="H12" s="131" t="str">
        <f>Calcu!V15</f>
        <v/>
      </c>
    </row>
    <row r="13" spans="1:13" s="83" customFormat="1" ht="15" customHeight="1">
      <c r="A13" s="43" t="str">
        <f ca="1">IF(Calcu!T26=TRUE,"","삭제")</f>
        <v>삭제</v>
      </c>
      <c r="B13" s="43"/>
      <c r="D13" s="43"/>
      <c r="E13" s="131">
        <v>0</v>
      </c>
      <c r="F13" s="131" t="e">
        <f ca="1">Calcu!T17</f>
        <v>#N/A</v>
      </c>
      <c r="G13" s="131" t="e">
        <f ca="1">Calcu!U17</f>
        <v>#N/A</v>
      </c>
      <c r="H13" s="131" t="str">
        <f>Calcu!V17</f>
        <v/>
      </c>
    </row>
    <row r="14" spans="1:13" ht="15" customHeight="1">
      <c r="D14" s="73"/>
      <c r="E14" s="178"/>
      <c r="F14" s="178"/>
      <c r="G14" s="178"/>
      <c r="H14" s="178"/>
      <c r="I14" s="73"/>
      <c r="K14" s="91"/>
      <c r="L14" s="103"/>
      <c r="M14" s="91"/>
    </row>
  </sheetData>
  <mergeCells count="2">
    <mergeCell ref="H7:H8"/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91" customWidth="1"/>
    <col min="13" max="16384" width="10.77734375" style="83"/>
  </cols>
  <sheetData>
    <row r="1" spans="1:12" s="78" customFormat="1" ht="33" customHeight="1">
      <c r="A1" s="321" t="s">
        <v>56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</row>
    <row r="2" spans="1:12" s="78" customFormat="1" ht="33" customHeight="1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3" spans="1:12" s="78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79"/>
    </row>
    <row r="4" spans="1:12" s="80" customFormat="1" ht="13.5" customHeight="1">
      <c r="A4" s="88"/>
      <c r="B4" s="88"/>
      <c r="C4" s="89"/>
      <c r="D4" s="89"/>
      <c r="E4" s="98"/>
      <c r="F4" s="89"/>
      <c r="G4" s="89"/>
      <c r="H4" s="99"/>
      <c r="I4" s="90"/>
      <c r="J4" s="98"/>
      <c r="K4" s="98"/>
      <c r="L4" s="88"/>
    </row>
    <row r="5" spans="1:12" s="82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81"/>
    </row>
    <row r="6" spans="1:12" s="37" customFormat="1" ht="15" customHeight="1">
      <c r="C6" s="54" t="str">
        <f>"○ 품명 : "&amp;기본정보!C$5</f>
        <v xml:space="preserve">○ 품명 : </v>
      </c>
      <c r="L6" s="91"/>
    </row>
    <row r="7" spans="1:12" s="37" customFormat="1" ht="15" customHeight="1">
      <c r="C7" s="54" t="str">
        <f>"○ 제작회사 : "&amp;기본정보!C$6</f>
        <v xml:space="preserve">○ 제작회사 : </v>
      </c>
      <c r="L7" s="91"/>
    </row>
    <row r="8" spans="1:12" s="37" customFormat="1" ht="15" customHeight="1">
      <c r="C8" s="54" t="str">
        <f>"○ 형식 : "&amp;기본정보!C$7</f>
        <v xml:space="preserve">○ 형식 : </v>
      </c>
      <c r="L8" s="91"/>
    </row>
    <row r="9" spans="1:12" s="37" customFormat="1" ht="15" customHeight="1">
      <c r="C9" s="54" t="str">
        <f>"○ 기기번호 : "&amp;기본정보!C$8</f>
        <v xml:space="preserve">○ 기기번호 : </v>
      </c>
      <c r="L9" s="91"/>
    </row>
    <row r="10" spans="1:12" s="37" customFormat="1" ht="15" customHeight="1">
      <c r="L10" s="91"/>
    </row>
    <row r="11" spans="1:12" ht="15" customHeight="1">
      <c r="B11" s="73"/>
      <c r="C11" s="104"/>
      <c r="D11" s="104"/>
      <c r="E11" s="104"/>
      <c r="F11" s="104"/>
      <c r="G11" s="104"/>
      <c r="H11" s="105"/>
      <c r="I11" s="105"/>
      <c r="J11" s="104"/>
      <c r="K11" s="73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9"/>
  <sheetViews>
    <sheetView showGridLines="0" zoomScaleNormal="100" workbookViewId="0"/>
  </sheetViews>
  <sheetFormatPr defaultColWidth="8.88671875" defaultRowHeight="13.5" customHeight="1"/>
  <cols>
    <col min="1" max="1" width="3.77734375" style="29" customWidth="1"/>
    <col min="2" max="2" width="8.77734375" style="29" customWidth="1"/>
    <col min="3" max="3" width="10.77734375" style="30" customWidth="1"/>
    <col min="4" max="4" width="11.77734375" style="30" customWidth="1"/>
    <col min="5" max="5" width="8.77734375" style="25" customWidth="1"/>
    <col min="6" max="9" width="8.77734375" style="26" customWidth="1"/>
    <col min="10" max="13" width="8.77734375" style="45" customWidth="1"/>
    <col min="14" max="16" width="8.88671875" style="45" customWidth="1"/>
    <col min="17" max="19" width="8.88671875" style="45"/>
    <col min="20" max="16364" width="8.88671875" style="28"/>
    <col min="16365" max="16365" width="8.88671875" style="28" customWidth="1"/>
    <col min="16366" max="16384" width="8.88671875" style="28"/>
  </cols>
  <sheetData>
    <row r="1" spans="1:30" s="67" customFormat="1" ht="25.5">
      <c r="A1" s="63" t="s">
        <v>58</v>
      </c>
      <c r="B1" s="30"/>
      <c r="C1" s="30"/>
      <c r="D1" s="30"/>
      <c r="E1" s="64"/>
      <c r="F1" s="26"/>
      <c r="G1" s="26"/>
      <c r="H1" s="26"/>
      <c r="I1" s="26"/>
      <c r="J1" s="26"/>
      <c r="K1" s="65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1:30" s="27" customFormat="1" ht="1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30" s="27" customFormat="1" ht="15" customHeight="1">
      <c r="A3" s="46"/>
      <c r="B3" s="182" t="s">
        <v>2</v>
      </c>
      <c r="C3" s="183">
        <f>기본정보!C3</f>
        <v>0</v>
      </c>
      <c r="D3" s="182" t="s">
        <v>89</v>
      </c>
      <c r="E3" s="326">
        <f>기본정보!H3</f>
        <v>0</v>
      </c>
      <c r="F3" s="327"/>
      <c r="G3" s="182" t="s">
        <v>92</v>
      </c>
      <c r="H3" s="184">
        <f>기본정보!H8</f>
        <v>0</v>
      </c>
      <c r="I3" s="24"/>
    </row>
    <row r="4" spans="1:30" s="27" customFormat="1" ht="15" customHeight="1">
      <c r="A4" s="46"/>
      <c r="B4" s="182" t="s">
        <v>32</v>
      </c>
      <c r="C4" s="185">
        <f>기본정보!C8</f>
        <v>0</v>
      </c>
      <c r="D4" s="182" t="s">
        <v>90</v>
      </c>
      <c r="E4" s="324">
        <f>기본정보!H4</f>
        <v>0</v>
      </c>
      <c r="F4" s="325"/>
      <c r="G4" s="182" t="s">
        <v>14</v>
      </c>
      <c r="H4" s="184">
        <f>기본정보!H9</f>
        <v>0</v>
      </c>
      <c r="I4" s="24"/>
    </row>
    <row r="5" spans="1:30" s="27" customFormat="1" ht="15" customHeight="1">
      <c r="A5" s="46"/>
      <c r="D5" s="24"/>
      <c r="E5" s="24"/>
      <c r="F5" s="24"/>
      <c r="G5" s="24"/>
      <c r="H5" s="24"/>
      <c r="I5" s="24"/>
    </row>
    <row r="6" spans="1:30" s="27" customFormat="1" ht="15" customHeight="1">
      <c r="A6" s="46"/>
      <c r="B6" s="100" t="s">
        <v>91</v>
      </c>
      <c r="C6" s="24"/>
      <c r="D6" s="24"/>
      <c r="E6" s="24"/>
      <c r="F6" s="24"/>
      <c r="G6" s="24"/>
      <c r="H6" s="24"/>
      <c r="I6" s="24"/>
    </row>
    <row r="7" spans="1:30" ht="15" customHeight="1">
      <c r="A7" s="28"/>
      <c r="B7" s="101" t="s">
        <v>228</v>
      </c>
      <c r="F7" s="24"/>
      <c r="G7" s="24"/>
      <c r="H7" s="24"/>
      <c r="I7" s="24"/>
      <c r="J7" s="27"/>
      <c r="K7" s="27"/>
      <c r="L7" s="27"/>
      <c r="M7" s="27"/>
    </row>
    <row r="8" spans="1:30" ht="15" customHeight="1">
      <c r="B8" s="322" t="s">
        <v>213</v>
      </c>
      <c r="C8" s="322" t="s">
        <v>308</v>
      </c>
      <c r="D8" s="322" t="s">
        <v>214</v>
      </c>
      <c r="E8" s="329" t="s">
        <v>295</v>
      </c>
      <c r="F8" s="330"/>
      <c r="G8" s="330"/>
      <c r="H8" s="330"/>
      <c r="I8" s="331"/>
      <c r="P8" s="28"/>
      <c r="Q8" s="28"/>
      <c r="R8" s="28"/>
      <c r="S8" s="28"/>
    </row>
    <row r="9" spans="1:30" ht="15" customHeight="1">
      <c r="B9" s="323"/>
      <c r="C9" s="328"/>
      <c r="D9" s="328"/>
      <c r="E9" s="182" t="s">
        <v>87</v>
      </c>
      <c r="F9" s="182" t="s">
        <v>71</v>
      </c>
      <c r="G9" s="182" t="s">
        <v>72</v>
      </c>
      <c r="H9" s="182" t="s">
        <v>161</v>
      </c>
      <c r="I9" s="182" t="s">
        <v>162</v>
      </c>
      <c r="P9" s="28"/>
      <c r="Q9" s="28"/>
      <c r="R9" s="28"/>
      <c r="S9" s="28"/>
    </row>
    <row r="10" spans="1:30" ht="15" customHeight="1">
      <c r="B10" s="183" t="str">
        <f>Calcu!D9</f>
        <v/>
      </c>
      <c r="C10" s="183">
        <f>Calcu!C9</f>
        <v>0</v>
      </c>
      <c r="D10" s="183" t="str">
        <f>Calcu!F9</f>
        <v/>
      </c>
      <c r="E10" s="183" t="str">
        <f>Calcu!G9</f>
        <v/>
      </c>
      <c r="F10" s="183" t="str">
        <f>Calcu!H9</f>
        <v/>
      </c>
      <c r="G10" s="183" t="str">
        <f>Calcu!I9</f>
        <v/>
      </c>
      <c r="H10" s="183" t="str">
        <f>Calcu!J9</f>
        <v/>
      </c>
      <c r="I10" s="183" t="str">
        <f>Calcu!K9</f>
        <v/>
      </c>
      <c r="P10" s="28"/>
      <c r="Q10" s="28"/>
      <c r="R10" s="28"/>
      <c r="S10" s="28"/>
    </row>
    <row r="11" spans="1:30" ht="13.5" customHeight="1">
      <c r="B11" s="183" t="str">
        <f>Calcu!D10</f>
        <v/>
      </c>
      <c r="C11" s="183"/>
      <c r="D11" s="183" t="str">
        <f>Calcu!F10</f>
        <v/>
      </c>
      <c r="E11" s="183" t="str">
        <f>Calcu!G10</f>
        <v/>
      </c>
      <c r="F11" s="183" t="str">
        <f>Calcu!H10</f>
        <v/>
      </c>
      <c r="G11" s="183" t="str">
        <f>Calcu!I10</f>
        <v/>
      </c>
      <c r="H11" s="183" t="str">
        <f>Calcu!J10</f>
        <v/>
      </c>
      <c r="I11" s="183" t="str">
        <f>Calcu!K10</f>
        <v/>
      </c>
      <c r="P11" s="28"/>
      <c r="Q11" s="28"/>
      <c r="R11" s="28"/>
      <c r="S11" s="28"/>
    </row>
    <row r="12" spans="1:30" ht="13.5" customHeight="1">
      <c r="B12" s="183" t="str">
        <f>Calcu!D11</f>
        <v/>
      </c>
      <c r="C12" s="183">
        <f>Calcu!C11</f>
        <v>0</v>
      </c>
      <c r="D12" s="183" t="str">
        <f>Calcu!F11</f>
        <v/>
      </c>
      <c r="E12" s="183" t="str">
        <f>Calcu!G11</f>
        <v/>
      </c>
      <c r="F12" s="183" t="str">
        <f>Calcu!H11</f>
        <v/>
      </c>
      <c r="G12" s="183" t="str">
        <f>Calcu!I11</f>
        <v/>
      </c>
      <c r="H12" s="183" t="str">
        <f>Calcu!J11</f>
        <v/>
      </c>
      <c r="I12" s="183" t="str">
        <f>Calcu!K11</f>
        <v/>
      </c>
      <c r="P12" s="28"/>
      <c r="Q12" s="28"/>
      <c r="R12" s="28"/>
      <c r="S12" s="28"/>
    </row>
    <row r="13" spans="1:30" ht="13.5" customHeight="1">
      <c r="B13" s="183" t="str">
        <f>Calcu!D12</f>
        <v/>
      </c>
      <c r="C13" s="183"/>
      <c r="D13" s="183" t="str">
        <f>Calcu!F12</f>
        <v/>
      </c>
      <c r="E13" s="183" t="str">
        <f>Calcu!G12</f>
        <v/>
      </c>
      <c r="F13" s="183" t="str">
        <f>Calcu!H12</f>
        <v/>
      </c>
      <c r="G13" s="183" t="str">
        <f>Calcu!I12</f>
        <v/>
      </c>
      <c r="H13" s="183" t="str">
        <f>Calcu!J12</f>
        <v/>
      </c>
      <c r="I13" s="183" t="str">
        <f>Calcu!K12</f>
        <v/>
      </c>
      <c r="P13" s="28"/>
      <c r="Q13" s="28"/>
      <c r="R13" s="28"/>
      <c r="S13" s="28"/>
    </row>
    <row r="14" spans="1:30" ht="13.5" customHeight="1">
      <c r="B14" s="183" t="str">
        <f>Calcu!D13</f>
        <v/>
      </c>
      <c r="C14" s="183">
        <f>Calcu!C13</f>
        <v>0</v>
      </c>
      <c r="D14" s="183" t="str">
        <f>Calcu!F13</f>
        <v/>
      </c>
      <c r="E14" s="183" t="str">
        <f>Calcu!G13</f>
        <v/>
      </c>
      <c r="F14" s="183" t="str">
        <f>Calcu!H13</f>
        <v/>
      </c>
      <c r="G14" s="183" t="str">
        <f>Calcu!I13</f>
        <v/>
      </c>
      <c r="H14" s="183" t="str">
        <f>Calcu!J13</f>
        <v/>
      </c>
      <c r="I14" s="183" t="str">
        <f>Calcu!K13</f>
        <v/>
      </c>
      <c r="P14" s="28"/>
      <c r="Q14" s="28"/>
      <c r="R14" s="28"/>
      <c r="S14" s="28"/>
    </row>
    <row r="15" spans="1:30" ht="13.5" customHeight="1">
      <c r="B15" s="183" t="str">
        <f>Calcu!D14</f>
        <v/>
      </c>
      <c r="C15" s="183"/>
      <c r="D15" s="183" t="str">
        <f>Calcu!F14</f>
        <v/>
      </c>
      <c r="E15" s="183" t="str">
        <f>Calcu!G14</f>
        <v/>
      </c>
      <c r="F15" s="183" t="str">
        <f>Calcu!H14</f>
        <v/>
      </c>
      <c r="G15" s="183" t="str">
        <f>Calcu!I14</f>
        <v/>
      </c>
      <c r="H15" s="183" t="str">
        <f>Calcu!J14</f>
        <v/>
      </c>
      <c r="I15" s="183" t="str">
        <f>Calcu!K14</f>
        <v/>
      </c>
      <c r="P15" s="28"/>
      <c r="Q15" s="28"/>
      <c r="R15" s="28"/>
      <c r="S15" s="28"/>
    </row>
    <row r="16" spans="1:30" ht="13.5" customHeight="1">
      <c r="B16" s="183" t="str">
        <f>Calcu!D15</f>
        <v/>
      </c>
      <c r="C16" s="183">
        <f>Calcu!C15</f>
        <v>0</v>
      </c>
      <c r="D16" s="183" t="str">
        <f>Calcu!F15</f>
        <v/>
      </c>
      <c r="E16" s="183" t="str">
        <f>Calcu!G15</f>
        <v/>
      </c>
      <c r="F16" s="183" t="str">
        <f>Calcu!H15</f>
        <v/>
      </c>
      <c r="G16" s="183" t="str">
        <f>Calcu!I15</f>
        <v/>
      </c>
      <c r="H16" s="183" t="str">
        <f>Calcu!J15</f>
        <v/>
      </c>
      <c r="I16" s="183" t="str">
        <f>Calcu!K15</f>
        <v/>
      </c>
      <c r="P16" s="28"/>
      <c r="Q16" s="28"/>
      <c r="R16" s="28"/>
      <c r="S16" s="28"/>
    </row>
    <row r="17" spans="2:19" ht="13.5" customHeight="1">
      <c r="B17" s="183" t="str">
        <f>Calcu!D16</f>
        <v/>
      </c>
      <c r="C17" s="183"/>
      <c r="D17" s="183" t="str">
        <f>Calcu!F16</f>
        <v/>
      </c>
      <c r="E17" s="183" t="str">
        <f>Calcu!G16</f>
        <v/>
      </c>
      <c r="F17" s="183" t="str">
        <f>Calcu!H16</f>
        <v/>
      </c>
      <c r="G17" s="183" t="str">
        <f>Calcu!I16</f>
        <v/>
      </c>
      <c r="H17" s="183" t="str">
        <f>Calcu!J16</f>
        <v/>
      </c>
      <c r="I17" s="183" t="str">
        <f>Calcu!K16</f>
        <v/>
      </c>
      <c r="P17" s="28"/>
      <c r="Q17" s="28"/>
      <c r="R17" s="28"/>
      <c r="S17" s="28"/>
    </row>
    <row r="18" spans="2:19" ht="13.5" customHeight="1">
      <c r="B18" s="183" t="str">
        <f>Calcu!D17</f>
        <v/>
      </c>
      <c r="C18" s="183">
        <f>Calcu!C17</f>
        <v>0</v>
      </c>
      <c r="D18" s="183" t="str">
        <f>Calcu!F17</f>
        <v/>
      </c>
      <c r="E18" s="183" t="str">
        <f>Calcu!G17</f>
        <v/>
      </c>
      <c r="F18" s="183" t="str">
        <f>Calcu!H17</f>
        <v/>
      </c>
      <c r="G18" s="183" t="str">
        <f>Calcu!I17</f>
        <v/>
      </c>
      <c r="H18" s="183" t="str">
        <f>Calcu!J17</f>
        <v/>
      </c>
      <c r="I18" s="183" t="str">
        <f>Calcu!K17</f>
        <v/>
      </c>
      <c r="P18" s="28"/>
      <c r="Q18" s="28"/>
      <c r="R18" s="28"/>
      <c r="S18" s="28"/>
    </row>
    <row r="19" spans="2:19" ht="13.5" customHeight="1">
      <c r="B19" s="183" t="str">
        <f>Calcu!D18</f>
        <v/>
      </c>
      <c r="C19" s="183"/>
      <c r="D19" s="183" t="str">
        <f>Calcu!F18</f>
        <v/>
      </c>
      <c r="E19" s="183" t="str">
        <f>Calcu!G18</f>
        <v/>
      </c>
      <c r="F19" s="183" t="str">
        <f>Calcu!H18</f>
        <v/>
      </c>
      <c r="G19" s="183" t="str">
        <f>Calcu!I18</f>
        <v/>
      </c>
      <c r="H19" s="183" t="str">
        <f>Calcu!J18</f>
        <v/>
      </c>
      <c r="I19" s="183" t="str">
        <f>Calcu!K18</f>
        <v/>
      </c>
      <c r="P19" s="28"/>
      <c r="Q19" s="28"/>
      <c r="R19" s="28"/>
      <c r="S19" s="28"/>
    </row>
  </sheetData>
  <sortState ref="P5:Q14">
    <sortCondition descending="1" ref="P5"/>
  </sortState>
  <mergeCells count="6">
    <mergeCell ref="B8:B9"/>
    <mergeCell ref="E4:F4"/>
    <mergeCell ref="E3:F3"/>
    <mergeCell ref="D8:D9"/>
    <mergeCell ref="E8:I8"/>
    <mergeCell ref="C8:C9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 xml:space="preserve">&amp;L&amp;"Tahoma,보통"&amp;9F-02P-02-001 (Rev.01)&amp;C&amp;9&amp;P of &amp;N&amp;R&amp;"돋움,굵게"&amp;9(주)에이치시티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Q111"/>
  <sheetViews>
    <sheetView showGridLines="0" zoomScaleNormal="100" zoomScaleSheetLayoutView="100" workbookViewId="0"/>
  </sheetViews>
  <sheetFormatPr defaultColWidth="1.77734375" defaultRowHeight="18.75" customHeight="1"/>
  <cols>
    <col min="1" max="3" width="1.77734375" style="56"/>
    <col min="4" max="4" width="1.77734375" style="56" customWidth="1"/>
    <col min="5" max="11" width="1.77734375" style="56"/>
    <col min="12" max="12" width="1.77734375" style="56" customWidth="1"/>
    <col min="13" max="17" width="1.77734375" style="56"/>
    <col min="18" max="18" width="1.77734375" style="56" customWidth="1"/>
    <col min="19" max="20" width="1.77734375" style="56"/>
    <col min="21" max="21" width="1.77734375" style="56" customWidth="1"/>
    <col min="22" max="24" width="1.77734375" style="56"/>
    <col min="25" max="25" width="1.77734375" style="56" customWidth="1"/>
    <col min="26" max="26" width="1.77734375" style="56"/>
    <col min="27" max="27" width="1.77734375" style="56" customWidth="1"/>
    <col min="28" max="28" width="1.77734375" style="56"/>
    <col min="29" max="29" width="1.77734375" style="56" customWidth="1"/>
    <col min="30" max="16384" width="1.77734375" style="56"/>
  </cols>
  <sheetData>
    <row r="1" spans="1:46" s="69" customFormat="1" ht="31.5">
      <c r="A1" s="68" t="s">
        <v>73</v>
      </c>
    </row>
    <row r="2" spans="1:46" ht="18.75" customHeight="1">
      <c r="A2" s="58" t="s">
        <v>164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</row>
    <row r="3" spans="1:46" ht="18.75" customHeight="1">
      <c r="A3" s="58"/>
      <c r="B3" s="367" t="s">
        <v>229</v>
      </c>
      <c r="C3" s="368"/>
      <c r="D3" s="368"/>
      <c r="E3" s="368"/>
      <c r="F3" s="369"/>
      <c r="G3" s="367" t="s">
        <v>214</v>
      </c>
      <c r="H3" s="368"/>
      <c r="I3" s="368"/>
      <c r="J3" s="368"/>
      <c r="K3" s="369"/>
      <c r="L3" s="373" t="s">
        <v>258</v>
      </c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5"/>
      <c r="AK3" s="367" t="s">
        <v>248</v>
      </c>
      <c r="AL3" s="368"/>
      <c r="AM3" s="368"/>
      <c r="AN3" s="368"/>
      <c r="AO3" s="369"/>
      <c r="AP3" s="367" t="s">
        <v>249</v>
      </c>
      <c r="AQ3" s="368"/>
      <c r="AR3" s="368"/>
      <c r="AS3" s="368"/>
      <c r="AT3" s="369"/>
    </row>
    <row r="4" spans="1:46" ht="18.75" customHeight="1">
      <c r="A4" s="58"/>
      <c r="B4" s="370"/>
      <c r="C4" s="371"/>
      <c r="D4" s="371"/>
      <c r="E4" s="371"/>
      <c r="F4" s="372"/>
      <c r="G4" s="370"/>
      <c r="H4" s="371"/>
      <c r="I4" s="371"/>
      <c r="J4" s="371"/>
      <c r="K4" s="372"/>
      <c r="L4" s="373" t="s">
        <v>87</v>
      </c>
      <c r="M4" s="374"/>
      <c r="N4" s="374"/>
      <c r="O4" s="374"/>
      <c r="P4" s="375"/>
      <c r="Q4" s="373" t="s">
        <v>119</v>
      </c>
      <c r="R4" s="374"/>
      <c r="S4" s="374"/>
      <c r="T4" s="374"/>
      <c r="U4" s="375"/>
      <c r="V4" s="373" t="s">
        <v>165</v>
      </c>
      <c r="W4" s="374"/>
      <c r="X4" s="374"/>
      <c r="Y4" s="374"/>
      <c r="Z4" s="375"/>
      <c r="AA4" s="373" t="s">
        <v>166</v>
      </c>
      <c r="AB4" s="374"/>
      <c r="AC4" s="374"/>
      <c r="AD4" s="374"/>
      <c r="AE4" s="375"/>
      <c r="AF4" s="373" t="s">
        <v>167</v>
      </c>
      <c r="AG4" s="374"/>
      <c r="AH4" s="374"/>
      <c r="AI4" s="374"/>
      <c r="AJ4" s="375"/>
      <c r="AK4" s="370"/>
      <c r="AL4" s="371"/>
      <c r="AM4" s="371"/>
      <c r="AN4" s="371"/>
      <c r="AO4" s="372"/>
      <c r="AP4" s="370"/>
      <c r="AQ4" s="371"/>
      <c r="AR4" s="371"/>
      <c r="AS4" s="371"/>
      <c r="AT4" s="372"/>
    </row>
    <row r="5" spans="1:46" ht="18.75" customHeight="1">
      <c r="A5" s="58"/>
      <c r="B5" s="361">
        <f>Calcu!C9</f>
        <v>0</v>
      </c>
      <c r="C5" s="362"/>
      <c r="D5" s="362"/>
      <c r="E5" s="362"/>
      <c r="F5" s="363"/>
      <c r="G5" s="364" t="str">
        <f>Calcu!E9</f>
        <v/>
      </c>
      <c r="H5" s="365"/>
      <c r="I5" s="365"/>
      <c r="J5" s="365"/>
      <c r="K5" s="366"/>
      <c r="L5" s="361" t="str">
        <f>Calcu!F9</f>
        <v/>
      </c>
      <c r="M5" s="362"/>
      <c r="N5" s="362"/>
      <c r="O5" s="362"/>
      <c r="P5" s="363"/>
      <c r="Q5" s="361" t="str">
        <f>Calcu!G9</f>
        <v/>
      </c>
      <c r="R5" s="362"/>
      <c r="S5" s="362"/>
      <c r="T5" s="362"/>
      <c r="U5" s="363"/>
      <c r="V5" s="361" t="str">
        <f>Calcu!H9</f>
        <v/>
      </c>
      <c r="W5" s="362"/>
      <c r="X5" s="362"/>
      <c r="Y5" s="362"/>
      <c r="Z5" s="363"/>
      <c r="AA5" s="361" t="str">
        <f>Calcu!I9</f>
        <v/>
      </c>
      <c r="AB5" s="362"/>
      <c r="AC5" s="362"/>
      <c r="AD5" s="362"/>
      <c r="AE5" s="363"/>
      <c r="AF5" s="361" t="str">
        <f>Calcu!J9</f>
        <v/>
      </c>
      <c r="AG5" s="362"/>
      <c r="AH5" s="362"/>
      <c r="AI5" s="362"/>
      <c r="AJ5" s="363"/>
      <c r="AK5" s="379" t="e">
        <f>AVERAGE(L5:AJ5)</f>
        <v>#DIV/0!</v>
      </c>
      <c r="AL5" s="362"/>
      <c r="AM5" s="362"/>
      <c r="AN5" s="362"/>
      <c r="AO5" s="363"/>
      <c r="AP5" s="380" t="e">
        <f>STDEV(L5:AJ5)</f>
        <v>#DIV/0!</v>
      </c>
      <c r="AQ5" s="381"/>
      <c r="AR5" s="381"/>
      <c r="AS5" s="381"/>
      <c r="AT5" s="382"/>
    </row>
    <row r="6" spans="1:46" ht="18.75" customHeight="1">
      <c r="A6" s="58"/>
      <c r="B6" s="361">
        <f>Calcu!C10</f>
        <v>0</v>
      </c>
      <c r="C6" s="362"/>
      <c r="D6" s="362"/>
      <c r="E6" s="362"/>
      <c r="F6" s="363"/>
      <c r="G6" s="364" t="str">
        <f>Calcu!E10</f>
        <v/>
      </c>
      <c r="H6" s="365"/>
      <c r="I6" s="365"/>
      <c r="J6" s="365"/>
      <c r="K6" s="366"/>
      <c r="L6" s="361" t="str">
        <f>Calcu!F10</f>
        <v/>
      </c>
      <c r="M6" s="362"/>
      <c r="N6" s="362"/>
      <c r="O6" s="362"/>
      <c r="P6" s="363"/>
      <c r="Q6" s="361" t="str">
        <f>Calcu!G10</f>
        <v/>
      </c>
      <c r="R6" s="362"/>
      <c r="S6" s="362"/>
      <c r="T6" s="362"/>
      <c r="U6" s="363"/>
      <c r="V6" s="361" t="str">
        <f>Calcu!H10</f>
        <v/>
      </c>
      <c r="W6" s="362"/>
      <c r="X6" s="362"/>
      <c r="Y6" s="362"/>
      <c r="Z6" s="363"/>
      <c r="AA6" s="361" t="str">
        <f>Calcu!I10</f>
        <v/>
      </c>
      <c r="AB6" s="362"/>
      <c r="AC6" s="362"/>
      <c r="AD6" s="362"/>
      <c r="AE6" s="363"/>
      <c r="AF6" s="361" t="str">
        <f>Calcu!J10</f>
        <v/>
      </c>
      <c r="AG6" s="362"/>
      <c r="AH6" s="362"/>
      <c r="AI6" s="362"/>
      <c r="AJ6" s="363"/>
      <c r="AK6" s="379" t="e">
        <f t="shared" ref="AK6:AK14" si="0">AVERAGE(L6:AJ6)</f>
        <v>#DIV/0!</v>
      </c>
      <c r="AL6" s="362"/>
      <c r="AM6" s="362"/>
      <c r="AN6" s="362"/>
      <c r="AO6" s="363"/>
      <c r="AP6" s="380" t="e">
        <f t="shared" ref="AP6:AP14" si="1">STDEV(L6:AJ6)</f>
        <v>#DIV/0!</v>
      </c>
      <c r="AQ6" s="381"/>
      <c r="AR6" s="381"/>
      <c r="AS6" s="381"/>
      <c r="AT6" s="382"/>
    </row>
    <row r="7" spans="1:46" ht="18.75" customHeight="1">
      <c r="A7" s="58"/>
      <c r="B7" s="361">
        <f>Calcu!C11</f>
        <v>0</v>
      </c>
      <c r="C7" s="362"/>
      <c r="D7" s="362"/>
      <c r="E7" s="362"/>
      <c r="F7" s="363"/>
      <c r="G7" s="364" t="str">
        <f>Calcu!E11</f>
        <v/>
      </c>
      <c r="H7" s="365"/>
      <c r="I7" s="365"/>
      <c r="J7" s="365"/>
      <c r="K7" s="366"/>
      <c r="L7" s="361" t="str">
        <f>Calcu!F11</f>
        <v/>
      </c>
      <c r="M7" s="362"/>
      <c r="N7" s="362"/>
      <c r="O7" s="362"/>
      <c r="P7" s="363"/>
      <c r="Q7" s="361" t="str">
        <f>Calcu!G11</f>
        <v/>
      </c>
      <c r="R7" s="362"/>
      <c r="S7" s="362"/>
      <c r="T7" s="362"/>
      <c r="U7" s="363"/>
      <c r="V7" s="361" t="str">
        <f>Calcu!H11</f>
        <v/>
      </c>
      <c r="W7" s="362"/>
      <c r="X7" s="362"/>
      <c r="Y7" s="362"/>
      <c r="Z7" s="363"/>
      <c r="AA7" s="361" t="str">
        <f>Calcu!I11</f>
        <v/>
      </c>
      <c r="AB7" s="362"/>
      <c r="AC7" s="362"/>
      <c r="AD7" s="362"/>
      <c r="AE7" s="363"/>
      <c r="AF7" s="361" t="str">
        <f>Calcu!J11</f>
        <v/>
      </c>
      <c r="AG7" s="362"/>
      <c r="AH7" s="362"/>
      <c r="AI7" s="362"/>
      <c r="AJ7" s="363"/>
      <c r="AK7" s="379" t="e">
        <f t="shared" si="0"/>
        <v>#DIV/0!</v>
      </c>
      <c r="AL7" s="362"/>
      <c r="AM7" s="362"/>
      <c r="AN7" s="362"/>
      <c r="AO7" s="363"/>
      <c r="AP7" s="380" t="e">
        <f t="shared" si="1"/>
        <v>#DIV/0!</v>
      </c>
      <c r="AQ7" s="381"/>
      <c r="AR7" s="381"/>
      <c r="AS7" s="381"/>
      <c r="AT7" s="382"/>
    </row>
    <row r="8" spans="1:46" ht="18.75" customHeight="1">
      <c r="A8" s="58"/>
      <c r="B8" s="361">
        <f>Calcu!C12</f>
        <v>0</v>
      </c>
      <c r="C8" s="362"/>
      <c r="D8" s="362"/>
      <c r="E8" s="362"/>
      <c r="F8" s="363"/>
      <c r="G8" s="364" t="str">
        <f>Calcu!E12</f>
        <v/>
      </c>
      <c r="H8" s="365"/>
      <c r="I8" s="365"/>
      <c r="J8" s="365"/>
      <c r="K8" s="366"/>
      <c r="L8" s="361" t="str">
        <f>Calcu!F12</f>
        <v/>
      </c>
      <c r="M8" s="362"/>
      <c r="N8" s="362"/>
      <c r="O8" s="362"/>
      <c r="P8" s="363"/>
      <c r="Q8" s="361" t="str">
        <f>Calcu!G12</f>
        <v/>
      </c>
      <c r="R8" s="362"/>
      <c r="S8" s="362"/>
      <c r="T8" s="362"/>
      <c r="U8" s="363"/>
      <c r="V8" s="361" t="str">
        <f>Calcu!H12</f>
        <v/>
      </c>
      <c r="W8" s="362"/>
      <c r="X8" s="362"/>
      <c r="Y8" s="362"/>
      <c r="Z8" s="363"/>
      <c r="AA8" s="361" t="str">
        <f>Calcu!I12</f>
        <v/>
      </c>
      <c r="AB8" s="362"/>
      <c r="AC8" s="362"/>
      <c r="AD8" s="362"/>
      <c r="AE8" s="363"/>
      <c r="AF8" s="361" t="str">
        <f>Calcu!J12</f>
        <v/>
      </c>
      <c r="AG8" s="362"/>
      <c r="AH8" s="362"/>
      <c r="AI8" s="362"/>
      <c r="AJ8" s="363"/>
      <c r="AK8" s="379" t="e">
        <f t="shared" si="0"/>
        <v>#DIV/0!</v>
      </c>
      <c r="AL8" s="362"/>
      <c r="AM8" s="362"/>
      <c r="AN8" s="362"/>
      <c r="AO8" s="363"/>
      <c r="AP8" s="380" t="e">
        <f t="shared" si="1"/>
        <v>#DIV/0!</v>
      </c>
      <c r="AQ8" s="381"/>
      <c r="AR8" s="381"/>
      <c r="AS8" s="381"/>
      <c r="AT8" s="382"/>
    </row>
    <row r="9" spans="1:46" ht="18.75" customHeight="1">
      <c r="A9" s="58"/>
      <c r="B9" s="361">
        <f>Calcu!C13</f>
        <v>0</v>
      </c>
      <c r="C9" s="362"/>
      <c r="D9" s="362"/>
      <c r="E9" s="362"/>
      <c r="F9" s="363"/>
      <c r="G9" s="364" t="str">
        <f>Calcu!E13</f>
        <v/>
      </c>
      <c r="H9" s="365"/>
      <c r="I9" s="365"/>
      <c r="J9" s="365"/>
      <c r="K9" s="366"/>
      <c r="L9" s="361" t="str">
        <f>Calcu!F13</f>
        <v/>
      </c>
      <c r="M9" s="362"/>
      <c r="N9" s="362"/>
      <c r="O9" s="362"/>
      <c r="P9" s="363"/>
      <c r="Q9" s="361" t="str">
        <f>Calcu!G13</f>
        <v/>
      </c>
      <c r="R9" s="362"/>
      <c r="S9" s="362"/>
      <c r="T9" s="362"/>
      <c r="U9" s="363"/>
      <c r="V9" s="361" t="str">
        <f>Calcu!H13</f>
        <v/>
      </c>
      <c r="W9" s="362"/>
      <c r="X9" s="362"/>
      <c r="Y9" s="362"/>
      <c r="Z9" s="363"/>
      <c r="AA9" s="361" t="str">
        <f>Calcu!I13</f>
        <v/>
      </c>
      <c r="AB9" s="362"/>
      <c r="AC9" s="362"/>
      <c r="AD9" s="362"/>
      <c r="AE9" s="363"/>
      <c r="AF9" s="361" t="str">
        <f>Calcu!J13</f>
        <v/>
      </c>
      <c r="AG9" s="362"/>
      <c r="AH9" s="362"/>
      <c r="AI9" s="362"/>
      <c r="AJ9" s="363"/>
      <c r="AK9" s="379" t="e">
        <f t="shared" si="0"/>
        <v>#DIV/0!</v>
      </c>
      <c r="AL9" s="362"/>
      <c r="AM9" s="362"/>
      <c r="AN9" s="362"/>
      <c r="AO9" s="363"/>
      <c r="AP9" s="380" t="e">
        <f t="shared" si="1"/>
        <v>#DIV/0!</v>
      </c>
      <c r="AQ9" s="381"/>
      <c r="AR9" s="381"/>
      <c r="AS9" s="381"/>
      <c r="AT9" s="382"/>
    </row>
    <row r="10" spans="1:46" ht="18.75" customHeight="1">
      <c r="A10" s="58"/>
      <c r="B10" s="361">
        <f>Calcu!C14</f>
        <v>0</v>
      </c>
      <c r="C10" s="362"/>
      <c r="D10" s="362"/>
      <c r="E10" s="362"/>
      <c r="F10" s="363"/>
      <c r="G10" s="364" t="str">
        <f>Calcu!E14</f>
        <v/>
      </c>
      <c r="H10" s="365"/>
      <c r="I10" s="365"/>
      <c r="J10" s="365"/>
      <c r="K10" s="366"/>
      <c r="L10" s="361" t="str">
        <f>Calcu!F14</f>
        <v/>
      </c>
      <c r="M10" s="362"/>
      <c r="N10" s="362"/>
      <c r="O10" s="362"/>
      <c r="P10" s="363"/>
      <c r="Q10" s="361" t="str">
        <f>Calcu!G14</f>
        <v/>
      </c>
      <c r="R10" s="362"/>
      <c r="S10" s="362"/>
      <c r="T10" s="362"/>
      <c r="U10" s="363"/>
      <c r="V10" s="361" t="str">
        <f>Calcu!H14</f>
        <v/>
      </c>
      <c r="W10" s="362"/>
      <c r="X10" s="362"/>
      <c r="Y10" s="362"/>
      <c r="Z10" s="363"/>
      <c r="AA10" s="361" t="str">
        <f>Calcu!I14</f>
        <v/>
      </c>
      <c r="AB10" s="362"/>
      <c r="AC10" s="362"/>
      <c r="AD10" s="362"/>
      <c r="AE10" s="363"/>
      <c r="AF10" s="361" t="str">
        <f>Calcu!J14</f>
        <v/>
      </c>
      <c r="AG10" s="362"/>
      <c r="AH10" s="362"/>
      <c r="AI10" s="362"/>
      <c r="AJ10" s="363"/>
      <c r="AK10" s="379" t="e">
        <f t="shared" si="0"/>
        <v>#DIV/0!</v>
      </c>
      <c r="AL10" s="362"/>
      <c r="AM10" s="362"/>
      <c r="AN10" s="362"/>
      <c r="AO10" s="363"/>
      <c r="AP10" s="380" t="e">
        <f t="shared" si="1"/>
        <v>#DIV/0!</v>
      </c>
      <c r="AQ10" s="381"/>
      <c r="AR10" s="381"/>
      <c r="AS10" s="381"/>
      <c r="AT10" s="382"/>
    </row>
    <row r="11" spans="1:46" ht="18.75" customHeight="1">
      <c r="A11" s="58"/>
      <c r="B11" s="361">
        <f>Calcu!C15</f>
        <v>0</v>
      </c>
      <c r="C11" s="362"/>
      <c r="D11" s="362"/>
      <c r="E11" s="362"/>
      <c r="F11" s="363"/>
      <c r="G11" s="364" t="str">
        <f>Calcu!E15</f>
        <v/>
      </c>
      <c r="H11" s="365"/>
      <c r="I11" s="365"/>
      <c r="J11" s="365"/>
      <c r="K11" s="366"/>
      <c r="L11" s="361" t="str">
        <f>Calcu!F15</f>
        <v/>
      </c>
      <c r="M11" s="362"/>
      <c r="N11" s="362"/>
      <c r="O11" s="362"/>
      <c r="P11" s="363"/>
      <c r="Q11" s="361" t="str">
        <f>Calcu!G15</f>
        <v/>
      </c>
      <c r="R11" s="362"/>
      <c r="S11" s="362"/>
      <c r="T11" s="362"/>
      <c r="U11" s="363"/>
      <c r="V11" s="361" t="str">
        <f>Calcu!H15</f>
        <v/>
      </c>
      <c r="W11" s="362"/>
      <c r="X11" s="362"/>
      <c r="Y11" s="362"/>
      <c r="Z11" s="363"/>
      <c r="AA11" s="361" t="str">
        <f>Calcu!I15</f>
        <v/>
      </c>
      <c r="AB11" s="362"/>
      <c r="AC11" s="362"/>
      <c r="AD11" s="362"/>
      <c r="AE11" s="363"/>
      <c r="AF11" s="361" t="str">
        <f>Calcu!J15</f>
        <v/>
      </c>
      <c r="AG11" s="362"/>
      <c r="AH11" s="362"/>
      <c r="AI11" s="362"/>
      <c r="AJ11" s="363"/>
      <c r="AK11" s="379" t="e">
        <f t="shared" si="0"/>
        <v>#DIV/0!</v>
      </c>
      <c r="AL11" s="362"/>
      <c r="AM11" s="362"/>
      <c r="AN11" s="362"/>
      <c r="AO11" s="363"/>
      <c r="AP11" s="380" t="e">
        <f t="shared" si="1"/>
        <v>#DIV/0!</v>
      </c>
      <c r="AQ11" s="381"/>
      <c r="AR11" s="381"/>
      <c r="AS11" s="381"/>
      <c r="AT11" s="382"/>
    </row>
    <row r="12" spans="1:46" ht="18.75" customHeight="1">
      <c r="A12" s="58"/>
      <c r="B12" s="361">
        <f>Calcu!C16</f>
        <v>0</v>
      </c>
      <c r="C12" s="362"/>
      <c r="D12" s="362"/>
      <c r="E12" s="362"/>
      <c r="F12" s="363"/>
      <c r="G12" s="364" t="str">
        <f>Calcu!E16</f>
        <v/>
      </c>
      <c r="H12" s="365"/>
      <c r="I12" s="365"/>
      <c r="J12" s="365"/>
      <c r="K12" s="366"/>
      <c r="L12" s="361" t="str">
        <f>Calcu!F16</f>
        <v/>
      </c>
      <c r="M12" s="362"/>
      <c r="N12" s="362"/>
      <c r="O12" s="362"/>
      <c r="P12" s="363"/>
      <c r="Q12" s="361" t="str">
        <f>Calcu!G16</f>
        <v/>
      </c>
      <c r="R12" s="362"/>
      <c r="S12" s="362"/>
      <c r="T12" s="362"/>
      <c r="U12" s="363"/>
      <c r="V12" s="361" t="str">
        <f>Calcu!H16</f>
        <v/>
      </c>
      <c r="W12" s="362"/>
      <c r="X12" s="362"/>
      <c r="Y12" s="362"/>
      <c r="Z12" s="363"/>
      <c r="AA12" s="361" t="str">
        <f>Calcu!I16</f>
        <v/>
      </c>
      <c r="AB12" s="362"/>
      <c r="AC12" s="362"/>
      <c r="AD12" s="362"/>
      <c r="AE12" s="363"/>
      <c r="AF12" s="361" t="str">
        <f>Calcu!J16</f>
        <v/>
      </c>
      <c r="AG12" s="362"/>
      <c r="AH12" s="362"/>
      <c r="AI12" s="362"/>
      <c r="AJ12" s="363"/>
      <c r="AK12" s="379" t="e">
        <f t="shared" si="0"/>
        <v>#DIV/0!</v>
      </c>
      <c r="AL12" s="362"/>
      <c r="AM12" s="362"/>
      <c r="AN12" s="362"/>
      <c r="AO12" s="363"/>
      <c r="AP12" s="380" t="e">
        <f t="shared" si="1"/>
        <v>#DIV/0!</v>
      </c>
      <c r="AQ12" s="381"/>
      <c r="AR12" s="381"/>
      <c r="AS12" s="381"/>
      <c r="AT12" s="382"/>
    </row>
    <row r="13" spans="1:46" ht="18.75" customHeight="1">
      <c r="A13" s="58"/>
      <c r="B13" s="361">
        <f>Calcu!C17</f>
        <v>0</v>
      </c>
      <c r="C13" s="362"/>
      <c r="D13" s="362"/>
      <c r="E13" s="362"/>
      <c r="F13" s="363"/>
      <c r="G13" s="364" t="str">
        <f>Calcu!E17</f>
        <v/>
      </c>
      <c r="H13" s="365"/>
      <c r="I13" s="365"/>
      <c r="J13" s="365"/>
      <c r="K13" s="366"/>
      <c r="L13" s="361" t="str">
        <f>Calcu!F17</f>
        <v/>
      </c>
      <c r="M13" s="362"/>
      <c r="N13" s="362"/>
      <c r="O13" s="362"/>
      <c r="P13" s="363"/>
      <c r="Q13" s="361" t="str">
        <f>Calcu!G17</f>
        <v/>
      </c>
      <c r="R13" s="362"/>
      <c r="S13" s="362"/>
      <c r="T13" s="362"/>
      <c r="U13" s="363"/>
      <c r="V13" s="361" t="str">
        <f>Calcu!H17</f>
        <v/>
      </c>
      <c r="W13" s="362"/>
      <c r="X13" s="362"/>
      <c r="Y13" s="362"/>
      <c r="Z13" s="363"/>
      <c r="AA13" s="361" t="str">
        <f>Calcu!I17</f>
        <v/>
      </c>
      <c r="AB13" s="362"/>
      <c r="AC13" s="362"/>
      <c r="AD13" s="362"/>
      <c r="AE13" s="363"/>
      <c r="AF13" s="361" t="str">
        <f>Calcu!J17</f>
        <v/>
      </c>
      <c r="AG13" s="362"/>
      <c r="AH13" s="362"/>
      <c r="AI13" s="362"/>
      <c r="AJ13" s="363"/>
      <c r="AK13" s="379" t="e">
        <f t="shared" si="0"/>
        <v>#DIV/0!</v>
      </c>
      <c r="AL13" s="362"/>
      <c r="AM13" s="362"/>
      <c r="AN13" s="362"/>
      <c r="AO13" s="363"/>
      <c r="AP13" s="380" t="e">
        <f t="shared" si="1"/>
        <v>#DIV/0!</v>
      </c>
      <c r="AQ13" s="381"/>
      <c r="AR13" s="381"/>
      <c r="AS13" s="381"/>
      <c r="AT13" s="382"/>
    </row>
    <row r="14" spans="1:46" ht="18.75" customHeight="1">
      <c r="A14" s="58"/>
      <c r="B14" s="361">
        <f>Calcu!C18</f>
        <v>0</v>
      </c>
      <c r="C14" s="362"/>
      <c r="D14" s="362"/>
      <c r="E14" s="362"/>
      <c r="F14" s="363"/>
      <c r="G14" s="364" t="str">
        <f>Calcu!E18</f>
        <v/>
      </c>
      <c r="H14" s="365"/>
      <c r="I14" s="365"/>
      <c r="J14" s="365"/>
      <c r="K14" s="366"/>
      <c r="L14" s="361" t="str">
        <f>Calcu!F18</f>
        <v/>
      </c>
      <c r="M14" s="362"/>
      <c r="N14" s="362"/>
      <c r="O14" s="362"/>
      <c r="P14" s="363"/>
      <c r="Q14" s="361" t="str">
        <f>Calcu!G18</f>
        <v/>
      </c>
      <c r="R14" s="362"/>
      <c r="S14" s="362"/>
      <c r="T14" s="362"/>
      <c r="U14" s="363"/>
      <c r="V14" s="361" t="str">
        <f>Calcu!H18</f>
        <v/>
      </c>
      <c r="W14" s="362"/>
      <c r="X14" s="362"/>
      <c r="Y14" s="362"/>
      <c r="Z14" s="363"/>
      <c r="AA14" s="361" t="str">
        <f>Calcu!I18</f>
        <v/>
      </c>
      <c r="AB14" s="362"/>
      <c r="AC14" s="362"/>
      <c r="AD14" s="362"/>
      <c r="AE14" s="363"/>
      <c r="AF14" s="361" t="str">
        <f>Calcu!J18</f>
        <v/>
      </c>
      <c r="AG14" s="362"/>
      <c r="AH14" s="362"/>
      <c r="AI14" s="362"/>
      <c r="AJ14" s="363"/>
      <c r="AK14" s="379" t="e">
        <f t="shared" si="0"/>
        <v>#DIV/0!</v>
      </c>
      <c r="AL14" s="362"/>
      <c r="AM14" s="362"/>
      <c r="AN14" s="362"/>
      <c r="AO14" s="363"/>
      <c r="AP14" s="380" t="e">
        <f t="shared" si="1"/>
        <v>#DIV/0!</v>
      </c>
      <c r="AQ14" s="381"/>
      <c r="AR14" s="381"/>
      <c r="AS14" s="381"/>
      <c r="AT14" s="382"/>
    </row>
    <row r="15" spans="1:46" ht="18.75" customHeight="1">
      <c r="A15" s="58"/>
    </row>
    <row r="16" spans="1:46" ht="18.75" customHeight="1">
      <c r="A16" s="58" t="s">
        <v>168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</row>
    <row r="17" spans="1:69" ht="18.75" customHeight="1">
      <c r="A17" s="70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</row>
    <row r="18" spans="1:69" ht="18.75" customHeight="1">
      <c r="A18" s="70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</row>
    <row r="19" spans="1:69" ht="18.75" customHeight="1">
      <c r="A19" s="70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</row>
    <row r="20" spans="1:69" ht="18.75" customHeight="1">
      <c r="A20" s="70"/>
      <c r="B20" s="57"/>
      <c r="C20" s="354" t="s">
        <v>141</v>
      </c>
      <c r="D20" s="354"/>
      <c r="E20" s="354"/>
      <c r="F20" s="188" t="s">
        <v>169</v>
      </c>
      <c r="G20" s="57" t="s">
        <v>259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W20" s="60"/>
      <c r="X20" s="60"/>
      <c r="Y20" s="60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</row>
    <row r="21" spans="1:69" ht="18.75" customHeight="1">
      <c r="A21" s="70"/>
      <c r="B21" s="57"/>
      <c r="C21" s="354" t="s">
        <v>216</v>
      </c>
      <c r="D21" s="354"/>
      <c r="E21" s="354"/>
      <c r="F21" s="188" t="s">
        <v>169</v>
      </c>
      <c r="G21" s="57" t="s">
        <v>230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</row>
    <row r="22" spans="1:69" ht="18.75" customHeight="1">
      <c r="A22" s="70"/>
      <c r="B22" s="57"/>
      <c r="C22" s="354" t="s">
        <v>251</v>
      </c>
      <c r="D22" s="354"/>
      <c r="E22" s="354"/>
      <c r="F22" s="188" t="s">
        <v>169</v>
      </c>
      <c r="G22" s="57" t="s">
        <v>260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</row>
    <row r="23" spans="1:69" ht="18.75" customHeight="1">
      <c r="A23" s="70"/>
      <c r="B23" s="57"/>
      <c r="C23" s="354" t="s">
        <v>255</v>
      </c>
      <c r="D23" s="354"/>
      <c r="E23" s="354"/>
      <c r="F23" s="188" t="s">
        <v>169</v>
      </c>
      <c r="G23" s="57" t="s">
        <v>261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</row>
    <row r="24" spans="1:69" ht="18.75" customHeight="1">
      <c r="A24" s="70"/>
      <c r="B24" s="57"/>
      <c r="C24" s="354" t="s">
        <v>262</v>
      </c>
      <c r="D24" s="354"/>
      <c r="E24" s="354"/>
      <c r="F24" s="188" t="s">
        <v>169</v>
      </c>
      <c r="G24" s="57" t="s">
        <v>263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</row>
    <row r="25" spans="1:69" ht="18.75" customHeight="1">
      <c r="A25" s="70"/>
      <c r="B25" s="57"/>
      <c r="C25" s="197"/>
      <c r="D25" s="210" t="s">
        <v>264</v>
      </c>
      <c r="E25" s="197"/>
      <c r="F25" s="188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</row>
    <row r="26" spans="1:69" ht="18.75" customHeight="1">
      <c r="A26" s="70"/>
      <c r="B26" s="57"/>
      <c r="C26" s="354"/>
      <c r="D26" s="354"/>
      <c r="E26" s="354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</row>
    <row r="27" spans="1:69" ht="18.75" customHeight="1">
      <c r="A27" s="58" t="s">
        <v>170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</row>
    <row r="28" spans="1:69" ht="18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</row>
    <row r="29" spans="1:69" ht="18.75" customHeight="1">
      <c r="A29" s="57"/>
      <c r="B29" s="57"/>
      <c r="C29" s="57" t="s">
        <v>171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</row>
    <row r="30" spans="1:69" ht="18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</row>
    <row r="31" spans="1:69" ht="18.7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</row>
    <row r="32" spans="1:69" ht="18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</row>
    <row r="33" spans="1:46" ht="18.75" customHeight="1">
      <c r="A33" s="61" t="s">
        <v>172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</row>
    <row r="34" spans="1:46" ht="18.75" customHeight="1">
      <c r="A34" s="57"/>
      <c r="B34" s="383"/>
      <c r="C34" s="384"/>
      <c r="D34" s="389"/>
      <c r="E34" s="390"/>
      <c r="F34" s="390"/>
      <c r="G34" s="391"/>
      <c r="H34" s="344">
        <v>1</v>
      </c>
      <c r="I34" s="344"/>
      <c r="J34" s="344"/>
      <c r="K34" s="344"/>
      <c r="L34" s="344"/>
      <c r="M34" s="344"/>
      <c r="N34" s="344"/>
      <c r="O34" s="344">
        <v>2</v>
      </c>
      <c r="P34" s="344"/>
      <c r="Q34" s="344"/>
      <c r="R34" s="344"/>
      <c r="S34" s="344"/>
      <c r="T34" s="344"/>
      <c r="U34" s="344"/>
      <c r="V34" s="344">
        <v>3</v>
      </c>
      <c r="W34" s="344"/>
      <c r="X34" s="344"/>
      <c r="Y34" s="344"/>
      <c r="Z34" s="344"/>
      <c r="AA34" s="389">
        <v>4</v>
      </c>
      <c r="AB34" s="390"/>
      <c r="AC34" s="390"/>
      <c r="AD34" s="390"/>
      <c r="AE34" s="390"/>
      <c r="AF34" s="390"/>
      <c r="AG34" s="391"/>
      <c r="AH34" s="344">
        <v>5</v>
      </c>
      <c r="AI34" s="344"/>
      <c r="AJ34" s="344"/>
      <c r="AK34" s="344"/>
      <c r="AL34" s="344"/>
      <c r="AM34" s="344"/>
      <c r="AN34" s="344"/>
      <c r="AO34" s="344"/>
      <c r="AP34" s="344">
        <v>6</v>
      </c>
      <c r="AQ34" s="344"/>
      <c r="AR34" s="344"/>
      <c r="AS34" s="344"/>
      <c r="AT34" s="57"/>
    </row>
    <row r="35" spans="1:46" ht="18.75" customHeight="1">
      <c r="A35" s="57"/>
      <c r="B35" s="385"/>
      <c r="C35" s="386"/>
      <c r="D35" s="383" t="s">
        <v>128</v>
      </c>
      <c r="E35" s="392"/>
      <c r="F35" s="392"/>
      <c r="G35" s="384"/>
      <c r="H35" s="345" t="s">
        <v>129</v>
      </c>
      <c r="I35" s="345"/>
      <c r="J35" s="345"/>
      <c r="K35" s="345"/>
      <c r="L35" s="345"/>
      <c r="M35" s="345"/>
      <c r="N35" s="345"/>
      <c r="O35" s="345" t="s">
        <v>132</v>
      </c>
      <c r="P35" s="345"/>
      <c r="Q35" s="345"/>
      <c r="R35" s="345"/>
      <c r="S35" s="345"/>
      <c r="T35" s="345"/>
      <c r="U35" s="345"/>
      <c r="V35" s="345" t="s">
        <v>133</v>
      </c>
      <c r="W35" s="345"/>
      <c r="X35" s="345"/>
      <c r="Y35" s="345"/>
      <c r="Z35" s="345"/>
      <c r="AA35" s="383" t="s">
        <v>134</v>
      </c>
      <c r="AB35" s="392"/>
      <c r="AC35" s="392"/>
      <c r="AD35" s="392"/>
      <c r="AE35" s="392"/>
      <c r="AF35" s="392"/>
      <c r="AG35" s="384"/>
      <c r="AH35" s="345" t="s">
        <v>173</v>
      </c>
      <c r="AI35" s="345"/>
      <c r="AJ35" s="345"/>
      <c r="AK35" s="345"/>
      <c r="AL35" s="345"/>
      <c r="AM35" s="345"/>
      <c r="AN35" s="345"/>
      <c r="AO35" s="345"/>
      <c r="AP35" s="345" t="s">
        <v>136</v>
      </c>
      <c r="AQ35" s="345"/>
      <c r="AR35" s="345"/>
      <c r="AS35" s="345"/>
      <c r="AT35" s="57"/>
    </row>
    <row r="36" spans="1:46" ht="18.75" customHeight="1">
      <c r="A36" s="57"/>
      <c r="B36" s="387"/>
      <c r="C36" s="388"/>
      <c r="D36" s="393" t="s">
        <v>174</v>
      </c>
      <c r="E36" s="353"/>
      <c r="F36" s="353"/>
      <c r="G36" s="394"/>
      <c r="H36" s="346" t="s">
        <v>204</v>
      </c>
      <c r="I36" s="346"/>
      <c r="J36" s="346"/>
      <c r="K36" s="346"/>
      <c r="L36" s="346"/>
      <c r="M36" s="346"/>
      <c r="N36" s="346"/>
      <c r="O36" s="346" t="s">
        <v>205</v>
      </c>
      <c r="P36" s="346"/>
      <c r="Q36" s="346"/>
      <c r="R36" s="346"/>
      <c r="S36" s="346"/>
      <c r="T36" s="346"/>
      <c r="U36" s="346"/>
      <c r="V36" s="346"/>
      <c r="W36" s="346"/>
      <c r="X36" s="346"/>
      <c r="Y36" s="346"/>
      <c r="Z36" s="346"/>
      <c r="AA36" s="347" t="s">
        <v>206</v>
      </c>
      <c r="AB36" s="348"/>
      <c r="AC36" s="348"/>
      <c r="AD36" s="348"/>
      <c r="AE36" s="348"/>
      <c r="AF36" s="348"/>
      <c r="AG36" s="349"/>
      <c r="AH36" s="346" t="s">
        <v>207</v>
      </c>
      <c r="AI36" s="346"/>
      <c r="AJ36" s="346"/>
      <c r="AK36" s="346"/>
      <c r="AL36" s="346"/>
      <c r="AM36" s="346"/>
      <c r="AN36" s="346"/>
      <c r="AO36" s="346"/>
      <c r="AP36" s="346"/>
      <c r="AQ36" s="346"/>
      <c r="AR36" s="346"/>
      <c r="AS36" s="346"/>
      <c r="AT36" s="57"/>
    </row>
    <row r="37" spans="1:46" ht="18.75" customHeight="1">
      <c r="A37" s="57"/>
      <c r="B37" s="344" t="s">
        <v>137</v>
      </c>
      <c r="C37" s="344"/>
      <c r="D37" s="395" t="s">
        <v>216</v>
      </c>
      <c r="E37" s="396"/>
      <c r="F37" s="396"/>
      <c r="G37" s="397"/>
      <c r="H37" s="398" t="e">
        <f>Calcu!E23</f>
        <v>#N/A</v>
      </c>
      <c r="I37" s="399"/>
      <c r="J37" s="399"/>
      <c r="K37" s="399"/>
      <c r="L37" s="399"/>
      <c r="M37" s="400" t="str">
        <f>Calcu!F23</f>
        <v>μm</v>
      </c>
      <c r="N37" s="401"/>
      <c r="O37" s="402" t="e">
        <f>Calcu!J23</f>
        <v>#N/A</v>
      </c>
      <c r="P37" s="400"/>
      <c r="Q37" s="400"/>
      <c r="R37" s="400"/>
      <c r="S37" s="356" t="str">
        <f>Calcu!K23</f>
        <v>μm</v>
      </c>
      <c r="T37" s="400"/>
      <c r="U37" s="401"/>
      <c r="V37" s="344" t="str">
        <f>Calcu!L23</f>
        <v>정규</v>
      </c>
      <c r="W37" s="344"/>
      <c r="X37" s="344"/>
      <c r="Y37" s="344"/>
      <c r="Z37" s="344"/>
      <c r="AA37" s="403" t="e">
        <f>Calcu!M23</f>
        <v>#VALUE!</v>
      </c>
      <c r="AB37" s="404"/>
      <c r="AC37" s="404"/>
      <c r="AD37" s="404"/>
      <c r="AE37" s="404"/>
      <c r="AF37" s="404"/>
      <c r="AG37" s="405"/>
      <c r="AH37" s="406" t="e">
        <f>Calcu!N23</f>
        <v>#N/A</v>
      </c>
      <c r="AI37" s="407"/>
      <c r="AJ37" s="407"/>
      <c r="AK37" s="407"/>
      <c r="AL37" s="407"/>
      <c r="AM37" s="356" t="str">
        <f>Calcu!O23</f>
        <v>μm</v>
      </c>
      <c r="AN37" s="356"/>
      <c r="AO37" s="357"/>
      <c r="AP37" s="344" t="str">
        <f>Calcu!P23</f>
        <v>∞</v>
      </c>
      <c r="AQ37" s="344"/>
      <c r="AR37" s="344"/>
      <c r="AS37" s="344"/>
      <c r="AT37" s="57"/>
    </row>
    <row r="38" spans="1:46" ht="18.75" customHeight="1">
      <c r="A38" s="57"/>
      <c r="B38" s="344" t="s">
        <v>138</v>
      </c>
      <c r="C38" s="344"/>
      <c r="D38" s="395" t="s">
        <v>251</v>
      </c>
      <c r="E38" s="396"/>
      <c r="F38" s="396"/>
      <c r="G38" s="397"/>
      <c r="H38" s="398" t="str">
        <f>Calcu!E24</f>
        <v/>
      </c>
      <c r="I38" s="399"/>
      <c r="J38" s="399"/>
      <c r="K38" s="399"/>
      <c r="L38" s="399"/>
      <c r="M38" s="400" t="str">
        <f>Calcu!F24</f>
        <v>mm</v>
      </c>
      <c r="N38" s="401"/>
      <c r="O38" s="408">
        <f>Calcu!J24</f>
        <v>0</v>
      </c>
      <c r="P38" s="409"/>
      <c r="Q38" s="409"/>
      <c r="R38" s="409"/>
      <c r="S38" s="356" t="str">
        <f>Calcu!K24</f>
        <v>mm</v>
      </c>
      <c r="T38" s="400"/>
      <c r="U38" s="401"/>
      <c r="V38" s="344" t="str">
        <f>Calcu!L24</f>
        <v>t</v>
      </c>
      <c r="W38" s="344"/>
      <c r="X38" s="344"/>
      <c r="Y38" s="344"/>
      <c r="Z38" s="344"/>
      <c r="AA38" s="410" t="e">
        <f>Calcu!M24</f>
        <v>#N/A</v>
      </c>
      <c r="AB38" s="411"/>
      <c r="AC38" s="411"/>
      <c r="AD38" s="411"/>
      <c r="AE38" s="411"/>
      <c r="AF38" s="411"/>
      <c r="AG38" s="412"/>
      <c r="AH38" s="406" t="e">
        <f>Calcu!N24</f>
        <v>#N/A</v>
      </c>
      <c r="AI38" s="407"/>
      <c r="AJ38" s="407"/>
      <c r="AK38" s="407"/>
      <c r="AL38" s="407"/>
      <c r="AM38" s="356" t="str">
        <f>Calcu!O24</f>
        <v>μm</v>
      </c>
      <c r="AN38" s="356"/>
      <c r="AO38" s="357"/>
      <c r="AP38" s="344">
        <f>Calcu!P24</f>
        <v>4</v>
      </c>
      <c r="AQ38" s="344"/>
      <c r="AR38" s="344"/>
      <c r="AS38" s="344"/>
      <c r="AT38" s="57"/>
    </row>
    <row r="39" spans="1:46" ht="18.75" customHeight="1">
      <c r="A39" s="57"/>
      <c r="B39" s="344" t="s">
        <v>74</v>
      </c>
      <c r="C39" s="344"/>
      <c r="D39" s="395" t="s">
        <v>255</v>
      </c>
      <c r="E39" s="396"/>
      <c r="F39" s="396"/>
      <c r="G39" s="397"/>
      <c r="H39" s="398" t="str">
        <f>Calcu!E25</f>
        <v/>
      </c>
      <c r="I39" s="399"/>
      <c r="J39" s="399"/>
      <c r="K39" s="399"/>
      <c r="L39" s="399"/>
      <c r="M39" s="400" t="str">
        <f>Calcu!F25</f>
        <v>mm</v>
      </c>
      <c r="N39" s="401"/>
      <c r="O39" s="408">
        <f>Calcu!J25</f>
        <v>0</v>
      </c>
      <c r="P39" s="409"/>
      <c r="Q39" s="409"/>
      <c r="R39" s="409"/>
      <c r="S39" s="356" t="str">
        <f>Calcu!K25</f>
        <v>mm</v>
      </c>
      <c r="T39" s="400"/>
      <c r="U39" s="401"/>
      <c r="V39" s="344" t="str">
        <f>Calcu!L25</f>
        <v>t</v>
      </c>
      <c r="W39" s="344"/>
      <c r="X39" s="344"/>
      <c r="Y39" s="344"/>
      <c r="Z39" s="344"/>
      <c r="AA39" s="410" t="e">
        <f>Calcu!M25</f>
        <v>#N/A</v>
      </c>
      <c r="AB39" s="411"/>
      <c r="AC39" s="411"/>
      <c r="AD39" s="411"/>
      <c r="AE39" s="411"/>
      <c r="AF39" s="411"/>
      <c r="AG39" s="412"/>
      <c r="AH39" s="406" t="e">
        <f>Calcu!N25</f>
        <v>#N/A</v>
      </c>
      <c r="AI39" s="407"/>
      <c r="AJ39" s="407"/>
      <c r="AK39" s="407"/>
      <c r="AL39" s="407"/>
      <c r="AM39" s="356" t="str">
        <f>Calcu!O25</f>
        <v>μm</v>
      </c>
      <c r="AN39" s="356"/>
      <c r="AO39" s="357"/>
      <c r="AP39" s="344">
        <f>Calcu!P25</f>
        <v>4</v>
      </c>
      <c r="AQ39" s="344"/>
      <c r="AR39" s="344"/>
      <c r="AS39" s="344"/>
      <c r="AT39" s="57"/>
    </row>
    <row r="40" spans="1:46" ht="18.75" customHeight="1">
      <c r="A40" s="57"/>
      <c r="B40" s="344" t="s">
        <v>75</v>
      </c>
      <c r="C40" s="344"/>
      <c r="D40" s="395" t="s">
        <v>262</v>
      </c>
      <c r="E40" s="396"/>
      <c r="F40" s="396"/>
      <c r="G40" s="397"/>
      <c r="H40" s="361">
        <v>0</v>
      </c>
      <c r="I40" s="362"/>
      <c r="J40" s="362"/>
      <c r="K40" s="362"/>
      <c r="L40" s="362"/>
      <c r="M40" s="362"/>
      <c r="N40" s="363"/>
      <c r="O40" s="402" t="e">
        <f>Calcu!J26</f>
        <v>#N/A</v>
      </c>
      <c r="P40" s="400"/>
      <c r="Q40" s="400"/>
      <c r="R40" s="400"/>
      <c r="S40" s="356" t="str">
        <f>Calcu!K26</f>
        <v>μm</v>
      </c>
      <c r="T40" s="400"/>
      <c r="U40" s="401"/>
      <c r="V40" s="344" t="str">
        <f>Calcu!L26</f>
        <v>정규</v>
      </c>
      <c r="W40" s="344"/>
      <c r="X40" s="344"/>
      <c r="Y40" s="344"/>
      <c r="Z40" s="344"/>
      <c r="AA40" s="361">
        <f>Calcu!M26</f>
        <v>1</v>
      </c>
      <c r="AB40" s="362"/>
      <c r="AC40" s="362"/>
      <c r="AD40" s="362"/>
      <c r="AE40" s="362"/>
      <c r="AF40" s="362"/>
      <c r="AG40" s="363"/>
      <c r="AH40" s="408" t="e">
        <f>Calcu!N26</f>
        <v>#N/A</v>
      </c>
      <c r="AI40" s="409"/>
      <c r="AJ40" s="409"/>
      <c r="AK40" s="409"/>
      <c r="AL40" s="409"/>
      <c r="AM40" s="356" t="str">
        <f>Calcu!O26</f>
        <v>μm</v>
      </c>
      <c r="AN40" s="356"/>
      <c r="AO40" s="357"/>
      <c r="AP40" s="344" t="str">
        <f>Calcu!P26</f>
        <v>∞</v>
      </c>
      <c r="AQ40" s="344"/>
      <c r="AR40" s="344"/>
      <c r="AS40" s="344"/>
      <c r="AT40" s="57"/>
    </row>
    <row r="41" spans="1:46" ht="18.75" customHeight="1">
      <c r="A41" s="57"/>
      <c r="B41" s="344" t="s">
        <v>140</v>
      </c>
      <c r="C41" s="344"/>
      <c r="D41" s="395" t="s">
        <v>141</v>
      </c>
      <c r="E41" s="396"/>
      <c r="F41" s="396"/>
      <c r="G41" s="397"/>
      <c r="H41" s="413" t="e">
        <f>Calcu!E27</f>
        <v>#N/A</v>
      </c>
      <c r="I41" s="414"/>
      <c r="J41" s="414"/>
      <c r="K41" s="414"/>
      <c r="L41" s="414"/>
      <c r="M41" s="400" t="str">
        <f>Calcu!F27</f>
        <v>μm</v>
      </c>
      <c r="N41" s="401"/>
      <c r="O41" s="389" t="s">
        <v>231</v>
      </c>
      <c r="P41" s="390"/>
      <c r="Q41" s="390"/>
      <c r="R41" s="390"/>
      <c r="S41" s="390"/>
      <c r="T41" s="390"/>
      <c r="U41" s="391"/>
      <c r="V41" s="344" t="s">
        <v>231</v>
      </c>
      <c r="W41" s="344"/>
      <c r="X41" s="344"/>
      <c r="Y41" s="344"/>
      <c r="Z41" s="344"/>
      <c r="AA41" s="389" t="s">
        <v>231</v>
      </c>
      <c r="AB41" s="390"/>
      <c r="AC41" s="390"/>
      <c r="AD41" s="390"/>
      <c r="AE41" s="390"/>
      <c r="AF41" s="390"/>
      <c r="AG41" s="391"/>
      <c r="AH41" s="406" t="e">
        <f>Calcu!N27</f>
        <v>#N/A</v>
      </c>
      <c r="AI41" s="407"/>
      <c r="AJ41" s="407"/>
      <c r="AK41" s="407"/>
      <c r="AL41" s="407"/>
      <c r="AM41" s="356" t="str">
        <f>Calcu!O27</f>
        <v>μm</v>
      </c>
      <c r="AN41" s="356"/>
      <c r="AO41" s="357"/>
      <c r="AP41" s="344" t="e">
        <f>Calcu!P27</f>
        <v>#N/A</v>
      </c>
      <c r="AQ41" s="344"/>
      <c r="AR41" s="344"/>
      <c r="AS41" s="344"/>
      <c r="AT41" s="57"/>
    </row>
    <row r="42" spans="1:46" ht="18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</row>
    <row r="43" spans="1:46" ht="18.75" customHeight="1">
      <c r="A43" s="58" t="s">
        <v>175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</row>
    <row r="44" spans="1:46" ht="18.75" customHeight="1">
      <c r="A44" s="57"/>
      <c r="B44" s="61" t="s">
        <v>232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</row>
    <row r="45" spans="1:46" ht="18.75" customHeight="1">
      <c r="A45" s="57"/>
      <c r="B45" s="61"/>
      <c r="C45" s="195" t="s">
        <v>233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88"/>
      <c r="U45" s="188"/>
      <c r="V45" s="358" t="e">
        <f>Calcu!G23*1000</f>
        <v>#N/A</v>
      </c>
      <c r="W45" s="358"/>
      <c r="X45" s="358"/>
      <c r="Y45" s="195" t="s">
        <v>234</v>
      </c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</row>
    <row r="46" spans="1:46" ht="18.75" customHeight="1">
      <c r="A46" s="57"/>
      <c r="B46" s="57"/>
      <c r="C46" s="57" t="s">
        <v>196</v>
      </c>
      <c r="D46" s="57"/>
      <c r="E46" s="57"/>
      <c r="F46" s="57"/>
      <c r="G46" s="57"/>
      <c r="H46" s="359" t="e">
        <f>H37</f>
        <v>#N/A</v>
      </c>
      <c r="I46" s="359"/>
      <c r="J46" s="359"/>
      <c r="K46" s="342" t="str">
        <f>M37</f>
        <v>μm</v>
      </c>
      <c r="L46" s="342"/>
      <c r="O46" s="57"/>
      <c r="P46" s="193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</row>
    <row r="47" spans="1:46" ht="18.75" customHeight="1">
      <c r="A47" s="57"/>
      <c r="B47" s="57"/>
      <c r="C47" s="360" t="s">
        <v>176</v>
      </c>
      <c r="D47" s="360"/>
      <c r="E47" s="360"/>
      <c r="F47" s="360"/>
      <c r="G47" s="360"/>
      <c r="H47" s="360"/>
      <c r="I47" s="360"/>
      <c r="J47" s="354" t="s">
        <v>310</v>
      </c>
      <c r="K47" s="354"/>
      <c r="L47" s="354" t="s">
        <v>179</v>
      </c>
      <c r="M47" s="353" t="s">
        <v>78</v>
      </c>
      <c r="N47" s="353"/>
      <c r="O47" s="354" t="s">
        <v>179</v>
      </c>
      <c r="P47" s="334" t="e">
        <f>V45</f>
        <v>#N/A</v>
      </c>
      <c r="Q47" s="334"/>
      <c r="R47" s="97" t="s">
        <v>235</v>
      </c>
      <c r="T47" s="354" t="s">
        <v>179</v>
      </c>
      <c r="U47" s="342" t="e">
        <f>P47/1000/2</f>
        <v>#N/A</v>
      </c>
      <c r="V47" s="342"/>
      <c r="W47" s="342"/>
      <c r="X47" s="341" t="s">
        <v>116</v>
      </c>
      <c r="Y47" s="341"/>
      <c r="Z47" s="193"/>
      <c r="AA47" s="60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</row>
    <row r="48" spans="1:46" ht="18.75" customHeight="1">
      <c r="A48" s="57"/>
      <c r="B48" s="57"/>
      <c r="C48" s="360"/>
      <c r="D48" s="360"/>
      <c r="E48" s="360"/>
      <c r="F48" s="360"/>
      <c r="G48" s="360"/>
      <c r="H48" s="360"/>
      <c r="I48" s="360"/>
      <c r="J48" s="354"/>
      <c r="K48" s="354"/>
      <c r="L48" s="354"/>
      <c r="M48" s="355" t="s">
        <v>79</v>
      </c>
      <c r="N48" s="355"/>
      <c r="O48" s="354"/>
      <c r="P48" s="392">
        <v>2</v>
      </c>
      <c r="Q48" s="392"/>
      <c r="R48" s="392"/>
      <c r="S48" s="392"/>
      <c r="T48" s="354"/>
      <c r="U48" s="342"/>
      <c r="V48" s="342"/>
      <c r="W48" s="342"/>
      <c r="X48" s="341"/>
      <c r="Y48" s="341"/>
      <c r="AA48" s="60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</row>
    <row r="49" spans="1:47" ht="18.75" customHeight="1">
      <c r="A49" s="57"/>
      <c r="B49" s="57"/>
      <c r="C49" s="57" t="s">
        <v>197</v>
      </c>
      <c r="D49" s="57"/>
      <c r="E49" s="57"/>
      <c r="F49" s="57"/>
      <c r="G49" s="57"/>
      <c r="H49" s="57"/>
      <c r="I49" s="332" t="str">
        <f>V37</f>
        <v>정규</v>
      </c>
      <c r="J49" s="332"/>
      <c r="K49" s="332"/>
      <c r="L49" s="332"/>
      <c r="M49" s="332"/>
      <c r="N49" s="332"/>
      <c r="O49" s="332"/>
      <c r="P49" s="332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</row>
    <row r="50" spans="1:47" ht="18.75" customHeight="1">
      <c r="A50" s="57"/>
      <c r="B50" s="57"/>
      <c r="C50" s="333" t="s">
        <v>180</v>
      </c>
      <c r="D50" s="333"/>
      <c r="E50" s="333"/>
      <c r="F50" s="333"/>
      <c r="G50" s="333"/>
      <c r="H50" s="333"/>
      <c r="I50" s="195"/>
      <c r="J50" s="195"/>
      <c r="K50" s="57"/>
      <c r="L50" s="57"/>
      <c r="O50" s="57"/>
      <c r="P50" s="415" t="str">
        <f>Calcu!E25</f>
        <v/>
      </c>
      <c r="Q50" s="415"/>
      <c r="R50" s="415"/>
      <c r="S50" s="415"/>
      <c r="T50" s="415"/>
      <c r="U50" s="335" t="s">
        <v>179</v>
      </c>
      <c r="V50" s="416" t="e">
        <f>P50/P51/R51</f>
        <v>#VALUE!</v>
      </c>
      <c r="W50" s="416"/>
      <c r="X50" s="416"/>
      <c r="Y50" s="416"/>
      <c r="Z50" s="57"/>
      <c r="AA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</row>
    <row r="51" spans="1:47" ht="18.75" customHeight="1">
      <c r="A51" s="57"/>
      <c r="B51" s="57"/>
      <c r="C51" s="333"/>
      <c r="D51" s="333"/>
      <c r="E51" s="333"/>
      <c r="F51" s="333"/>
      <c r="G51" s="333"/>
      <c r="H51" s="333"/>
      <c r="I51" s="189"/>
      <c r="J51" s="189"/>
      <c r="K51" s="57"/>
      <c r="L51" s="57"/>
      <c r="O51" s="57"/>
      <c r="P51" s="59">
        <v>2</v>
      </c>
      <c r="Q51" s="201" t="s">
        <v>265</v>
      </c>
      <c r="R51" s="335" t="str">
        <f>Calcu!E24</f>
        <v/>
      </c>
      <c r="S51" s="335"/>
      <c r="T51" s="335"/>
      <c r="U51" s="335"/>
      <c r="V51" s="416"/>
      <c r="W51" s="416"/>
      <c r="X51" s="416"/>
      <c r="Y51" s="416"/>
      <c r="Z51" s="57"/>
      <c r="AA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</row>
    <row r="52" spans="1:47" s="57" customFormat="1" ht="18.75" customHeight="1">
      <c r="C52" s="57" t="s">
        <v>198</v>
      </c>
      <c r="K52" s="191" t="s">
        <v>76</v>
      </c>
      <c r="L52" s="417" t="e">
        <f>V50</f>
        <v>#VALUE!</v>
      </c>
      <c r="M52" s="417"/>
      <c r="N52" s="417"/>
      <c r="O52" s="188" t="s">
        <v>77</v>
      </c>
      <c r="P52" s="342" t="e">
        <f>U47</f>
        <v>#N/A</v>
      </c>
      <c r="Q52" s="342"/>
      <c r="R52" s="342"/>
      <c r="S52" s="341" t="str">
        <f>X47</f>
        <v>μm</v>
      </c>
      <c r="T52" s="342"/>
      <c r="U52" s="191" t="s">
        <v>76</v>
      </c>
      <c r="V52" s="72" t="s">
        <v>179</v>
      </c>
      <c r="W52" s="343" t="e">
        <f>L52*P52</f>
        <v>#VALUE!</v>
      </c>
      <c r="X52" s="343"/>
      <c r="Y52" s="343"/>
      <c r="Z52" s="343"/>
      <c r="AA52" s="341" t="str">
        <f>S52</f>
        <v>μm</v>
      </c>
      <c r="AB52" s="342"/>
      <c r="AC52" s="195"/>
      <c r="AD52" s="195"/>
      <c r="AE52" s="193"/>
    </row>
    <row r="53" spans="1:47" ht="18.75" customHeight="1">
      <c r="A53" s="57"/>
      <c r="B53" s="57"/>
      <c r="C53" s="195" t="s">
        <v>199</v>
      </c>
      <c r="D53" s="195"/>
      <c r="E53" s="195"/>
      <c r="F53" s="195"/>
      <c r="G53" s="195"/>
      <c r="I53" s="106" t="s">
        <v>236</v>
      </c>
      <c r="J53" s="57"/>
      <c r="K53" s="57"/>
      <c r="L53" s="57"/>
      <c r="M53" s="57"/>
      <c r="N53" s="57"/>
      <c r="O53" s="57"/>
      <c r="P53" s="57"/>
      <c r="Q53" s="57"/>
      <c r="R53" s="57"/>
      <c r="S53" s="186"/>
      <c r="T53" s="186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</row>
    <row r="54" spans="1:47" s="57" customFormat="1" ht="18.75" customHeight="1"/>
    <row r="55" spans="1:47" ht="18.75" customHeight="1">
      <c r="A55" s="57"/>
      <c r="B55" s="61" t="s">
        <v>266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</row>
    <row r="56" spans="1:47" ht="18.75" customHeight="1">
      <c r="A56" s="57"/>
      <c r="B56" s="61"/>
      <c r="C56" s="186" t="s">
        <v>267</v>
      </c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</row>
    <row r="57" spans="1:47" ht="18.75" customHeight="1">
      <c r="A57" s="57"/>
      <c r="B57" s="61"/>
      <c r="C57" s="186"/>
      <c r="D57" s="57" t="s">
        <v>268</v>
      </c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</row>
    <row r="58" spans="1:47" ht="18.75" customHeight="1">
      <c r="A58" s="57"/>
      <c r="B58" s="61"/>
      <c r="C58" s="57" t="s">
        <v>237</v>
      </c>
      <c r="D58" s="57"/>
      <c r="E58" s="57"/>
      <c r="F58" s="57"/>
      <c r="G58" s="57"/>
      <c r="H58" s="351" t="str">
        <f>H38</f>
        <v/>
      </c>
      <c r="I58" s="351"/>
      <c r="J58" s="351"/>
      <c r="K58" s="195" t="s">
        <v>252</v>
      </c>
      <c r="L58" s="195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</row>
    <row r="59" spans="1:47" ht="18.75" customHeight="1">
      <c r="A59" s="57"/>
      <c r="B59" s="61"/>
      <c r="C59" s="57" t="s">
        <v>200</v>
      </c>
      <c r="D59" s="57"/>
      <c r="E59" s="57"/>
      <c r="F59" s="57"/>
      <c r="G59" s="57"/>
      <c r="H59" s="57"/>
      <c r="I59" s="57"/>
      <c r="J59" s="62" t="s">
        <v>177</v>
      </c>
      <c r="K59" s="57"/>
      <c r="L59" s="57"/>
      <c r="M59" s="57"/>
      <c r="N59" s="57"/>
      <c r="O59" s="57"/>
      <c r="P59" s="57"/>
      <c r="Q59" s="352">
        <f>Calcu!G24</f>
        <v>0</v>
      </c>
      <c r="R59" s="352"/>
      <c r="S59" s="352"/>
      <c r="T59" s="180" t="s">
        <v>252</v>
      </c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</row>
    <row r="60" spans="1:47" ht="18.75" customHeight="1">
      <c r="B60" s="57"/>
      <c r="C60" s="57"/>
      <c r="D60" s="57"/>
      <c r="E60" s="57"/>
      <c r="F60" s="57"/>
      <c r="G60" s="57"/>
      <c r="H60" s="192"/>
      <c r="I60" s="192"/>
      <c r="J60" s="354" t="s">
        <v>311</v>
      </c>
      <c r="K60" s="354"/>
      <c r="L60" s="354" t="s">
        <v>179</v>
      </c>
      <c r="M60" s="353" t="s">
        <v>178</v>
      </c>
      <c r="N60" s="353"/>
      <c r="O60" s="354" t="s">
        <v>179</v>
      </c>
      <c r="P60" s="350">
        <f>Q59</f>
        <v>0</v>
      </c>
      <c r="Q60" s="350"/>
      <c r="R60" s="350"/>
      <c r="S60" s="211" t="s">
        <v>252</v>
      </c>
      <c r="T60" s="212"/>
      <c r="U60" s="354" t="s">
        <v>179</v>
      </c>
      <c r="V60" s="340">
        <f>P60/SQRT(5)</f>
        <v>0</v>
      </c>
      <c r="W60" s="340"/>
      <c r="X60" s="340"/>
      <c r="Y60" s="341" t="s">
        <v>252</v>
      </c>
      <c r="Z60" s="341"/>
      <c r="AA60" s="192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7" ht="18.75" customHeight="1">
      <c r="B61" s="57"/>
      <c r="C61" s="57"/>
      <c r="D61" s="57"/>
      <c r="E61" s="57"/>
      <c r="F61" s="57"/>
      <c r="G61" s="57"/>
      <c r="H61" s="192"/>
      <c r="I61" s="192"/>
      <c r="J61" s="354"/>
      <c r="K61" s="354"/>
      <c r="L61" s="354"/>
      <c r="M61" s="355"/>
      <c r="N61" s="355"/>
      <c r="O61" s="354"/>
      <c r="P61" s="195"/>
      <c r="Q61" s="195"/>
      <c r="R61" s="195"/>
      <c r="S61" s="60"/>
      <c r="T61" s="60"/>
      <c r="U61" s="354"/>
      <c r="V61" s="340"/>
      <c r="W61" s="340"/>
      <c r="X61" s="340"/>
      <c r="Y61" s="341"/>
      <c r="Z61" s="341"/>
      <c r="AA61" s="192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7" ht="18.75" customHeight="1">
      <c r="B62" s="57"/>
      <c r="C62" s="57" t="s">
        <v>201</v>
      </c>
      <c r="D62" s="57"/>
      <c r="E62" s="57"/>
      <c r="F62" s="57"/>
      <c r="G62" s="57"/>
      <c r="H62" s="57"/>
      <c r="I62" s="332" t="str">
        <f>V38</f>
        <v>t</v>
      </c>
      <c r="J62" s="332"/>
      <c r="K62" s="332"/>
      <c r="L62" s="332"/>
      <c r="M62" s="332"/>
      <c r="N62" s="332"/>
      <c r="O62" s="332"/>
      <c r="P62" s="332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ht="18.75" customHeight="1">
      <c r="B63" s="57"/>
      <c r="C63" s="333" t="s">
        <v>80</v>
      </c>
      <c r="D63" s="333"/>
      <c r="E63" s="333"/>
      <c r="F63" s="333"/>
      <c r="G63" s="333"/>
      <c r="H63" s="333"/>
      <c r="I63" s="195"/>
      <c r="J63" s="195"/>
      <c r="K63" s="57"/>
      <c r="L63" s="57"/>
      <c r="O63" s="57"/>
      <c r="P63" s="418" t="e">
        <f>Calcu!E23</f>
        <v>#N/A</v>
      </c>
      <c r="Q63" s="418"/>
      <c r="R63" s="418"/>
      <c r="S63" s="418"/>
      <c r="T63" s="200" t="s">
        <v>265</v>
      </c>
      <c r="U63" s="419" t="str">
        <f>Calcu!E25</f>
        <v/>
      </c>
      <c r="V63" s="419"/>
      <c r="W63" s="419"/>
      <c r="X63" s="213" t="s">
        <v>252</v>
      </c>
      <c r="Y63" s="213"/>
      <c r="Z63" s="335" t="s">
        <v>179</v>
      </c>
      <c r="AA63" s="336" t="e">
        <f>P63/1000*U63/P64/T64^2</f>
        <v>#N/A</v>
      </c>
      <c r="AB63" s="336"/>
      <c r="AC63" s="336"/>
      <c r="AD63" s="336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ht="18.75" customHeight="1">
      <c r="B64" s="57"/>
      <c r="C64" s="333"/>
      <c r="D64" s="333"/>
      <c r="E64" s="333"/>
      <c r="F64" s="333"/>
      <c r="G64" s="333"/>
      <c r="H64" s="333"/>
      <c r="I64" s="189"/>
      <c r="J64" s="189"/>
      <c r="K64" s="57"/>
      <c r="L64" s="57"/>
      <c r="O64" s="57"/>
      <c r="P64" s="337">
        <v>2</v>
      </c>
      <c r="Q64" s="337"/>
      <c r="R64" s="201" t="s">
        <v>265</v>
      </c>
      <c r="S64" s="201" t="s">
        <v>269</v>
      </c>
      <c r="T64" s="338" t="str">
        <f>Calcu!E24</f>
        <v/>
      </c>
      <c r="U64" s="338"/>
      <c r="V64" s="338"/>
      <c r="W64" s="214" t="s">
        <v>270</v>
      </c>
      <c r="Y64" s="215">
        <v>2</v>
      </c>
      <c r="Z64" s="335"/>
      <c r="AA64" s="336"/>
      <c r="AB64" s="336"/>
      <c r="AC64" s="336"/>
      <c r="AD64" s="336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57" customFormat="1" ht="18.75" customHeight="1">
      <c r="C65" s="57" t="s">
        <v>181</v>
      </c>
      <c r="K65" s="191" t="s">
        <v>76</v>
      </c>
      <c r="L65" s="339" t="e">
        <f>AA63</f>
        <v>#N/A</v>
      </c>
      <c r="M65" s="339"/>
      <c r="N65" s="339"/>
      <c r="O65" s="339"/>
      <c r="P65" s="188" t="s">
        <v>77</v>
      </c>
      <c r="Q65" s="340">
        <f>V60</f>
        <v>0</v>
      </c>
      <c r="R65" s="340"/>
      <c r="S65" s="340"/>
      <c r="T65" s="341" t="str">
        <f>Y60</f>
        <v>mm</v>
      </c>
      <c r="U65" s="342"/>
      <c r="V65" s="191" t="s">
        <v>76</v>
      </c>
      <c r="W65" s="72" t="s">
        <v>179</v>
      </c>
      <c r="X65" s="343" t="e">
        <f>L65*Q65*1000</f>
        <v>#N/A</v>
      </c>
      <c r="Y65" s="343"/>
      <c r="Z65" s="343"/>
      <c r="AA65" s="343"/>
      <c r="AB65" s="341" t="s">
        <v>271</v>
      </c>
      <c r="AC65" s="342"/>
      <c r="AD65" s="195"/>
      <c r="AE65" s="195"/>
      <c r="AF65" s="193"/>
    </row>
    <row r="66" spans="1:47" ht="18.75" customHeight="1">
      <c r="B66" s="57"/>
      <c r="C66" s="57" t="s">
        <v>81</v>
      </c>
      <c r="D66" s="57"/>
      <c r="E66" s="57"/>
      <c r="F66" s="57"/>
      <c r="G66" s="57"/>
      <c r="H66" s="57"/>
      <c r="I66" s="106" t="s">
        <v>272</v>
      </c>
      <c r="J66" s="106"/>
      <c r="K66" s="106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57"/>
      <c r="AB66" s="57"/>
      <c r="AC66" s="57"/>
      <c r="AD66" s="57"/>
      <c r="AE66" s="57"/>
      <c r="AF66" s="57"/>
    </row>
    <row r="67" spans="1:47" ht="18.75" customHeight="1">
      <c r="B67" s="57"/>
      <c r="C67" s="57"/>
      <c r="D67" s="57"/>
      <c r="E67" s="57"/>
      <c r="F67" s="57"/>
      <c r="G67" s="57"/>
      <c r="H67" s="57"/>
      <c r="I67" s="106"/>
      <c r="J67" s="96"/>
      <c r="K67" s="106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57"/>
      <c r="AF67" s="57"/>
    </row>
    <row r="68" spans="1:47" ht="18.75" customHeight="1">
      <c r="A68" s="57"/>
      <c r="B68" s="61" t="s">
        <v>273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</row>
    <row r="69" spans="1:47" ht="18.75" customHeight="1">
      <c r="A69" s="57"/>
      <c r="B69" s="61"/>
      <c r="C69" s="186" t="s">
        <v>267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</row>
    <row r="70" spans="1:47" ht="18.75" customHeight="1">
      <c r="A70" s="57"/>
      <c r="B70" s="61"/>
      <c r="C70" s="186"/>
      <c r="D70" s="57" t="s">
        <v>268</v>
      </c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</row>
    <row r="71" spans="1:47" ht="18.75" customHeight="1">
      <c r="A71" s="57"/>
      <c r="B71" s="61"/>
      <c r="C71" s="57" t="s">
        <v>274</v>
      </c>
      <c r="D71" s="57"/>
      <c r="E71" s="57"/>
      <c r="F71" s="57"/>
      <c r="G71" s="57"/>
      <c r="H71" s="351" t="str">
        <f>H39</f>
        <v/>
      </c>
      <c r="I71" s="351"/>
      <c r="J71" s="351"/>
      <c r="K71" s="195" t="s">
        <v>252</v>
      </c>
      <c r="L71" s="195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</row>
    <row r="72" spans="1:47" ht="18.75" customHeight="1">
      <c r="A72" s="57"/>
      <c r="B72" s="61"/>
      <c r="C72" s="57" t="s">
        <v>182</v>
      </c>
      <c r="D72" s="57"/>
      <c r="E72" s="57"/>
      <c r="F72" s="57"/>
      <c r="G72" s="57"/>
      <c r="H72" s="57"/>
      <c r="I72" s="57"/>
      <c r="J72" s="62" t="s">
        <v>177</v>
      </c>
      <c r="K72" s="57"/>
      <c r="L72" s="57"/>
      <c r="M72" s="57"/>
      <c r="N72" s="57"/>
      <c r="O72" s="57"/>
      <c r="P72" s="57"/>
      <c r="Q72" s="352">
        <f>Calcu!G25</f>
        <v>0</v>
      </c>
      <c r="R72" s="352"/>
      <c r="S72" s="352"/>
      <c r="T72" s="180" t="s">
        <v>252</v>
      </c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</row>
    <row r="73" spans="1:47" ht="18.75" customHeight="1">
      <c r="B73" s="57"/>
      <c r="C73" s="57"/>
      <c r="D73" s="57"/>
      <c r="E73" s="57"/>
      <c r="F73" s="57"/>
      <c r="G73" s="57"/>
      <c r="H73" s="192"/>
      <c r="I73" s="192"/>
      <c r="J73" s="354" t="s">
        <v>312</v>
      </c>
      <c r="K73" s="354"/>
      <c r="L73" s="354" t="s">
        <v>179</v>
      </c>
      <c r="M73" s="353" t="s">
        <v>178</v>
      </c>
      <c r="N73" s="353"/>
      <c r="O73" s="354" t="s">
        <v>179</v>
      </c>
      <c r="P73" s="350">
        <f>Q72</f>
        <v>0</v>
      </c>
      <c r="Q73" s="350"/>
      <c r="R73" s="350"/>
      <c r="S73" s="211" t="s">
        <v>252</v>
      </c>
      <c r="T73" s="212"/>
      <c r="U73" s="354" t="s">
        <v>179</v>
      </c>
      <c r="V73" s="340">
        <f>P73/SQRT(5)</f>
        <v>0</v>
      </c>
      <c r="W73" s="340"/>
      <c r="X73" s="340"/>
      <c r="Y73" s="341" t="s">
        <v>252</v>
      </c>
      <c r="Z73" s="341"/>
      <c r="AA73" s="192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7" ht="18.75" customHeight="1">
      <c r="B74" s="57"/>
      <c r="C74" s="57"/>
      <c r="D74" s="57"/>
      <c r="E74" s="57"/>
      <c r="F74" s="57"/>
      <c r="G74" s="57"/>
      <c r="H74" s="192"/>
      <c r="I74" s="192"/>
      <c r="J74" s="354"/>
      <c r="K74" s="354"/>
      <c r="L74" s="354"/>
      <c r="M74" s="355"/>
      <c r="N74" s="355"/>
      <c r="O74" s="354"/>
      <c r="P74" s="195"/>
      <c r="Q74" s="195"/>
      <c r="R74" s="195"/>
      <c r="S74" s="60"/>
      <c r="T74" s="60"/>
      <c r="U74" s="354"/>
      <c r="V74" s="340"/>
      <c r="W74" s="340"/>
      <c r="X74" s="340"/>
      <c r="Y74" s="341"/>
      <c r="Z74" s="341"/>
      <c r="AA74" s="192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7" ht="18.75" customHeight="1">
      <c r="B75" s="57"/>
      <c r="C75" s="57" t="s">
        <v>83</v>
      </c>
      <c r="D75" s="57"/>
      <c r="E75" s="57"/>
      <c r="F75" s="57"/>
      <c r="G75" s="57"/>
      <c r="H75" s="57"/>
      <c r="I75" s="332" t="str">
        <f>V39</f>
        <v>t</v>
      </c>
      <c r="J75" s="332"/>
      <c r="K75" s="332"/>
      <c r="L75" s="332"/>
      <c r="M75" s="332"/>
      <c r="N75" s="332"/>
      <c r="O75" s="332"/>
      <c r="P75" s="332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ht="18.75" customHeight="1">
      <c r="B76" s="57"/>
      <c r="C76" s="333" t="s">
        <v>275</v>
      </c>
      <c r="D76" s="333"/>
      <c r="E76" s="333"/>
      <c r="F76" s="333"/>
      <c r="G76" s="333"/>
      <c r="H76" s="333"/>
      <c r="I76" s="195"/>
      <c r="J76" s="195"/>
      <c r="K76" s="57"/>
      <c r="L76" s="57"/>
      <c r="O76" s="57"/>
      <c r="P76" s="334" t="e">
        <f>H37</f>
        <v>#N/A</v>
      </c>
      <c r="Q76" s="334"/>
      <c r="R76" s="334"/>
      <c r="S76" s="334"/>
      <c r="T76" s="213" t="str">
        <f>M37</f>
        <v>μm</v>
      </c>
      <c r="U76" s="213"/>
      <c r="V76" s="213"/>
      <c r="W76" s="213"/>
      <c r="X76" s="335" t="s">
        <v>179</v>
      </c>
      <c r="Y76" s="336" t="e">
        <f>P76/1000/P77/S77</f>
        <v>#N/A</v>
      </c>
      <c r="Z76" s="336"/>
      <c r="AA76" s="336"/>
      <c r="AB76" s="336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7" ht="18.75" customHeight="1">
      <c r="B77" s="57"/>
      <c r="C77" s="333"/>
      <c r="D77" s="333"/>
      <c r="E77" s="333"/>
      <c r="F77" s="333"/>
      <c r="G77" s="333"/>
      <c r="H77" s="333"/>
      <c r="I77" s="189"/>
      <c r="J77" s="189"/>
      <c r="K77" s="57"/>
      <c r="L77" s="57"/>
      <c r="O77" s="57"/>
      <c r="P77" s="337">
        <v>2</v>
      </c>
      <c r="Q77" s="337"/>
      <c r="R77" s="201" t="s">
        <v>265</v>
      </c>
      <c r="S77" s="338" t="str">
        <f>H38</f>
        <v/>
      </c>
      <c r="T77" s="338"/>
      <c r="U77" s="338"/>
      <c r="V77" s="216" t="s">
        <v>252</v>
      </c>
      <c r="W77" s="214"/>
      <c r="X77" s="335"/>
      <c r="Y77" s="336"/>
      <c r="Z77" s="336"/>
      <c r="AA77" s="336"/>
      <c r="AB77" s="336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</row>
    <row r="78" spans="1:47" s="57" customFormat="1" ht="18.75" customHeight="1">
      <c r="C78" s="57" t="s">
        <v>276</v>
      </c>
      <c r="K78" s="191" t="s">
        <v>76</v>
      </c>
      <c r="L78" s="339" t="e">
        <f>Y76</f>
        <v>#N/A</v>
      </c>
      <c r="M78" s="339"/>
      <c r="N78" s="339"/>
      <c r="O78" s="339"/>
      <c r="P78" s="188" t="s">
        <v>77</v>
      </c>
      <c r="Q78" s="340">
        <f>V73</f>
        <v>0</v>
      </c>
      <c r="R78" s="340"/>
      <c r="S78" s="340"/>
      <c r="T78" s="341" t="str">
        <f>Y73</f>
        <v>mm</v>
      </c>
      <c r="U78" s="342"/>
      <c r="V78" s="191" t="s">
        <v>76</v>
      </c>
      <c r="W78" s="72" t="s">
        <v>179</v>
      </c>
      <c r="X78" s="343" t="e">
        <f>L78*Q78*1000</f>
        <v>#N/A</v>
      </c>
      <c r="Y78" s="343"/>
      <c r="Z78" s="343"/>
      <c r="AA78" s="343"/>
      <c r="AB78" s="341" t="s">
        <v>271</v>
      </c>
      <c r="AC78" s="342"/>
      <c r="AD78" s="195"/>
      <c r="AE78" s="195"/>
      <c r="AF78" s="193"/>
    </row>
    <row r="79" spans="1:47" ht="18.75" customHeight="1">
      <c r="B79" s="57"/>
      <c r="C79" s="57" t="s">
        <v>84</v>
      </c>
      <c r="D79" s="57"/>
      <c r="E79" s="57"/>
      <c r="F79" s="57"/>
      <c r="G79" s="57"/>
      <c r="H79" s="57"/>
      <c r="I79" s="106" t="s">
        <v>277</v>
      </c>
      <c r="J79" s="106"/>
      <c r="K79" s="106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57"/>
      <c r="AB79" s="57"/>
      <c r="AC79" s="57"/>
      <c r="AD79" s="57"/>
      <c r="AE79" s="57"/>
      <c r="AF79" s="57"/>
    </row>
    <row r="80" spans="1:47" ht="18.75" customHeight="1">
      <c r="B80" s="57"/>
      <c r="C80" s="57"/>
      <c r="D80" s="57"/>
      <c r="E80" s="57"/>
      <c r="F80" s="57"/>
      <c r="G80" s="57"/>
      <c r="H80" s="57"/>
      <c r="I80" s="106"/>
      <c r="J80" s="96"/>
      <c r="K80" s="106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57"/>
      <c r="AF80" s="57"/>
    </row>
    <row r="81" spans="1:65" s="201" customFormat="1" ht="18.75" customHeight="1">
      <c r="B81" s="58" t="s">
        <v>309</v>
      </c>
      <c r="C81" s="195"/>
      <c r="E81" s="195"/>
      <c r="F81" s="195"/>
      <c r="G81" s="188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88"/>
      <c r="AF81" s="195"/>
      <c r="AG81" s="188"/>
      <c r="AH81" s="188"/>
      <c r="AI81" s="188"/>
      <c r="AJ81" s="188"/>
      <c r="AK81" s="188"/>
      <c r="AL81" s="188"/>
      <c r="AM81" s="188"/>
      <c r="AN81" s="188"/>
      <c r="AO81" s="188"/>
      <c r="AP81" s="188"/>
      <c r="AQ81" s="188"/>
      <c r="AR81" s="188"/>
      <c r="AS81" s="188"/>
      <c r="AT81" s="188"/>
      <c r="AU81" s="188"/>
      <c r="AV81" s="188"/>
      <c r="AW81" s="188"/>
      <c r="AX81" s="188"/>
      <c r="AY81" s="188"/>
      <c r="AZ81" s="188"/>
      <c r="BA81" s="188"/>
      <c r="BB81" s="188"/>
      <c r="BC81" s="188"/>
      <c r="BD81" s="188"/>
      <c r="BE81" s="188"/>
      <c r="BF81" s="188"/>
      <c r="BG81" s="188"/>
    </row>
    <row r="82" spans="1:65" s="201" customFormat="1" ht="18.75" customHeight="1">
      <c r="B82" s="58"/>
      <c r="C82" s="195" t="s">
        <v>278</v>
      </c>
      <c r="E82" s="195"/>
      <c r="F82" s="195"/>
      <c r="G82" s="188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333" t="e">
        <f>Calcu!G26</f>
        <v>#N/A</v>
      </c>
      <c r="Z82" s="333"/>
      <c r="AA82" s="333"/>
      <c r="AB82" s="192" t="s">
        <v>279</v>
      </c>
      <c r="AC82" s="193"/>
      <c r="AD82" s="195"/>
      <c r="AE82" s="188"/>
      <c r="AF82" s="195"/>
      <c r="AG82" s="188"/>
      <c r="AH82" s="188"/>
      <c r="AI82" s="188"/>
      <c r="AJ82" s="188"/>
      <c r="AK82" s="188"/>
      <c r="AL82" s="188"/>
      <c r="AM82" s="188"/>
      <c r="AN82" s="188"/>
      <c r="AO82" s="188"/>
      <c r="AP82" s="188"/>
      <c r="AQ82" s="188"/>
      <c r="AR82" s="188"/>
      <c r="AS82" s="188"/>
      <c r="AT82" s="188"/>
      <c r="AU82" s="188"/>
      <c r="AV82" s="188"/>
      <c r="AW82" s="188"/>
      <c r="AX82" s="188"/>
      <c r="AY82" s="188"/>
      <c r="AZ82" s="188"/>
      <c r="BA82" s="188"/>
      <c r="BB82" s="188"/>
      <c r="BC82" s="188"/>
      <c r="BD82" s="188"/>
      <c r="BE82" s="188"/>
      <c r="BF82" s="188"/>
      <c r="BG82" s="188"/>
    </row>
    <row r="83" spans="1:65" s="201" customFormat="1" ht="18.75" customHeight="1">
      <c r="B83" s="58"/>
      <c r="C83" s="195" t="s">
        <v>280</v>
      </c>
      <c r="D83" s="188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88"/>
      <c r="P83" s="217"/>
      <c r="Q83" s="217"/>
      <c r="R83" s="217"/>
      <c r="S83" s="217"/>
      <c r="T83" s="333">
        <v>150</v>
      </c>
      <c r="U83" s="333"/>
      <c r="V83" s="195" t="s">
        <v>281</v>
      </c>
      <c r="W83" s="195"/>
      <c r="X83" s="195"/>
      <c r="Y83" s="195"/>
      <c r="Z83" s="195"/>
      <c r="AA83" s="195"/>
      <c r="AB83" s="195"/>
      <c r="AC83" s="420">
        <f>PI()/4*T83^2</f>
        <v>17671.458676442588</v>
      </c>
      <c r="AD83" s="420"/>
      <c r="AE83" s="420"/>
      <c r="AF83" s="179" t="s">
        <v>282</v>
      </c>
      <c r="AG83" s="179"/>
      <c r="AH83" s="179"/>
      <c r="AI83" s="195"/>
      <c r="AJ83" s="188"/>
      <c r="AK83" s="188"/>
      <c r="AL83" s="333" t="e">
        <f>Calcu!H26</f>
        <v>#N/A</v>
      </c>
      <c r="AM83" s="333"/>
      <c r="AN83" s="333"/>
      <c r="AO83" s="192" t="s">
        <v>283</v>
      </c>
      <c r="AP83" s="193"/>
      <c r="AQ83" s="188"/>
      <c r="AR83" s="188"/>
      <c r="AS83" s="188"/>
      <c r="AT83" s="188"/>
      <c r="AU83" s="188"/>
      <c r="AV83" s="188"/>
      <c r="AW83" s="188"/>
      <c r="AX83" s="188"/>
      <c r="AY83" s="188"/>
      <c r="AZ83" s="188"/>
      <c r="BA83" s="188"/>
      <c r="BB83" s="188"/>
      <c r="BC83" s="188"/>
      <c r="BD83" s="188"/>
      <c r="BE83" s="188"/>
      <c r="BF83" s="188"/>
      <c r="BG83" s="188"/>
    </row>
    <row r="84" spans="1:65" s="201" customFormat="1" ht="18.75" customHeight="1">
      <c r="B84" s="188"/>
      <c r="D84" s="195" t="s">
        <v>284</v>
      </c>
      <c r="E84" s="195"/>
      <c r="F84" s="195"/>
      <c r="G84" s="195"/>
      <c r="H84" s="195"/>
      <c r="I84" s="188"/>
      <c r="P84" s="333">
        <f>MAX(Calcu!C9:C18)</f>
        <v>0</v>
      </c>
      <c r="Q84" s="333"/>
      <c r="R84" s="195" t="s">
        <v>281</v>
      </c>
      <c r="S84" s="195"/>
      <c r="T84" s="195"/>
      <c r="U84" s="195"/>
      <c r="V84" s="195"/>
      <c r="W84" s="195"/>
      <c r="X84" s="195"/>
      <c r="Y84" s="420">
        <f>PI()/4*P84^2</f>
        <v>0</v>
      </c>
      <c r="Z84" s="420"/>
      <c r="AA84" s="420"/>
      <c r="AB84" s="179" t="s">
        <v>285</v>
      </c>
      <c r="AC84" s="179"/>
      <c r="AD84" s="179"/>
      <c r="AE84" s="195"/>
      <c r="AF84" s="188"/>
      <c r="AS84" s="181"/>
      <c r="AT84" s="181"/>
      <c r="AU84" s="181"/>
      <c r="AV84" s="181"/>
      <c r="AW84" s="181"/>
      <c r="AX84" s="181"/>
      <c r="AY84" s="181"/>
      <c r="AZ84" s="181"/>
      <c r="BA84" s="181"/>
      <c r="BB84" s="188"/>
      <c r="BC84" s="188"/>
      <c r="BD84" s="188"/>
      <c r="BE84" s="188"/>
      <c r="BF84" s="188"/>
      <c r="BG84" s="188"/>
    </row>
    <row r="85" spans="1:65" s="201" customFormat="1" ht="18.75" customHeight="1">
      <c r="B85" s="188"/>
      <c r="D85" s="195" t="s">
        <v>286</v>
      </c>
      <c r="E85" s="195"/>
      <c r="F85" s="195"/>
      <c r="G85" s="195"/>
      <c r="H85" s="195"/>
      <c r="I85" s="188"/>
      <c r="N85" s="421">
        <f>Y84/AC83</f>
        <v>0</v>
      </c>
      <c r="O85" s="421"/>
      <c r="P85" s="421"/>
      <c r="Q85" s="195" t="s">
        <v>287</v>
      </c>
      <c r="R85" s="195"/>
      <c r="S85" s="195"/>
      <c r="T85" s="195"/>
      <c r="U85" s="195"/>
      <c r="V85" s="195"/>
      <c r="W85" s="195"/>
      <c r="X85" s="359" t="e">
        <f>AL83*N85</f>
        <v>#N/A</v>
      </c>
      <c r="Y85" s="359"/>
      <c r="Z85" s="359"/>
      <c r="AA85" s="192" t="s">
        <v>288</v>
      </c>
      <c r="AB85" s="193"/>
      <c r="AC85" s="188"/>
      <c r="AD85" s="179"/>
      <c r="AE85" s="195"/>
      <c r="AF85" s="188"/>
      <c r="AS85" s="181"/>
      <c r="AT85" s="181"/>
      <c r="AU85" s="181"/>
      <c r="AV85" s="181"/>
      <c r="AW85" s="181"/>
      <c r="AX85" s="181"/>
      <c r="AY85" s="181"/>
      <c r="AZ85" s="181"/>
      <c r="BA85" s="181"/>
      <c r="BB85" s="188"/>
      <c r="BC85" s="188"/>
      <c r="BD85" s="188"/>
      <c r="BE85" s="188"/>
      <c r="BF85" s="188"/>
      <c r="BG85" s="188"/>
    </row>
    <row r="86" spans="1:65" s="201" customFormat="1" ht="18.75" customHeight="1">
      <c r="B86" s="188"/>
      <c r="C86" s="57" t="s">
        <v>289</v>
      </c>
      <c r="D86" s="195"/>
      <c r="E86" s="195"/>
      <c r="F86" s="195"/>
      <c r="G86" s="195"/>
      <c r="H86" s="376">
        <v>0</v>
      </c>
      <c r="I86" s="376"/>
      <c r="N86" s="218"/>
      <c r="O86" s="218"/>
      <c r="P86" s="218"/>
      <c r="Q86" s="195"/>
      <c r="R86" s="195"/>
      <c r="S86" s="195"/>
      <c r="T86" s="195"/>
      <c r="U86" s="195"/>
      <c r="V86" s="195"/>
      <c r="W86" s="195"/>
      <c r="X86" s="198"/>
      <c r="Y86" s="198"/>
      <c r="Z86" s="198"/>
      <c r="AA86" s="192"/>
      <c r="AB86" s="193"/>
      <c r="AC86" s="188"/>
      <c r="AD86" s="179"/>
      <c r="AE86" s="195"/>
      <c r="AF86" s="188"/>
      <c r="AS86" s="181"/>
      <c r="AT86" s="181"/>
      <c r="AU86" s="181"/>
      <c r="AV86" s="181"/>
      <c r="AW86" s="181"/>
      <c r="AX86" s="181"/>
      <c r="AY86" s="181"/>
      <c r="AZ86" s="181"/>
      <c r="BA86" s="181"/>
      <c r="BB86" s="188"/>
      <c r="BC86" s="188"/>
      <c r="BD86" s="188"/>
      <c r="BE86" s="188"/>
      <c r="BF86" s="188"/>
      <c r="BG86" s="188"/>
    </row>
    <row r="87" spans="1:65" s="201" customFormat="1" ht="18.75" customHeight="1">
      <c r="B87" s="188"/>
      <c r="C87" s="333" t="s">
        <v>183</v>
      </c>
      <c r="D87" s="333"/>
      <c r="E87" s="333"/>
      <c r="F87" s="333"/>
      <c r="G87" s="333"/>
      <c r="H87" s="333"/>
      <c r="I87" s="333"/>
      <c r="J87" s="425" t="s">
        <v>313</v>
      </c>
      <c r="K87" s="425"/>
      <c r="L87" s="425"/>
      <c r="M87" s="426" t="s">
        <v>179</v>
      </c>
      <c r="N87" s="334" t="e">
        <f>Y82</f>
        <v>#N/A</v>
      </c>
      <c r="O87" s="334"/>
      <c r="P87" s="334"/>
      <c r="Q87" s="219" t="s">
        <v>271</v>
      </c>
      <c r="R87" s="190"/>
      <c r="S87" s="190" t="s">
        <v>290</v>
      </c>
      <c r="T87" s="428" t="e">
        <f>X85</f>
        <v>#N/A</v>
      </c>
      <c r="U87" s="428"/>
      <c r="V87" s="428"/>
      <c r="W87" s="219" t="s">
        <v>271</v>
      </c>
      <c r="X87" s="220"/>
      <c r="Y87" s="426" t="s">
        <v>179</v>
      </c>
      <c r="Z87" s="429" t="e">
        <f>(N87+T87)/N88</f>
        <v>#N/A</v>
      </c>
      <c r="AA87" s="429"/>
      <c r="AB87" s="429"/>
      <c r="AC87" s="341" t="s">
        <v>271</v>
      </c>
      <c r="AD87" s="341"/>
      <c r="AE87" s="106"/>
      <c r="AF87" s="134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88"/>
      <c r="AT87" s="188"/>
      <c r="AU87" s="188"/>
      <c r="AV87" s="188"/>
      <c r="AW87" s="195"/>
      <c r="AX87" s="195"/>
      <c r="AY87" s="195"/>
      <c r="AZ87" s="195"/>
      <c r="BA87" s="195"/>
      <c r="BB87" s="195"/>
      <c r="BC87" s="195"/>
      <c r="BD87" s="195"/>
      <c r="BE87" s="188"/>
      <c r="BF87" s="188"/>
      <c r="BG87" s="188"/>
      <c r="BH87" s="188"/>
      <c r="BI87" s="188"/>
      <c r="BJ87" s="188"/>
      <c r="BK87" s="188"/>
      <c r="BL87" s="188"/>
      <c r="BM87" s="188"/>
    </row>
    <row r="88" spans="1:65" s="201" customFormat="1" ht="18.75" customHeight="1">
      <c r="B88" s="188"/>
      <c r="C88" s="333"/>
      <c r="D88" s="333"/>
      <c r="E88" s="333"/>
      <c r="F88" s="333"/>
      <c r="G88" s="333"/>
      <c r="H88" s="333"/>
      <c r="I88" s="333"/>
      <c r="J88" s="425"/>
      <c r="K88" s="425"/>
      <c r="L88" s="425"/>
      <c r="M88" s="426"/>
      <c r="N88" s="338">
        <v>2</v>
      </c>
      <c r="O88" s="338"/>
      <c r="P88" s="338"/>
      <c r="Q88" s="338"/>
      <c r="R88" s="338"/>
      <c r="S88" s="338"/>
      <c r="T88" s="338"/>
      <c r="U88" s="338"/>
      <c r="V88" s="338"/>
      <c r="W88" s="338"/>
      <c r="X88" s="338"/>
      <c r="Y88" s="426"/>
      <c r="Z88" s="429"/>
      <c r="AA88" s="429"/>
      <c r="AB88" s="429"/>
      <c r="AC88" s="341"/>
      <c r="AD88" s="341"/>
      <c r="AE88" s="106"/>
      <c r="AF88" s="134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88"/>
      <c r="AT88" s="188"/>
      <c r="AU88" s="188"/>
      <c r="AV88" s="188"/>
      <c r="AW88" s="195"/>
      <c r="AX88" s="195"/>
      <c r="AY88" s="195"/>
      <c r="AZ88" s="195"/>
      <c r="BA88" s="195"/>
      <c r="BB88" s="195"/>
      <c r="BC88" s="195"/>
      <c r="BD88" s="195"/>
      <c r="BE88" s="188"/>
      <c r="BF88" s="188"/>
      <c r="BG88" s="188"/>
      <c r="BH88" s="188"/>
      <c r="BI88" s="188"/>
      <c r="BJ88" s="188"/>
      <c r="BK88" s="188"/>
      <c r="BL88" s="188"/>
      <c r="BM88" s="188"/>
    </row>
    <row r="89" spans="1:65" s="201" customFormat="1" ht="18.75" customHeight="1">
      <c r="B89" s="188"/>
      <c r="C89" s="195" t="s">
        <v>184</v>
      </c>
      <c r="D89" s="195"/>
      <c r="E89" s="195"/>
      <c r="F89" s="195"/>
      <c r="G89" s="195"/>
      <c r="H89" s="195"/>
      <c r="I89" s="332" t="str">
        <f>V40</f>
        <v>정규</v>
      </c>
      <c r="J89" s="332"/>
      <c r="K89" s="332"/>
      <c r="L89" s="332"/>
      <c r="M89" s="332"/>
      <c r="N89" s="332"/>
      <c r="O89" s="332"/>
      <c r="P89" s="332"/>
      <c r="Q89" s="195"/>
      <c r="R89" s="195"/>
      <c r="S89" s="195"/>
      <c r="T89" s="195"/>
      <c r="U89" s="195"/>
      <c r="V89" s="195"/>
      <c r="W89" s="195"/>
      <c r="X89" s="195"/>
      <c r="Y89" s="195"/>
      <c r="Z89" s="188"/>
      <c r="AA89" s="188"/>
      <c r="AB89" s="188"/>
      <c r="AC89" s="188"/>
      <c r="AD89" s="188"/>
      <c r="AE89" s="188"/>
      <c r="AF89" s="188"/>
      <c r="AG89" s="188"/>
      <c r="AH89" s="195"/>
      <c r="AI89" s="195"/>
      <c r="AJ89" s="195"/>
      <c r="AK89" s="195"/>
      <c r="AL89" s="188"/>
      <c r="AM89" s="188"/>
      <c r="AN89" s="188"/>
      <c r="AO89" s="188"/>
      <c r="AP89" s="188"/>
      <c r="AQ89" s="188"/>
      <c r="AR89" s="188"/>
      <c r="AS89" s="195"/>
      <c r="AT89" s="195"/>
      <c r="AU89" s="195"/>
      <c r="AV89" s="195"/>
      <c r="AW89" s="195"/>
      <c r="AX89" s="195"/>
      <c r="AY89" s="188"/>
      <c r="AZ89" s="188"/>
      <c r="BA89" s="188"/>
      <c r="BB89" s="188"/>
      <c r="BC89" s="188"/>
      <c r="BD89" s="188"/>
      <c r="BE89" s="188"/>
      <c r="BF89" s="188"/>
      <c r="BG89" s="188"/>
    </row>
    <row r="90" spans="1:65" ht="18.75" customHeight="1">
      <c r="B90" s="57"/>
      <c r="C90" s="333" t="s">
        <v>291</v>
      </c>
      <c r="D90" s="333"/>
      <c r="E90" s="333"/>
      <c r="F90" s="333"/>
      <c r="G90" s="333"/>
      <c r="H90" s="333"/>
      <c r="I90" s="195"/>
      <c r="J90" s="195"/>
      <c r="K90" s="57"/>
      <c r="L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</row>
    <row r="91" spans="1:65" ht="18.75" customHeight="1">
      <c r="B91" s="57"/>
      <c r="C91" s="333"/>
      <c r="D91" s="333"/>
      <c r="E91" s="333"/>
      <c r="F91" s="333"/>
      <c r="G91" s="333"/>
      <c r="H91" s="333"/>
      <c r="I91" s="189"/>
      <c r="J91" s="189"/>
      <c r="K91" s="57"/>
      <c r="L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</row>
    <row r="92" spans="1:65" s="57" customFormat="1" ht="18.75" customHeight="1">
      <c r="C92" s="57" t="s">
        <v>292</v>
      </c>
      <c r="K92" s="191" t="s">
        <v>76</v>
      </c>
      <c r="L92" s="417">
        <v>1</v>
      </c>
      <c r="M92" s="417"/>
      <c r="N92" s="188" t="s">
        <v>77</v>
      </c>
      <c r="O92" s="340" t="e">
        <f>Z87</f>
        <v>#N/A</v>
      </c>
      <c r="P92" s="340"/>
      <c r="Q92" s="340"/>
      <c r="R92" s="341" t="str">
        <f>AC87</f>
        <v>μm</v>
      </c>
      <c r="S92" s="342"/>
      <c r="T92" s="191" t="s">
        <v>76</v>
      </c>
      <c r="U92" s="72" t="s">
        <v>179</v>
      </c>
      <c r="V92" s="342" t="e">
        <f>L92*O92</f>
        <v>#N/A</v>
      </c>
      <c r="W92" s="342"/>
      <c r="X92" s="342"/>
      <c r="Y92" s="192" t="s">
        <v>271</v>
      </c>
      <c r="AA92" s="193"/>
      <c r="AB92" s="193"/>
      <c r="AC92" s="193"/>
      <c r="AD92" s="195"/>
      <c r="AE92" s="195"/>
      <c r="AF92" s="193"/>
    </row>
    <row r="93" spans="1:65" s="201" customFormat="1" ht="18.75" customHeight="1">
      <c r="B93" s="188"/>
      <c r="C93" s="195" t="s">
        <v>85</v>
      </c>
      <c r="D93" s="195"/>
      <c r="E93" s="195"/>
      <c r="F93" s="195"/>
      <c r="G93" s="195"/>
      <c r="H93" s="195"/>
      <c r="I93" s="106" t="s">
        <v>293</v>
      </c>
      <c r="J93" s="195"/>
      <c r="K93" s="195"/>
      <c r="L93" s="195"/>
      <c r="M93" s="195"/>
      <c r="N93" s="195"/>
      <c r="O93" s="195"/>
      <c r="P93" s="195"/>
      <c r="Q93" s="195"/>
      <c r="R93" s="132"/>
      <c r="S93" s="195"/>
      <c r="T93" s="195"/>
      <c r="U93" s="195"/>
      <c r="V93" s="57"/>
      <c r="W93" s="195"/>
      <c r="X93" s="195"/>
      <c r="Y93" s="195"/>
      <c r="Z93" s="195"/>
      <c r="AA93" s="195"/>
      <c r="AB93" s="195"/>
      <c r="AC93" s="195"/>
      <c r="AD93" s="195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88"/>
      <c r="AZ93" s="188"/>
      <c r="BA93" s="188"/>
      <c r="BB93" s="188"/>
      <c r="BC93" s="188"/>
      <c r="BD93" s="188"/>
      <c r="BE93" s="188"/>
      <c r="BF93" s="188"/>
      <c r="BG93" s="188"/>
    </row>
    <row r="94" spans="1:65" s="201" customFormat="1" ht="18.75" customHeight="1">
      <c r="B94" s="188"/>
      <c r="C94" s="195"/>
      <c r="D94" s="195"/>
      <c r="E94" s="195"/>
      <c r="F94" s="195"/>
      <c r="G94" s="188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88"/>
      <c r="AF94" s="195"/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</row>
    <row r="95" spans="1:65" s="201" customFormat="1" ht="18.75" customHeight="1">
      <c r="A95" s="58" t="s">
        <v>185</v>
      </c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</row>
    <row r="96" spans="1:65" s="201" customFormat="1" ht="18.75" customHeight="1">
      <c r="A96" s="234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95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</row>
    <row r="97" spans="1:60" s="59" customFormat="1" ht="18.75" customHeight="1">
      <c r="C97" s="195"/>
      <c r="D97" s="195"/>
      <c r="E97" s="188" t="s">
        <v>179</v>
      </c>
      <c r="F97" s="427" t="e">
        <f>AH37</f>
        <v>#N/A</v>
      </c>
      <c r="G97" s="427"/>
      <c r="H97" s="427"/>
      <c r="I97" s="427"/>
      <c r="J97" s="195" t="s">
        <v>116</v>
      </c>
      <c r="K97" s="195"/>
      <c r="L97" s="376" t="s">
        <v>86</v>
      </c>
      <c r="M97" s="376"/>
      <c r="N97" s="343" t="e">
        <f>AH38</f>
        <v>#N/A</v>
      </c>
      <c r="O97" s="343"/>
      <c r="P97" s="343"/>
      <c r="Q97" s="343"/>
      <c r="R97" s="195" t="s">
        <v>116</v>
      </c>
      <c r="S97" s="195"/>
      <c r="T97" s="376" t="s">
        <v>86</v>
      </c>
      <c r="U97" s="376"/>
      <c r="V97" s="343" t="e">
        <f>AH39</f>
        <v>#N/A</v>
      </c>
      <c r="W97" s="343"/>
      <c r="X97" s="343"/>
      <c r="Y97" s="343"/>
      <c r="Z97" s="195" t="s">
        <v>116</v>
      </c>
      <c r="AA97" s="195"/>
      <c r="AB97" s="376" t="s">
        <v>86</v>
      </c>
      <c r="AC97" s="376"/>
      <c r="AD97" s="340" t="e">
        <f>AH40</f>
        <v>#N/A</v>
      </c>
      <c r="AE97" s="340"/>
      <c r="AF97" s="340"/>
      <c r="AG97" s="195" t="s">
        <v>116</v>
      </c>
      <c r="AI97" s="195"/>
      <c r="AJ97" s="179"/>
      <c r="AK97" s="179"/>
      <c r="AL97" s="195"/>
      <c r="AM97" s="195"/>
      <c r="AN97" s="195"/>
      <c r="AO97" s="189"/>
      <c r="AP97" s="195"/>
      <c r="AQ97" s="195"/>
      <c r="AR97" s="195"/>
      <c r="AS97" s="195"/>
      <c r="AT97" s="195"/>
      <c r="AU97" s="195"/>
      <c r="AV97" s="195"/>
      <c r="AW97" s="195"/>
      <c r="AX97" s="195"/>
      <c r="BC97" s="195"/>
      <c r="BD97" s="195"/>
      <c r="BE97" s="195"/>
      <c r="BF97" s="195"/>
      <c r="BG97" s="195"/>
      <c r="BH97" s="195"/>
    </row>
    <row r="98" spans="1:60" s="59" customFormat="1" ht="18.75" customHeight="1">
      <c r="C98" s="195"/>
      <c r="D98" s="195"/>
      <c r="E98" s="188" t="s">
        <v>179</v>
      </c>
      <c r="F98" s="427" t="e">
        <f>AH41</f>
        <v>#N/A</v>
      </c>
      <c r="G98" s="427"/>
      <c r="H98" s="427"/>
      <c r="I98" s="427"/>
      <c r="J98" s="195" t="s">
        <v>116</v>
      </c>
      <c r="K98" s="195"/>
      <c r="L98" s="195"/>
      <c r="M98" s="135"/>
      <c r="N98" s="135"/>
      <c r="O98" s="135"/>
      <c r="P98" s="13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88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BC98" s="195"/>
      <c r="BD98" s="195"/>
      <c r="BE98" s="195"/>
      <c r="BF98" s="195"/>
      <c r="BG98" s="195"/>
      <c r="BH98" s="195"/>
    </row>
    <row r="99" spans="1:60" s="59" customFormat="1" ht="18.75" customHeight="1">
      <c r="A99" s="195"/>
      <c r="B99" s="195"/>
      <c r="C99" s="195"/>
      <c r="D99" s="194"/>
      <c r="E99" s="194"/>
      <c r="K99" s="196"/>
      <c r="L99" s="196"/>
      <c r="M99" s="196"/>
      <c r="N99" s="196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</row>
    <row r="100" spans="1:60" s="201" customFormat="1" ht="18.75" customHeight="1">
      <c r="A100" s="188"/>
      <c r="B100" s="188"/>
      <c r="C100" s="188"/>
      <c r="D100" s="133" t="s">
        <v>333</v>
      </c>
      <c r="E100" s="235" t="s">
        <v>179</v>
      </c>
      <c r="F100" s="343" t="e">
        <f>F98</f>
        <v>#N/A</v>
      </c>
      <c r="G100" s="343"/>
      <c r="H100" s="343"/>
      <c r="I100" s="343"/>
      <c r="J100" s="195" t="s">
        <v>116</v>
      </c>
      <c r="K100" s="135"/>
      <c r="L100" s="135"/>
      <c r="M100" s="135"/>
      <c r="N100" s="188"/>
      <c r="O100" s="188"/>
      <c r="P100" s="195"/>
      <c r="Q100" s="188"/>
      <c r="R100" s="188"/>
      <c r="S100" s="188"/>
      <c r="T100" s="188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95"/>
      <c r="AF100" s="188"/>
      <c r="AG100" s="188"/>
      <c r="AH100" s="188"/>
      <c r="AI100" s="188"/>
      <c r="AJ100" s="188"/>
      <c r="AK100" s="188"/>
      <c r="AL100" s="188"/>
      <c r="AM100" s="188"/>
      <c r="AN100" s="188"/>
      <c r="AO100" s="188"/>
      <c r="AP100" s="188"/>
      <c r="AQ100" s="188"/>
      <c r="AR100" s="188"/>
      <c r="AS100" s="188"/>
      <c r="AT100" s="188"/>
      <c r="AU100" s="188"/>
      <c r="AV100" s="188"/>
      <c r="AW100" s="188"/>
      <c r="AX100" s="188"/>
      <c r="AY100" s="188"/>
      <c r="AZ100" s="188"/>
      <c r="BA100" s="188"/>
      <c r="BB100" s="188"/>
      <c r="BC100" s="188"/>
      <c r="BD100" s="188"/>
      <c r="BE100" s="188"/>
      <c r="BF100" s="188"/>
    </row>
    <row r="101" spans="1:60" s="195" customFormat="1" ht="18.75" customHeight="1"/>
    <row r="102" spans="1:60" ht="18.75" customHeight="1">
      <c r="A102" s="58" t="s">
        <v>186</v>
      </c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</row>
    <row r="103" spans="1:60" ht="18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422" t="e">
        <f>AH41</f>
        <v>#N/A</v>
      </c>
      <c r="K103" s="422"/>
      <c r="L103" s="422"/>
      <c r="M103" s="422"/>
      <c r="N103" s="422"/>
      <c r="O103" s="422"/>
      <c r="P103" s="422"/>
      <c r="Q103" s="422"/>
      <c r="R103" s="422"/>
      <c r="S103" s="422"/>
      <c r="T103" s="422"/>
      <c r="U103" s="422"/>
      <c r="V103" s="422"/>
      <c r="W103" s="422"/>
      <c r="X103" s="422"/>
      <c r="Y103" s="422"/>
      <c r="Z103" s="422"/>
      <c r="AA103" s="422"/>
      <c r="AB103" s="422"/>
      <c r="AC103" s="422"/>
      <c r="AD103" s="422"/>
      <c r="AE103" s="422"/>
      <c r="AF103" s="376" t="s">
        <v>238</v>
      </c>
      <c r="AG103" s="332" t="e">
        <f>AP41</f>
        <v>#N/A</v>
      </c>
      <c r="AH103" s="332"/>
      <c r="AI103" s="332"/>
      <c r="AJ103" s="332"/>
      <c r="AK103" s="332"/>
      <c r="AL103" s="332"/>
      <c r="AM103" s="332"/>
    </row>
    <row r="104" spans="1:60" ht="18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423" t="e">
        <f>AH37</f>
        <v>#N/A</v>
      </c>
      <c r="K104" s="423"/>
      <c r="L104" s="423"/>
      <c r="M104" s="423"/>
      <c r="N104" s="187"/>
      <c r="O104" s="424" t="s">
        <v>239</v>
      </c>
      <c r="P104" s="423" t="e">
        <f>AH38</f>
        <v>#N/A</v>
      </c>
      <c r="Q104" s="423"/>
      <c r="R104" s="423"/>
      <c r="S104" s="423"/>
      <c r="T104" s="187"/>
      <c r="U104" s="424" t="s">
        <v>239</v>
      </c>
      <c r="V104" s="423" t="e">
        <f>AH39</f>
        <v>#N/A</v>
      </c>
      <c r="W104" s="423"/>
      <c r="X104" s="423"/>
      <c r="Y104" s="423"/>
      <c r="Z104" s="187"/>
      <c r="AA104" s="424" t="s">
        <v>239</v>
      </c>
      <c r="AB104" s="409" t="e">
        <f>AH40</f>
        <v>#N/A</v>
      </c>
      <c r="AC104" s="409"/>
      <c r="AD104" s="409"/>
      <c r="AE104" s="221"/>
      <c r="AF104" s="376"/>
      <c r="AG104" s="332"/>
      <c r="AH104" s="332"/>
      <c r="AI104" s="332"/>
      <c r="AJ104" s="332"/>
      <c r="AK104" s="332"/>
      <c r="AL104" s="332"/>
      <c r="AM104" s="332"/>
    </row>
    <row r="105" spans="1:60" ht="18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376" t="str">
        <f>AP37</f>
        <v>∞</v>
      </c>
      <c r="K105" s="376"/>
      <c r="L105" s="376"/>
      <c r="M105" s="376"/>
      <c r="N105" s="376"/>
      <c r="O105" s="424"/>
      <c r="P105" s="392">
        <f>AP38</f>
        <v>4</v>
      </c>
      <c r="Q105" s="392"/>
      <c r="R105" s="392"/>
      <c r="S105" s="392"/>
      <c r="T105" s="392"/>
      <c r="U105" s="424"/>
      <c r="V105" s="392">
        <f>AP39</f>
        <v>4</v>
      </c>
      <c r="W105" s="392"/>
      <c r="X105" s="392"/>
      <c r="Y105" s="392"/>
      <c r="Z105" s="392"/>
      <c r="AA105" s="424"/>
      <c r="AB105" s="392" t="str">
        <f>AP40</f>
        <v>∞</v>
      </c>
      <c r="AC105" s="392"/>
      <c r="AD105" s="392"/>
      <c r="AE105" s="392"/>
    </row>
    <row r="106" spans="1:60" ht="18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</row>
    <row r="107" spans="1:60" ht="18.75" customHeight="1">
      <c r="A107" s="58" t="s">
        <v>202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</row>
    <row r="108" spans="1:60" ht="18.75" customHeight="1">
      <c r="A108" s="58"/>
      <c r="B108" s="57" t="s">
        <v>294</v>
      </c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</row>
    <row r="109" spans="1:60" ht="18.75" customHeight="1">
      <c r="A109" s="58"/>
      <c r="B109" s="57"/>
      <c r="C109" s="195" t="s">
        <v>187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</row>
    <row r="110" spans="1:60" ht="18.75" customHeight="1">
      <c r="A110" s="58"/>
      <c r="B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</row>
    <row r="111" spans="1:60" ht="18.75" customHeight="1">
      <c r="A111" s="57"/>
      <c r="B111" s="57"/>
      <c r="C111" s="57"/>
      <c r="D111" s="57"/>
      <c r="E111" s="60"/>
      <c r="F111" s="57"/>
      <c r="G111" s="57"/>
      <c r="H111" s="199" t="s">
        <v>188</v>
      </c>
      <c r="I111" s="376" t="e">
        <f ca="1">Calcu!C33</f>
        <v>#N/A</v>
      </c>
      <c r="J111" s="376"/>
      <c r="K111" s="191" t="s">
        <v>189</v>
      </c>
      <c r="L111" s="377" t="e">
        <f>F100</f>
        <v>#N/A</v>
      </c>
      <c r="M111" s="377"/>
      <c r="N111" s="377"/>
      <c r="O111" s="377"/>
      <c r="P111" s="377"/>
      <c r="Q111" s="57" t="s">
        <v>190</v>
      </c>
      <c r="R111" s="378" t="e">
        <f ca="1">I111*L111</f>
        <v>#N/A</v>
      </c>
      <c r="S111" s="378"/>
      <c r="T111" s="378"/>
      <c r="U111" s="378"/>
      <c r="V111" s="188"/>
      <c r="W111" s="189"/>
      <c r="Z111" s="195"/>
      <c r="AL111" s="57"/>
      <c r="AM111" s="57"/>
      <c r="AN111" s="57"/>
      <c r="AO111" s="57"/>
      <c r="AP111" s="57"/>
      <c r="AQ111" s="57"/>
      <c r="AR111" s="57"/>
      <c r="AS111" s="57"/>
      <c r="AT111" s="57"/>
    </row>
  </sheetData>
  <mergeCells count="303">
    <mergeCell ref="J73:K74"/>
    <mergeCell ref="L73:L74"/>
    <mergeCell ref="J87:L88"/>
    <mergeCell ref="M87:M88"/>
    <mergeCell ref="C87:I88"/>
    <mergeCell ref="AB97:AC97"/>
    <mergeCell ref="AD97:AF97"/>
    <mergeCell ref="F98:I98"/>
    <mergeCell ref="F100:I100"/>
    <mergeCell ref="L92:M92"/>
    <mergeCell ref="O92:Q92"/>
    <mergeCell ref="R92:S92"/>
    <mergeCell ref="V92:X92"/>
    <mergeCell ref="F97:I97"/>
    <mergeCell ref="L97:M97"/>
    <mergeCell ref="N97:Q97"/>
    <mergeCell ref="T97:U97"/>
    <mergeCell ref="V97:Y97"/>
    <mergeCell ref="N87:P87"/>
    <mergeCell ref="T87:V87"/>
    <mergeCell ref="Y87:Y88"/>
    <mergeCell ref="Z87:AB88"/>
    <mergeCell ref="AC87:AD88"/>
    <mergeCell ref="N88:X88"/>
    <mergeCell ref="J103:AE103"/>
    <mergeCell ref="AF103:AF104"/>
    <mergeCell ref="AG103:AM104"/>
    <mergeCell ref="J104:M104"/>
    <mergeCell ref="O104:O105"/>
    <mergeCell ref="P104:S104"/>
    <mergeCell ref="U104:U105"/>
    <mergeCell ref="V104:Y104"/>
    <mergeCell ref="AA104:AA105"/>
    <mergeCell ref="AB104:AD104"/>
    <mergeCell ref="J105:N105"/>
    <mergeCell ref="P105:T105"/>
    <mergeCell ref="V105:Z105"/>
    <mergeCell ref="AB105:AE105"/>
    <mergeCell ref="I89:P89"/>
    <mergeCell ref="C90:H91"/>
    <mergeCell ref="Y82:AA82"/>
    <mergeCell ref="T83:U83"/>
    <mergeCell ref="AC83:AE83"/>
    <mergeCell ref="AL83:AN83"/>
    <mergeCell ref="P84:Q84"/>
    <mergeCell ref="Y84:AA84"/>
    <mergeCell ref="N85:P85"/>
    <mergeCell ref="X85:Z85"/>
    <mergeCell ref="H86:I86"/>
    <mergeCell ref="C63:H64"/>
    <mergeCell ref="P63:S63"/>
    <mergeCell ref="U63:W63"/>
    <mergeCell ref="Z63:Z64"/>
    <mergeCell ref="AA63:AD64"/>
    <mergeCell ref="P64:Q64"/>
    <mergeCell ref="T64:V64"/>
    <mergeCell ref="L65:O65"/>
    <mergeCell ref="Q65:S65"/>
    <mergeCell ref="T65:U65"/>
    <mergeCell ref="X65:AA65"/>
    <mergeCell ref="AB65:AC65"/>
    <mergeCell ref="L52:N52"/>
    <mergeCell ref="P52:R52"/>
    <mergeCell ref="S52:T52"/>
    <mergeCell ref="W52:Z52"/>
    <mergeCell ref="AA52:AB52"/>
    <mergeCell ref="H58:J58"/>
    <mergeCell ref="Q59:S59"/>
    <mergeCell ref="M60:N60"/>
    <mergeCell ref="O60:O61"/>
    <mergeCell ref="P60:R60"/>
    <mergeCell ref="U60:U61"/>
    <mergeCell ref="V60:X61"/>
    <mergeCell ref="Y60:Z61"/>
    <mergeCell ref="M61:N61"/>
    <mergeCell ref="J60:K61"/>
    <mergeCell ref="L60:L61"/>
    <mergeCell ref="U47:W48"/>
    <mergeCell ref="X47:Y48"/>
    <mergeCell ref="M48:N48"/>
    <mergeCell ref="P48:S48"/>
    <mergeCell ref="I49:P49"/>
    <mergeCell ref="C50:H51"/>
    <mergeCell ref="P50:T50"/>
    <mergeCell ref="U50:U51"/>
    <mergeCell ref="V50:Y51"/>
    <mergeCell ref="R51:T51"/>
    <mergeCell ref="J47:K48"/>
    <mergeCell ref="L47:L48"/>
    <mergeCell ref="AP40:AS40"/>
    <mergeCell ref="B41:C41"/>
    <mergeCell ref="D41:G41"/>
    <mergeCell ref="H41:L41"/>
    <mergeCell ref="M41:N41"/>
    <mergeCell ref="O41:U41"/>
    <mergeCell ref="V41:Z41"/>
    <mergeCell ref="AA41:AG41"/>
    <mergeCell ref="AH41:AL41"/>
    <mergeCell ref="AM41:AO41"/>
    <mergeCell ref="AP41:AS41"/>
    <mergeCell ref="B40:C40"/>
    <mergeCell ref="D40:G40"/>
    <mergeCell ref="H40:N40"/>
    <mergeCell ref="O40:R40"/>
    <mergeCell ref="S40:U40"/>
    <mergeCell ref="V40:Z40"/>
    <mergeCell ref="AA40:AG40"/>
    <mergeCell ref="AH40:AL40"/>
    <mergeCell ref="AM40:AO40"/>
    <mergeCell ref="AP38:AS38"/>
    <mergeCell ref="B39:C39"/>
    <mergeCell ref="D39:G39"/>
    <mergeCell ref="H39:L39"/>
    <mergeCell ref="M39:N39"/>
    <mergeCell ref="O39:R39"/>
    <mergeCell ref="S39:U39"/>
    <mergeCell ref="V39:Z39"/>
    <mergeCell ref="AA39:AG39"/>
    <mergeCell ref="AH39:AL39"/>
    <mergeCell ref="AM39:AO39"/>
    <mergeCell ref="AP39:AS39"/>
    <mergeCell ref="B38:C38"/>
    <mergeCell ref="D38:G38"/>
    <mergeCell ref="H38:L38"/>
    <mergeCell ref="M38:N38"/>
    <mergeCell ref="O38:R38"/>
    <mergeCell ref="S38:U38"/>
    <mergeCell ref="V38:Z38"/>
    <mergeCell ref="AA38:AG38"/>
    <mergeCell ref="AH38:AL38"/>
    <mergeCell ref="AP36:AS36"/>
    <mergeCell ref="B37:C37"/>
    <mergeCell ref="D37:G37"/>
    <mergeCell ref="H37:L37"/>
    <mergeCell ref="M37:N37"/>
    <mergeCell ref="O37:R37"/>
    <mergeCell ref="S37:U37"/>
    <mergeCell ref="AA37:AG37"/>
    <mergeCell ref="AH37:AL37"/>
    <mergeCell ref="AM37:AO37"/>
    <mergeCell ref="AP37:AS37"/>
    <mergeCell ref="AK14:AO14"/>
    <mergeCell ref="AP14:AT14"/>
    <mergeCell ref="C20:E20"/>
    <mergeCell ref="C21:E21"/>
    <mergeCell ref="C22:E22"/>
    <mergeCell ref="C23:E23"/>
    <mergeCell ref="C24:E24"/>
    <mergeCell ref="C26:E26"/>
    <mergeCell ref="B34:C36"/>
    <mergeCell ref="D34:G34"/>
    <mergeCell ref="H34:N34"/>
    <mergeCell ref="O34:U34"/>
    <mergeCell ref="AA34:AG34"/>
    <mergeCell ref="AH34:AO34"/>
    <mergeCell ref="AP34:AS34"/>
    <mergeCell ref="D35:G35"/>
    <mergeCell ref="H35:N35"/>
    <mergeCell ref="O35:U35"/>
    <mergeCell ref="AA35:AG35"/>
    <mergeCell ref="AH35:AO35"/>
    <mergeCell ref="AP35:AS35"/>
    <mergeCell ref="D36:G36"/>
    <mergeCell ref="H36:N36"/>
    <mergeCell ref="O36:U36"/>
    <mergeCell ref="AK9:AO9"/>
    <mergeCell ref="AP9:AT9"/>
    <mergeCell ref="AK10:AO10"/>
    <mergeCell ref="AP10:AT10"/>
    <mergeCell ref="AK11:AO11"/>
    <mergeCell ref="AP11:AT11"/>
    <mergeCell ref="AK12:AO12"/>
    <mergeCell ref="AP12:AT12"/>
    <mergeCell ref="AK13:AO13"/>
    <mergeCell ref="AP13:AT13"/>
    <mergeCell ref="AK3:AO4"/>
    <mergeCell ref="AP3:AT4"/>
    <mergeCell ref="AK5:AO5"/>
    <mergeCell ref="AP5:AT5"/>
    <mergeCell ref="AK6:AO6"/>
    <mergeCell ref="AP6:AT6"/>
    <mergeCell ref="AK7:AO7"/>
    <mergeCell ref="AP7:AT7"/>
    <mergeCell ref="AK8:AO8"/>
    <mergeCell ref="AP8:AT8"/>
    <mergeCell ref="B5:F5"/>
    <mergeCell ref="G5:K5"/>
    <mergeCell ref="L5:P5"/>
    <mergeCell ref="Q5:U5"/>
    <mergeCell ref="V5:Z5"/>
    <mergeCell ref="AA5:AE5"/>
    <mergeCell ref="AF5:AJ5"/>
    <mergeCell ref="I111:J111"/>
    <mergeCell ref="L111:P111"/>
    <mergeCell ref="R111:U111"/>
    <mergeCell ref="I62:P62"/>
    <mergeCell ref="B6:F6"/>
    <mergeCell ref="G6:K6"/>
    <mergeCell ref="L6:P6"/>
    <mergeCell ref="Q6:U6"/>
    <mergeCell ref="V6:Z6"/>
    <mergeCell ref="B10:F10"/>
    <mergeCell ref="G10:K10"/>
    <mergeCell ref="L10:P10"/>
    <mergeCell ref="Q10:U10"/>
    <mergeCell ref="V10:Z10"/>
    <mergeCell ref="B12:F12"/>
    <mergeCell ref="G12:K12"/>
    <mergeCell ref="L12:P12"/>
    <mergeCell ref="B3:F4"/>
    <mergeCell ref="G3:K4"/>
    <mergeCell ref="L3:AJ3"/>
    <mergeCell ref="L4:P4"/>
    <mergeCell ref="Q4:U4"/>
    <mergeCell ref="V4:Z4"/>
    <mergeCell ref="AA4:AE4"/>
    <mergeCell ref="AF4:AJ4"/>
    <mergeCell ref="B8:F8"/>
    <mergeCell ref="G8:K8"/>
    <mergeCell ref="L8:P8"/>
    <mergeCell ref="Q8:U8"/>
    <mergeCell ref="V8:Z8"/>
    <mergeCell ref="AA8:AE8"/>
    <mergeCell ref="AF8:AJ8"/>
    <mergeCell ref="B7:F7"/>
    <mergeCell ref="G7:K7"/>
    <mergeCell ref="L7:P7"/>
    <mergeCell ref="Q7:U7"/>
    <mergeCell ref="V7:Z7"/>
    <mergeCell ref="AA7:AE7"/>
    <mergeCell ref="AF7:AJ7"/>
    <mergeCell ref="AA6:AE6"/>
    <mergeCell ref="AF6:AJ6"/>
    <mergeCell ref="AA10:AE10"/>
    <mergeCell ref="AF10:AJ10"/>
    <mergeCell ref="B9:F9"/>
    <mergeCell ref="G9:K9"/>
    <mergeCell ref="L9:P9"/>
    <mergeCell ref="Q9:U9"/>
    <mergeCell ref="V9:Z9"/>
    <mergeCell ref="AA9:AE9"/>
    <mergeCell ref="AF9:AJ9"/>
    <mergeCell ref="AA12:AE12"/>
    <mergeCell ref="AF12:AJ12"/>
    <mergeCell ref="B11:F11"/>
    <mergeCell ref="G11:K11"/>
    <mergeCell ref="L11:P11"/>
    <mergeCell ref="Q11:U11"/>
    <mergeCell ref="V11:Z11"/>
    <mergeCell ref="AA11:AE11"/>
    <mergeCell ref="AF11:AJ11"/>
    <mergeCell ref="Q12:U12"/>
    <mergeCell ref="V12:Z12"/>
    <mergeCell ref="AA14:AE14"/>
    <mergeCell ref="AF14:AJ14"/>
    <mergeCell ref="B13:F13"/>
    <mergeCell ref="G13:K13"/>
    <mergeCell ref="L13:P13"/>
    <mergeCell ref="Q13:U13"/>
    <mergeCell ref="V13:Z13"/>
    <mergeCell ref="AA13:AE13"/>
    <mergeCell ref="AF13:AJ13"/>
    <mergeCell ref="B14:F14"/>
    <mergeCell ref="G14:K14"/>
    <mergeCell ref="L14:P14"/>
    <mergeCell ref="Q14:U14"/>
    <mergeCell ref="V14:Z14"/>
    <mergeCell ref="V34:Z34"/>
    <mergeCell ref="V35:Z35"/>
    <mergeCell ref="V36:Z36"/>
    <mergeCell ref="AA36:AG36"/>
    <mergeCell ref="AH36:AO36"/>
    <mergeCell ref="V37:Z37"/>
    <mergeCell ref="P73:R73"/>
    <mergeCell ref="H71:J71"/>
    <mergeCell ref="Q72:S72"/>
    <mergeCell ref="M73:N73"/>
    <mergeCell ref="O73:O74"/>
    <mergeCell ref="U73:U74"/>
    <mergeCell ref="V73:X74"/>
    <mergeCell ref="Y73:Z74"/>
    <mergeCell ref="M74:N74"/>
    <mergeCell ref="AM38:AO38"/>
    <mergeCell ref="V45:X45"/>
    <mergeCell ref="H46:J46"/>
    <mergeCell ref="K46:L46"/>
    <mergeCell ref="M47:N47"/>
    <mergeCell ref="O47:O48"/>
    <mergeCell ref="P47:Q47"/>
    <mergeCell ref="C47:I48"/>
    <mergeCell ref="T47:T48"/>
    <mergeCell ref="I75:P75"/>
    <mergeCell ref="C76:H77"/>
    <mergeCell ref="P76:S76"/>
    <mergeCell ref="X76:X77"/>
    <mergeCell ref="Y76:AB77"/>
    <mergeCell ref="P77:Q77"/>
    <mergeCell ref="S77:U77"/>
    <mergeCell ref="L78:O78"/>
    <mergeCell ref="Q78:S78"/>
    <mergeCell ref="T78:U78"/>
    <mergeCell ref="X78:AA78"/>
    <mergeCell ref="AB78:AC78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2459" r:id="rId4">
          <objectPr defaultSize="0" autoPict="0" r:id="rId5">
            <anchor moveWithCells="1">
              <from>
                <xdr:col>1</xdr:col>
                <xdr:colOff>9525</xdr:colOff>
                <xdr:row>16</xdr:row>
                <xdr:rowOff>0</xdr:rowOff>
              </from>
              <to>
                <xdr:col>12</xdr:col>
                <xdr:colOff>38100</xdr:colOff>
                <xdr:row>18</xdr:row>
                <xdr:rowOff>228600</xdr:rowOff>
              </to>
            </anchor>
          </objectPr>
        </oleObject>
      </mc:Choice>
      <mc:Fallback>
        <oleObject progId="Equation.3" shapeId="2459" r:id="rId4"/>
      </mc:Fallback>
    </mc:AlternateContent>
    <mc:AlternateContent xmlns:mc="http://schemas.openxmlformats.org/markup-compatibility/2006">
      <mc:Choice Requires="x14">
        <oleObject progId="Equation.3" shapeId="2460" r:id="rId6">
          <objectPr defaultSize="0" r:id="rId7">
            <anchor moveWithCells="1">
              <from>
                <xdr:col>2</xdr:col>
                <xdr:colOff>47625</xdr:colOff>
                <xdr:row>27</xdr:row>
                <xdr:rowOff>19050</xdr:rowOff>
              </from>
              <to>
                <xdr:col>20</xdr:col>
                <xdr:colOff>123825</xdr:colOff>
                <xdr:row>28</xdr:row>
                <xdr:rowOff>19050</xdr:rowOff>
              </to>
            </anchor>
          </objectPr>
        </oleObject>
      </mc:Choice>
      <mc:Fallback>
        <oleObject progId="Equation.3" shapeId="2460" r:id="rId6"/>
      </mc:Fallback>
    </mc:AlternateContent>
    <mc:AlternateContent xmlns:mc="http://schemas.openxmlformats.org/markup-compatibility/2006">
      <mc:Choice Requires="x14">
        <oleObject progId="Equation.3" shapeId="2461" r:id="rId8">
          <objectPr defaultSize="0" r:id="rId9">
            <anchor moveWithCells="1">
              <from>
                <xdr:col>3</xdr:col>
                <xdr:colOff>9525</xdr:colOff>
                <xdr:row>29</xdr:row>
                <xdr:rowOff>9525</xdr:rowOff>
              </from>
              <to>
                <xdr:col>24</xdr:col>
                <xdr:colOff>133350</xdr:colOff>
                <xdr:row>30</xdr:row>
                <xdr:rowOff>152400</xdr:rowOff>
              </to>
            </anchor>
          </objectPr>
        </oleObject>
      </mc:Choice>
      <mc:Fallback>
        <oleObject progId="Equation.3" shapeId="2461" r:id="rId8"/>
      </mc:Fallback>
    </mc:AlternateContent>
    <mc:AlternateContent xmlns:mc="http://schemas.openxmlformats.org/markup-compatibility/2006">
      <mc:Choice Requires="x14">
        <oleObject progId="Equation.3" shapeId="2462" r:id="rId10">
          <objectPr defaultSize="0" r:id="rId11">
            <anchor moveWithCells="1">
              <from>
                <xdr:col>1</xdr:col>
                <xdr:colOff>9525</xdr:colOff>
                <xdr:row>102</xdr:row>
                <xdr:rowOff>9525</xdr:rowOff>
              </from>
              <to>
                <xdr:col>8</xdr:col>
                <xdr:colOff>142875</xdr:colOff>
                <xdr:row>104</xdr:row>
                <xdr:rowOff>180975</xdr:rowOff>
              </to>
            </anchor>
          </objectPr>
        </oleObject>
      </mc:Choice>
      <mc:Fallback>
        <oleObject progId="Equation.3" shapeId="2462" r:id="rId10"/>
      </mc:Fallback>
    </mc:AlternateContent>
    <mc:AlternateContent xmlns:mc="http://schemas.openxmlformats.org/markup-compatibility/2006">
      <mc:Choice Requires="x14">
        <oleObject progId="Equation.3" shapeId="2463" r:id="rId12">
          <objectPr defaultSize="0" r:id="rId13">
            <anchor moveWithCells="1">
              <from>
                <xdr:col>2</xdr:col>
                <xdr:colOff>9525</xdr:colOff>
                <xdr:row>95</xdr:row>
                <xdr:rowOff>19050</xdr:rowOff>
              </from>
              <to>
                <xdr:col>20</xdr:col>
                <xdr:colOff>85725</xdr:colOff>
                <xdr:row>96</xdr:row>
                <xdr:rowOff>19050</xdr:rowOff>
              </to>
            </anchor>
          </objectPr>
        </oleObject>
      </mc:Choice>
      <mc:Fallback>
        <oleObject progId="Equation.3" shapeId="2463" r:id="rId12"/>
      </mc:Fallback>
    </mc:AlternateContent>
    <mc:AlternateContent xmlns:mc="http://schemas.openxmlformats.org/markup-compatibility/2006">
      <mc:Choice Requires="x14">
        <oleObject progId="Equation.DSMT4" shapeId="2464" r:id="rId14">
          <objectPr defaultSize="0" autoPict="0" r:id="rId15">
            <anchor moveWithCells="1" sizeWithCells="1">
              <from>
                <xdr:col>8</xdr:col>
                <xdr:colOff>28575</xdr:colOff>
                <xdr:row>89</xdr:row>
                <xdr:rowOff>47625</xdr:rowOff>
              </from>
              <to>
                <xdr:col>12</xdr:col>
                <xdr:colOff>104775</xdr:colOff>
                <xdr:row>90</xdr:row>
                <xdr:rowOff>200025</xdr:rowOff>
              </to>
            </anchor>
          </objectPr>
        </oleObject>
      </mc:Choice>
      <mc:Fallback>
        <oleObject progId="Equation.DSMT4" shapeId="2464" r:id="rId1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63"/>
  <sheetViews>
    <sheetView showGridLines="0" zoomScaleNormal="100" workbookViewId="0"/>
  </sheetViews>
  <sheetFormatPr defaultColWidth="8.77734375" defaultRowHeight="18" customHeight="1"/>
  <cols>
    <col min="1" max="1" width="2.77734375" style="119" customWidth="1"/>
    <col min="2" max="2" width="8.77734375" style="121"/>
    <col min="3" max="3" width="10.77734375" style="121" bestFit="1" customWidth="1"/>
    <col min="4" max="4" width="8.77734375" style="121"/>
    <col min="5" max="5" width="11.21875" style="120" bestFit="1" customWidth="1"/>
    <col min="6" max="21" width="8.77734375" style="120"/>
    <col min="22" max="16384" width="8.77734375" style="119"/>
  </cols>
  <sheetData>
    <row r="1" spans="1:23" ht="15" customHeight="1">
      <c r="A1" s="116" t="s">
        <v>120</v>
      </c>
      <c r="B1" s="117"/>
      <c r="C1" s="117"/>
      <c r="D1" s="117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</row>
    <row r="2" spans="1:23" ht="24">
      <c r="B2" s="203" t="s">
        <v>215</v>
      </c>
      <c r="C2" s="203" t="s">
        <v>246</v>
      </c>
      <c r="D2" s="203" t="s">
        <v>247</v>
      </c>
      <c r="E2" s="203" t="s">
        <v>59</v>
      </c>
      <c r="F2" s="203" t="s">
        <v>117</v>
      </c>
      <c r="G2" s="148" t="s">
        <v>121</v>
      </c>
      <c r="H2" s="148" t="s">
        <v>122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</row>
    <row r="3" spans="1:23" ht="15" customHeight="1">
      <c r="B3" s="141" t="e">
        <f>VLOOKUP("Monochromatic Light Source",Length_6_1!B17:G26,2,FALSE)</f>
        <v>#N/A</v>
      </c>
      <c r="C3" s="141" t="e">
        <f>VLOOKUP("Standard Optical Flat",Length_6_1!B17:G26,2,FALSE)</f>
        <v>#N/A</v>
      </c>
      <c r="D3" s="141" t="e">
        <f>VLOOKUP("Standard Optical Flat",Length_6_1!B17:G26,4,FALSE)</f>
        <v>#N/A</v>
      </c>
      <c r="E3" s="141">
        <f>Length_6_1!D4</f>
        <v>0</v>
      </c>
      <c r="F3" s="141">
        <f>Length_6_1!F4</f>
        <v>0</v>
      </c>
      <c r="G3" s="126" t="e">
        <f ca="1">IF(SUM(R31)=0,"초과","")</f>
        <v>#N/A</v>
      </c>
      <c r="H3" s="127" t="str">
        <f>IF(SUM(V8)=0,"PASS","FAIL")</f>
        <v>PASS</v>
      </c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</row>
    <row r="4" spans="1:23" ht="15" customHeight="1">
      <c r="B4" s="117"/>
      <c r="C4" s="117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</row>
    <row r="5" spans="1:23" ht="15" customHeight="1">
      <c r="A5" s="116" t="s">
        <v>222</v>
      </c>
      <c r="C5" s="117"/>
      <c r="D5" s="117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</row>
    <row r="6" spans="1:23" ht="15" customHeight="1">
      <c r="B6" s="440" t="s">
        <v>314</v>
      </c>
      <c r="C6" s="438" t="s">
        <v>315</v>
      </c>
      <c r="D6" s="438" t="s">
        <v>316</v>
      </c>
      <c r="E6" s="438" t="s">
        <v>110</v>
      </c>
      <c r="F6" s="438" t="s">
        <v>317</v>
      </c>
      <c r="G6" s="443" t="s">
        <v>318</v>
      </c>
      <c r="H6" s="444"/>
      <c r="I6" s="444"/>
      <c r="J6" s="444"/>
      <c r="K6" s="445"/>
      <c r="L6" s="435" t="s">
        <v>319</v>
      </c>
      <c r="M6" s="450" t="s">
        <v>320</v>
      </c>
      <c r="N6" s="230" t="s">
        <v>321</v>
      </c>
      <c r="O6" s="230" t="s">
        <v>224</v>
      </c>
      <c r="P6" s="447" t="s">
        <v>123</v>
      </c>
      <c r="Q6" s="122"/>
      <c r="R6" s="446" t="s">
        <v>93</v>
      </c>
      <c r="S6" s="446"/>
      <c r="T6" s="430" t="s">
        <v>322</v>
      </c>
      <c r="U6" s="431"/>
      <c r="V6" s="431"/>
      <c r="W6" s="432"/>
    </row>
    <row r="7" spans="1:23" ht="15" customHeight="1">
      <c r="B7" s="440"/>
      <c r="C7" s="441"/>
      <c r="D7" s="441"/>
      <c r="E7" s="441"/>
      <c r="F7" s="441"/>
      <c r="G7" s="149" t="s">
        <v>87</v>
      </c>
      <c r="H7" s="146" t="s">
        <v>323</v>
      </c>
      <c r="I7" s="149" t="s">
        <v>113</v>
      </c>
      <c r="J7" s="146" t="s">
        <v>114</v>
      </c>
      <c r="K7" s="149" t="s">
        <v>115</v>
      </c>
      <c r="L7" s="449"/>
      <c r="M7" s="451"/>
      <c r="N7" s="230" t="s">
        <v>324</v>
      </c>
      <c r="O7" s="230" t="s">
        <v>325</v>
      </c>
      <c r="P7" s="448"/>
      <c r="Q7" s="122"/>
      <c r="R7" s="150" t="s">
        <v>125</v>
      </c>
      <c r="S7" s="150" t="s">
        <v>126</v>
      </c>
      <c r="T7" s="230" t="s">
        <v>331</v>
      </c>
      <c r="U7" s="231" t="s">
        <v>93</v>
      </c>
      <c r="V7" s="233" t="s">
        <v>124</v>
      </c>
      <c r="W7" s="236" t="s">
        <v>334</v>
      </c>
    </row>
    <row r="8" spans="1:23" ht="15" customHeight="1">
      <c r="B8" s="440"/>
      <c r="C8" s="442"/>
      <c r="D8" s="442"/>
      <c r="E8" s="442"/>
      <c r="F8" s="442"/>
      <c r="G8" s="149" t="s">
        <v>326</v>
      </c>
      <c r="H8" s="149" t="str">
        <f t="shared" ref="H8:M8" si="0">G8</f>
        <v>mm</v>
      </c>
      <c r="I8" s="149" t="str">
        <f t="shared" si="0"/>
        <v>mm</v>
      </c>
      <c r="J8" s="149" t="str">
        <f t="shared" si="0"/>
        <v>mm</v>
      </c>
      <c r="K8" s="149" t="str">
        <f t="shared" si="0"/>
        <v>mm</v>
      </c>
      <c r="L8" s="149" t="str">
        <f t="shared" si="0"/>
        <v>mm</v>
      </c>
      <c r="M8" s="149" t="str">
        <f t="shared" si="0"/>
        <v>mm</v>
      </c>
      <c r="N8" s="230" t="s">
        <v>327</v>
      </c>
      <c r="O8" s="230" t="s">
        <v>328</v>
      </c>
      <c r="P8" s="232" t="s">
        <v>332</v>
      </c>
      <c r="Q8" s="122"/>
      <c r="R8" s="230" t="s">
        <v>328</v>
      </c>
      <c r="S8" s="230" t="s">
        <v>329</v>
      </c>
      <c r="T8" s="230" t="s">
        <v>330</v>
      </c>
      <c r="U8" s="230" t="s">
        <v>330</v>
      </c>
      <c r="V8" s="252">
        <f>IF(TYPE(MATCH("FAIL",V9:V18,0))=16,0,1)</f>
        <v>0</v>
      </c>
      <c r="W8" s="236" t="str">
        <f>U8</f>
        <v>μm</v>
      </c>
    </row>
    <row r="9" spans="1:23" ht="15" customHeight="1">
      <c r="B9" s="151" t="b">
        <f>IF(TRIM(Length_6_1!B4)="",FALSE,TRUE)</f>
        <v>0</v>
      </c>
      <c r="C9" s="151">
        <f>Length_6_1!O4</f>
        <v>0</v>
      </c>
      <c r="D9" s="141" t="str">
        <f>IF($B9=FALSE,"",VALUE(Length_6_1!A4))</f>
        <v/>
      </c>
      <c r="E9" s="141" t="str">
        <f>IF($B9=FALSE,"",Length_6_1!B4)</f>
        <v/>
      </c>
      <c r="F9" s="141" t="str">
        <f>IF($B9=FALSE,"",Length_6_1!C4)</f>
        <v/>
      </c>
      <c r="G9" s="151" t="str">
        <f>IF($B9=FALSE,"",Length_6_1!J4)</f>
        <v/>
      </c>
      <c r="H9" s="151" t="str">
        <f>IF($B9=FALSE,"",Length_6_1!K4)</f>
        <v/>
      </c>
      <c r="I9" s="151" t="str">
        <f>IF($B9=FALSE,"",Length_6_1!L4)</f>
        <v/>
      </c>
      <c r="J9" s="151" t="str">
        <f>IF($B9=FALSE,"",Length_6_1!M4)</f>
        <v/>
      </c>
      <c r="K9" s="151" t="str">
        <f>IF($B9=FALSE,"",Length_6_1!N4)</f>
        <v/>
      </c>
      <c r="L9" s="155" t="str">
        <f>IF($B9=FALSE,"",AVERAGE(G9:K9))</f>
        <v/>
      </c>
      <c r="M9" s="206" t="str">
        <f t="shared" ref="M9:M18" si="1">IF(B9=FALSE,"",STDEV(G9:K9))</f>
        <v/>
      </c>
      <c r="N9" s="453" t="e">
        <f>B$3</f>
        <v>#N/A</v>
      </c>
      <c r="O9" s="455" t="str">
        <f>IF(B9=FALSE,"",N9/2*L10/L9)</f>
        <v/>
      </c>
      <c r="P9" s="433" t="str">
        <f>IF($B9=FALSE,"",ROUND(O9,$M$31))</f>
        <v/>
      </c>
      <c r="Q9" s="122"/>
      <c r="R9" s="433">
        <f>Length_6_1!G4</f>
        <v>0</v>
      </c>
      <c r="S9" s="433">
        <f>Length_6_1!H4</f>
        <v>0</v>
      </c>
      <c r="T9" s="433" t="e">
        <f ca="1">TEXT(P9,IF(P9&gt;=1000,"# ##","")&amp;$P$31)</f>
        <v>#N/A</v>
      </c>
      <c r="U9" s="433" t="e">
        <f ca="1">"± "&amp;TEXT(S9,P$31)</f>
        <v>#N/A</v>
      </c>
      <c r="V9" s="433" t="str">
        <f t="shared" ref="V9:V17" si="2">IF($B9=FALSE,"",IF(AND(R9&lt;=P9,P9&lt;=S9),"PASS","FAIL"))</f>
        <v/>
      </c>
      <c r="W9" s="452" t="e">
        <f ca="1">S$31</f>
        <v>#N/A</v>
      </c>
    </row>
    <row r="10" spans="1:23" ht="15" customHeight="1">
      <c r="B10" s="151" t="b">
        <f>IF(TRIM(Length_6_1!B5)="",FALSE,TRUE)</f>
        <v>0</v>
      </c>
      <c r="C10" s="229"/>
      <c r="D10" s="141" t="str">
        <f>IF($B10=FALSE,"",VALUE(Length_6_1!A5))</f>
        <v/>
      </c>
      <c r="E10" s="141" t="str">
        <f>IF($B10=FALSE,"",Length_6_1!B5)</f>
        <v/>
      </c>
      <c r="F10" s="141" t="str">
        <f>IF($B10=FALSE,"",Length_6_1!C5)</f>
        <v/>
      </c>
      <c r="G10" s="151" t="str">
        <f>IF($B10=FALSE,"",Length_6_1!J5)</f>
        <v/>
      </c>
      <c r="H10" s="151" t="str">
        <f>IF($B10=FALSE,"",Length_6_1!K5)</f>
        <v/>
      </c>
      <c r="I10" s="151" t="str">
        <f>IF($B10=FALSE,"",Length_6_1!L5)</f>
        <v/>
      </c>
      <c r="J10" s="151" t="str">
        <f>IF($B10=FALSE,"",Length_6_1!M5)</f>
        <v/>
      </c>
      <c r="K10" s="151" t="str">
        <f>IF($B10=FALSE,"",Length_6_1!N5)</f>
        <v/>
      </c>
      <c r="L10" s="155" t="str">
        <f t="shared" ref="L10:L18" si="3">IF($B10=FALSE,"",AVERAGE(G10:K10))</f>
        <v/>
      </c>
      <c r="M10" s="206" t="str">
        <f t="shared" si="1"/>
        <v/>
      </c>
      <c r="N10" s="454"/>
      <c r="O10" s="456"/>
      <c r="P10" s="434" t="str">
        <f t="shared" ref="P10:P18" si="4">IF($B10=TRUE,ROUND(O10,$M$31),"")</f>
        <v/>
      </c>
      <c r="Q10" s="122"/>
      <c r="R10" s="434">
        <v>-0.1</v>
      </c>
      <c r="S10" s="434">
        <v>0.1</v>
      </c>
      <c r="T10" s="434" t="e">
        <f ca="1">TEXT(O10,IF(O10&gt;=1000,"# ##","")&amp;$P$31)</f>
        <v>#N/A</v>
      </c>
      <c r="U10" s="434" t="e">
        <f ca="1">"± "&amp;TEXT(S10-O10,P$31)</f>
        <v>#N/A</v>
      </c>
      <c r="V10" s="434"/>
      <c r="W10" s="434"/>
    </row>
    <row r="11" spans="1:23" ht="15" customHeight="1">
      <c r="B11" s="151" t="b">
        <f>IF(TRIM(Length_6_1!B6)="",FALSE,TRUE)</f>
        <v>0</v>
      </c>
      <c r="C11" s="151">
        <f>Length_6_1!O5</f>
        <v>0</v>
      </c>
      <c r="D11" s="141" t="str">
        <f>IF($B11=FALSE,"",VALUE(Length_6_1!A6))</f>
        <v/>
      </c>
      <c r="E11" s="141" t="str">
        <f>IF($B11=FALSE,"",Length_6_1!B6)</f>
        <v/>
      </c>
      <c r="F11" s="141" t="str">
        <f>IF($B11=FALSE,"",Length_6_1!C6)</f>
        <v/>
      </c>
      <c r="G11" s="151" t="str">
        <f>IF($B11=FALSE,"",Length_6_1!J6)</f>
        <v/>
      </c>
      <c r="H11" s="151" t="str">
        <f>IF($B11=FALSE,"",Length_6_1!K6)</f>
        <v/>
      </c>
      <c r="I11" s="151" t="str">
        <f>IF($B11=FALSE,"",Length_6_1!L6)</f>
        <v/>
      </c>
      <c r="J11" s="151" t="str">
        <f>IF($B11=FALSE,"",Length_6_1!M6)</f>
        <v/>
      </c>
      <c r="K11" s="151" t="str">
        <f>IF($B11=FALSE,"",Length_6_1!N6)</f>
        <v/>
      </c>
      <c r="L11" s="155" t="str">
        <f t="shared" si="3"/>
        <v/>
      </c>
      <c r="M11" s="206" t="str">
        <f t="shared" si="1"/>
        <v/>
      </c>
      <c r="N11" s="453" t="e">
        <f>B$3</f>
        <v>#N/A</v>
      </c>
      <c r="O11" s="455" t="str">
        <f>IF(B11=FALSE,"",N11/2*L12/L11)</f>
        <v/>
      </c>
      <c r="P11" s="433" t="str">
        <f>IF($B11=FALSE,"",ROUND(O11,$M$31))</f>
        <v/>
      </c>
      <c r="Q11" s="122"/>
      <c r="R11" s="433">
        <f>Length_6_1!G6</f>
        <v>0</v>
      </c>
      <c r="S11" s="433">
        <f>Length_6_1!H6</f>
        <v>0</v>
      </c>
      <c r="T11" s="433" t="e">
        <f ca="1">TEXT(P11,IF(P11&gt;=1000,"# ##","")&amp;$P$31)</f>
        <v>#N/A</v>
      </c>
      <c r="U11" s="433" t="e">
        <f ca="1">"± "&amp;TEXT(S11,P$31)</f>
        <v>#N/A</v>
      </c>
      <c r="V11" s="433" t="str">
        <f t="shared" si="2"/>
        <v/>
      </c>
      <c r="W11" s="452" t="e">
        <f t="shared" ref="W11" ca="1" si="5">S$31</f>
        <v>#N/A</v>
      </c>
    </row>
    <row r="12" spans="1:23" ht="15" customHeight="1">
      <c r="B12" s="151" t="b">
        <f>IF(TRIM(Length_6_1!B7)="",FALSE,TRUE)</f>
        <v>0</v>
      </c>
      <c r="C12" s="229"/>
      <c r="D12" s="141" t="str">
        <f>IF($B12=FALSE,"",VALUE(Length_6_1!A7))</f>
        <v/>
      </c>
      <c r="E12" s="141" t="str">
        <f>IF($B12=FALSE,"",Length_6_1!B7)</f>
        <v/>
      </c>
      <c r="F12" s="141" t="str">
        <f>IF($B12=FALSE,"",Length_6_1!C7)</f>
        <v/>
      </c>
      <c r="G12" s="151" t="str">
        <f>IF($B12=FALSE,"",Length_6_1!J7)</f>
        <v/>
      </c>
      <c r="H12" s="151" t="str">
        <f>IF($B12=FALSE,"",Length_6_1!K7)</f>
        <v/>
      </c>
      <c r="I12" s="151" t="str">
        <f>IF($B12=FALSE,"",Length_6_1!L7)</f>
        <v/>
      </c>
      <c r="J12" s="151" t="str">
        <f>IF($B12=FALSE,"",Length_6_1!M7)</f>
        <v/>
      </c>
      <c r="K12" s="151" t="str">
        <f>IF($B12=FALSE,"",Length_6_1!N7)</f>
        <v/>
      </c>
      <c r="L12" s="155" t="str">
        <f t="shared" si="3"/>
        <v/>
      </c>
      <c r="M12" s="206" t="str">
        <f t="shared" si="1"/>
        <v/>
      </c>
      <c r="N12" s="454"/>
      <c r="O12" s="456"/>
      <c r="P12" s="434" t="str">
        <f t="shared" si="4"/>
        <v/>
      </c>
      <c r="Q12" s="122"/>
      <c r="R12" s="434">
        <v>-0.1</v>
      </c>
      <c r="S12" s="434">
        <v>0.1</v>
      </c>
      <c r="T12" s="434" t="e">
        <f ca="1">TEXT(O12,IF(O12&gt;=1000,"# ##","")&amp;$P$31)</f>
        <v>#N/A</v>
      </c>
      <c r="U12" s="434" t="e">
        <f ca="1">"± "&amp;TEXT(S12-O12,P$31)</f>
        <v>#N/A</v>
      </c>
      <c r="V12" s="434"/>
      <c r="W12" s="434"/>
    </row>
    <row r="13" spans="1:23" ht="15" customHeight="1">
      <c r="B13" s="151" t="b">
        <f>IF(TRIM(Length_6_1!B8)="",FALSE,TRUE)</f>
        <v>0</v>
      </c>
      <c r="C13" s="151">
        <f>Length_6_1!O6</f>
        <v>0</v>
      </c>
      <c r="D13" s="141" t="str">
        <f>IF($B13=FALSE,"",VALUE(Length_6_1!A8))</f>
        <v/>
      </c>
      <c r="E13" s="141" t="str">
        <f>IF($B13=FALSE,"",Length_6_1!B8)</f>
        <v/>
      </c>
      <c r="F13" s="141" t="str">
        <f>IF($B13=FALSE,"",Length_6_1!C8)</f>
        <v/>
      </c>
      <c r="G13" s="151" t="str">
        <f>IF($B13=FALSE,"",Length_6_1!J8)</f>
        <v/>
      </c>
      <c r="H13" s="151" t="str">
        <f>IF($B13=FALSE,"",Length_6_1!K8)</f>
        <v/>
      </c>
      <c r="I13" s="151" t="str">
        <f>IF($B13=FALSE,"",Length_6_1!L8)</f>
        <v/>
      </c>
      <c r="J13" s="151" t="str">
        <f>IF($B13=FALSE,"",Length_6_1!M8)</f>
        <v/>
      </c>
      <c r="K13" s="151" t="str">
        <f>IF($B13=FALSE,"",Length_6_1!N8)</f>
        <v/>
      </c>
      <c r="L13" s="155" t="str">
        <f t="shared" si="3"/>
        <v/>
      </c>
      <c r="M13" s="206" t="str">
        <f t="shared" si="1"/>
        <v/>
      </c>
      <c r="N13" s="453" t="e">
        <f>B$3</f>
        <v>#N/A</v>
      </c>
      <c r="O13" s="455" t="str">
        <f>IF(B13=FALSE,"",N13/2*L14/L13)</f>
        <v/>
      </c>
      <c r="P13" s="433" t="str">
        <f>IF($B13=FALSE,"",ROUND(O13,$M$31))</f>
        <v/>
      </c>
      <c r="Q13" s="122"/>
      <c r="R13" s="433">
        <f>Length_6_1!G8</f>
        <v>0</v>
      </c>
      <c r="S13" s="433">
        <f>Length_6_1!H8</f>
        <v>0</v>
      </c>
      <c r="T13" s="433" t="e">
        <f ca="1">TEXT(P13,IF(P13&gt;=1000,"# ##","")&amp;$P$31)</f>
        <v>#N/A</v>
      </c>
      <c r="U13" s="433" t="e">
        <f ca="1">"± "&amp;TEXT(S13,P$31)</f>
        <v>#N/A</v>
      </c>
      <c r="V13" s="433" t="str">
        <f t="shared" si="2"/>
        <v/>
      </c>
      <c r="W13" s="452" t="e">
        <f t="shared" ref="W13" ca="1" si="6">S$31</f>
        <v>#N/A</v>
      </c>
    </row>
    <row r="14" spans="1:23" ht="15" customHeight="1">
      <c r="B14" s="151" t="b">
        <f>IF(TRIM(Length_6_1!B9)="",FALSE,TRUE)</f>
        <v>0</v>
      </c>
      <c r="C14" s="229"/>
      <c r="D14" s="141" t="str">
        <f>IF($B14=FALSE,"",VALUE(Length_6_1!A9))</f>
        <v/>
      </c>
      <c r="E14" s="141" t="str">
        <f>IF($B14=FALSE,"",Length_6_1!B9)</f>
        <v/>
      </c>
      <c r="F14" s="141" t="str">
        <f>IF($B14=FALSE,"",Length_6_1!C9)</f>
        <v/>
      </c>
      <c r="G14" s="151" t="str">
        <f>IF($B14=FALSE,"",Length_6_1!J9)</f>
        <v/>
      </c>
      <c r="H14" s="151" t="str">
        <f>IF($B14=FALSE,"",Length_6_1!K9)</f>
        <v/>
      </c>
      <c r="I14" s="151" t="str">
        <f>IF($B14=FALSE,"",Length_6_1!L9)</f>
        <v/>
      </c>
      <c r="J14" s="151" t="str">
        <f>IF($B14=FALSE,"",Length_6_1!M9)</f>
        <v/>
      </c>
      <c r="K14" s="151" t="str">
        <f>IF($B14=FALSE,"",Length_6_1!N9)</f>
        <v/>
      </c>
      <c r="L14" s="155" t="str">
        <f t="shared" si="3"/>
        <v/>
      </c>
      <c r="M14" s="206" t="str">
        <f t="shared" si="1"/>
        <v/>
      </c>
      <c r="N14" s="454"/>
      <c r="O14" s="456"/>
      <c r="P14" s="434" t="str">
        <f t="shared" si="4"/>
        <v/>
      </c>
      <c r="Q14" s="122"/>
      <c r="R14" s="434">
        <v>-0.1</v>
      </c>
      <c r="S14" s="434">
        <v>0.1</v>
      </c>
      <c r="T14" s="434" t="e">
        <f ca="1">TEXT(O14,IF(O14&gt;=1000,"# ##","")&amp;$P$31)</f>
        <v>#N/A</v>
      </c>
      <c r="U14" s="434" t="e">
        <f ca="1">"± "&amp;TEXT(S14-O14,P$31)</f>
        <v>#N/A</v>
      </c>
      <c r="V14" s="434"/>
      <c r="W14" s="434"/>
    </row>
    <row r="15" spans="1:23" ht="15" customHeight="1">
      <c r="B15" s="151" t="b">
        <f>IF(TRIM(Length_6_1!B10)="",FALSE,TRUE)</f>
        <v>0</v>
      </c>
      <c r="C15" s="151">
        <f>Length_6_1!O7</f>
        <v>0</v>
      </c>
      <c r="D15" s="141" t="str">
        <f>IF($B15=FALSE,"",VALUE(Length_6_1!A10))</f>
        <v/>
      </c>
      <c r="E15" s="141" t="str">
        <f>IF($B15=FALSE,"",Length_6_1!B10)</f>
        <v/>
      </c>
      <c r="F15" s="141" t="str">
        <f>IF($B15=FALSE,"",Length_6_1!C10)</f>
        <v/>
      </c>
      <c r="G15" s="151" t="str">
        <f>IF($B15=FALSE,"",Length_6_1!J10)</f>
        <v/>
      </c>
      <c r="H15" s="151" t="str">
        <f>IF($B15=FALSE,"",Length_6_1!K10)</f>
        <v/>
      </c>
      <c r="I15" s="151" t="str">
        <f>IF($B15=FALSE,"",Length_6_1!L10)</f>
        <v/>
      </c>
      <c r="J15" s="151" t="str">
        <f>IF($B15=FALSE,"",Length_6_1!M10)</f>
        <v/>
      </c>
      <c r="K15" s="151" t="str">
        <f>IF($B15=FALSE,"",Length_6_1!N10)</f>
        <v/>
      </c>
      <c r="L15" s="155" t="str">
        <f t="shared" si="3"/>
        <v/>
      </c>
      <c r="M15" s="206" t="str">
        <f t="shared" si="1"/>
        <v/>
      </c>
      <c r="N15" s="453" t="e">
        <f>B$3</f>
        <v>#N/A</v>
      </c>
      <c r="O15" s="455" t="str">
        <f>IF(B15=FALSE,"",N15/2*L16/L15)</f>
        <v/>
      </c>
      <c r="P15" s="433" t="str">
        <f>IF($B15=FALSE,"",ROUND(O15,$M$31))</f>
        <v/>
      </c>
      <c r="Q15" s="122"/>
      <c r="R15" s="433">
        <f>Length_6_1!G10</f>
        <v>0</v>
      </c>
      <c r="S15" s="433">
        <f>Length_6_1!H10</f>
        <v>0</v>
      </c>
      <c r="T15" s="433" t="e">
        <f ca="1">TEXT(P15,IF(P15&gt;=1000,"# ##","")&amp;$P$31)</f>
        <v>#N/A</v>
      </c>
      <c r="U15" s="433" t="e">
        <f ca="1">"± "&amp;TEXT(S15,P$31)</f>
        <v>#N/A</v>
      </c>
      <c r="V15" s="433" t="str">
        <f t="shared" si="2"/>
        <v/>
      </c>
      <c r="W15" s="452" t="e">
        <f t="shared" ref="W15" ca="1" si="7">S$31</f>
        <v>#N/A</v>
      </c>
    </row>
    <row r="16" spans="1:23" ht="15" customHeight="1">
      <c r="B16" s="151" t="b">
        <f>IF(TRIM(Length_6_1!B11)="",FALSE,TRUE)</f>
        <v>0</v>
      </c>
      <c r="C16" s="229"/>
      <c r="D16" s="141" t="str">
        <f>IF($B16=FALSE,"",VALUE(Length_6_1!A11))</f>
        <v/>
      </c>
      <c r="E16" s="141" t="str">
        <f>IF($B16=FALSE,"",Length_6_1!B11)</f>
        <v/>
      </c>
      <c r="F16" s="141" t="str">
        <f>IF($B16=FALSE,"",Length_6_1!C11)</f>
        <v/>
      </c>
      <c r="G16" s="151" t="str">
        <f>IF($B16=FALSE,"",Length_6_1!J11)</f>
        <v/>
      </c>
      <c r="H16" s="151" t="str">
        <f>IF($B16=FALSE,"",Length_6_1!K11)</f>
        <v/>
      </c>
      <c r="I16" s="151" t="str">
        <f>IF($B16=FALSE,"",Length_6_1!L11)</f>
        <v/>
      </c>
      <c r="J16" s="151" t="str">
        <f>IF($B16=FALSE,"",Length_6_1!M11)</f>
        <v/>
      </c>
      <c r="K16" s="151" t="str">
        <f>IF($B16=FALSE,"",Length_6_1!N11)</f>
        <v/>
      </c>
      <c r="L16" s="155" t="str">
        <f t="shared" si="3"/>
        <v/>
      </c>
      <c r="M16" s="206" t="str">
        <f t="shared" si="1"/>
        <v/>
      </c>
      <c r="N16" s="454"/>
      <c r="O16" s="456"/>
      <c r="P16" s="434" t="str">
        <f t="shared" si="4"/>
        <v/>
      </c>
      <c r="Q16" s="122"/>
      <c r="R16" s="434">
        <v>-0.1</v>
      </c>
      <c r="S16" s="434">
        <v>0.1</v>
      </c>
      <c r="T16" s="434" t="e">
        <f ca="1">TEXT(O16,IF(O16&gt;=1000,"# ##","")&amp;$P$31)</f>
        <v>#N/A</v>
      </c>
      <c r="U16" s="434" t="e">
        <f ca="1">"± "&amp;TEXT(S16-O16,P$31)</f>
        <v>#N/A</v>
      </c>
      <c r="V16" s="434"/>
      <c r="W16" s="434"/>
    </row>
    <row r="17" spans="1:27" ht="15" customHeight="1">
      <c r="B17" s="151" t="b">
        <f>IF(TRIM(Length_6_1!B12)="",FALSE,TRUE)</f>
        <v>0</v>
      </c>
      <c r="C17" s="151">
        <f>Length_6_1!O8</f>
        <v>0</v>
      </c>
      <c r="D17" s="141" t="str">
        <f>IF($B17=FALSE,"",VALUE(Length_6_1!A12))</f>
        <v/>
      </c>
      <c r="E17" s="141" t="str">
        <f>IF($B17=FALSE,"",Length_6_1!B12)</f>
        <v/>
      </c>
      <c r="F17" s="141" t="str">
        <f>IF($B17=FALSE,"",Length_6_1!C12)</f>
        <v/>
      </c>
      <c r="G17" s="151" t="str">
        <f>IF($B17=FALSE,"",Length_6_1!J12)</f>
        <v/>
      </c>
      <c r="H17" s="151" t="str">
        <f>IF($B17=FALSE,"",Length_6_1!K12)</f>
        <v/>
      </c>
      <c r="I17" s="151" t="str">
        <f>IF($B17=FALSE,"",Length_6_1!L12)</f>
        <v/>
      </c>
      <c r="J17" s="151" t="str">
        <f>IF($B17=FALSE,"",Length_6_1!M12)</f>
        <v/>
      </c>
      <c r="K17" s="151" t="str">
        <f>IF($B17=FALSE,"",Length_6_1!N12)</f>
        <v/>
      </c>
      <c r="L17" s="155" t="str">
        <f t="shared" si="3"/>
        <v/>
      </c>
      <c r="M17" s="206" t="str">
        <f t="shared" si="1"/>
        <v/>
      </c>
      <c r="N17" s="453" t="e">
        <f>B$3</f>
        <v>#N/A</v>
      </c>
      <c r="O17" s="455" t="str">
        <f>IF(B17=FALSE,"",N17/2*L18/L17)</f>
        <v/>
      </c>
      <c r="P17" s="433" t="str">
        <f>IF($B17=FALSE,"",ROUND(O17,$M$31))</f>
        <v/>
      </c>
      <c r="Q17" s="122"/>
      <c r="R17" s="433">
        <f>Length_6_1!G12</f>
        <v>0</v>
      </c>
      <c r="S17" s="433">
        <f>Length_6_1!H12</f>
        <v>0</v>
      </c>
      <c r="T17" s="433" t="e">
        <f ca="1">TEXT(P17,IF(P17&gt;=1000,"# ##","")&amp;$P$31)</f>
        <v>#N/A</v>
      </c>
      <c r="U17" s="433" t="e">
        <f ca="1">"± "&amp;TEXT(S17,P$31)</f>
        <v>#N/A</v>
      </c>
      <c r="V17" s="433" t="str">
        <f t="shared" si="2"/>
        <v/>
      </c>
      <c r="W17" s="452" t="e">
        <f t="shared" ref="W17" ca="1" si="8">S$31</f>
        <v>#N/A</v>
      </c>
    </row>
    <row r="18" spans="1:27" ht="15" customHeight="1">
      <c r="B18" s="151" t="b">
        <f>IF(TRIM(Length_6_1!B13)="",FALSE,TRUE)</f>
        <v>0</v>
      </c>
      <c r="C18" s="151"/>
      <c r="D18" s="141" t="str">
        <f>IF($B18=FALSE,"",VALUE(Length_6_1!A13))</f>
        <v/>
      </c>
      <c r="E18" s="141" t="str">
        <f>IF($B18=FALSE,"",Length_6_1!B13)</f>
        <v/>
      </c>
      <c r="F18" s="141" t="str">
        <f>IF($B18=FALSE,"",Length_6_1!C13)</f>
        <v/>
      </c>
      <c r="G18" s="151" t="str">
        <f>IF($B18=FALSE,"",Length_6_1!J13)</f>
        <v/>
      </c>
      <c r="H18" s="151" t="str">
        <f>IF($B18=FALSE,"",Length_6_1!K13)</f>
        <v/>
      </c>
      <c r="I18" s="151" t="str">
        <f>IF($B18=FALSE,"",Length_6_1!L13)</f>
        <v/>
      </c>
      <c r="J18" s="151" t="str">
        <f>IF($B18=FALSE,"",Length_6_1!M13)</f>
        <v/>
      </c>
      <c r="K18" s="151" t="str">
        <f>IF($B18=FALSE,"",Length_6_1!N13)</f>
        <v/>
      </c>
      <c r="L18" s="155" t="str">
        <f t="shared" si="3"/>
        <v/>
      </c>
      <c r="M18" s="206" t="str">
        <f t="shared" si="1"/>
        <v/>
      </c>
      <c r="N18" s="454"/>
      <c r="O18" s="456"/>
      <c r="P18" s="434" t="str">
        <f t="shared" si="4"/>
        <v/>
      </c>
      <c r="Q18" s="122"/>
      <c r="R18" s="434">
        <v>-0.1</v>
      </c>
      <c r="S18" s="434">
        <v>0.1</v>
      </c>
      <c r="T18" s="434" t="e">
        <f ca="1">TEXT(O18,IF(O18&gt;=1000,"# ##","")&amp;$P$31)</f>
        <v>#N/A</v>
      </c>
      <c r="U18" s="434" t="e">
        <f ca="1">"± "&amp;TEXT(S18-O18,P$31)</f>
        <v>#N/A</v>
      </c>
      <c r="V18" s="434"/>
      <c r="W18" s="434"/>
    </row>
    <row r="19" spans="1:27" ht="15" customHeight="1">
      <c r="N19" s="118"/>
      <c r="O19" s="118"/>
      <c r="P19" s="118"/>
      <c r="Q19" s="118"/>
      <c r="R19" s="118"/>
      <c r="S19" s="118"/>
      <c r="T19" s="118"/>
    </row>
    <row r="20" spans="1:27" ht="15" customHeight="1">
      <c r="A20" s="116" t="s">
        <v>240</v>
      </c>
      <c r="C20" s="117"/>
      <c r="D20" s="117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8" t="s">
        <v>223</v>
      </c>
      <c r="T20" s="119"/>
      <c r="U20" s="119"/>
    </row>
    <row r="21" spans="1:27" ht="15" customHeight="1">
      <c r="A21" s="116"/>
      <c r="B21" s="435"/>
      <c r="C21" s="435" t="s">
        <v>127</v>
      </c>
      <c r="D21" s="438" t="s">
        <v>128</v>
      </c>
      <c r="E21" s="435" t="s">
        <v>129</v>
      </c>
      <c r="F21" s="435" t="s">
        <v>57</v>
      </c>
      <c r="G21" s="430">
        <v>1</v>
      </c>
      <c r="H21" s="431"/>
      <c r="I21" s="431"/>
      <c r="J21" s="431"/>
      <c r="K21" s="432"/>
      <c r="L21" s="203">
        <v>2</v>
      </c>
      <c r="M21" s="205">
        <v>3</v>
      </c>
      <c r="N21" s="430">
        <v>4</v>
      </c>
      <c r="O21" s="432"/>
      <c r="P21" s="203">
        <v>5</v>
      </c>
      <c r="Q21" s="435" t="s">
        <v>367</v>
      </c>
      <c r="R21" s="122"/>
      <c r="S21" s="202" t="s">
        <v>226</v>
      </c>
      <c r="T21" s="202" t="s">
        <v>118</v>
      </c>
      <c r="U21" s="202" t="s">
        <v>221</v>
      </c>
      <c r="V21" s="223" t="s">
        <v>301</v>
      </c>
      <c r="W21" s="202" t="s">
        <v>224</v>
      </c>
    </row>
    <row r="22" spans="1:27" ht="15" customHeight="1">
      <c r="A22" s="116"/>
      <c r="B22" s="437"/>
      <c r="C22" s="437"/>
      <c r="D22" s="439"/>
      <c r="E22" s="437"/>
      <c r="F22" s="437"/>
      <c r="G22" s="430" t="s">
        <v>130</v>
      </c>
      <c r="H22" s="432"/>
      <c r="I22" s="203" t="s">
        <v>131</v>
      </c>
      <c r="J22" s="430" t="s">
        <v>132</v>
      </c>
      <c r="K22" s="432"/>
      <c r="L22" s="203" t="s">
        <v>133</v>
      </c>
      <c r="M22" s="205" t="s">
        <v>134</v>
      </c>
      <c r="N22" s="430" t="s">
        <v>135</v>
      </c>
      <c r="O22" s="432"/>
      <c r="P22" s="203" t="s">
        <v>136</v>
      </c>
      <c r="Q22" s="436"/>
      <c r="R22" s="122"/>
      <c r="S22" s="141">
        <v>1</v>
      </c>
      <c r="T22" s="141" t="b">
        <f ca="1">OFFSET(B$6,$S22*2+1,0)</f>
        <v>0</v>
      </c>
      <c r="U22" s="141" t="e">
        <f ca="1">TEXT(OFFSET(D$6,$S22*2+1,0),$P$31)</f>
        <v>#N/A</v>
      </c>
      <c r="V22" s="141" t="e">
        <f>IF(Length_6_1!P4="",#N/A,Length_6_1!P4)</f>
        <v>#N/A</v>
      </c>
      <c r="W22" s="141" t="e">
        <f ca="1">V22&amp;TEXT(OFFSET(P$6,$S22*2+1,0),$P$31)</f>
        <v>#N/A</v>
      </c>
    </row>
    <row r="23" spans="1:27" ht="15" customHeight="1">
      <c r="B23" s="203" t="s">
        <v>137</v>
      </c>
      <c r="C23" s="152" t="s">
        <v>217</v>
      </c>
      <c r="D23" s="153" t="s">
        <v>216</v>
      </c>
      <c r="E23" s="141" t="e">
        <f>B3</f>
        <v>#N/A</v>
      </c>
      <c r="F23" s="156" t="s">
        <v>116</v>
      </c>
      <c r="G23" s="141" t="e">
        <f>VLOOKUP("Monochromatic Light Source",Length_6_1!B17:G26,4,FALSE)</f>
        <v>#N/A</v>
      </c>
      <c r="H23" s="141"/>
      <c r="I23" s="141">
        <v>2</v>
      </c>
      <c r="J23" s="158" t="e">
        <f>G23/I23</f>
        <v>#N/A</v>
      </c>
      <c r="K23" s="156" t="s">
        <v>116</v>
      </c>
      <c r="L23" s="157" t="s">
        <v>139</v>
      </c>
      <c r="M23" s="207" t="e">
        <f>E25/(2*E24)</f>
        <v>#VALUE!</v>
      </c>
      <c r="N23" s="165" t="e">
        <f>ABS(J23*M23)</f>
        <v>#N/A</v>
      </c>
      <c r="O23" s="156" t="s">
        <v>116</v>
      </c>
      <c r="P23" s="141" t="s">
        <v>82</v>
      </c>
      <c r="Q23" s="142">
        <f>IF(P23="∞",0,N23^4/P23)</f>
        <v>0</v>
      </c>
      <c r="R23" s="122"/>
      <c r="S23" s="141">
        <v>2</v>
      </c>
      <c r="T23" s="141" t="b">
        <f ca="1">OFFSET(B$6,$S23*2+1,0)</f>
        <v>0</v>
      </c>
      <c r="U23" s="141" t="e">
        <f ca="1">TEXT(OFFSET(D$6,$S23*2+1,0),$P$31)</f>
        <v>#N/A</v>
      </c>
      <c r="V23" s="141" t="e">
        <f>IF(Length_6_1!P5="",#N/A,Length_6_1!P5)</f>
        <v>#N/A</v>
      </c>
      <c r="W23" s="141" t="e">
        <f ca="1">V23&amp;TEXT(OFFSET(P$6,$S23*2+1,0),$P$31)</f>
        <v>#N/A</v>
      </c>
    </row>
    <row r="24" spans="1:27" ht="15" customHeight="1">
      <c r="B24" s="203" t="s">
        <v>138</v>
      </c>
      <c r="C24" s="152" t="s">
        <v>250</v>
      </c>
      <c r="D24" s="153" t="s">
        <v>251</v>
      </c>
      <c r="E24" s="141" t="str">
        <f>L9</f>
        <v/>
      </c>
      <c r="F24" s="154" t="s">
        <v>252</v>
      </c>
      <c r="G24" s="167">
        <f>MAX(M9,M11,M13,M15,M17)</f>
        <v>0</v>
      </c>
      <c r="H24" s="162"/>
      <c r="I24" s="159">
        <v>5</v>
      </c>
      <c r="J24" s="166">
        <f>G24/SQRT(I24)</f>
        <v>0</v>
      </c>
      <c r="K24" s="156" t="s">
        <v>253</v>
      </c>
      <c r="L24" s="157" t="s">
        <v>218</v>
      </c>
      <c r="M24" s="208" t="e">
        <f>(E23/1000*E25)/(2*E24^2)</f>
        <v>#N/A</v>
      </c>
      <c r="N24" s="165" t="e">
        <f>ABS(J24*M24)*1000</f>
        <v>#N/A</v>
      </c>
      <c r="O24" s="156" t="s">
        <v>116</v>
      </c>
      <c r="P24" s="141">
        <v>4</v>
      </c>
      <c r="Q24" s="142" t="e">
        <f>IF(P24="∞",0,N24^4/P24)</f>
        <v>#N/A</v>
      </c>
      <c r="R24" s="122"/>
      <c r="S24" s="141">
        <v>3</v>
      </c>
      <c r="T24" s="141" t="b">
        <f ca="1">OFFSET(B$6,$S24*2+1,0)</f>
        <v>0</v>
      </c>
      <c r="U24" s="141" t="e">
        <f ca="1">TEXT(OFFSET(D$6,$S24*2+1,0),$P$31)</f>
        <v>#N/A</v>
      </c>
      <c r="V24" s="141" t="e">
        <f>IF(Length_6_1!P6="",#N/A,Length_6_1!P6)</f>
        <v>#N/A</v>
      </c>
      <c r="W24" s="141" t="e">
        <f ca="1">V24&amp;TEXT(OFFSET(P$6,$S24*2+1,0),$P$31)</f>
        <v>#N/A</v>
      </c>
    </row>
    <row r="25" spans="1:27" ht="15" customHeight="1">
      <c r="B25" s="203" t="s">
        <v>74</v>
      </c>
      <c r="C25" s="152" t="s">
        <v>254</v>
      </c>
      <c r="D25" s="153" t="s">
        <v>255</v>
      </c>
      <c r="E25" s="141" t="str">
        <f>L10</f>
        <v/>
      </c>
      <c r="F25" s="154" t="s">
        <v>252</v>
      </c>
      <c r="G25" s="167">
        <f>MAX(M10,M12,M14,M16,M18)</f>
        <v>0</v>
      </c>
      <c r="H25" s="160"/>
      <c r="I25" s="159">
        <v>5</v>
      </c>
      <c r="J25" s="166">
        <f>G25/SQRT(I25)</f>
        <v>0</v>
      </c>
      <c r="K25" s="156" t="s">
        <v>253</v>
      </c>
      <c r="L25" s="157" t="s">
        <v>218</v>
      </c>
      <c r="M25" s="208" t="e">
        <f>(E23/1000)/(2*E24)</f>
        <v>#N/A</v>
      </c>
      <c r="N25" s="165" t="e">
        <f>ABS(J25*M25)*1000</f>
        <v>#N/A</v>
      </c>
      <c r="O25" s="156" t="s">
        <v>116</v>
      </c>
      <c r="P25" s="141">
        <v>4</v>
      </c>
      <c r="Q25" s="142" t="e">
        <f>IF(P25="∞",0,N25^4/P25)</f>
        <v>#N/A</v>
      </c>
      <c r="R25" s="122"/>
      <c r="S25" s="141">
        <v>4</v>
      </c>
      <c r="T25" s="141" t="b">
        <f ca="1">OFFSET(B$6,$S25*2+1,0)</f>
        <v>0</v>
      </c>
      <c r="U25" s="141" t="e">
        <f ca="1">TEXT(OFFSET(D$6,$S25*2+1,0),$P$31)</f>
        <v>#N/A</v>
      </c>
      <c r="V25" s="141" t="e">
        <f>IF(Length_6_1!P7="",#N/A,Length_6_1!P7)</f>
        <v>#N/A</v>
      </c>
      <c r="W25" s="141" t="e">
        <f ca="1">V25&amp;TEXT(OFFSET(P$6,$S25*2+1,0),$P$31)</f>
        <v>#N/A</v>
      </c>
    </row>
    <row r="26" spans="1:27" ht="15" customHeight="1">
      <c r="B26" s="203" t="s">
        <v>75</v>
      </c>
      <c r="C26" s="152" t="s">
        <v>219</v>
      </c>
      <c r="D26" s="153" t="s">
        <v>256</v>
      </c>
      <c r="E26" s="161"/>
      <c r="F26" s="154"/>
      <c r="G26" s="141" t="e">
        <f>D3</f>
        <v>#N/A</v>
      </c>
      <c r="H26" s="141" t="e">
        <f>C3</f>
        <v>#N/A</v>
      </c>
      <c r="I26" s="141">
        <v>2</v>
      </c>
      <c r="J26" s="166" t="e">
        <f>(G26+(PI()/4*MAX(D9:D18)^2)/(PI()/4*150^2)*H26)/I26</f>
        <v>#N/A</v>
      </c>
      <c r="K26" s="156" t="s">
        <v>116</v>
      </c>
      <c r="L26" s="157" t="s">
        <v>139</v>
      </c>
      <c r="M26" s="158">
        <v>1</v>
      </c>
      <c r="N26" s="165" t="e">
        <f>ABS(J26*M26)</f>
        <v>#N/A</v>
      </c>
      <c r="O26" s="156" t="s">
        <v>116</v>
      </c>
      <c r="P26" s="141" t="s">
        <v>82</v>
      </c>
      <c r="Q26" s="142">
        <f>IF(P26="∞",0,N26^4/P26)</f>
        <v>0</v>
      </c>
      <c r="R26" s="122"/>
      <c r="S26" s="141">
        <v>5</v>
      </c>
      <c r="T26" s="141" t="b">
        <f ca="1">OFFSET(B$6,$S26*2+1,0)</f>
        <v>0</v>
      </c>
      <c r="U26" s="141" t="e">
        <f ca="1">TEXT(OFFSET(D$6,$S26*2+1,0),$P$31)</f>
        <v>#N/A</v>
      </c>
      <c r="V26" s="141" t="e">
        <f>IF(Length_6_1!P8="",#N/A,Length_6_1!P8)</f>
        <v>#N/A</v>
      </c>
      <c r="W26" s="141" t="e">
        <f ca="1">V26&amp;TEXT(OFFSET(P$6,$S26*2+1,0),$P$31)</f>
        <v>#N/A</v>
      </c>
    </row>
    <row r="27" spans="1:27" ht="15" customHeight="1">
      <c r="B27" s="203" t="s">
        <v>257</v>
      </c>
      <c r="C27" s="152" t="s">
        <v>142</v>
      </c>
      <c r="D27" s="153" t="s">
        <v>141</v>
      </c>
      <c r="E27" s="206" t="e">
        <f>E23/2*E25/E24</f>
        <v>#N/A</v>
      </c>
      <c r="F27" s="156" t="s">
        <v>116</v>
      </c>
      <c r="G27" s="460"/>
      <c r="H27" s="461"/>
      <c r="I27" s="461"/>
      <c r="J27" s="461"/>
      <c r="K27" s="461"/>
      <c r="L27" s="461"/>
      <c r="M27" s="462"/>
      <c r="N27" s="209" t="e">
        <f>SQRT(SUMSQ(N23:N26))</f>
        <v>#N/A</v>
      </c>
      <c r="O27" s="156" t="s">
        <v>116</v>
      </c>
      <c r="P27" s="144" t="e">
        <f>IF(Q27=0,"∞",ROUNDDOWN(N27^4/Q27,0))</f>
        <v>#N/A</v>
      </c>
      <c r="Q27" s="250" t="e">
        <f>SUM(Q23:Q26)</f>
        <v>#N/A</v>
      </c>
      <c r="R27" s="122"/>
      <c r="V27" s="120"/>
    </row>
    <row r="28" spans="1:27" ht="15" customHeight="1"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Q28" s="122"/>
    </row>
    <row r="29" spans="1:27" ht="15" customHeight="1">
      <c r="B29" s="146"/>
      <c r="C29" s="430" t="s">
        <v>143</v>
      </c>
      <c r="D29" s="431"/>
      <c r="E29" s="431"/>
      <c r="F29" s="431"/>
      <c r="G29" s="432"/>
      <c r="H29" s="203" t="s">
        <v>144</v>
      </c>
      <c r="I29" s="247" t="s">
        <v>360</v>
      </c>
      <c r="J29" s="430" t="s">
        <v>361</v>
      </c>
      <c r="K29" s="431"/>
      <c r="L29" s="431"/>
      <c r="M29" s="432"/>
      <c r="N29" s="435" t="s">
        <v>208</v>
      </c>
      <c r="O29" s="430" t="s">
        <v>145</v>
      </c>
      <c r="P29" s="431"/>
      <c r="Q29" s="432"/>
      <c r="R29" s="435" t="s">
        <v>366</v>
      </c>
      <c r="S29" s="430" t="s">
        <v>368</v>
      </c>
      <c r="T29" s="432"/>
      <c r="V29" s="120"/>
      <c r="W29" s="120"/>
      <c r="Z29" s="122"/>
    </row>
    <row r="30" spans="1:27" ht="15" customHeight="1">
      <c r="B30" s="146"/>
      <c r="C30" s="146">
        <v>1</v>
      </c>
      <c r="D30" s="146"/>
      <c r="E30" s="146"/>
      <c r="F30" s="146" t="s">
        <v>57</v>
      </c>
      <c r="G30" s="146" t="s">
        <v>220</v>
      </c>
      <c r="H30" s="146" t="s">
        <v>116</v>
      </c>
      <c r="I30" s="146"/>
      <c r="J30" s="247" t="s">
        <v>362</v>
      </c>
      <c r="K30" s="247" t="s">
        <v>363</v>
      </c>
      <c r="L30" s="247" t="s">
        <v>360</v>
      </c>
      <c r="M30" s="247" t="s">
        <v>144</v>
      </c>
      <c r="N30" s="437"/>
      <c r="O30" s="247" t="s">
        <v>362</v>
      </c>
      <c r="P30" s="247" t="s">
        <v>364</v>
      </c>
      <c r="Q30" s="247" t="s">
        <v>365</v>
      </c>
      <c r="R30" s="463"/>
      <c r="S30" s="251" t="s">
        <v>369</v>
      </c>
      <c r="T30" s="251" t="s">
        <v>370</v>
      </c>
      <c r="V30" s="120"/>
      <c r="W30" s="120"/>
      <c r="Z30" s="120"/>
      <c r="AA30" s="120"/>
    </row>
    <row r="31" spans="1:27" ht="15" customHeight="1">
      <c r="B31" s="146" t="s">
        <v>143</v>
      </c>
      <c r="C31" s="123" t="e">
        <f ca="1">C33*N27</f>
        <v>#N/A</v>
      </c>
      <c r="D31" s="123"/>
      <c r="E31" s="123"/>
      <c r="F31" s="125" t="str">
        <f>O27</f>
        <v>μm</v>
      </c>
      <c r="G31" s="168" t="e">
        <f ca="1">C31</f>
        <v>#N/A</v>
      </c>
      <c r="H31" s="129" t="e">
        <f ca="1">MAX(G31:G32)</f>
        <v>#N/A</v>
      </c>
      <c r="I31" s="143"/>
      <c r="J31" s="143" t="e">
        <f ca="1">IF(H31&lt;0.00001,6,IF(H31&lt;0.0001,5,IF(H31&lt;0.001,4,IF(H31&lt;0.01,3,IF(H31&lt;0.1,2,IF(H31&lt;1,1,IF(H31&lt;10,0,IF(H31&lt;100,-1,-2))))))))+K32</f>
        <v>#N/A</v>
      </c>
      <c r="K31" s="143"/>
      <c r="L31" s="143"/>
      <c r="M31" s="142" t="e">
        <f ca="1">J31</f>
        <v>#N/A</v>
      </c>
      <c r="N31" s="143" t="e">
        <f ca="1">ABS((H31-ROUND(H31,M31))/H31*100)</f>
        <v>#N/A</v>
      </c>
      <c r="P31" s="141" t="e">
        <f ca="1">OFFSET(P35,MATCH(M31,O36:O45,0),0)</f>
        <v>#N/A</v>
      </c>
      <c r="Q31" s="141"/>
      <c r="R31" s="126" t="e">
        <f ca="1">IF(H31=G31,0,1)</f>
        <v>#N/A</v>
      </c>
      <c r="S31" s="249" t="e">
        <f ca="1">TEXT(IF(N31&gt;5,ROUNDUP(H31,M31),ROUND(H31,M31)),P31)</f>
        <v>#N/A</v>
      </c>
      <c r="T31" s="130" t="e">
        <f ca="1">S31&amp;" "&amp;H30</f>
        <v>#N/A</v>
      </c>
      <c r="V31" s="120"/>
      <c r="W31" s="120"/>
      <c r="Z31" s="120"/>
      <c r="AA31" s="120"/>
    </row>
    <row r="32" spans="1:27" ht="15" customHeight="1">
      <c r="B32" s="146" t="s">
        <v>59</v>
      </c>
      <c r="C32" s="124">
        <f>$E$3</f>
        <v>0</v>
      </c>
      <c r="D32" s="124"/>
      <c r="E32" s="124"/>
      <c r="F32" s="125">
        <f>$F$3</f>
        <v>0</v>
      </c>
      <c r="G32" s="168">
        <f>C32</f>
        <v>0</v>
      </c>
      <c r="J32" s="245" t="s">
        <v>357</v>
      </c>
      <c r="K32" s="141">
        <f>IF(O32=TRUE,1,기본정보!$A$47)</f>
        <v>1</v>
      </c>
      <c r="L32" s="245" t="s">
        <v>358</v>
      </c>
      <c r="M32" s="141" t="b">
        <f>IF(O32=TRUE,FALSE,기본정보!$A$52)</f>
        <v>0</v>
      </c>
      <c r="N32" s="245" t="s">
        <v>359</v>
      </c>
      <c r="O32" s="141" t="b">
        <f>기본정보!$A$46=0</f>
        <v>1</v>
      </c>
      <c r="Q32" s="119"/>
      <c r="R32" s="119"/>
      <c r="S32" s="119"/>
      <c r="T32" s="119"/>
      <c r="U32" s="119"/>
      <c r="Z32" s="120"/>
      <c r="AA32" s="120"/>
    </row>
    <row r="33" spans="2:28" ht="15" customHeight="1">
      <c r="B33" s="203" t="s">
        <v>79</v>
      </c>
      <c r="C33" s="141" t="e">
        <f ca="1">IF(OR(P27="∞",P27&gt;=10),2,OFFSET(J35,MATCH(P27,I36:I45,0),0))</f>
        <v>#N/A</v>
      </c>
      <c r="N33" s="119"/>
      <c r="O33" s="119"/>
      <c r="P33" s="119"/>
      <c r="Q33" s="119"/>
      <c r="R33" s="119"/>
      <c r="S33" s="119"/>
      <c r="T33" s="119"/>
      <c r="U33" s="119"/>
      <c r="X33" s="120"/>
      <c r="Y33" s="120"/>
    </row>
    <row r="34" spans="2:28" ht="15" customHeight="1">
      <c r="G34" s="119"/>
      <c r="H34" s="119"/>
      <c r="I34" s="152" t="s">
        <v>50</v>
      </c>
      <c r="J34" s="152" t="s">
        <v>146</v>
      </c>
      <c r="K34" s="119"/>
      <c r="N34" s="119"/>
      <c r="O34" s="202" t="s">
        <v>148</v>
      </c>
      <c r="P34" s="202" t="s">
        <v>147</v>
      </c>
      <c r="Q34" s="119"/>
      <c r="R34" s="119"/>
      <c r="S34" s="119"/>
      <c r="T34" s="119"/>
      <c r="U34" s="119"/>
      <c r="X34" s="120"/>
      <c r="Y34" s="120"/>
    </row>
    <row r="35" spans="2:28" ht="15" customHeight="1">
      <c r="G35" s="119"/>
      <c r="H35" s="119"/>
      <c r="I35" s="152"/>
      <c r="J35" s="152">
        <v>95.45</v>
      </c>
      <c r="K35" s="119"/>
      <c r="N35" s="119"/>
      <c r="O35" s="204" t="s">
        <v>150</v>
      </c>
      <c r="P35" s="204" t="s">
        <v>149</v>
      </c>
      <c r="Q35" s="119"/>
      <c r="R35" s="119"/>
      <c r="S35" s="119"/>
      <c r="T35" s="119"/>
      <c r="U35" s="119"/>
      <c r="X35" s="120"/>
      <c r="Y35" s="120"/>
    </row>
    <row r="36" spans="2:28" ht="15" customHeight="1">
      <c r="G36" s="119"/>
      <c r="H36" s="119"/>
      <c r="I36" s="141">
        <v>1</v>
      </c>
      <c r="J36" s="141">
        <v>13.97</v>
      </c>
      <c r="K36" s="119"/>
      <c r="N36" s="119"/>
      <c r="O36" s="163">
        <v>0</v>
      </c>
      <c r="P36" s="164" t="s">
        <v>151</v>
      </c>
      <c r="Q36" s="119"/>
      <c r="R36" s="119"/>
      <c r="S36" s="119"/>
      <c r="T36" s="119"/>
      <c r="U36" s="119"/>
      <c r="X36" s="120"/>
      <c r="Y36" s="120"/>
    </row>
    <row r="37" spans="2:28" ht="15" customHeight="1">
      <c r="G37" s="119"/>
      <c r="H37" s="119"/>
      <c r="I37" s="141">
        <v>2</v>
      </c>
      <c r="J37" s="141">
        <v>4.53</v>
      </c>
      <c r="K37" s="119"/>
      <c r="N37" s="119"/>
      <c r="O37" s="163">
        <v>1</v>
      </c>
      <c r="P37" s="164" t="s">
        <v>152</v>
      </c>
      <c r="Q37" s="119"/>
      <c r="R37" s="119"/>
      <c r="S37" s="119"/>
      <c r="T37" s="119"/>
      <c r="U37" s="119"/>
      <c r="X37" s="120"/>
      <c r="Y37" s="120"/>
    </row>
    <row r="38" spans="2:28" ht="15" customHeight="1">
      <c r="G38" s="119"/>
      <c r="H38" s="119"/>
      <c r="I38" s="141">
        <v>3</v>
      </c>
      <c r="J38" s="141">
        <v>3.31</v>
      </c>
      <c r="K38" s="119"/>
      <c r="N38" s="119"/>
      <c r="O38" s="163">
        <v>2</v>
      </c>
      <c r="P38" s="164" t="s">
        <v>153</v>
      </c>
      <c r="Q38" s="119"/>
      <c r="R38" s="119"/>
      <c r="S38" s="119"/>
      <c r="T38" s="119"/>
      <c r="U38" s="119"/>
      <c r="X38" s="120"/>
      <c r="Y38" s="120"/>
    </row>
    <row r="39" spans="2:28" ht="15" customHeight="1">
      <c r="G39" s="119"/>
      <c r="H39" s="119"/>
      <c r="I39" s="141">
        <v>4</v>
      </c>
      <c r="J39" s="141">
        <v>2.87</v>
      </c>
      <c r="K39" s="119"/>
      <c r="N39" s="119"/>
      <c r="O39" s="163">
        <v>3</v>
      </c>
      <c r="P39" s="164" t="s">
        <v>154</v>
      </c>
      <c r="Q39" s="119"/>
      <c r="R39" s="119"/>
      <c r="S39" s="119"/>
      <c r="T39" s="119"/>
      <c r="U39" s="119"/>
      <c r="X39" s="120"/>
      <c r="Y39" s="120"/>
    </row>
    <row r="40" spans="2:28" ht="15" customHeight="1">
      <c r="G40" s="119"/>
      <c r="H40" s="119"/>
      <c r="I40" s="141">
        <v>5</v>
      </c>
      <c r="J40" s="141">
        <v>2.65</v>
      </c>
      <c r="K40" s="119"/>
      <c r="N40" s="119"/>
      <c r="O40" s="163">
        <v>4</v>
      </c>
      <c r="P40" s="164" t="s">
        <v>155</v>
      </c>
      <c r="Q40" s="119"/>
      <c r="R40" s="119"/>
      <c r="S40" s="119"/>
      <c r="T40" s="119"/>
      <c r="U40" s="119"/>
      <c r="X40" s="120"/>
      <c r="Y40" s="120"/>
    </row>
    <row r="41" spans="2:28" ht="15" customHeight="1">
      <c r="G41" s="119"/>
      <c r="H41" s="119"/>
      <c r="I41" s="141">
        <v>6</v>
      </c>
      <c r="J41" s="141">
        <v>2.52</v>
      </c>
      <c r="K41" s="119"/>
      <c r="N41" s="119"/>
      <c r="O41" s="163">
        <v>5</v>
      </c>
      <c r="P41" s="164" t="s">
        <v>156</v>
      </c>
      <c r="Q41" s="119"/>
      <c r="R41" s="119"/>
      <c r="S41" s="119"/>
      <c r="T41" s="119"/>
      <c r="U41" s="119"/>
      <c r="X41" s="120"/>
      <c r="Y41" s="120"/>
    </row>
    <row r="42" spans="2:28" ht="15" customHeight="1">
      <c r="G42" s="119"/>
      <c r="H42" s="119"/>
      <c r="I42" s="141">
        <v>7</v>
      </c>
      <c r="J42" s="141">
        <v>2.4300000000000002</v>
      </c>
      <c r="K42" s="119"/>
      <c r="N42" s="119"/>
      <c r="O42" s="163">
        <v>6</v>
      </c>
      <c r="P42" s="164" t="s">
        <v>157</v>
      </c>
      <c r="Q42" s="119"/>
      <c r="R42" s="119"/>
      <c r="S42" s="119"/>
      <c r="T42" s="119"/>
      <c r="U42" s="119"/>
      <c r="X42" s="120"/>
      <c r="Y42" s="120"/>
    </row>
    <row r="43" spans="2:28" ht="15" customHeight="1">
      <c r="G43" s="119"/>
      <c r="H43" s="119"/>
      <c r="I43" s="141">
        <v>8</v>
      </c>
      <c r="J43" s="141">
        <v>2.37</v>
      </c>
      <c r="K43" s="119"/>
      <c r="N43" s="119"/>
      <c r="O43" s="163">
        <v>7</v>
      </c>
      <c r="P43" s="164" t="s">
        <v>158</v>
      </c>
      <c r="Q43" s="119"/>
      <c r="R43" s="119"/>
      <c r="S43" s="119"/>
      <c r="T43" s="119"/>
      <c r="U43" s="119"/>
      <c r="X43" s="120"/>
      <c r="Y43" s="120"/>
    </row>
    <row r="44" spans="2:28" ht="15" customHeight="1">
      <c r="G44" s="119"/>
      <c r="H44" s="119"/>
      <c r="I44" s="141">
        <v>9</v>
      </c>
      <c r="J44" s="141">
        <v>2.3199999999999998</v>
      </c>
      <c r="K44" s="119"/>
      <c r="N44" s="119"/>
      <c r="O44" s="163">
        <v>8</v>
      </c>
      <c r="P44" s="164" t="s">
        <v>159</v>
      </c>
      <c r="Q44" s="119"/>
      <c r="R44" s="119"/>
      <c r="S44" s="119"/>
      <c r="T44" s="119"/>
      <c r="U44" s="119"/>
      <c r="X44" s="120"/>
      <c r="Y44" s="120"/>
    </row>
    <row r="45" spans="2:28" ht="15" customHeight="1">
      <c r="G45" s="119"/>
      <c r="H45" s="119"/>
      <c r="I45" s="141" t="s">
        <v>51</v>
      </c>
      <c r="J45" s="141">
        <v>2</v>
      </c>
      <c r="K45" s="119"/>
      <c r="N45" s="119"/>
      <c r="O45" s="163">
        <v>9</v>
      </c>
      <c r="P45" s="164" t="s">
        <v>160</v>
      </c>
      <c r="Q45" s="119"/>
      <c r="R45" s="119"/>
      <c r="S45" s="119"/>
      <c r="T45" s="119"/>
      <c r="U45" s="119"/>
      <c r="X45" s="120"/>
      <c r="Y45" s="120"/>
    </row>
    <row r="46" spans="2:28" ht="15" customHeight="1">
      <c r="G46" s="117"/>
      <c r="H46" s="117"/>
      <c r="I46" s="119"/>
      <c r="J46" s="118"/>
      <c r="K46" s="248"/>
      <c r="N46" s="119"/>
      <c r="O46" s="119"/>
      <c r="P46" s="119"/>
      <c r="Q46" s="119"/>
      <c r="R46" s="119"/>
      <c r="S46" s="119"/>
      <c r="T46" s="119"/>
      <c r="U46" s="119"/>
      <c r="X46" s="120"/>
      <c r="Y46" s="120"/>
    </row>
    <row r="47" spans="2:28" ht="15" customHeight="1">
      <c r="B47" s="136" t="s">
        <v>191</v>
      </c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Z47" s="122"/>
      <c r="AA47" s="120"/>
      <c r="AB47" s="120"/>
    </row>
    <row r="48" spans="2:28" ht="15" customHeight="1">
      <c r="B48" s="137"/>
      <c r="C48" s="114" t="s">
        <v>192</v>
      </c>
      <c r="D48" s="114" t="s">
        <v>193</v>
      </c>
      <c r="E48" s="137"/>
      <c r="F48" s="114" t="s">
        <v>245</v>
      </c>
      <c r="G48" s="169"/>
      <c r="H48" s="114" t="s">
        <v>192</v>
      </c>
      <c r="I48" s="169" t="s">
        <v>193</v>
      </c>
      <c r="J48" s="114" t="s">
        <v>194</v>
      </c>
      <c r="K48" s="114" t="s">
        <v>195</v>
      </c>
      <c r="O48" s="119"/>
      <c r="P48" s="119"/>
      <c r="Q48" s="119"/>
      <c r="R48" s="119"/>
    </row>
    <row r="49" spans="2:28" ht="18" customHeight="1">
      <c r="B49" s="137"/>
      <c r="C49" s="170">
        <v>45400</v>
      </c>
      <c r="D49" s="464"/>
      <c r="E49" s="137"/>
      <c r="F49" s="171">
        <f ca="1">COUNTIF(T21:T26,TRUE)</f>
        <v>0</v>
      </c>
      <c r="G49" s="114"/>
      <c r="H49" s="170">
        <f>C49*IF(G49=TRUE,1.8,1)</f>
        <v>45400</v>
      </c>
      <c r="I49" s="172">
        <f ca="1">H49*(F49-1)</f>
        <v>-45400</v>
      </c>
      <c r="J49" s="173">
        <f ca="1">SUM(H49:I49)</f>
        <v>0</v>
      </c>
      <c r="K49" s="457">
        <f ca="1">SUM(J49:J51)</f>
        <v>0</v>
      </c>
      <c r="O49" s="119"/>
      <c r="P49" s="119"/>
      <c r="Q49" s="119"/>
      <c r="R49" s="119"/>
    </row>
    <row r="50" spans="2:28" ht="18" customHeight="1">
      <c r="B50" s="137"/>
      <c r="C50" s="170"/>
      <c r="D50" s="465"/>
      <c r="E50" s="137"/>
      <c r="F50" s="171"/>
      <c r="G50" s="114"/>
      <c r="H50" s="170"/>
      <c r="I50" s="172"/>
      <c r="J50" s="173"/>
      <c r="K50" s="458"/>
      <c r="R50" s="119"/>
      <c r="T50" s="119"/>
      <c r="U50" s="119"/>
    </row>
    <row r="51" spans="2:28" ht="18" customHeight="1">
      <c r="B51" s="137"/>
      <c r="C51" s="170"/>
      <c r="D51" s="465"/>
      <c r="E51" s="137"/>
      <c r="F51" s="114"/>
      <c r="G51" s="114"/>
      <c r="H51" s="170"/>
      <c r="I51" s="174"/>
      <c r="J51" s="173"/>
      <c r="K51" s="459"/>
      <c r="R51" s="119"/>
    </row>
    <row r="52" spans="2:28" ht="18" customHeight="1">
      <c r="B52" s="137"/>
      <c r="C52" s="170"/>
      <c r="D52" s="465"/>
      <c r="E52" s="137"/>
      <c r="F52" s="137"/>
      <c r="G52" s="137"/>
      <c r="H52" s="137"/>
      <c r="I52" s="137"/>
      <c r="J52" s="137"/>
      <c r="K52" s="137"/>
      <c r="L52" s="138"/>
      <c r="M52" s="137"/>
      <c r="N52" s="137"/>
      <c r="O52" s="137"/>
      <c r="S52" s="119"/>
      <c r="T52" s="119"/>
      <c r="U52" s="119"/>
      <c r="W52" s="120"/>
      <c r="X52" s="120"/>
      <c r="Y52" s="120"/>
    </row>
    <row r="53" spans="2:28" ht="18" customHeight="1">
      <c r="B53" s="137"/>
      <c r="C53" s="170"/>
      <c r="D53" s="465"/>
      <c r="E53" s="137"/>
      <c r="F53" s="139"/>
      <c r="G53" s="137"/>
      <c r="H53" s="137"/>
      <c r="I53" s="137"/>
      <c r="J53" s="137"/>
      <c r="K53" s="137"/>
      <c r="L53" s="137"/>
      <c r="M53" s="137"/>
      <c r="N53" s="137"/>
      <c r="O53" s="137"/>
      <c r="S53" s="119"/>
      <c r="T53" s="119"/>
      <c r="U53" s="119"/>
      <c r="W53" s="120"/>
      <c r="X53" s="120"/>
      <c r="Y53" s="120"/>
    </row>
    <row r="54" spans="2:28" ht="18" customHeight="1">
      <c r="B54" s="137"/>
      <c r="C54" s="170"/>
      <c r="D54" s="465"/>
      <c r="E54" s="137"/>
      <c r="F54" s="140"/>
      <c r="J54" s="137"/>
      <c r="K54" s="137"/>
      <c r="L54" s="137"/>
      <c r="M54" s="137"/>
      <c r="N54" s="137"/>
      <c r="O54" s="137"/>
      <c r="S54" s="119"/>
      <c r="T54" s="119"/>
      <c r="U54" s="119"/>
      <c r="W54" s="120"/>
      <c r="X54" s="120"/>
      <c r="Y54" s="120"/>
    </row>
    <row r="55" spans="2:28" ht="18" customHeight="1">
      <c r="B55" s="137"/>
      <c r="C55" s="114"/>
      <c r="D55" s="466"/>
      <c r="E55" s="137"/>
      <c r="F55" s="140"/>
      <c r="J55" s="137"/>
      <c r="K55" s="137"/>
      <c r="L55" s="137"/>
      <c r="P55" s="119"/>
      <c r="Q55" s="119"/>
      <c r="R55" s="119"/>
      <c r="S55" s="119"/>
      <c r="V55" s="120"/>
      <c r="X55" s="120"/>
      <c r="Y55" s="120"/>
    </row>
    <row r="56" spans="2:28" ht="18" customHeight="1">
      <c r="B56" s="71"/>
      <c r="C56" s="71"/>
      <c r="D56" s="71"/>
      <c r="E56" s="71"/>
      <c r="F56" s="71"/>
      <c r="G56" s="71"/>
      <c r="H56" s="71"/>
      <c r="M56" s="71"/>
      <c r="N56" s="71"/>
      <c r="O56" s="71"/>
      <c r="P56" s="137"/>
      <c r="Q56" s="137"/>
      <c r="R56" s="137"/>
      <c r="Z56" s="120"/>
      <c r="AA56" s="120"/>
      <c r="AB56" s="120"/>
    </row>
    <row r="57" spans="2:28" ht="18" customHeight="1">
      <c r="B57" s="120"/>
      <c r="C57" s="120"/>
      <c r="D57" s="120"/>
      <c r="I57" s="140"/>
      <c r="J57" s="137"/>
      <c r="K57" s="137"/>
      <c r="L57" s="137"/>
      <c r="P57" s="119"/>
      <c r="Q57" s="119"/>
      <c r="R57" s="119"/>
      <c r="Z57" s="120"/>
      <c r="AA57" s="120"/>
      <c r="AB57" s="120"/>
    </row>
    <row r="58" spans="2:28" ht="18" customHeight="1">
      <c r="B58" s="120"/>
      <c r="C58" s="120"/>
      <c r="D58" s="120"/>
      <c r="I58" s="140"/>
      <c r="J58" s="137"/>
      <c r="K58" s="137"/>
      <c r="L58" s="137"/>
      <c r="P58" s="119"/>
      <c r="Q58" s="119"/>
      <c r="R58" s="119"/>
      <c r="Z58" s="120"/>
    </row>
    <row r="59" spans="2:28" ht="18" customHeight="1">
      <c r="B59" s="120"/>
      <c r="C59" s="120"/>
      <c r="D59" s="120"/>
      <c r="J59" s="71"/>
      <c r="K59" s="71"/>
      <c r="L59" s="71"/>
      <c r="P59" s="119"/>
      <c r="Q59" s="119"/>
      <c r="R59" s="119"/>
      <c r="Z59" s="120"/>
    </row>
    <row r="60" spans="2:28" ht="18" customHeight="1">
      <c r="B60" s="120"/>
      <c r="C60" s="120"/>
      <c r="D60" s="120"/>
      <c r="I60" s="140"/>
      <c r="J60" s="122"/>
      <c r="K60" s="122"/>
      <c r="P60" s="119"/>
      <c r="Q60" s="119"/>
      <c r="R60" s="119"/>
      <c r="Z60" s="120"/>
    </row>
    <row r="61" spans="2:28" ht="18" customHeight="1">
      <c r="B61" s="120"/>
      <c r="C61" s="120"/>
      <c r="D61" s="120"/>
      <c r="I61" s="140"/>
      <c r="J61" s="122"/>
      <c r="K61" s="122"/>
      <c r="P61" s="119"/>
      <c r="Q61" s="119"/>
      <c r="R61" s="119"/>
      <c r="Y61" s="120"/>
      <c r="Z61" s="120"/>
    </row>
    <row r="62" spans="2:28" ht="18" customHeight="1">
      <c r="B62" s="120"/>
      <c r="C62" s="120"/>
      <c r="D62" s="120"/>
      <c r="J62" s="122"/>
      <c r="K62" s="122"/>
      <c r="P62" s="119"/>
      <c r="Q62" s="119"/>
      <c r="R62" s="119"/>
      <c r="Y62" s="120"/>
      <c r="Z62" s="120"/>
    </row>
    <row r="63" spans="2:28" ht="18" customHeight="1">
      <c r="B63" s="120"/>
      <c r="C63" s="120"/>
      <c r="D63" s="120"/>
      <c r="I63" s="140"/>
      <c r="P63" s="119"/>
      <c r="Q63" s="119"/>
      <c r="R63" s="119"/>
    </row>
  </sheetData>
  <mergeCells count="76">
    <mergeCell ref="W15:W16"/>
    <mergeCell ref="T15:T16"/>
    <mergeCell ref="T13:T14"/>
    <mergeCell ref="U13:U14"/>
    <mergeCell ref="U11:U12"/>
    <mergeCell ref="V11:V12"/>
    <mergeCell ref="V13:V14"/>
    <mergeCell ref="U15:U16"/>
    <mergeCell ref="V15:V16"/>
    <mergeCell ref="W17:W18"/>
    <mergeCell ref="K49:K51"/>
    <mergeCell ref="G27:M27"/>
    <mergeCell ref="N9:N10"/>
    <mergeCell ref="O9:O10"/>
    <mergeCell ref="P9:P10"/>
    <mergeCell ref="N29:N30"/>
    <mergeCell ref="R29:R30"/>
    <mergeCell ref="D49:D55"/>
    <mergeCell ref="R9:R10"/>
    <mergeCell ref="N17:N18"/>
    <mergeCell ref="O17:O18"/>
    <mergeCell ref="P17:P18"/>
    <mergeCell ref="T17:T18"/>
    <mergeCell ref="W11:W12"/>
    <mergeCell ref="W13:W14"/>
    <mergeCell ref="N15:N16"/>
    <mergeCell ref="O15:O16"/>
    <mergeCell ref="S17:S18"/>
    <mergeCell ref="S13:S14"/>
    <mergeCell ref="N13:N14"/>
    <mergeCell ref="O13:O14"/>
    <mergeCell ref="P13:P14"/>
    <mergeCell ref="R13:R14"/>
    <mergeCell ref="P15:P16"/>
    <mergeCell ref="S15:S16"/>
    <mergeCell ref="R15:R16"/>
    <mergeCell ref="R11:R12"/>
    <mergeCell ref="S11:S12"/>
    <mergeCell ref="T11:T12"/>
    <mergeCell ref="N11:N12"/>
    <mergeCell ref="O11:O12"/>
    <mergeCell ref="P11:P12"/>
    <mergeCell ref="S9:S10"/>
    <mergeCell ref="T9:T10"/>
    <mergeCell ref="B6:B8"/>
    <mergeCell ref="D6:D8"/>
    <mergeCell ref="E6:E8"/>
    <mergeCell ref="F6:F8"/>
    <mergeCell ref="G6:K6"/>
    <mergeCell ref="C6:C8"/>
    <mergeCell ref="R6:S6"/>
    <mergeCell ref="P6:P7"/>
    <mergeCell ref="L6:L7"/>
    <mergeCell ref="M6:M7"/>
    <mergeCell ref="T6:W6"/>
    <mergeCell ref="W9:W10"/>
    <mergeCell ref="U9:U10"/>
    <mergeCell ref="V9:V10"/>
    <mergeCell ref="V17:V18"/>
    <mergeCell ref="B21:B22"/>
    <mergeCell ref="C21:C22"/>
    <mergeCell ref="D21:D22"/>
    <mergeCell ref="E21:E22"/>
    <mergeCell ref="F21:F22"/>
    <mergeCell ref="G21:K21"/>
    <mergeCell ref="N21:O21"/>
    <mergeCell ref="G22:H22"/>
    <mergeCell ref="J22:K22"/>
    <mergeCell ref="N22:O22"/>
    <mergeCell ref="R17:R18"/>
    <mergeCell ref="C29:G29"/>
    <mergeCell ref="J29:M29"/>
    <mergeCell ref="O29:Q29"/>
    <mergeCell ref="U17:U18"/>
    <mergeCell ref="Q21:Q22"/>
    <mergeCell ref="S29:T29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93" bestFit="1" customWidth="1"/>
    <col min="2" max="2" width="6.6640625" style="93" bestFit="1" customWidth="1"/>
    <col min="3" max="3" width="8.88671875" style="93"/>
    <col min="4" max="4" width="6.6640625" style="93" bestFit="1" customWidth="1"/>
    <col min="5" max="13" width="1.77734375" style="93" customWidth="1"/>
    <col min="14" max="15" width="6" style="93" bestFit="1" customWidth="1"/>
    <col min="16" max="16" width="7.5546875" style="93" bestFit="1" customWidth="1"/>
    <col min="17" max="17" width="4" style="93" bestFit="1" customWidth="1"/>
    <col min="18" max="18" width="5.33203125" style="93" bestFit="1" customWidth="1"/>
    <col min="19" max="19" width="4" style="93" bestFit="1" customWidth="1"/>
    <col min="20" max="21" width="6.5546875" style="93" bestFit="1" customWidth="1"/>
    <col min="22" max="22" width="8.44140625" style="93" bestFit="1" customWidth="1"/>
    <col min="23" max="23" width="6.6640625" style="93" bestFit="1" customWidth="1"/>
    <col min="24" max="24" width="5.33203125" style="93" bestFit="1" customWidth="1"/>
    <col min="25" max="25" width="8.33203125" style="93" bestFit="1" customWidth="1"/>
    <col min="26" max="27" width="4" style="93" bestFit="1" customWidth="1"/>
    <col min="28" max="34" width="1.77734375" style="93" customWidth="1"/>
    <col min="35" max="35" width="7.5546875" style="93" bestFit="1" customWidth="1"/>
    <col min="36" max="16384" width="8.88671875" style="93"/>
  </cols>
  <sheetData>
    <row r="1" spans="1:36">
      <c r="A1" s="115" t="s">
        <v>102</v>
      </c>
      <c r="B1" s="115" t="s">
        <v>62</v>
      </c>
      <c r="C1" s="115" t="s">
        <v>63</v>
      </c>
      <c r="D1" s="115" t="s">
        <v>103</v>
      </c>
      <c r="E1" s="115"/>
      <c r="F1" s="115"/>
      <c r="G1" s="115"/>
      <c r="H1" s="115"/>
      <c r="I1" s="115"/>
      <c r="J1" s="115"/>
      <c r="K1" s="115"/>
      <c r="L1" s="115"/>
      <c r="M1" s="115"/>
      <c r="N1" s="115" t="s">
        <v>104</v>
      </c>
      <c r="O1" s="115" t="s">
        <v>105</v>
      </c>
      <c r="P1" s="115" t="s">
        <v>64</v>
      </c>
      <c r="Q1" s="115" t="s">
        <v>106</v>
      </c>
      <c r="R1" s="115" t="s">
        <v>66</v>
      </c>
      <c r="S1" s="115" t="s">
        <v>65</v>
      </c>
      <c r="T1" s="115" t="s">
        <v>67</v>
      </c>
      <c r="U1" s="115" t="s">
        <v>107</v>
      </c>
      <c r="V1" s="115" t="s">
        <v>68</v>
      </c>
      <c r="W1" s="115" t="s">
        <v>69</v>
      </c>
      <c r="X1" s="115" t="s">
        <v>108</v>
      </c>
      <c r="Y1" s="115" t="s">
        <v>109</v>
      </c>
      <c r="Z1" s="115" t="s">
        <v>110</v>
      </c>
      <c r="AA1" s="115" t="s">
        <v>111</v>
      </c>
      <c r="AB1" s="115"/>
      <c r="AC1" s="115"/>
      <c r="AD1" s="115"/>
      <c r="AE1" s="115"/>
      <c r="AF1" s="115"/>
      <c r="AG1" s="115"/>
      <c r="AH1" s="115"/>
      <c r="AI1" s="115" t="s">
        <v>112</v>
      </c>
      <c r="AJ1" s="145" t="s">
        <v>203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7"/>
  <sheetViews>
    <sheetView zoomScaleNormal="100" workbookViewId="0"/>
  </sheetViews>
  <sheetFormatPr defaultColWidth="9" defaultRowHeight="17.100000000000001" customHeight="1"/>
  <cols>
    <col min="1" max="36" width="10.44140625" style="32" customWidth="1"/>
    <col min="37" max="16384" width="9" style="32"/>
  </cols>
  <sheetData>
    <row r="1" spans="1:24" s="12" customFormat="1" ht="33" customHeight="1">
      <c r="A1" s="14" t="s">
        <v>96</v>
      </c>
    </row>
    <row r="2" spans="1:24" s="12" customFormat="1" ht="17.100000000000001" customHeight="1">
      <c r="A2" s="16" t="s">
        <v>43</v>
      </c>
      <c r="B2" s="16"/>
      <c r="C2" s="16"/>
      <c r="D2" s="94" t="s">
        <v>59</v>
      </c>
      <c r="G2" s="16" t="s">
        <v>44</v>
      </c>
      <c r="J2" s="16" t="s">
        <v>242</v>
      </c>
      <c r="O2" s="16" t="s">
        <v>299</v>
      </c>
    </row>
    <row r="3" spans="1:24" s="12" customFormat="1" ht="13.5">
      <c r="A3" s="13" t="s">
        <v>241</v>
      </c>
      <c r="B3" s="13" t="s">
        <v>57</v>
      </c>
      <c r="C3" s="13" t="s">
        <v>214</v>
      </c>
      <c r="D3" s="13" t="s">
        <v>52</v>
      </c>
      <c r="E3" s="13" t="s">
        <v>53</v>
      </c>
      <c r="F3" s="13" t="s">
        <v>48</v>
      </c>
      <c r="G3" s="13" t="s">
        <v>45</v>
      </c>
      <c r="H3" s="41" t="s">
        <v>46</v>
      </c>
      <c r="I3" s="41" t="s">
        <v>47</v>
      </c>
      <c r="J3" s="41" t="s">
        <v>60</v>
      </c>
      <c r="K3" s="41" t="s">
        <v>61</v>
      </c>
      <c r="L3" s="110" t="s">
        <v>97</v>
      </c>
      <c r="M3" s="110" t="s">
        <v>98</v>
      </c>
      <c r="N3" s="41" t="s">
        <v>99</v>
      </c>
      <c r="O3" s="224" t="s">
        <v>305</v>
      </c>
      <c r="P3" s="224" t="s">
        <v>300</v>
      </c>
    </row>
    <row r="4" spans="1:24" s="12" customFormat="1" ht="17.100000000000001" customHeight="1">
      <c r="A4" s="33"/>
      <c r="B4" s="109"/>
      <c r="C4" s="147"/>
      <c r="D4" s="22"/>
      <c r="E4" s="55"/>
      <c r="F4" s="42"/>
      <c r="G4" s="22"/>
      <c r="H4" s="22"/>
      <c r="I4" s="22"/>
      <c r="J4" s="22"/>
      <c r="K4" s="22"/>
      <c r="L4" s="111"/>
      <c r="M4" s="111"/>
      <c r="N4" s="22"/>
      <c r="O4" s="225"/>
      <c r="P4" s="225"/>
    </row>
    <row r="5" spans="1:24" s="12" customFormat="1" ht="17.100000000000001" customHeight="1">
      <c r="A5" s="33"/>
      <c r="B5" s="109"/>
      <c r="C5" s="147"/>
      <c r="D5" s="22"/>
      <c r="E5" s="55"/>
      <c r="F5" s="42"/>
      <c r="G5" s="22"/>
      <c r="H5" s="23"/>
      <c r="I5" s="23"/>
      <c r="J5" s="23"/>
      <c r="K5" s="23"/>
      <c r="L5" s="112"/>
      <c r="M5" s="112"/>
      <c r="N5" s="23"/>
      <c r="O5" s="226"/>
      <c r="P5" s="226"/>
    </row>
    <row r="6" spans="1:24" s="12" customFormat="1" ht="17.100000000000001" customHeight="1">
      <c r="A6" s="33"/>
      <c r="B6" s="109"/>
      <c r="C6" s="147"/>
      <c r="D6" s="22"/>
      <c r="E6" s="55"/>
      <c r="F6" s="42"/>
      <c r="G6" s="22"/>
      <c r="H6" s="23"/>
      <c r="I6" s="23"/>
      <c r="J6" s="23"/>
      <c r="K6" s="23"/>
      <c r="L6" s="112"/>
      <c r="M6" s="112"/>
      <c r="N6" s="23"/>
      <c r="O6" s="226"/>
      <c r="P6" s="226"/>
    </row>
    <row r="7" spans="1:24" s="12" customFormat="1" ht="17.100000000000001" customHeight="1">
      <c r="A7" s="33"/>
      <c r="B7" s="109"/>
      <c r="C7" s="147"/>
      <c r="D7" s="22"/>
      <c r="E7" s="55"/>
      <c r="F7" s="42"/>
      <c r="G7" s="22"/>
      <c r="H7" s="23"/>
      <c r="I7" s="23"/>
      <c r="J7" s="23"/>
      <c r="K7" s="23"/>
      <c r="L7" s="112"/>
      <c r="M7" s="112"/>
      <c r="N7" s="23"/>
      <c r="O7" s="226"/>
      <c r="P7" s="226"/>
    </row>
    <row r="8" spans="1:24" s="12" customFormat="1" ht="17.100000000000001" customHeight="1">
      <c r="A8" s="33"/>
      <c r="B8" s="109"/>
      <c r="C8" s="147"/>
      <c r="D8" s="22"/>
      <c r="E8" s="55"/>
      <c r="F8" s="42"/>
      <c r="G8" s="22"/>
      <c r="H8" s="23"/>
      <c r="I8" s="23"/>
      <c r="J8" s="23"/>
      <c r="K8" s="23"/>
      <c r="L8" s="112"/>
      <c r="M8" s="112"/>
      <c r="N8" s="23"/>
      <c r="O8" s="226"/>
      <c r="P8" s="226"/>
    </row>
    <row r="9" spans="1:24" s="12" customFormat="1" ht="17.100000000000001" customHeight="1">
      <c r="A9" s="33"/>
      <c r="B9" s="109"/>
      <c r="C9" s="147"/>
      <c r="D9" s="22"/>
      <c r="E9" s="55"/>
      <c r="F9" s="42"/>
      <c r="G9" s="22"/>
      <c r="H9" s="23"/>
      <c r="I9" s="23"/>
      <c r="J9" s="23"/>
      <c r="K9" s="23"/>
      <c r="L9" s="112"/>
      <c r="M9" s="112"/>
      <c r="N9" s="23"/>
      <c r="O9" s="226"/>
      <c r="P9" s="226"/>
    </row>
    <row r="10" spans="1:24" s="12" customFormat="1" ht="17.100000000000001" customHeight="1">
      <c r="A10" s="33"/>
      <c r="B10" s="109"/>
      <c r="C10" s="147"/>
      <c r="D10" s="22"/>
      <c r="E10" s="55"/>
      <c r="F10" s="42"/>
      <c r="G10" s="22"/>
      <c r="H10" s="23"/>
      <c r="I10" s="23"/>
      <c r="J10" s="23"/>
      <c r="K10" s="23"/>
      <c r="L10" s="112"/>
      <c r="M10" s="112"/>
      <c r="N10" s="23"/>
      <c r="O10" s="226"/>
      <c r="P10" s="226"/>
    </row>
    <row r="11" spans="1:24" s="12" customFormat="1" ht="17.100000000000001" customHeight="1">
      <c r="A11" s="33"/>
      <c r="B11" s="109"/>
      <c r="C11" s="147"/>
      <c r="D11" s="22"/>
      <c r="E11" s="55"/>
      <c r="F11" s="42"/>
      <c r="G11" s="22"/>
      <c r="H11" s="23"/>
      <c r="I11" s="23"/>
      <c r="J11" s="23"/>
      <c r="K11" s="23"/>
      <c r="L11" s="112"/>
      <c r="M11" s="112"/>
      <c r="N11" s="23"/>
      <c r="O11" s="226"/>
      <c r="P11" s="226"/>
    </row>
    <row r="12" spans="1:24" s="12" customFormat="1" ht="17.100000000000001" customHeight="1">
      <c r="A12" s="33"/>
      <c r="B12" s="109"/>
      <c r="C12" s="147"/>
      <c r="D12" s="22"/>
      <c r="E12" s="55"/>
      <c r="F12" s="42"/>
      <c r="G12" s="22"/>
      <c r="H12" s="23"/>
      <c r="I12" s="23"/>
      <c r="J12" s="23"/>
      <c r="K12" s="23"/>
      <c r="L12" s="112"/>
      <c r="M12" s="112"/>
      <c r="N12" s="23"/>
      <c r="O12" s="226"/>
      <c r="P12" s="226"/>
    </row>
    <row r="13" spans="1:24" s="12" customFormat="1" ht="17.100000000000001" customHeight="1">
      <c r="A13" s="33"/>
      <c r="B13" s="109"/>
      <c r="C13" s="147"/>
      <c r="D13" s="22"/>
      <c r="E13" s="55"/>
      <c r="F13" s="42"/>
      <c r="G13" s="22"/>
      <c r="H13" s="23"/>
      <c r="I13" s="23"/>
      <c r="J13" s="23"/>
      <c r="K13" s="23"/>
      <c r="L13" s="112"/>
      <c r="M13" s="112"/>
      <c r="N13" s="23"/>
      <c r="O13" s="226"/>
      <c r="P13" s="226"/>
    </row>
    <row r="14" spans="1:24" s="12" customFormat="1" ht="17.100000000000001" customHeight="1"/>
    <row r="15" spans="1:24" s="12" customFormat="1" ht="17.100000000000001" customHeight="1">
      <c r="A15" s="16" t="s">
        <v>100</v>
      </c>
    </row>
    <row r="16" spans="1:24" s="18" customFormat="1" ht="18" customHeight="1">
      <c r="A16" s="113" t="s">
        <v>2</v>
      </c>
      <c r="B16" s="113" t="s">
        <v>101</v>
      </c>
      <c r="C16" s="113" t="s">
        <v>94</v>
      </c>
      <c r="D16" s="113" t="s">
        <v>57</v>
      </c>
      <c r="E16" s="113" t="s">
        <v>143</v>
      </c>
      <c r="F16" s="113" t="s">
        <v>211</v>
      </c>
      <c r="G16" s="113" t="s">
        <v>212</v>
      </c>
      <c r="H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7.100000000000001" customHeight="1">
      <c r="A17" s="95"/>
      <c r="B17" s="95"/>
      <c r="C17" s="95"/>
      <c r="D17" s="95"/>
      <c r="E17" s="95"/>
      <c r="F17" s="95"/>
      <c r="G17" s="95"/>
      <c r="H17" s="12"/>
      <c r="N17" s="12"/>
      <c r="Q17" s="12"/>
      <c r="R17" s="12"/>
      <c r="S17" s="12"/>
      <c r="T17" s="12"/>
      <c r="U17" s="12"/>
      <c r="V17" s="12"/>
      <c r="W17" s="12"/>
      <c r="X17" s="12"/>
    </row>
    <row r="18" spans="1:24" ht="17.100000000000001" customHeight="1">
      <c r="A18" s="95"/>
      <c r="B18" s="95"/>
      <c r="C18" s="95"/>
      <c r="D18" s="95"/>
      <c r="E18" s="95"/>
      <c r="F18" s="95"/>
      <c r="G18" s="95"/>
      <c r="H18" s="12"/>
      <c r="N18" s="12"/>
      <c r="Q18" s="12"/>
      <c r="R18" s="12"/>
      <c r="S18" s="12"/>
      <c r="T18" s="12"/>
      <c r="U18" s="12"/>
      <c r="V18" s="12"/>
      <c r="W18" s="12"/>
      <c r="X18" s="12"/>
    </row>
    <row r="19" spans="1:24" ht="17.100000000000001" customHeight="1">
      <c r="A19" s="95"/>
      <c r="B19" s="95"/>
      <c r="C19" s="95"/>
      <c r="D19" s="95"/>
      <c r="E19" s="95"/>
      <c r="F19" s="95"/>
      <c r="G19" s="95"/>
      <c r="H19" s="12"/>
      <c r="N19" s="12"/>
      <c r="Q19" s="12"/>
      <c r="R19" s="12"/>
      <c r="S19" s="12"/>
      <c r="T19" s="12"/>
      <c r="U19" s="12"/>
      <c r="V19" s="12"/>
      <c r="W19" s="12"/>
      <c r="X19" s="12"/>
    </row>
    <row r="20" spans="1:24" ht="17.100000000000001" customHeight="1">
      <c r="A20" s="95"/>
      <c r="B20" s="95"/>
      <c r="C20" s="95"/>
      <c r="D20" s="95"/>
      <c r="E20" s="95"/>
      <c r="F20" s="95"/>
      <c r="G20" s="95"/>
      <c r="H20" s="12"/>
      <c r="N20" s="12"/>
      <c r="Q20" s="12"/>
      <c r="R20" s="12"/>
      <c r="S20" s="12"/>
      <c r="T20" s="12"/>
      <c r="U20" s="12"/>
      <c r="V20" s="12"/>
      <c r="W20" s="12"/>
      <c r="X20" s="12"/>
    </row>
    <row r="21" spans="1:24" ht="17.100000000000001" customHeight="1">
      <c r="A21" s="95"/>
      <c r="B21" s="95"/>
      <c r="C21" s="95"/>
      <c r="D21" s="95"/>
      <c r="E21" s="95"/>
      <c r="F21" s="95"/>
      <c r="G21" s="95"/>
      <c r="H21" s="12"/>
      <c r="N21" s="12"/>
      <c r="Q21" s="12"/>
      <c r="R21" s="12"/>
      <c r="S21" s="12"/>
      <c r="T21" s="12"/>
      <c r="U21" s="12"/>
      <c r="V21" s="12"/>
      <c r="W21" s="12"/>
      <c r="X21" s="12"/>
    </row>
    <row r="22" spans="1:24" ht="17.100000000000001" customHeight="1">
      <c r="A22" s="95"/>
      <c r="B22" s="95"/>
      <c r="C22" s="95"/>
      <c r="D22" s="95"/>
      <c r="E22" s="95"/>
      <c r="F22" s="95"/>
      <c r="G22" s="95"/>
      <c r="H22" s="12"/>
      <c r="N22" s="12"/>
      <c r="Q22" s="12"/>
      <c r="R22" s="12"/>
      <c r="S22" s="12"/>
      <c r="T22" s="12"/>
      <c r="U22" s="12"/>
      <c r="V22" s="12"/>
      <c r="W22" s="12"/>
      <c r="X22" s="12"/>
    </row>
    <row r="23" spans="1:24" ht="17.100000000000001" customHeight="1">
      <c r="A23" s="95"/>
      <c r="B23" s="95"/>
      <c r="C23" s="95"/>
      <c r="D23" s="95"/>
      <c r="E23" s="95"/>
      <c r="F23" s="95"/>
      <c r="G23" s="95"/>
      <c r="H23" s="12"/>
      <c r="N23" s="12"/>
      <c r="Q23" s="12"/>
      <c r="R23" s="12"/>
      <c r="S23" s="12"/>
      <c r="T23" s="12"/>
      <c r="U23" s="12"/>
      <c r="V23" s="12"/>
      <c r="W23" s="12"/>
      <c r="X23" s="12"/>
    </row>
    <row r="24" spans="1:24" ht="17.100000000000001" customHeight="1">
      <c r="A24" s="95"/>
      <c r="B24" s="95"/>
      <c r="C24" s="95"/>
      <c r="D24" s="95"/>
      <c r="E24" s="95"/>
      <c r="F24" s="95"/>
      <c r="G24" s="95"/>
      <c r="H24" s="12"/>
      <c r="N24" s="12"/>
      <c r="Q24" s="12"/>
      <c r="R24" s="12"/>
      <c r="S24" s="12"/>
      <c r="T24" s="12"/>
      <c r="U24" s="12"/>
      <c r="V24" s="12"/>
      <c r="W24" s="12"/>
      <c r="X24" s="12"/>
    </row>
    <row r="25" spans="1:24" ht="17.100000000000001" customHeight="1">
      <c r="A25" s="95"/>
      <c r="B25" s="95"/>
      <c r="C25" s="95"/>
      <c r="D25" s="95"/>
      <c r="E25" s="95"/>
      <c r="F25" s="95"/>
      <c r="G25" s="95"/>
      <c r="H25" s="12"/>
      <c r="N25" s="12"/>
      <c r="Q25" s="12"/>
      <c r="R25" s="12"/>
      <c r="S25" s="12"/>
      <c r="T25" s="12"/>
      <c r="U25" s="12"/>
      <c r="V25" s="12"/>
      <c r="W25" s="12"/>
      <c r="X25" s="12"/>
    </row>
    <row r="26" spans="1:24" ht="17.100000000000001" customHeight="1">
      <c r="A26" s="95"/>
      <c r="B26" s="95"/>
      <c r="C26" s="95"/>
      <c r="D26" s="95"/>
      <c r="E26" s="95"/>
      <c r="F26" s="95"/>
      <c r="G26" s="95"/>
      <c r="H26" s="12"/>
      <c r="N26" s="12"/>
      <c r="Q26" s="12"/>
      <c r="R26" s="12"/>
      <c r="S26" s="12"/>
      <c r="T26" s="12"/>
      <c r="U26" s="12"/>
      <c r="V26" s="12"/>
      <c r="W26" s="12"/>
      <c r="X26" s="12"/>
    </row>
    <row r="27" spans="1:24" ht="17.100000000000001" customHeight="1">
      <c r="S27" s="12"/>
      <c r="T27" s="12"/>
      <c r="U27" s="12"/>
      <c r="V27" s="12"/>
      <c r="W27" s="12"/>
      <c r="X27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17</vt:i4>
      </vt:variant>
    </vt:vector>
  </HeadingPairs>
  <TitlesOfParts>
    <vt:vector size="28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STD_Data</vt:lpstr>
      <vt:lpstr>Length_6_1</vt:lpstr>
      <vt:lpstr>'교정결과-E'!B_Tag</vt:lpstr>
      <vt:lpstr>'교정결과-HY'!B_Tag</vt:lpstr>
      <vt:lpstr>B_Tag</vt:lpstr>
      <vt:lpstr>판정결과!B_Tag_2</vt:lpstr>
      <vt:lpstr>부록!B_Tag_3</vt:lpstr>
      <vt:lpstr>Length_6_1_CMC</vt:lpstr>
      <vt:lpstr>Length_6_1_Condition</vt:lpstr>
      <vt:lpstr>Length_6_1_Result</vt:lpstr>
      <vt:lpstr>Length_6_1_Result3</vt:lpstr>
      <vt:lpstr>Length_6_1_Spec</vt:lpstr>
      <vt:lpstr>Length_6_1_STD1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2020-11-02T06:52:42Z</cp:lastPrinted>
  <dcterms:created xsi:type="dcterms:W3CDTF">2004-11-10T00:11:43Z</dcterms:created>
  <dcterms:modified xsi:type="dcterms:W3CDTF">2021-07-23T06:16:42Z</dcterms:modified>
</cp:coreProperties>
</file>