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'교정결과-E'!$F$41:$H$41</definedName>
    <definedName name="B_Tag" localSheetId="3">'교정결과-HY'!$B$39:$Q$39</definedName>
    <definedName name="B_Tag">교정결과!$F$40:$H$40</definedName>
    <definedName name="B_Tag_2" localSheetId="4">판정결과!$D$29:$I$29</definedName>
    <definedName name="B_Tag_3" localSheetId="5">부록!$B$11:$K$11</definedName>
    <definedName name="Length_1_CMC">Length_1!$C$4:$E$23</definedName>
    <definedName name="Length_1_Condition">Length_1!$A$4:$B$23</definedName>
    <definedName name="Length_1_Condition_Temp">Length_1!#REF!</definedName>
    <definedName name="Length_1_Resolution">Length_1!$F$4:$I$23</definedName>
    <definedName name="Length_1_Result">Length_1!$M$4:$Q$23</definedName>
    <definedName name="Length_1_Spec">Length_1!$J$4:$L$23</definedName>
    <definedName name="Length_1_STD1">Length_1!$A$27</definedName>
    <definedName name="Length_1_STD2">Length_1!$A$50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T103" i="23" l="1"/>
  <c r="R95" i="23" l="1"/>
  <c r="AC90" i="23"/>
  <c r="W90" i="23"/>
  <c r="J87" i="23"/>
  <c r="H34" i="21"/>
  <c r="P3" i="21" l="1"/>
  <c r="F13" i="31" s="1"/>
  <c r="F13" i="24" l="1"/>
  <c r="F13" i="11"/>
  <c r="B162" i="23"/>
  <c r="B145" i="23"/>
  <c r="B132" i="23"/>
  <c r="B112" i="23"/>
  <c r="G38" i="23" l="1"/>
  <c r="G39" i="23"/>
  <c r="O46" i="21" l="1"/>
  <c r="M46" i="21" s="1"/>
  <c r="G34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J3" i="21"/>
  <c r="M63" i="21" s="1"/>
  <c r="I3" i="21"/>
  <c r="H3" i="21"/>
  <c r="C3" i="21"/>
  <c r="B3" i="21" s="1"/>
  <c r="J63" i="21"/>
  <c r="F45" i="21"/>
  <c r="V40" i="21"/>
  <c r="J40" i="21"/>
  <c r="Q40" i="21" s="1"/>
  <c r="U40" i="21" s="1"/>
  <c r="V39" i="21"/>
  <c r="J39" i="21"/>
  <c r="V38" i="21"/>
  <c r="G38" i="21"/>
  <c r="M39" i="21" s="1"/>
  <c r="V37" i="21"/>
  <c r="V36" i="21"/>
  <c r="G36" i="21"/>
  <c r="J36" i="21" s="1"/>
  <c r="T35" i="21"/>
  <c r="V35" i="21"/>
  <c r="T34" i="21"/>
  <c r="U34" i="21"/>
  <c r="U33" i="21"/>
  <c r="S28" i="21"/>
  <c r="E3" i="21"/>
  <c r="D3" i="21"/>
  <c r="AD12" i="21" l="1"/>
  <c r="V12" i="21"/>
  <c r="U12" i="21"/>
  <c r="Q16" i="21"/>
  <c r="AD16" i="21"/>
  <c r="V16" i="21"/>
  <c r="U16" i="21"/>
  <c r="S20" i="21"/>
  <c r="AD20" i="21"/>
  <c r="V20" i="21"/>
  <c r="U20" i="21"/>
  <c r="AD24" i="21"/>
  <c r="V24" i="21"/>
  <c r="U24" i="21"/>
  <c r="AD28" i="21"/>
  <c r="V28" i="21"/>
  <c r="U28" i="21"/>
  <c r="AD9" i="21"/>
  <c r="V9" i="21"/>
  <c r="U9" i="21"/>
  <c r="AD13" i="21"/>
  <c r="V13" i="21"/>
  <c r="U13" i="21"/>
  <c r="AD17" i="21"/>
  <c r="V17" i="21"/>
  <c r="U17" i="21"/>
  <c r="AD21" i="21"/>
  <c r="V21" i="21"/>
  <c r="U21" i="21"/>
  <c r="AD25" i="21"/>
  <c r="V25" i="21"/>
  <c r="U25" i="21"/>
  <c r="S25" i="21"/>
  <c r="AD10" i="21"/>
  <c r="V10" i="21"/>
  <c r="U10" i="21"/>
  <c r="AD14" i="21"/>
  <c r="V14" i="21"/>
  <c r="U14" i="21"/>
  <c r="AD18" i="21"/>
  <c r="V18" i="21"/>
  <c r="U18" i="21"/>
  <c r="AD22" i="21"/>
  <c r="V22" i="21"/>
  <c r="U22" i="21"/>
  <c r="AD26" i="21"/>
  <c r="V26" i="21"/>
  <c r="U26" i="21"/>
  <c r="S26" i="21"/>
  <c r="AD11" i="21"/>
  <c r="V11" i="21"/>
  <c r="U11" i="21"/>
  <c r="AD15" i="21"/>
  <c r="V15" i="21"/>
  <c r="U15" i="21"/>
  <c r="AD19" i="21"/>
  <c r="V19" i="21"/>
  <c r="U19" i="21"/>
  <c r="AD23" i="21"/>
  <c r="V23" i="21"/>
  <c r="U23" i="21"/>
  <c r="AD27" i="21"/>
  <c r="V27" i="21"/>
  <c r="U27" i="21"/>
  <c r="G11" i="21"/>
  <c r="T11" i="21"/>
  <c r="N11" i="21"/>
  <c r="G15" i="21"/>
  <c r="T15" i="21"/>
  <c r="N15" i="21"/>
  <c r="G19" i="21"/>
  <c r="T19" i="21"/>
  <c r="N19" i="21"/>
  <c r="G27" i="21"/>
  <c r="T27" i="21"/>
  <c r="N27" i="21"/>
  <c r="I12" i="21"/>
  <c r="T12" i="21"/>
  <c r="N12" i="21"/>
  <c r="I16" i="21"/>
  <c r="T16" i="21"/>
  <c r="N16" i="21"/>
  <c r="I20" i="21"/>
  <c r="T20" i="21"/>
  <c r="N20" i="21"/>
  <c r="I24" i="21"/>
  <c r="T24" i="21"/>
  <c r="N24" i="21"/>
  <c r="I28" i="21"/>
  <c r="T28" i="21"/>
  <c r="N28" i="21"/>
  <c r="G23" i="21"/>
  <c r="T23" i="21"/>
  <c r="N23" i="21"/>
  <c r="M9" i="21"/>
  <c r="N9" i="21"/>
  <c r="T9" i="21"/>
  <c r="L9" i="21"/>
  <c r="M13" i="21"/>
  <c r="N13" i="21"/>
  <c r="T13" i="21"/>
  <c r="M17" i="21"/>
  <c r="N17" i="21"/>
  <c r="T17" i="21"/>
  <c r="M21" i="21"/>
  <c r="N21" i="21"/>
  <c r="T21" i="21"/>
  <c r="M25" i="21"/>
  <c r="T25" i="21"/>
  <c r="N25" i="21"/>
  <c r="M10" i="21"/>
  <c r="N10" i="21"/>
  <c r="T10" i="21"/>
  <c r="M14" i="21"/>
  <c r="N14" i="21"/>
  <c r="T14" i="21"/>
  <c r="M18" i="21"/>
  <c r="N18" i="21"/>
  <c r="T18" i="21"/>
  <c r="M22" i="21"/>
  <c r="N22" i="21"/>
  <c r="T22" i="21"/>
  <c r="M26" i="21"/>
  <c r="N26" i="21"/>
  <c r="T26" i="21"/>
  <c r="K23" i="21"/>
  <c r="G9" i="21"/>
  <c r="E14" i="21"/>
  <c r="G17" i="21"/>
  <c r="E22" i="21"/>
  <c r="G25" i="21"/>
  <c r="Q19" i="21"/>
  <c r="E10" i="21"/>
  <c r="G13" i="21"/>
  <c r="E18" i="21"/>
  <c r="G21" i="21"/>
  <c r="E26" i="21"/>
  <c r="I11" i="21"/>
  <c r="I15" i="21"/>
  <c r="J38" i="21"/>
  <c r="N63" i="21"/>
  <c r="O63" i="21" s="1"/>
  <c r="Q63" i="21" s="1"/>
  <c r="R63" i="21" s="1"/>
  <c r="G10" i="21"/>
  <c r="D11" i="21"/>
  <c r="G14" i="21"/>
  <c r="D15" i="21"/>
  <c r="D19" i="21"/>
  <c r="G22" i="21"/>
  <c r="D23" i="21"/>
  <c r="G26" i="21"/>
  <c r="O16" i="21"/>
  <c r="Z16" i="21" s="1"/>
  <c r="P22" i="21"/>
  <c r="K27" i="21"/>
  <c r="Q14" i="21"/>
  <c r="C10" i="21"/>
  <c r="H10" i="21"/>
  <c r="E11" i="21"/>
  <c r="C14" i="21"/>
  <c r="H14" i="21"/>
  <c r="E15" i="21"/>
  <c r="C18" i="21"/>
  <c r="H18" i="21"/>
  <c r="E19" i="21"/>
  <c r="C22" i="21"/>
  <c r="H22" i="21"/>
  <c r="E23" i="21"/>
  <c r="C26" i="21"/>
  <c r="H26" i="21"/>
  <c r="E27" i="21"/>
  <c r="I19" i="21"/>
  <c r="I23" i="21"/>
  <c r="I27" i="21"/>
  <c r="S27" i="21"/>
  <c r="G18" i="21"/>
  <c r="D27" i="21"/>
  <c r="R10" i="21"/>
  <c r="O18" i="21"/>
  <c r="Z18" i="21" s="1"/>
  <c r="S23" i="21"/>
  <c r="P27" i="21"/>
  <c r="C9" i="21"/>
  <c r="D10" i="21"/>
  <c r="I10" i="21"/>
  <c r="H11" i="21"/>
  <c r="C13" i="21"/>
  <c r="D14" i="21"/>
  <c r="I14" i="21"/>
  <c r="H15" i="21"/>
  <c r="C17" i="21"/>
  <c r="D18" i="21"/>
  <c r="I18" i="21"/>
  <c r="H19" i="21"/>
  <c r="C21" i="21"/>
  <c r="D22" i="21"/>
  <c r="I22" i="21"/>
  <c r="H23" i="21"/>
  <c r="C25" i="21"/>
  <c r="D26" i="21"/>
  <c r="I26" i="21"/>
  <c r="H27" i="21"/>
  <c r="F12" i="21"/>
  <c r="F16" i="21"/>
  <c r="M16" i="21"/>
  <c r="F20" i="21"/>
  <c r="F24" i="21"/>
  <c r="F28" i="21"/>
  <c r="M28" i="21"/>
  <c r="Q17" i="21"/>
  <c r="P25" i="21"/>
  <c r="D9" i="21"/>
  <c r="H9" i="21"/>
  <c r="F11" i="21"/>
  <c r="M11" i="21"/>
  <c r="C12" i="21"/>
  <c r="G12" i="21"/>
  <c r="D13" i="21"/>
  <c r="H13" i="21"/>
  <c r="F15" i="21"/>
  <c r="M15" i="21"/>
  <c r="C16" i="21"/>
  <c r="G16" i="21"/>
  <c r="D17" i="21"/>
  <c r="H17" i="21"/>
  <c r="F19" i="21"/>
  <c r="M19" i="21"/>
  <c r="C20" i="21"/>
  <c r="G20" i="21"/>
  <c r="D21" i="21"/>
  <c r="H21" i="21"/>
  <c r="F23" i="21"/>
  <c r="M23" i="21"/>
  <c r="C24" i="21"/>
  <c r="G24" i="21"/>
  <c r="D25" i="21"/>
  <c r="H25" i="21"/>
  <c r="F27" i="21"/>
  <c r="M27" i="21"/>
  <c r="C28" i="21"/>
  <c r="G28" i="21"/>
  <c r="K46" i="21"/>
  <c r="M12" i="21"/>
  <c r="M20" i="21"/>
  <c r="M24" i="21"/>
  <c r="R9" i="21"/>
  <c r="E38" i="21" s="1"/>
  <c r="S24" i="21"/>
  <c r="E9" i="21"/>
  <c r="I9" i="21"/>
  <c r="F10" i="21"/>
  <c r="C11" i="21"/>
  <c r="D12" i="21"/>
  <c r="H12" i="21"/>
  <c r="E13" i="21"/>
  <c r="I13" i="21"/>
  <c r="F14" i="21"/>
  <c r="C15" i="21"/>
  <c r="D16" i="21"/>
  <c r="H16" i="21"/>
  <c r="E17" i="21"/>
  <c r="I17" i="21"/>
  <c r="F18" i="21"/>
  <c r="C19" i="21"/>
  <c r="D20" i="21"/>
  <c r="H20" i="21"/>
  <c r="E21" i="21"/>
  <c r="I21" i="21"/>
  <c r="F22" i="21"/>
  <c r="C23" i="21"/>
  <c r="D24" i="21"/>
  <c r="H24" i="21"/>
  <c r="E25" i="21"/>
  <c r="I25" i="21"/>
  <c r="F26" i="21"/>
  <c r="C27" i="21"/>
  <c r="D28" i="21"/>
  <c r="H28" i="21"/>
  <c r="F9" i="21"/>
  <c r="E12" i="21"/>
  <c r="F13" i="21"/>
  <c r="E16" i="21"/>
  <c r="F17" i="21"/>
  <c r="E20" i="21"/>
  <c r="F21" i="21"/>
  <c r="E24" i="21"/>
  <c r="F25" i="21"/>
  <c r="E28" i="21"/>
  <c r="R26" i="21"/>
  <c r="Q18" i="21"/>
  <c r="O21" i="21"/>
  <c r="Z21" i="21" s="1"/>
  <c r="P24" i="21"/>
  <c r="R25" i="21"/>
  <c r="K26" i="21"/>
  <c r="P28" i="21"/>
  <c r="S11" i="21"/>
  <c r="Q15" i="21"/>
  <c r="P20" i="21"/>
  <c r="R21" i="21"/>
  <c r="P23" i="21"/>
  <c r="R24" i="21"/>
  <c r="K25" i="21"/>
  <c r="R28" i="21"/>
  <c r="K21" i="21"/>
  <c r="R23" i="21"/>
  <c r="K24" i="21"/>
  <c r="P26" i="21"/>
  <c r="R27" i="21"/>
  <c r="K28" i="21"/>
  <c r="Q9" i="21"/>
  <c r="E37" i="21" s="1"/>
  <c r="G37" i="21" s="1"/>
  <c r="R13" i="21"/>
  <c r="P13" i="21"/>
  <c r="Q10" i="21"/>
  <c r="Q12" i="21"/>
  <c r="L17" i="21"/>
  <c r="P9" i="21"/>
  <c r="E36" i="21" s="1"/>
  <c r="M37" i="21" s="1"/>
  <c r="S9" i="21"/>
  <c r="E39" i="21" s="1"/>
  <c r="M38" i="21" s="1"/>
  <c r="Q11" i="21"/>
  <c r="R12" i="21"/>
  <c r="P12" i="21"/>
  <c r="S12" i="21"/>
  <c r="R14" i="21"/>
  <c r="J14" i="21"/>
  <c r="L14" i="21" s="1"/>
  <c r="P14" i="21"/>
  <c r="S14" i="21"/>
  <c r="R16" i="21"/>
  <c r="P16" i="21"/>
  <c r="K16" i="21"/>
  <c r="J16" i="21"/>
  <c r="S16" i="21"/>
  <c r="O17" i="21"/>
  <c r="Z17" i="21" s="1"/>
  <c r="R18" i="21"/>
  <c r="P18" i="21"/>
  <c r="K18" i="21"/>
  <c r="J18" i="21"/>
  <c r="S18" i="21"/>
  <c r="O19" i="21"/>
  <c r="Z19" i="21" s="1"/>
  <c r="Q20" i="21"/>
  <c r="L20" i="21"/>
  <c r="O20" i="21"/>
  <c r="Z20" i="21" s="1"/>
  <c r="R20" i="21"/>
  <c r="K20" i="21"/>
  <c r="J20" i="21"/>
  <c r="P10" i="21"/>
  <c r="S10" i="21"/>
  <c r="R11" i="21"/>
  <c r="Q13" i="21"/>
  <c r="L16" i="21"/>
  <c r="L18" i="21"/>
  <c r="S22" i="21"/>
  <c r="O22" i="21"/>
  <c r="Z22" i="21" s="1"/>
  <c r="J22" i="21"/>
  <c r="Q22" i="21"/>
  <c r="L22" i="21"/>
  <c r="K22" i="21"/>
  <c r="R22" i="21"/>
  <c r="S13" i="21"/>
  <c r="R15" i="21"/>
  <c r="P15" i="21"/>
  <c r="S15" i="21"/>
  <c r="R17" i="21"/>
  <c r="P17" i="21"/>
  <c r="K17" i="21"/>
  <c r="J17" i="21"/>
  <c r="S17" i="21"/>
  <c r="R19" i="21"/>
  <c r="P19" i="21"/>
  <c r="K19" i="21"/>
  <c r="J19" i="21"/>
  <c r="S19" i="21"/>
  <c r="P11" i="21"/>
  <c r="K11" i="21"/>
  <c r="O11" i="21"/>
  <c r="Z11" i="21" s="1"/>
  <c r="K3" i="21"/>
  <c r="E8" i="21"/>
  <c r="F8" i="21" s="1"/>
  <c r="G8" i="21" s="1"/>
  <c r="H8" i="21" s="1"/>
  <c r="I8" i="21" s="1"/>
  <c r="J8" i="21" s="1"/>
  <c r="L19" i="21"/>
  <c r="J21" i="21"/>
  <c r="P21" i="21"/>
  <c r="Q21" i="21"/>
  <c r="L21" i="21"/>
  <c r="S21" i="21"/>
  <c r="L23" i="21"/>
  <c r="Q23" i="21"/>
  <c r="L24" i="21"/>
  <c r="Q24" i="21"/>
  <c r="L25" i="21"/>
  <c r="Q25" i="21"/>
  <c r="L26" i="21"/>
  <c r="Q26" i="21"/>
  <c r="L27" i="21"/>
  <c r="Q27" i="21"/>
  <c r="L28" i="21"/>
  <c r="Q28" i="21"/>
  <c r="T40" i="21"/>
  <c r="J23" i="21"/>
  <c r="O23" i="21"/>
  <c r="Z23" i="21" s="1"/>
  <c r="J24" i="21"/>
  <c r="O24" i="21"/>
  <c r="Z24" i="21" s="1"/>
  <c r="J25" i="21"/>
  <c r="O25" i="21"/>
  <c r="Z25" i="21" s="1"/>
  <c r="J26" i="21"/>
  <c r="O26" i="21"/>
  <c r="Z26" i="21" s="1"/>
  <c r="J27" i="21"/>
  <c r="O27" i="21"/>
  <c r="Z27" i="21" s="1"/>
  <c r="J28" i="21"/>
  <c r="O28" i="21"/>
  <c r="Z28" i="21" s="1"/>
  <c r="J13" i="21" l="1"/>
  <c r="L13" i="21" s="1"/>
  <c r="J15" i="21"/>
  <c r="L15" i="21" s="1"/>
  <c r="O9" i="21"/>
  <c r="Z9" i="21" s="1"/>
  <c r="O15" i="21"/>
  <c r="Z15" i="21" s="1"/>
  <c r="K14" i="21"/>
  <c r="J12" i="21"/>
  <c r="L12" i="21" s="1"/>
  <c r="J11" i="21"/>
  <c r="L11" i="21" s="1"/>
  <c r="J10" i="21"/>
  <c r="L10" i="21" s="1"/>
  <c r="J9" i="21"/>
  <c r="K10" i="21"/>
  <c r="O14" i="21"/>
  <c r="Z14" i="21" s="1"/>
  <c r="K12" i="21"/>
  <c r="K9" i="21"/>
  <c r="K13" i="21"/>
  <c r="K15" i="21"/>
  <c r="J37" i="21"/>
  <c r="M36" i="21"/>
  <c r="O3" i="21"/>
  <c r="G35" i="21" s="1"/>
  <c r="J35" i="21" s="1"/>
  <c r="Q35" i="21" s="1"/>
  <c r="U35" i="21" s="1"/>
  <c r="Q3" i="21"/>
  <c r="I45" i="21" s="1"/>
  <c r="L45" i="21" s="1"/>
  <c r="Q45" i="21" s="1"/>
  <c r="O10" i="21"/>
  <c r="Z10" i="21" s="1"/>
  <c r="O13" i="21"/>
  <c r="Z13" i="21" s="1"/>
  <c r="O12" i="21"/>
  <c r="Z12" i="21" s="1"/>
  <c r="F3" i="21"/>
  <c r="G3" i="21"/>
  <c r="L3" i="21" l="1"/>
  <c r="I33" i="21"/>
  <c r="H33" i="21"/>
  <c r="G33" i="21"/>
  <c r="M3" i="21"/>
  <c r="N39" i="21" l="1"/>
  <c r="O39" i="21" s="1"/>
  <c r="Q39" i="21" s="1"/>
  <c r="T39" i="21" s="1"/>
  <c r="N36" i="21"/>
  <c r="O36" i="21" s="1"/>
  <c r="Q36" i="21" s="1"/>
  <c r="U36" i="21" s="1"/>
  <c r="N37" i="21"/>
  <c r="O37" i="21" s="1"/>
  <c r="Q37" i="21" s="1"/>
  <c r="T37" i="21" s="1"/>
  <c r="E35" i="21"/>
  <c r="N38" i="21"/>
  <c r="O38" i="21" s="1"/>
  <c r="Q38" i="21" s="1"/>
  <c r="T3" i="21"/>
  <c r="F46" i="21" s="1"/>
  <c r="I34" i="21"/>
  <c r="S3" i="21"/>
  <c r="D46" i="21" s="1"/>
  <c r="R3" i="21"/>
  <c r="C46" i="21" s="1"/>
  <c r="J33" i="21"/>
  <c r="Q33" i="21" s="1"/>
  <c r="T33" i="21" s="1"/>
  <c r="V33" i="21"/>
  <c r="U39" i="21"/>
  <c r="U38" i="21"/>
  <c r="T38" i="21"/>
  <c r="E46" i="21"/>
  <c r="E33" i="21"/>
  <c r="E34" i="21"/>
  <c r="T36" i="21"/>
  <c r="J34" i="21" l="1"/>
  <c r="T41" i="21"/>
  <c r="S41" i="21" s="1"/>
  <c r="U37" i="21"/>
  <c r="G46" i="21"/>
  <c r="C54" i="21"/>
  <c r="U41" i="21"/>
  <c r="E50" i="21" s="1"/>
  <c r="C51" i="21"/>
  <c r="E52" i="21" s="1"/>
  <c r="E54" i="21" s="1"/>
  <c r="C55" i="21"/>
  <c r="C52" i="21"/>
  <c r="F52" i="21" s="1"/>
  <c r="F54" i="21" s="1"/>
  <c r="C53" i="21"/>
  <c r="C57" i="21"/>
  <c r="C58" i="21"/>
  <c r="C56" i="21"/>
  <c r="E41" i="21"/>
  <c r="Q34" i="21" l="1"/>
  <c r="Q41" i="21" s="1"/>
  <c r="AI90" i="23"/>
  <c r="O95" i="23" s="1"/>
  <c r="G54" i="21"/>
  <c r="V34" i="21" l="1"/>
  <c r="V41" i="21" s="1"/>
  <c r="F50" i="21" s="1"/>
  <c r="G50" i="21" s="1"/>
  <c r="E51" i="21" l="1"/>
  <c r="G51" i="21" s="1"/>
  <c r="E55" i="21" s="1"/>
  <c r="E56" i="21" s="1"/>
  <c r="C45" i="21" s="1"/>
  <c r="G45" i="21" s="1"/>
  <c r="H45" i="21" s="1"/>
  <c r="R45" i="21" s="1"/>
  <c r="U3" i="21" s="1"/>
  <c r="J45" i="21" l="1"/>
  <c r="K45" i="21" s="1"/>
  <c r="M45" i="21" s="1"/>
  <c r="Y27" i="21" s="1"/>
  <c r="Y26" i="21" l="1"/>
  <c r="X11" i="21"/>
  <c r="X18" i="21"/>
  <c r="Y13" i="21"/>
  <c r="Y12" i="21"/>
  <c r="X22" i="21"/>
  <c r="X24" i="21"/>
  <c r="X23" i="21"/>
  <c r="Y10" i="21"/>
  <c r="Y25" i="21"/>
  <c r="Y28" i="21"/>
  <c r="X21" i="21"/>
  <c r="X16" i="21"/>
  <c r="X9" i="21"/>
  <c r="X19" i="21"/>
  <c r="X10" i="21"/>
  <c r="Y23" i="21"/>
  <c r="X25" i="21"/>
  <c r="Y17" i="21"/>
  <c r="X17" i="21"/>
  <c r="Y20" i="21"/>
  <c r="X14" i="21"/>
  <c r="N45" i="21"/>
  <c r="X13" i="21"/>
  <c r="Y9" i="21"/>
  <c r="Y21" i="21"/>
  <c r="Y14" i="21"/>
  <c r="X15" i="21"/>
  <c r="X27" i="21"/>
  <c r="Y15" i="21"/>
  <c r="X26" i="21"/>
  <c r="P45" i="21"/>
  <c r="Y22" i="21"/>
  <c r="X12" i="21"/>
  <c r="X20" i="21"/>
  <c r="X28" i="21"/>
  <c r="Y18" i="21"/>
  <c r="Y16" i="21"/>
  <c r="Y24" i="21"/>
  <c r="Y11" i="21"/>
  <c r="AC11" i="21" s="1"/>
  <c r="Y19" i="21"/>
  <c r="N3" i="21"/>
  <c r="S45" i="21" l="1"/>
  <c r="AC28" i="21"/>
  <c r="AC12" i="21"/>
  <c r="AB12" i="21"/>
  <c r="AA21" i="21"/>
  <c r="AC25" i="21"/>
  <c r="AB20" i="21"/>
  <c r="AB28" i="21"/>
  <c r="AA23" i="21"/>
  <c r="AB13" i="21"/>
  <c r="AA15" i="21"/>
  <c r="AB17" i="21"/>
  <c r="AB23" i="21"/>
  <c r="AC21" i="21"/>
  <c r="AB16" i="21"/>
  <c r="AA22" i="21"/>
  <c r="AB10" i="21"/>
  <c r="AB11" i="21"/>
  <c r="AC10" i="21"/>
  <c r="AA12" i="21"/>
  <c r="AA19" i="21"/>
  <c r="AB27" i="21"/>
  <c r="AB19" i="21"/>
  <c r="AB25" i="21"/>
  <c r="AA16" i="21"/>
  <c r="AC26" i="21"/>
  <c r="AC19" i="21"/>
  <c r="AC22" i="21"/>
  <c r="AC9" i="21"/>
  <c r="AC20" i="21"/>
  <c r="AC23" i="21"/>
  <c r="AB9" i="21"/>
  <c r="AB21" i="21"/>
  <c r="AA20" i="21"/>
  <c r="AA25" i="21"/>
  <c r="AA11" i="21"/>
  <c r="AB15" i="21"/>
  <c r="AC17" i="21"/>
  <c r="AC24" i="21"/>
  <c r="AC14" i="21"/>
  <c r="AA18" i="21"/>
  <c r="AA26" i="21"/>
  <c r="AA24" i="21"/>
  <c r="AA13" i="21"/>
  <c r="AA14" i="21"/>
  <c r="AC27" i="21"/>
  <c r="AC16" i="21"/>
  <c r="AC18" i="21"/>
  <c r="AA9" i="21"/>
  <c r="AA17" i="21"/>
  <c r="AB26" i="21"/>
  <c r="AB24" i="21"/>
  <c r="AB18" i="21"/>
  <c r="AB22" i="21"/>
  <c r="AA28" i="21"/>
  <c r="AA27" i="21"/>
  <c r="AA10" i="21"/>
  <c r="AB14" i="21"/>
  <c r="AC13" i="21"/>
  <c r="AC15" i="21"/>
  <c r="AD8" i="21" l="1"/>
  <c r="V3" i="21" s="1"/>
  <c r="AE10" i="21"/>
  <c r="AE12" i="21"/>
  <c r="AE16" i="21"/>
  <c r="AE20" i="21"/>
  <c r="AE24" i="21"/>
  <c r="AE28" i="21"/>
  <c r="AE13" i="21"/>
  <c r="AE17" i="21"/>
  <c r="AE21" i="21"/>
  <c r="AE25" i="21"/>
  <c r="AE14" i="21"/>
  <c r="AE18" i="21"/>
  <c r="AE22" i="21"/>
  <c r="AE26" i="21"/>
  <c r="AE11" i="21"/>
  <c r="AE15" i="21"/>
  <c r="AE19" i="21"/>
  <c r="AE23" i="21"/>
  <c r="AE27" i="21"/>
  <c r="T45" i="21"/>
  <c r="AE9" i="21"/>
  <c r="A4" i="31" l="1"/>
  <c r="F9" i="31"/>
  <c r="F8" i="31"/>
  <c r="F7" i="31"/>
  <c r="F6" i="31"/>
  <c r="O180" i="23" l="1"/>
  <c r="O181" i="23" s="1"/>
  <c r="T181" i="23" s="1"/>
  <c r="O186" i="23" s="1"/>
  <c r="N166" i="23"/>
  <c r="S166" i="23" s="1"/>
  <c r="S171" i="23" s="1"/>
  <c r="AM65" i="23"/>
  <c r="M65" i="23"/>
  <c r="AP64" i="23"/>
  <c r="AO204" i="23" s="1"/>
  <c r="AM64" i="23"/>
  <c r="AA64" i="23"/>
  <c r="N184" i="23" s="1"/>
  <c r="L186" i="23" s="1"/>
  <c r="V64" i="23"/>
  <c r="I183" i="23" s="1"/>
  <c r="S64" i="23"/>
  <c r="M64" i="23"/>
  <c r="N179" i="23" s="1"/>
  <c r="H64" i="23"/>
  <c r="I179" i="23" s="1"/>
  <c r="AP63" i="23"/>
  <c r="AJ204" i="23" s="1"/>
  <c r="AM63" i="23"/>
  <c r="AE63" i="23"/>
  <c r="V63" i="23"/>
  <c r="I168" i="23" s="1"/>
  <c r="S63" i="23"/>
  <c r="M63" i="23"/>
  <c r="N165" i="23" s="1"/>
  <c r="AP62" i="23"/>
  <c r="AE204" i="23" s="1"/>
  <c r="AM62" i="23"/>
  <c r="AE62" i="23"/>
  <c r="V62" i="23"/>
  <c r="I152" i="23" s="1"/>
  <c r="S62" i="23"/>
  <c r="O62" i="23"/>
  <c r="M62" i="23"/>
  <c r="H62" i="23"/>
  <c r="H147" i="23" s="1"/>
  <c r="AP61" i="23"/>
  <c r="Z204" i="23" s="1"/>
  <c r="AM61" i="23"/>
  <c r="AE61" i="23"/>
  <c r="V61" i="23"/>
  <c r="I138" i="23" s="1"/>
  <c r="S61" i="23"/>
  <c r="M61" i="23"/>
  <c r="N135" i="23" s="1"/>
  <c r="H61" i="23"/>
  <c r="I135" i="23" s="1"/>
  <c r="AP60" i="23"/>
  <c r="U204" i="23" s="1"/>
  <c r="AM60" i="23"/>
  <c r="AE60" i="23"/>
  <c r="V60" i="23"/>
  <c r="I122" i="23" s="1"/>
  <c r="S60" i="23"/>
  <c r="O60" i="23"/>
  <c r="M60" i="23"/>
  <c r="H60" i="23"/>
  <c r="R139" i="23" s="1"/>
  <c r="AP59" i="23"/>
  <c r="P204" i="23" s="1"/>
  <c r="AM59" i="23"/>
  <c r="AA59" i="23"/>
  <c r="N106" i="23" s="1"/>
  <c r="L108" i="23" s="1"/>
  <c r="V59" i="23"/>
  <c r="I105" i="23" s="1"/>
  <c r="S59" i="23"/>
  <c r="M59" i="23"/>
  <c r="N101" i="23" s="1"/>
  <c r="AP58" i="23"/>
  <c r="K204" i="23" s="1"/>
  <c r="AM58" i="23"/>
  <c r="AA58" i="23"/>
  <c r="N93" i="23" s="1"/>
  <c r="L95" i="23" s="1"/>
  <c r="V58" i="23"/>
  <c r="I92" i="23" s="1"/>
  <c r="S58" i="23"/>
  <c r="M58" i="23"/>
  <c r="N86" i="23" s="1"/>
  <c r="AP57" i="23"/>
  <c r="F204" i="23" s="1"/>
  <c r="AM57" i="23"/>
  <c r="AA57" i="23"/>
  <c r="N79" i="23" s="1"/>
  <c r="L81" i="23" s="1"/>
  <c r="V57" i="23"/>
  <c r="I78" i="23" s="1"/>
  <c r="S57" i="23"/>
  <c r="R81" i="23" s="1"/>
  <c r="Y81" i="23" s="1"/>
  <c r="M57" i="23"/>
  <c r="N71" i="23" s="1"/>
  <c r="W181" i="23"/>
  <c r="R186" i="23" s="1"/>
  <c r="C146" i="23"/>
  <c r="C113" i="23"/>
  <c r="V103" i="23"/>
  <c r="AB103" i="23" s="1"/>
  <c r="R108" i="23" s="1"/>
  <c r="Y108" i="23" s="1"/>
  <c r="C99" i="23"/>
  <c r="B98" i="23"/>
  <c r="Y95" i="23"/>
  <c r="C85" i="23"/>
  <c r="B84" i="23"/>
  <c r="Z76" i="23"/>
  <c r="T76" i="23"/>
  <c r="Z73" i="23"/>
  <c r="T73" i="23"/>
  <c r="B68" i="23"/>
  <c r="G43" i="23"/>
  <c r="G42" i="23"/>
  <c r="G41" i="23"/>
  <c r="G40" i="23"/>
  <c r="G37" i="23"/>
  <c r="G36" i="23"/>
  <c r="G35" i="23"/>
  <c r="G10" i="23"/>
  <c r="L10" i="23" s="1"/>
  <c r="Q10" i="23" s="1"/>
  <c r="V10" i="23" s="1"/>
  <c r="AA10" i="23" s="1"/>
  <c r="G8" i="23"/>
  <c r="AU29" i="23"/>
  <c r="AF26" i="23"/>
  <c r="B25" i="23"/>
  <c r="AF22" i="23"/>
  <c r="AP13" i="23"/>
  <c r="B5" i="23"/>
  <c r="O64" i="23"/>
  <c r="O63" i="23"/>
  <c r="AU30" i="23"/>
  <c r="AU27" i="23"/>
  <c r="Y186" i="23" l="1"/>
  <c r="C163" i="23"/>
  <c r="H114" i="23"/>
  <c r="AH64" i="23"/>
  <c r="AO203" i="23" s="1"/>
  <c r="AU25" i="23"/>
  <c r="AK30" i="23"/>
  <c r="AU22" i="23"/>
  <c r="AU26" i="23"/>
  <c r="AF30" i="23"/>
  <c r="AK24" i="23"/>
  <c r="AF29" i="23"/>
  <c r="AP21" i="23"/>
  <c r="AP28" i="23"/>
  <c r="Q26" i="23"/>
  <c r="AK27" i="23"/>
  <c r="Q20" i="23"/>
  <c r="B23" i="23"/>
  <c r="AF27" i="23"/>
  <c r="AP12" i="23"/>
  <c r="B21" i="23"/>
  <c r="AA22" i="23"/>
  <c r="A20" i="31"/>
  <c r="D18" i="3"/>
  <c r="G18" i="3"/>
  <c r="C18" i="3"/>
  <c r="F18" i="3"/>
  <c r="E18" i="3"/>
  <c r="A24" i="31"/>
  <c r="D22" i="3"/>
  <c r="G22" i="3"/>
  <c r="C22" i="3"/>
  <c r="E22" i="3"/>
  <c r="F22" i="3"/>
  <c r="V21" i="23"/>
  <c r="A27" i="31"/>
  <c r="E25" i="3"/>
  <c r="D25" i="3"/>
  <c r="C25" i="3"/>
  <c r="F25" i="3"/>
  <c r="G25" i="3"/>
  <c r="A30" i="31"/>
  <c r="F28" i="3"/>
  <c r="E28" i="3"/>
  <c r="G28" i="3"/>
  <c r="C28" i="3"/>
  <c r="D28" i="3"/>
  <c r="A36" i="31"/>
  <c r="D34" i="3"/>
  <c r="G34" i="3"/>
  <c r="C34" i="3"/>
  <c r="F34" i="3"/>
  <c r="E34" i="3"/>
  <c r="V186" i="23"/>
  <c r="D177" i="23"/>
  <c r="V18" i="23"/>
  <c r="L23" i="23"/>
  <c r="A29" i="31"/>
  <c r="G27" i="3"/>
  <c r="C27" i="3"/>
  <c r="F27" i="3"/>
  <c r="E27" i="3"/>
  <c r="D27" i="3"/>
  <c r="A31" i="31"/>
  <c r="E29" i="3"/>
  <c r="G29" i="3"/>
  <c r="D29" i="3"/>
  <c r="C29" i="3"/>
  <c r="F29" i="3"/>
  <c r="A34" i="31"/>
  <c r="F32" i="3"/>
  <c r="E32" i="3"/>
  <c r="D32" i="3"/>
  <c r="G32" i="3"/>
  <c r="C32" i="3"/>
  <c r="A17" i="31"/>
  <c r="G15" i="3"/>
  <c r="C15" i="3"/>
  <c r="F15" i="3"/>
  <c r="D15" i="3"/>
  <c r="E15" i="3"/>
  <c r="A19" i="31"/>
  <c r="E17" i="3"/>
  <c r="C17" i="3"/>
  <c r="D17" i="3"/>
  <c r="F17" i="3"/>
  <c r="G17" i="3"/>
  <c r="A21" i="31"/>
  <c r="G19" i="3"/>
  <c r="C19" i="3"/>
  <c r="F19" i="3"/>
  <c r="E19" i="3"/>
  <c r="D19" i="3"/>
  <c r="A23" i="31"/>
  <c r="E21" i="3"/>
  <c r="C21" i="3"/>
  <c r="D21" i="3"/>
  <c r="G21" i="3"/>
  <c r="F21" i="3"/>
  <c r="L19" i="23"/>
  <c r="A25" i="31"/>
  <c r="G23" i="3"/>
  <c r="C23" i="3"/>
  <c r="E23" i="3"/>
  <c r="F23" i="3"/>
  <c r="D23" i="3"/>
  <c r="A28" i="31"/>
  <c r="D26" i="3"/>
  <c r="F26" i="3"/>
  <c r="G26" i="3"/>
  <c r="C26" i="3"/>
  <c r="E26" i="3"/>
  <c r="A33" i="31"/>
  <c r="G31" i="3"/>
  <c r="C31" i="3"/>
  <c r="F31" i="3"/>
  <c r="D31" i="3"/>
  <c r="E31" i="3"/>
  <c r="A35" i="31"/>
  <c r="E33" i="3"/>
  <c r="C33" i="3"/>
  <c r="D33" i="3"/>
  <c r="G33" i="3"/>
  <c r="F33" i="3"/>
  <c r="Q21" i="23"/>
  <c r="AA28" i="23"/>
  <c r="A18" i="31"/>
  <c r="F16" i="3"/>
  <c r="E16" i="3"/>
  <c r="D16" i="3"/>
  <c r="G16" i="3"/>
  <c r="C16" i="3"/>
  <c r="B13" i="23"/>
  <c r="A22" i="31"/>
  <c r="F20" i="3"/>
  <c r="E20" i="3"/>
  <c r="G20" i="3"/>
  <c r="C20" i="3"/>
  <c r="D20" i="3"/>
  <c r="B17" i="23"/>
  <c r="A26" i="31"/>
  <c r="F24" i="3"/>
  <c r="E24" i="3"/>
  <c r="D24" i="3"/>
  <c r="G24" i="3"/>
  <c r="C24" i="3"/>
  <c r="A32" i="31"/>
  <c r="D30" i="3"/>
  <c r="G30" i="3"/>
  <c r="C30" i="3"/>
  <c r="F30" i="3"/>
  <c r="E30" i="3"/>
  <c r="B29" i="23"/>
  <c r="G18" i="23"/>
  <c r="G22" i="23"/>
  <c r="L29" i="23"/>
  <c r="AK23" i="23"/>
  <c r="Q18" i="23"/>
  <c r="L18" i="23"/>
  <c r="AA20" i="23"/>
  <c r="G20" i="23"/>
  <c r="V20" i="23"/>
  <c r="V22" i="23"/>
  <c r="Q22" i="23"/>
  <c r="L22" i="23"/>
  <c r="L24" i="23"/>
  <c r="AA24" i="23"/>
  <c r="G24" i="23"/>
  <c r="V24" i="23"/>
  <c r="AA26" i="23"/>
  <c r="G26" i="23"/>
  <c r="V26" i="23"/>
  <c r="L26" i="23"/>
  <c r="Q28" i="23"/>
  <c r="L28" i="23"/>
  <c r="V28" i="23"/>
  <c r="G28" i="23"/>
  <c r="AA30" i="23"/>
  <c r="G30" i="23"/>
  <c r="V30" i="23"/>
  <c r="Q30" i="23"/>
  <c r="L30" i="23"/>
  <c r="AA18" i="23"/>
  <c r="Q24" i="23"/>
  <c r="O61" i="23"/>
  <c r="N136" i="23"/>
  <c r="S136" i="23" s="1"/>
  <c r="S141" i="23" s="1"/>
  <c r="Y103" i="23"/>
  <c r="O108" i="23" s="1"/>
  <c r="V108" i="23" s="1"/>
  <c r="V19" i="23"/>
  <c r="Q19" i="23"/>
  <c r="G19" i="23"/>
  <c r="AU23" i="23"/>
  <c r="AF23" i="23"/>
  <c r="B12" i="23"/>
  <c r="B16" i="23"/>
  <c r="L21" i="23"/>
  <c r="AA21" i="23"/>
  <c r="G21" i="23"/>
  <c r="V25" i="23"/>
  <c r="Q25" i="23"/>
  <c r="AA25" i="23"/>
  <c r="L25" i="23"/>
  <c r="G25" i="23"/>
  <c r="L27" i="23"/>
  <c r="AA27" i="23"/>
  <c r="G27" i="23"/>
  <c r="V27" i="23"/>
  <c r="Q27" i="23"/>
  <c r="V29" i="23"/>
  <c r="Q29" i="23"/>
  <c r="G29" i="23"/>
  <c r="AA29" i="23"/>
  <c r="AA19" i="23"/>
  <c r="L20" i="23"/>
  <c r="R123" i="23"/>
  <c r="AA23" i="23"/>
  <c r="G23" i="23"/>
  <c r="V23" i="23"/>
  <c r="Q23" i="23"/>
  <c r="H63" i="23"/>
  <c r="B11" i="23"/>
  <c r="B15" i="23"/>
  <c r="B19" i="23"/>
  <c r="B20" i="23"/>
  <c r="B28" i="23"/>
  <c r="B14" i="23"/>
  <c r="B18" i="23"/>
  <c r="B22" i="23"/>
  <c r="B24" i="23"/>
  <c r="B27" i="23"/>
  <c r="B26" i="23"/>
  <c r="B30" i="23"/>
  <c r="AF13" i="23"/>
  <c r="AK13" i="23"/>
  <c r="AF17" i="23"/>
  <c r="H5" i="23"/>
  <c r="AA14" i="23" s="1"/>
  <c r="AF12" i="23"/>
  <c r="AP17" i="23"/>
  <c r="AU21" i="23"/>
  <c r="AF21" i="23"/>
  <c r="AK21" i="23"/>
  <c r="AF14" i="23"/>
  <c r="AP14" i="23"/>
  <c r="AF18" i="23"/>
  <c r="AP18" i="23"/>
  <c r="AP22" i="23"/>
  <c r="AK25" i="23"/>
  <c r="AP26" i="23"/>
  <c r="AP25" i="23"/>
  <c r="AF28" i="23"/>
  <c r="AK11" i="23"/>
  <c r="AF11" i="23"/>
  <c r="AP11" i="23"/>
  <c r="AK14" i="23"/>
  <c r="AK15" i="23"/>
  <c r="AF15" i="23"/>
  <c r="AP15" i="23"/>
  <c r="AK18" i="23"/>
  <c r="AK19" i="23"/>
  <c r="AF19" i="23"/>
  <c r="AP19" i="23"/>
  <c r="AK20" i="23"/>
  <c r="AK22" i="23"/>
  <c r="AP23" i="23"/>
  <c r="AF24" i="23"/>
  <c r="AU24" i="23"/>
  <c r="AK26" i="23"/>
  <c r="AP27" i="23"/>
  <c r="AF16" i="23"/>
  <c r="AP16" i="23"/>
  <c r="AF20" i="23"/>
  <c r="AP20" i="23"/>
  <c r="AP24" i="23"/>
  <c r="AF25" i="23"/>
  <c r="AK28" i="23"/>
  <c r="AU28" i="23"/>
  <c r="AP29" i="23"/>
  <c r="AK29" i="23"/>
  <c r="AP30" i="23"/>
  <c r="S169" i="23"/>
  <c r="V193" i="23" l="1"/>
  <c r="G12" i="23"/>
  <c r="AA15" i="23"/>
  <c r="AA16" i="23"/>
  <c r="V13" i="23"/>
  <c r="Q13" i="23"/>
  <c r="L12" i="23"/>
  <c r="V11" i="23"/>
  <c r="Q16" i="23"/>
  <c r="Q17" i="23"/>
  <c r="AA11" i="23"/>
  <c r="G17" i="23"/>
  <c r="G13" i="23"/>
  <c r="G14" i="23"/>
  <c r="L14" i="23"/>
  <c r="AA12" i="23"/>
  <c r="G11" i="23"/>
  <c r="L16" i="23"/>
  <c r="G15" i="23"/>
  <c r="AA13" i="23"/>
  <c r="Q14" i="23"/>
  <c r="Q12" i="23"/>
  <c r="L15" i="23"/>
  <c r="AA17" i="23"/>
  <c r="V16" i="23"/>
  <c r="Q15" i="23"/>
  <c r="V14" i="23"/>
  <c r="L17" i="23"/>
  <c r="L13" i="23"/>
  <c r="Q11" i="23"/>
  <c r="G16" i="23"/>
  <c r="V12" i="23"/>
  <c r="V15" i="23"/>
  <c r="V17" i="23"/>
  <c r="L11" i="23"/>
  <c r="C133" i="23"/>
  <c r="S153" i="23"/>
  <c r="I165" i="23"/>
  <c r="AU17" i="23"/>
  <c r="AU14" i="23"/>
  <c r="AU13" i="23"/>
  <c r="AU12" i="23"/>
  <c r="AU15" i="23"/>
  <c r="AU18" i="23"/>
  <c r="AK17" i="23"/>
  <c r="AU11" i="23"/>
  <c r="AK16" i="23"/>
  <c r="AU20" i="23"/>
  <c r="P102" i="23" l="1"/>
  <c r="AK12" i="23"/>
  <c r="Q72" i="23"/>
  <c r="Q73" i="23" s="1"/>
  <c r="W73" i="23" s="1"/>
  <c r="AU19" i="23"/>
  <c r="AU16" i="23"/>
  <c r="Q76" i="23" l="1"/>
  <c r="W76" i="23" s="1"/>
  <c r="V123" i="23"/>
  <c r="AB123" i="23" s="1"/>
  <c r="L125" i="23" s="1"/>
  <c r="AA125" i="23" s="1"/>
  <c r="O59" i="23"/>
  <c r="AA169" i="23"/>
  <c r="AG169" i="23" s="1"/>
  <c r="L171" i="23" s="1"/>
  <c r="Y171" i="23" s="1"/>
  <c r="W153" i="23"/>
  <c r="AC153" i="23" s="1"/>
  <c r="L155" i="23" s="1"/>
  <c r="AA155" i="23" s="1"/>
  <c r="Z139" i="23"/>
  <c r="AF139" i="23" s="1"/>
  <c r="L141" i="23" s="1"/>
  <c r="Y141" i="23" s="1"/>
  <c r="A48" i="13"/>
  <c r="H59" i="23"/>
  <c r="H57" i="23"/>
  <c r="H58" i="23"/>
  <c r="AA63" i="23" l="1"/>
  <c r="O57" i="23"/>
  <c r="O81" i="23" s="1"/>
  <c r="V81" i="23" s="1"/>
  <c r="AA61" i="23"/>
  <c r="AH57" i="23"/>
  <c r="AH59" i="23"/>
  <c r="AA62" i="23"/>
  <c r="AA60" i="23"/>
  <c r="AH63" i="23"/>
  <c r="H65" i="23"/>
  <c r="AH60" i="23" l="1"/>
  <c r="P203" i="23"/>
  <c r="T192" i="23"/>
  <c r="AH62" i="23"/>
  <c r="F192" i="23"/>
  <c r="F203" i="23"/>
  <c r="AH61" i="23"/>
  <c r="AJ203" i="23"/>
  <c r="O193" i="23"/>
  <c r="O58" i="23"/>
  <c r="AH58" i="23" l="1"/>
  <c r="H193" i="23"/>
  <c r="AE203" i="23"/>
  <c r="U203" i="23"/>
  <c r="AA192" i="23"/>
  <c r="AH192" i="23"/>
  <c r="Z203" i="23"/>
  <c r="AP65" i="23" l="1"/>
  <c r="AH65" i="23"/>
  <c r="E202" i="23" s="1"/>
  <c r="G38" i="31" l="1"/>
  <c r="F39" i="24"/>
  <c r="F39" i="11"/>
  <c r="F40" i="24"/>
  <c r="G39" i="24" l="1"/>
  <c r="H38" i="31"/>
  <c r="G39" i="11"/>
  <c r="I217" i="23"/>
  <c r="C43" i="13" l="1"/>
  <c r="L28" i="31" l="1"/>
  <c r="H33" i="31" l="1"/>
  <c r="F23" i="31"/>
  <c r="H22" i="31"/>
  <c r="K17" i="31"/>
  <c r="L34" i="31"/>
  <c r="L21" i="31"/>
  <c r="Q29" i="31"/>
  <c r="K31" i="31"/>
  <c r="K19" i="31"/>
  <c r="H26" i="31"/>
  <c r="L36" i="31"/>
  <c r="Q35" i="31"/>
  <c r="K23" i="31"/>
  <c r="F19" i="31"/>
  <c r="F33" i="31"/>
  <c r="J26" i="31"/>
  <c r="K33" i="31"/>
  <c r="J30" i="31"/>
  <c r="F32" i="31"/>
  <c r="K25" i="31"/>
  <c r="L20" i="31"/>
  <c r="Q28" i="31"/>
  <c r="F26" i="31"/>
  <c r="J33" i="31"/>
  <c r="K34" i="31"/>
  <c r="H30" i="31"/>
  <c r="H25" i="31"/>
  <c r="H32" i="31"/>
  <c r="Q22" i="31"/>
  <c r="F24" i="31"/>
  <c r="Q23" i="31"/>
  <c r="Q19" i="31"/>
  <c r="Q24" i="31"/>
  <c r="H34" i="31"/>
  <c r="Q32" i="31"/>
  <c r="Q21" i="31"/>
  <c r="Q33" i="31"/>
  <c r="Q18" i="31"/>
  <c r="Q36" i="31"/>
  <c r="F22" i="31"/>
  <c r="F36" i="31"/>
  <c r="K32" i="31"/>
  <c r="J24" i="31"/>
  <c r="F30" i="31"/>
  <c r="H36" i="31"/>
  <c r="K21" i="31"/>
  <c r="J21" i="31"/>
  <c r="K36" i="31"/>
  <c r="K30" i="31"/>
  <c r="J23" i="31"/>
  <c r="L30" i="31"/>
  <c r="L18" i="31"/>
  <c r="Q25" i="31"/>
  <c r="Q34" i="31"/>
  <c r="F29" i="31"/>
  <c r="Q30" i="31"/>
  <c r="Q26" i="31"/>
  <c r="Q27" i="31"/>
  <c r="Q20" i="31"/>
  <c r="F38" i="11"/>
  <c r="K24" i="31"/>
  <c r="K20" i="31"/>
  <c r="J35" i="31"/>
  <c r="J32" i="31"/>
  <c r="F17" i="31"/>
  <c r="K18" i="31"/>
  <c r="K29" i="31"/>
  <c r="J20" i="31"/>
  <c r="F35" i="31"/>
  <c r="Q17" i="31"/>
  <c r="J27" i="31"/>
  <c r="F34" i="31"/>
  <c r="F27" i="31"/>
  <c r="K22" i="31"/>
  <c r="H24" i="31"/>
  <c r="J36" i="31"/>
  <c r="H17" i="31"/>
  <c r="Q31" i="31"/>
  <c r="J22" i="31"/>
  <c r="K27" i="31"/>
  <c r="J18" i="31"/>
  <c r="J29" i="31"/>
  <c r="K35" i="31"/>
  <c r="J17" i="31"/>
  <c r="F25" i="31"/>
  <c r="L32" i="31"/>
  <c r="F18" i="31"/>
  <c r="J34" i="31"/>
  <c r="J31" i="31"/>
  <c r="J25" i="31"/>
  <c r="J28" i="31"/>
  <c r="J19" i="31"/>
  <c r="H35" i="31"/>
  <c r="L25" i="31"/>
  <c r="L24" i="31"/>
  <c r="H31" i="31"/>
  <c r="L26" i="31"/>
  <c r="L19" i="31"/>
  <c r="H21" i="31"/>
  <c r="L29" i="31"/>
  <c r="K26" i="31"/>
  <c r="F31" i="31"/>
  <c r="F21" i="31"/>
  <c r="K28" i="31"/>
  <c r="H23" i="31"/>
  <c r="H27" i="31"/>
  <c r="L31" i="31"/>
  <c r="L35" i="31"/>
  <c r="L33" i="31"/>
  <c r="L22" i="31"/>
  <c r="H28" i="31"/>
  <c r="L23" i="31"/>
  <c r="H19" i="31"/>
  <c r="F28" i="31"/>
  <c r="F20" i="31"/>
  <c r="L17" i="31"/>
  <c r="L27" i="31"/>
  <c r="H18" i="31"/>
  <c r="H20" i="31"/>
  <c r="H29" i="31"/>
  <c r="F12" i="31"/>
  <c r="C12" i="3"/>
  <c r="H4" i="3"/>
  <c r="E4" i="3"/>
  <c r="C4" i="3"/>
  <c r="H3" i="3"/>
  <c r="E3" i="3"/>
  <c r="C3" i="3"/>
  <c r="F38" i="24" l="1"/>
  <c r="A50" i="13"/>
  <c r="B27" i="3"/>
  <c r="B25" i="3"/>
  <c r="B23" i="3"/>
  <c r="B21" i="3"/>
  <c r="B19" i="3"/>
  <c r="B17" i="3"/>
  <c r="B15" i="3"/>
  <c r="E8" i="3"/>
  <c r="B14" i="3" s="1"/>
  <c r="D8" i="3"/>
  <c r="B16" i="3" l="1"/>
  <c r="B18" i="3"/>
  <c r="B20" i="3"/>
  <c r="B22" i="3"/>
  <c r="B24" i="3"/>
  <c r="B26" i="3"/>
  <c r="B28" i="3"/>
  <c r="C14" i="3"/>
  <c r="D14" i="3" s="1"/>
  <c r="E14" i="3" s="1"/>
  <c r="F14" i="3" s="1"/>
  <c r="G14" i="3" s="1"/>
  <c r="B31" i="3"/>
  <c r="B34" i="3"/>
  <c r="B32" i="3"/>
  <c r="B30" i="3"/>
  <c r="B29" i="3"/>
  <c r="B33" i="3"/>
  <c r="C8" i="3" l="1"/>
  <c r="B8" i="3"/>
  <c r="A14" i="30" l="1"/>
  <c r="A22" i="24"/>
  <c r="A22" i="11"/>
  <c r="A22" i="30"/>
  <c r="A30" i="24"/>
  <c r="A30" i="11"/>
  <c r="A11" i="30"/>
  <c r="A19" i="24"/>
  <c r="A19" i="11"/>
  <c r="A27" i="24"/>
  <c r="A19" i="30"/>
  <c r="A27" i="11"/>
  <c r="A24" i="24"/>
  <c r="A16" i="30"/>
  <c r="A24" i="11"/>
  <c r="A20" i="30"/>
  <c r="A28" i="24"/>
  <c r="A28" i="11"/>
  <c r="A32" i="24"/>
  <c r="A24" i="30"/>
  <c r="A32" i="11"/>
  <c r="A36" i="24"/>
  <c r="A28" i="30"/>
  <c r="A36" i="11"/>
  <c r="A10" i="30"/>
  <c r="A18" i="24"/>
  <c r="A18" i="11"/>
  <c r="A18" i="30"/>
  <c r="A26" i="24"/>
  <c r="A26" i="11"/>
  <c r="A26" i="30"/>
  <c r="A34" i="24"/>
  <c r="A34" i="11"/>
  <c r="A15" i="30"/>
  <c r="A23" i="24"/>
  <c r="A23" i="11"/>
  <c r="A23" i="30"/>
  <c r="A31" i="24"/>
  <c r="A31" i="11"/>
  <c r="A27" i="30"/>
  <c r="A35" i="24"/>
  <c r="A35" i="11"/>
  <c r="A20" i="24"/>
  <c r="A12" i="30"/>
  <c r="A20" i="11"/>
  <c r="A17" i="24"/>
  <c r="A9" i="30"/>
  <c r="A17" i="11"/>
  <c r="A13" i="30"/>
  <c r="A21" i="24"/>
  <c r="A21" i="11"/>
  <c r="A25" i="24"/>
  <c r="A17" i="30"/>
  <c r="A25" i="11"/>
  <c r="A21" i="30"/>
  <c r="A29" i="24"/>
  <c r="A29" i="11"/>
  <c r="A33" i="24"/>
  <c r="A25" i="30"/>
  <c r="A33" i="11"/>
  <c r="H23" i="30" l="1"/>
  <c r="H28" i="30"/>
  <c r="F12" i="11"/>
  <c r="F12" i="24" l="1"/>
  <c r="H10" i="30"/>
  <c r="H18" i="30"/>
  <c r="H9" i="30"/>
  <c r="H24" i="30"/>
  <c r="G11" i="30"/>
  <c r="G12" i="30"/>
  <c r="G15" i="30"/>
  <c r="G20" i="30"/>
  <c r="G23" i="30"/>
  <c r="G18" i="30"/>
  <c r="G25" i="30"/>
  <c r="G10" i="30"/>
  <c r="G16" i="30"/>
  <c r="G27" i="30"/>
  <c r="G26" i="30"/>
  <c r="G9" i="30"/>
  <c r="G14" i="30"/>
  <c r="G17" i="30"/>
  <c r="G24" i="30"/>
  <c r="G13" i="30"/>
  <c r="G19" i="30"/>
  <c r="G21" i="30"/>
  <c r="G22" i="30"/>
  <c r="G28" i="30"/>
  <c r="F18" i="30"/>
  <c r="F13" i="30"/>
  <c r="F9" i="30"/>
  <c r="F12" i="30"/>
  <c r="F10" i="30"/>
  <c r="H19" i="30"/>
  <c r="H20" i="30"/>
  <c r="H22" i="30"/>
  <c r="H21" i="30"/>
  <c r="H27" i="30"/>
  <c r="F16" i="30"/>
  <c r="F14" i="30"/>
  <c r="F17" i="30"/>
  <c r="F11" i="30"/>
  <c r="F15" i="30"/>
  <c r="H26" i="30"/>
  <c r="H25" i="30"/>
  <c r="E13" i="30"/>
  <c r="E21" i="30"/>
  <c r="F25" i="30"/>
  <c r="F24" i="30"/>
  <c r="E15" i="30"/>
  <c r="E16" i="30"/>
  <c r="E11" i="30"/>
  <c r="F20" i="30"/>
  <c r="F21" i="30"/>
  <c r="E25" i="30"/>
  <c r="F26" i="30"/>
  <c r="E12" i="30"/>
  <c r="E17" i="30"/>
  <c r="E24" i="30"/>
  <c r="E20" i="30"/>
  <c r="E18" i="30"/>
  <c r="F27" i="30"/>
  <c r="E27" i="30"/>
  <c r="E23" i="30"/>
  <c r="F28" i="30"/>
  <c r="E22" i="30"/>
  <c r="E14" i="30"/>
  <c r="E26" i="30"/>
  <c r="E28" i="30"/>
  <c r="E10" i="30"/>
  <c r="F23" i="30"/>
  <c r="F19" i="30"/>
  <c r="E9" i="30"/>
  <c r="E19" i="30"/>
  <c r="F22" i="30"/>
  <c r="F34" i="11" l="1"/>
  <c r="F34" i="24"/>
  <c r="G35" i="11"/>
  <c r="G35" i="24"/>
  <c r="F17" i="11"/>
  <c r="F17" i="24"/>
  <c r="F18" i="11"/>
  <c r="F18" i="24"/>
  <c r="G28" i="11"/>
  <c r="G28" i="24"/>
  <c r="G34" i="11"/>
  <c r="G34" i="24"/>
  <c r="F35" i="11"/>
  <c r="F35" i="24"/>
  <c r="F26" i="11"/>
  <c r="F26" i="24"/>
  <c r="F25" i="11"/>
  <c r="F25" i="24"/>
  <c r="F33" i="11"/>
  <c r="F33" i="24"/>
  <c r="F19" i="11"/>
  <c r="F19" i="24"/>
  <c r="G23" i="11"/>
  <c r="G23" i="24"/>
  <c r="G25" i="11"/>
  <c r="G25" i="24"/>
  <c r="G24" i="11"/>
  <c r="G24" i="24"/>
  <c r="G20" i="11"/>
  <c r="G20" i="24"/>
  <c r="G21" i="11"/>
  <c r="G21" i="24"/>
  <c r="F22" i="11"/>
  <c r="F22" i="24"/>
  <c r="F27" i="11"/>
  <c r="F27" i="24"/>
  <c r="F36" i="11"/>
  <c r="F36" i="24"/>
  <c r="G36" i="11"/>
  <c r="G36" i="24"/>
  <c r="G29" i="11"/>
  <c r="G29" i="24"/>
  <c r="F20" i="11"/>
  <c r="F20" i="24"/>
  <c r="F24" i="11"/>
  <c r="F24" i="24"/>
  <c r="F29" i="11"/>
  <c r="F29" i="24"/>
  <c r="F30" i="11"/>
  <c r="F30" i="24"/>
  <c r="F28" i="11"/>
  <c r="F28" i="24"/>
  <c r="G32" i="11"/>
  <c r="G32" i="24"/>
  <c r="G33" i="11"/>
  <c r="G33" i="24"/>
  <c r="G30" i="11"/>
  <c r="G30" i="24"/>
  <c r="F31" i="11"/>
  <c r="F31" i="24"/>
  <c r="G31" i="11"/>
  <c r="G31" i="24"/>
  <c r="F32" i="11"/>
  <c r="F32" i="24"/>
  <c r="G27" i="11"/>
  <c r="G27" i="24"/>
  <c r="F23" i="11"/>
  <c r="F23" i="24"/>
  <c r="F21" i="11"/>
  <c r="F21" i="24"/>
  <c r="G19" i="11"/>
  <c r="G19" i="24"/>
  <c r="G22" i="11"/>
  <c r="G22" i="24"/>
  <c r="G18" i="11"/>
  <c r="G18" i="24"/>
  <c r="G17" i="11"/>
  <c r="G17" i="24"/>
  <c r="G26" i="11"/>
  <c r="G26" i="24"/>
  <c r="H16" i="30"/>
  <c r="H15" i="30"/>
  <c r="H17" i="30"/>
  <c r="H14" i="30"/>
  <c r="H12" i="30"/>
  <c r="H11" i="30"/>
  <c r="H13" i="30"/>
  <c r="C9" i="25"/>
  <c r="C8" i="25"/>
  <c r="C7" i="25"/>
  <c r="C6" i="25"/>
  <c r="F9" i="24" l="1"/>
  <c r="F8" i="24"/>
  <c r="F7" i="24"/>
  <c r="F6" i="24"/>
  <c r="A4" i="24"/>
  <c r="F9" i="11" l="1"/>
  <c r="F8" i="11"/>
  <c r="F7" i="11"/>
  <c r="F6" i="11"/>
  <c r="A40" i="24" l="1"/>
  <c r="A4" i="11"/>
  <c r="I71" i="23" l="1"/>
  <c r="I86" i="23"/>
  <c r="I101" i="23"/>
  <c r="V95" i="23" l="1"/>
  <c r="K203" i="23" l="1"/>
  <c r="M192" i="23"/>
  <c r="AT202" i="23" l="1"/>
  <c r="F194" i="23" l="1"/>
  <c r="F196" i="23" s="1"/>
  <c r="M217" i="23"/>
  <c r="R217" i="23" s="1"/>
  <c r="W217" i="23" s="1"/>
</calcChain>
</file>

<file path=xl/sharedStrings.xml><?xml version="1.0" encoding="utf-8"?>
<sst xmlns="http://schemas.openxmlformats.org/spreadsheetml/2006/main" count="807" uniqueCount="553">
  <si>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</si>
  <si>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</si>
  <si>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</si>
  <si>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</si>
  <si>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</si>
  <si>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</si>
  <si>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</si>
  <si>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</si>
  <si>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</si>
  <si>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</si>
  <si>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</si>
  <si>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</si>
  <si>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</si>
  <si>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</si>
  <si>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</si>
  <si>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</si>
  <si>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</si>
  <si>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</si>
  <si>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</si>
  <si>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</si>
  <si>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</si>
  <si>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</si>
  <si>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</si>
  <si>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</si>
  <si>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</si>
  <si>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</si>
  <si>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</si>
  <si>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</si>
  <si>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</si>
  <si>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</si>
  <si>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</si>
  <si>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</si>
  <si>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</si>
  <si>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</si>
  <si>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</si>
  <si>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</si>
  <si>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</si>
  <si>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</si>
  <si>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</si>
  <si>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</si>
  <si>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</si>
  <si>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</si>
  <si>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</si>
  <si>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</si>
  <si>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</si>
  <si>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</si>
  <si>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</si>
  <si>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</si>
  <si>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</si>
  <si>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</si>
  <si>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</si>
  <si>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</si>
  <si>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</si>
  <si>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</si>
  <si>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</si>
  <si>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</si>
  <si>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</si>
  <si>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</si>
  <si>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</si>
  <si>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</si>
  <si>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</si>
  <si>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</si>
  <si>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</si>
  <si>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</si>
  <si>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</si>
  <si>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</si>
  <si>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</si>
  <si>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</si>
  <si>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</si>
  <si>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</si>
  <si>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</si>
  <si>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</si>
  <si>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</si>
  <si>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</si>
  <si>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</si>
  <si>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</si>
  <si>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</si>
  <si>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</si>
  <si>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</si>
  <si>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표준편차</t>
    <phoneticPr fontId="4" type="noConversion"/>
  </si>
  <si>
    <t>C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</si>
  <si>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</si>
  <si>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</si>
  <si>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</si>
  <si>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</si>
  <si>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k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</si>
  <si>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</si>
  <si>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</si>
  <si>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</si>
  <si>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</si>
  <si>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</si>
  <si>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</si>
  <si>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</si>
  <si>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</si>
  <si>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</si>
  <si>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</si>
  <si>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</si>
  <si>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</si>
  <si>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</si>
  <si>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</si>
  <si>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</si>
  <si>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</si>
  <si>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</si>
  <si>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</si>
  <si>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</si>
  <si>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</si>
  <si>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</si>
  <si>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</si>
  <si>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</si>
  <si>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</si>
  <si>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</si>
  <si>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</si>
  <si>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</si>
  <si>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</si>
  <si>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</si>
  <si>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t_avr-20</t>
  </si>
  <si>
    <t>δt</t>
  </si>
  <si>
    <t>μm</t>
    <phoneticPr fontId="4" type="noConversion"/>
  </si>
  <si>
    <t>2회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</si>
  <si>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</si>
  <si>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</si>
  <si>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</si>
  <si>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t>mm</t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</si>
  <si>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</si>
  <si>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</si>
  <si>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</si>
  <si>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</si>
  <si>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</si>
  <si>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</si>
  <si>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</si>
  <si>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</si>
  <si>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t>※ 표준불확도 성분은 우연효과로 인한 불확도로써 A형 평가를 통하여 구한다.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</si>
  <si>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</si>
  <si>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</si>
  <si>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</si>
  <si>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</si>
  <si>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</si>
  <si>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B1. 추정값 :</t>
    <phoneticPr fontId="4" type="noConversion"/>
  </si>
  <si>
    <t>C1. 추정값 :</t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</si>
  <si>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</si>
  <si>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</si>
  <si>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</si>
  <si>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</si>
  <si>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</si>
  <si>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</si>
  <si>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</si>
  <si>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</si>
  <si>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</si>
  <si>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</si>
  <si>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</si>
  <si>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</si>
  <si>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</si>
  <si>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</si>
  <si>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</si>
  <si>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</si>
  <si>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</si>
  <si>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</si>
  <si>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</si>
  <si>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</si>
  <si>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</si>
  <si>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</si>
  <si>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</si>
  <si>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</si>
  <si>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기준기명</t>
  </si>
  <si>
    <t>명목값</t>
  </si>
  <si>
    <t>단위</t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</si>
  <si>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</si>
  <si>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</si>
  <si>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</si>
  <si>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t>보정값</t>
    <phoneticPr fontId="4" type="noConversion"/>
  </si>
  <si>
    <t>Correction value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</si>
  <si>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</si>
  <si>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</si>
  <si>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</si>
  <si>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℃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</si>
  <si>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</si>
  <si>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</si>
  <si>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</si>
  <si>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</si>
  <si>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기준값</t>
    <phoneticPr fontId="4" type="noConversion"/>
  </si>
  <si>
    <t>불확도</t>
    <phoneticPr fontId="4" type="noConversion"/>
  </si>
  <si>
    <t>번호</t>
  </si>
  <si>
    <t>등록번호</t>
  </si>
  <si>
    <t>기기명(종류)</t>
  </si>
  <si>
    <t>기준값</t>
  </si>
  <si>
    <t>측정값</t>
  </si>
  <si>
    <t>보정값</t>
  </si>
  <si>
    <t>불확도 단위</t>
  </si>
  <si>
    <t>포함인자</t>
  </si>
  <si>
    <t>교정일자</t>
  </si>
  <si>
    <t>시스템 교정데이터</t>
    <phoneticPr fontId="4" type="noConversion"/>
  </si>
  <si>
    <t>최소범위</t>
    <phoneticPr fontId="4" type="noConversion"/>
  </si>
  <si>
    <t>CMC2</t>
    <phoneticPr fontId="4" type="noConversion"/>
  </si>
  <si>
    <t>평균열팽창계수</t>
    <phoneticPr fontId="4" type="noConversion"/>
  </si>
  <si>
    <t>α_avr</t>
  </si>
  <si>
    <t>온도차</t>
    <phoneticPr fontId="4" type="noConversion"/>
  </si>
  <si>
    <t>Δt</t>
  </si>
  <si>
    <t>/℃·mm</t>
    <phoneticPr fontId="4" type="noConversion"/>
  </si>
  <si>
    <t>열팽창계수차</t>
    <phoneticPr fontId="4" type="noConversion"/>
  </si>
  <si>
    <t>Δα</t>
  </si>
  <si>
    <t>℃·mm</t>
    <phoneticPr fontId="4" type="noConversion"/>
  </si>
  <si>
    <t>최대범위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</si>
  <si>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</si>
  <si>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</si>
  <si>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</si>
  <si>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</si>
  <si>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</si>
  <si>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</si>
  <si>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</si>
  <si>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</si>
  <si>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최소범위</t>
    <phoneticPr fontId="4" type="noConversion"/>
  </si>
  <si>
    <t>최소눈금</t>
    <phoneticPr fontId="4" type="noConversion"/>
  </si>
  <si>
    <t>단위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</si>
  <si>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</si>
  <si>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</si>
  <si>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</si>
  <si>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Nominal value</t>
    <phoneticPr fontId="4" type="noConversion"/>
  </si>
  <si>
    <t>Res. (mm)</t>
    <phoneticPr fontId="4" type="noConversion"/>
  </si>
  <si>
    <t>지시값</t>
    <phoneticPr fontId="4" type="noConversion"/>
  </si>
  <si>
    <t>mm</t>
    <phoneticPr fontId="4" type="noConversion"/>
  </si>
  <si>
    <t>G</t>
    <phoneticPr fontId="4" type="noConversion"/>
  </si>
  <si>
    <t>℃</t>
    <phoneticPr fontId="4" type="noConversion"/>
  </si>
  <si>
    <t>/℃·mm</t>
    <phoneticPr fontId="4" type="noConversion"/>
  </si>
  <si>
    <t>최소범위 (mm)</t>
    <phoneticPr fontId="4" type="noConversion"/>
  </si>
  <si>
    <t>사용?</t>
    <phoneticPr fontId="4" type="noConversion"/>
  </si>
  <si>
    <t>자리수 맞춤</t>
    <phoneticPr fontId="4" type="noConversion"/>
  </si>
  <si>
    <t>표기용</t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</si>
  <si>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</si>
  <si>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</si>
  <si>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</si>
  <si>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</si>
  <si>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</si>
  <si>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■ 반복 측정 결과</t>
    <phoneticPr fontId="4" type="noConversion"/>
  </si>
  <si>
    <t>측정구간</t>
    <phoneticPr fontId="4" type="noConversion"/>
  </si>
  <si>
    <t>평균값</t>
    <phoneticPr fontId="4" type="noConversion"/>
  </si>
  <si>
    <t>줄자교정장치 보정값</t>
    <phoneticPr fontId="4" type="noConversion"/>
  </si>
  <si>
    <t>보정값</t>
    <phoneticPr fontId="4" type="noConversion"/>
  </si>
  <si>
    <t>1회</t>
    <phoneticPr fontId="4" type="noConversion"/>
  </si>
  <si>
    <t>3회</t>
    <phoneticPr fontId="4" type="noConversion"/>
  </si>
  <si>
    <t>4회</t>
    <phoneticPr fontId="4" type="noConversion"/>
  </si>
  <si>
    <t>mm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</si>
  <si>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</si>
  <si>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</si>
  <si>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r</t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</si>
  <si>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</si>
  <si>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</si>
  <si>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</si>
  <si>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</si>
  <si>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:</t>
    <phoneticPr fontId="4" type="noConversion"/>
  </si>
  <si>
    <t>δt</t>
    <phoneticPr fontId="4" type="noConversion"/>
  </si>
  <si>
    <t>: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</si>
  <si>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</si>
  <si>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목측오차에 대한 보정값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</si>
  <si>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</si>
  <si>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</si>
  <si>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</si>
  <si>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</si>
  <si>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</si>
  <si>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</si>
  <si>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</si>
  <si>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</si>
  <si>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</si>
  <si>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</si>
  <si>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</si>
  <si>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</si>
  <si>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</si>
  <si>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</si>
  <si>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</si>
  <si>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</si>
  <si>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</si>
  <si>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</si>
  <si>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t>-</t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</si>
  <si>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</si>
  <si>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</si>
  <si>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</si>
  <si>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</si>
  <si>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</si>
  <si>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</si>
  <si>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</si>
  <si>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=</t>
    <phoneticPr fontId="4" type="noConversion"/>
  </si>
  <si>
    <t>d</t>
    <phoneticPr fontId="4" type="noConversion"/>
  </si>
  <si>
    <t>×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</si>
  <si>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</si>
  <si>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</si>
  <si>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</si>
  <si>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</si>
  <si>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U</t>
    <phoneticPr fontId="4" type="noConversion"/>
  </si>
  <si>
    <t>k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</si>
  <si>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</si>
  <si>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</si>
  <si>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</si>
  <si>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</si>
  <si>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t>불확도 성분만 적용하여 직사각형 확률분포를 적용하여 표준불확도를 계산한다.</t>
    <phoneticPr fontId="4" type="noConversion"/>
  </si>
  <si>
    <t>mm</t>
    <phoneticPr fontId="4" type="noConversion"/>
  </si>
  <si>
    <t>D3. 확률분포 :</t>
    <phoneticPr fontId="4" type="noConversion"/>
  </si>
  <si>
    <t>｜</t>
    <phoneticPr fontId="4" type="noConversion"/>
  </si>
  <si>
    <t>+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</si>
  <si>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</si>
  <si>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</si>
  <si>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H3. 확률분포 :</t>
    <phoneticPr fontId="4" type="noConversion"/>
  </si>
  <si>
    <r>
      <t>℃·mm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</si>
  <si>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추정하여 직사각형 확률분포를 적용하여 계산하면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</si>
  <si>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</si>
  <si>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</si>
  <si>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</si>
  <si>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</si>
  <si>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</si>
  <si>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℃·mm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</si>
  <si>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</si>
  <si>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</si>
  <si>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</si>
  <si>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</si>
  <si>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※ 이 측정은 측정자의 목측에 의존하므로 개인오차가 고려되어야 한다. 확대경을 통하여 눈금값을 읽으므로</t>
    <phoneticPr fontId="4" type="noConversion"/>
  </si>
  <si>
    <t>이내에 있을 것으로 경험을 통하여 추정 할 수 있다.</t>
    <phoneticPr fontId="4" type="noConversion"/>
  </si>
  <si>
    <t>※ 목측오차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</si>
  <si>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</si>
  <si>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</si>
  <si>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</si>
  <si>
    <t>+</t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</si>
  <si>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</si>
  <si>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</si>
  <si>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</si>
  <si>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</si>
  <si>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</si>
  <si>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</si>
  <si>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</si>
  <si>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</si>
  <si>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</si>
  <si>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</si>
  <si>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</si>
  <si>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</si>
  <si>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</si>
  <si>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</si>
  <si>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</si>
  <si>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</si>
  <si>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</si>
  <si>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</si>
  <si>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</si>
  <si>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</si>
  <si>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</si>
  <si>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</si>
  <si>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불확도1</t>
    <phoneticPr fontId="4" type="noConversion"/>
  </si>
  <si>
    <t>불확도2</t>
    <phoneticPr fontId="4" type="noConversion"/>
  </si>
  <si>
    <t>불확도단위</t>
    <phoneticPr fontId="4" type="noConversion"/>
  </si>
  <si>
    <t>비고</t>
    <phoneticPr fontId="4" type="noConversion"/>
  </si>
  <si>
    <t>t_avr-20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</si>
  <si>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</si>
  <si>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</si>
  <si>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</si>
  <si>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</si>
  <si>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</si>
  <si>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분해능</t>
    <phoneticPr fontId="4" type="noConversion"/>
  </si>
  <si>
    <t>환산계수</t>
    <phoneticPr fontId="4" type="noConversion"/>
  </si>
  <si>
    <t>최대범위 (mm)</t>
    <phoneticPr fontId="4" type="noConversion"/>
  </si>
  <si>
    <t>최대범위 (표기용)</t>
    <phoneticPr fontId="4" type="noConversion"/>
  </si>
  <si>
    <t>Div. (mm)</t>
    <phoneticPr fontId="4" type="noConversion"/>
  </si>
  <si>
    <t>CMC1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</si>
  <si>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</si>
  <si>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</si>
  <si>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</si>
  <si>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</si>
  <si>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</si>
  <si>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r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</si>
  <si>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</si>
  <si>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</si>
  <si>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</si>
  <si>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</si>
  <si>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</si>
  <si>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</si>
  <si>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</si>
  <si>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</si>
  <si>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</si>
  <si>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</si>
  <si>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</si>
  <si>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</si>
  <si>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보정값</t>
    <phoneticPr fontId="4" type="noConversion"/>
  </si>
  <si>
    <t>Spec</t>
    <phoneticPr fontId="4" type="noConversion"/>
  </si>
  <si>
    <t>Pass/Fail</t>
    <phoneticPr fontId="4" type="noConversion"/>
  </si>
  <si>
    <t>불확도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</si>
  <si>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</si>
  <si>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</si>
  <si>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</si>
  <si>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</si>
  <si>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</si>
  <si>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</si>
  <si>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</si>
  <si>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</si>
  <si>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</si>
  <si>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</si>
  <si>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</si>
  <si>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직사각형</t>
    <phoneticPr fontId="4" type="noConversion"/>
  </si>
  <si>
    <t>기타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</si>
  <si>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</si>
  <si>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</si>
  <si>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</si>
  <si>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</si>
  <si>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</si>
  <si>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</si>
  <si>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</si>
  <si>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</si>
  <si>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</si>
  <si>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</si>
  <si>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번호</t>
    <phoneticPr fontId="4" type="noConversion"/>
  </si>
  <si>
    <t>크기순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</si>
  <si>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</si>
  <si>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</si>
  <si>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</si>
  <si>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</si>
  <si>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t</t>
    <phoneticPr fontId="4" type="noConversion"/>
  </si>
  <si>
    <t>B</t>
    <phoneticPr fontId="4" type="noConversion"/>
  </si>
  <si>
    <t>기준기</t>
    <phoneticPr fontId="4" type="noConversion"/>
  </si>
  <si>
    <t>r</t>
    <phoneticPr fontId="4" type="noConversion"/>
  </si>
  <si>
    <t>정규</t>
    <phoneticPr fontId="4" type="noConversion"/>
  </si>
  <si>
    <t>∞</t>
    <phoneticPr fontId="4" type="noConversion"/>
  </si>
  <si>
    <t>C</t>
    <phoneticPr fontId="4" type="noConversion"/>
  </si>
  <si>
    <t>줄자지시값</t>
    <phoneticPr fontId="4" type="noConversion"/>
  </si>
  <si>
    <t>직사각형</t>
    <phoneticPr fontId="4" type="noConversion"/>
  </si>
  <si>
    <t>∞</t>
    <phoneticPr fontId="4" type="noConversion"/>
  </si>
  <si>
    <t>H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</si>
  <si>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</si>
  <si>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</si>
  <si>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</si>
  <si>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t>℃·mm</t>
    <phoneticPr fontId="4" type="noConversion"/>
  </si>
  <si>
    <t>I</t>
    <phoneticPr fontId="4" type="noConversion"/>
  </si>
  <si>
    <t>온도차</t>
    <phoneticPr fontId="4" type="noConversion"/>
  </si>
  <si>
    <t>℃</t>
    <phoneticPr fontId="4" type="noConversion"/>
  </si>
  <si>
    <t>℃</t>
    <phoneticPr fontId="4" type="noConversion"/>
  </si>
  <si>
    <t>/℃·mm</t>
    <phoneticPr fontId="4" type="noConversion"/>
  </si>
  <si>
    <t>J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</si>
  <si>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</si>
  <si>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</si>
  <si>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</si>
  <si>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℃·mm</t>
    <phoneticPr fontId="4" type="noConversion"/>
  </si>
  <si>
    <t>K</t>
    <phoneticPr fontId="4" type="noConversion"/>
  </si>
  <si>
    <t>직사각형</t>
    <phoneticPr fontId="4" type="noConversion"/>
  </si>
  <si>
    <t>/℃·mm</t>
    <phoneticPr fontId="4" type="noConversion"/>
  </si>
  <si>
    <t>L</t>
    <phoneticPr fontId="4" type="noConversion"/>
  </si>
  <si>
    <t>목측오차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</si>
  <si>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</si>
  <si>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M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</si>
  <si>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</si>
  <si>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</si>
  <si>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</si>
  <si>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</si>
  <si>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</si>
  <si>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</si>
  <si>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</si>
  <si>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</si>
  <si>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주 기여량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</si>
  <si>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</si>
  <si>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계산(mm)</t>
    <phoneticPr fontId="4" type="noConversion"/>
  </si>
  <si>
    <t>불확도</t>
    <phoneticPr fontId="4" type="noConversion"/>
  </si>
  <si>
    <t>성적서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</si>
  <si>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</si>
  <si>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</si>
  <si>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</si>
  <si>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측정불확도</t>
    <phoneticPr fontId="4" type="noConversion"/>
  </si>
  <si>
    <t>k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</si>
  <si>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</si>
  <si>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</si>
  <si>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</si>
  <si>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</si>
  <si>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</si>
  <si>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</si>
  <si>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</si>
  <si>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</si>
  <si>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</si>
  <si>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</si>
  <si>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</si>
  <si>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</si>
  <si>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</si>
  <si>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</si>
  <si>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</si>
  <si>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</si>
  <si>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</si>
  <si>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</si>
  <si>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</si>
  <si>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</si>
  <si>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</si>
  <si>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</si>
  <si>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</si>
  <si>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</si>
  <si>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</si>
  <si>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</si>
  <si>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</si>
  <si>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</si>
  <si>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줄자교정장치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</si>
  <si>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</si>
  <si>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</si>
  <si>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</si>
  <si>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r</t>
    <phoneticPr fontId="4" type="noConversion"/>
  </si>
  <si>
    <r>
      <t>l</t>
    </r>
    <r>
      <rPr>
        <vertAlign val="subscript"/>
        <sz val="10"/>
        <rFont val="Times New Roman"/>
        <family val="1"/>
      </rPr>
      <t>x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</si>
  <si>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</si>
  <si>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</si>
  <si>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8. 목측 오차에 의한 표준불확도,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</si>
  <si>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</si>
  <si>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</si>
  <si>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</si>
  <si>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H</t>
    <phoneticPr fontId="4" type="noConversion"/>
  </si>
  <si>
    <t>D1. 추정값 :</t>
    <phoneticPr fontId="4" type="noConversion"/>
  </si>
  <si>
    <t>D2. 표준불확도 :</t>
    <phoneticPr fontId="4" type="noConversion"/>
  </si>
  <si>
    <t>D4. 감도계수 :</t>
    <phoneticPr fontId="4" type="noConversion"/>
  </si>
  <si>
    <t>D5. 불확도 기여량 :</t>
    <phoneticPr fontId="4" type="noConversion"/>
  </si>
  <si>
    <t>D6. 자유도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</si>
  <si>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</si>
  <si>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</si>
  <si>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</si>
  <si>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</si>
  <si>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</si>
  <si>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</si>
  <si>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</si>
  <si>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</si>
  <si>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</si>
  <si>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</si>
  <si>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</si>
  <si>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</si>
  <si>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</si>
  <si>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</si>
  <si>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</si>
  <si>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</si>
  <si>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</si>
  <si>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</si>
  <si>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</si>
  <si>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</si>
  <si>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</si>
  <si>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</si>
  <si>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</si>
  <si>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줄자교정장치 지시값</t>
    <phoneticPr fontId="4" type="noConversion"/>
  </si>
  <si>
    <t>=</t>
    <phoneticPr fontId="4" type="noConversion"/>
  </si>
  <si>
    <t>CMC초과?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</si>
  <si>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</si>
  <si>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</si>
  <si>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</si>
  <si>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불확도</t>
    <phoneticPr fontId="4" type="noConversion"/>
  </si>
  <si>
    <t>Rawdata</t>
    <phoneticPr fontId="4" type="noConversion"/>
  </si>
  <si>
    <t>곧은자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</si>
  <si>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</si>
  <si>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</si>
  <si>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</si>
  <si>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</si>
  <si>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직사각형</t>
    <phoneticPr fontId="4" type="noConversion"/>
  </si>
  <si>
    <t>비율</t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</si>
  <si>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</si>
  <si>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</si>
  <si>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</si>
  <si>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</si>
  <si>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i/>
        <sz val="1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9"/>
        <scheme val="minor"/>
      </rPr>
      <t>- 1 = 5 = 4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</si>
  <si>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</si>
  <si>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>=2</t>
    </r>
    <r>
      <rPr>
        <sz val="10"/>
        <rFont val="맑은 고딕"/>
        <family val="3"/>
        <charset val="129"/>
        <scheme val="major"/>
      </rPr>
      <t>) 이다.</t>
    </r>
    <phoneticPr fontId="4" type="noConversion"/>
  </si>
  <si>
    <t>단, 줄자교정장치의 오차를 보정하지 않고 사용했으므로 최대오차를 포함하여 계산한다.</t>
    <phoneticPr fontId="4" type="noConversion"/>
  </si>
  <si>
    <t>+</t>
    <phoneticPr fontId="4" type="noConversion"/>
  </si>
  <si>
    <t>최대오차</t>
    <phoneticPr fontId="4" type="noConversion"/>
  </si>
  <si>
    <t>mm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</si>
</sst>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\ \℃"/>
    <numFmt numFmtId="207" formatCode="0.00\ \℃"/>
    <numFmt numFmtId="208" formatCode="&quot;0.58 ℃×( -&quot;0.00"/>
    <numFmt numFmtId="209" formatCode="0.000\ &quot;mm&quot;"/>
    <numFmt numFmtId="210" formatCode="0.0####\ &quot;mm&quot;"/>
    <numFmt numFmtId="211" formatCode="0.000\ 00"/>
    <numFmt numFmtId="212" formatCode="0.000\ &quot;μm&quot;"/>
    <numFmt numFmtId="213" formatCode="_-* #,##0_-;\-* #,##0_-;_-* &quot;-&quot;??_-;_-@_-"/>
    <numFmt numFmtId="214" formatCode="General\ &quot;μm&quot;"/>
    <numFmt numFmtId="215" formatCode="0.0000"/>
    <numFmt numFmtId="216" formatCode="0.0E+00"/>
    <numFmt numFmtId="217" formatCode="0.000\ 0"/>
    <numFmt numFmtId="218" formatCode="#\ ##0.00\ &quot;mm&quot;"/>
    <numFmt numFmtId="219" formatCode="0_ "/>
    <numFmt numFmtId="220" formatCode="#0.00\ E+00"/>
    <numFmt numFmtId="221" formatCode="0.00\ &quot;mm&quot;"/>
  </numFmts>
  <fonts count="107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i/>
      <sz val="10"/>
      <name val="times"/>
      <family val="1"/>
    </font>
    <font>
      <b/>
      <vertAlign val="subscript"/>
      <sz val="10"/>
      <name val="Times New Roman"/>
      <family val="1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  <font>
      <i/>
      <sz val="1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0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5" xfId="0" applyNumberFormat="1" applyFont="1" applyBorder="1" applyAlignment="1">
      <alignment horizontal="center" vertical="center"/>
    </xf>
    <xf numFmtId="0" fontId="53" fillId="26" borderId="45" xfId="0" applyFont="1" applyFill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/>
    </xf>
    <xf numFmtId="0" fontId="52" fillId="0" borderId="45" xfId="0" applyFont="1" applyBorder="1" applyAlignment="1">
      <alignment horizontal="center" vertical="center"/>
    </xf>
    <xf numFmtId="0" fontId="52" fillId="0" borderId="45" xfId="0" applyNumberFormat="1" applyFont="1" applyBorder="1" applyAlignment="1">
      <alignment horizontal="center" vertical="center"/>
    </xf>
    <xf numFmtId="0" fontId="75" fillId="33" borderId="45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50" xfId="0" applyNumberFormat="1" applyFont="1" applyFill="1" applyBorder="1" applyAlignment="1">
      <alignment horizontal="center" vertical="center"/>
    </xf>
    <xf numFmtId="197" fontId="80" fillId="29" borderId="51" xfId="0" applyNumberFormat="1" applyFont="1" applyFill="1" applyBorder="1" applyAlignment="1">
      <alignment horizontal="center" vertical="center"/>
    </xf>
    <xf numFmtId="197" fontId="80" fillId="0" borderId="53" xfId="0" applyNumberFormat="1" applyFont="1" applyFill="1" applyBorder="1" applyAlignment="1">
      <alignment horizontal="center" vertical="center"/>
    </xf>
    <xf numFmtId="198" fontId="80" fillId="0" borderId="50" xfId="0" applyNumberFormat="1" applyFont="1" applyFill="1" applyBorder="1" applyAlignment="1">
      <alignment horizontal="center"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85" fillId="35" borderId="49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199" fontId="80" fillId="0" borderId="52" xfId="0" applyNumberFormat="1" applyFont="1" applyFill="1" applyBorder="1" applyAlignment="1">
      <alignment horizontal="center" vertical="center"/>
    </xf>
    <xf numFmtId="199" fontId="80" fillId="0" borderId="50" xfId="0" applyNumberFormat="1" applyFont="1" applyFill="1" applyBorder="1" applyAlignment="1">
      <alignment horizontal="center" vertical="center"/>
    </xf>
    <xf numFmtId="0" fontId="80" fillId="35" borderId="52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8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201" fontId="92" fillId="0" borderId="0" xfId="0" applyNumberFormat="1" applyFont="1" applyBorder="1" applyAlignment="1">
      <alignment vertical="center"/>
    </xf>
    <xf numFmtId="201" fontId="92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3" fillId="0" borderId="0" xfId="0" applyNumberFormat="1" applyFont="1" applyAlignment="1">
      <alignment vertical="center"/>
    </xf>
    <xf numFmtId="0" fontId="93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92" fillId="0" borderId="0" xfId="0" applyFont="1" applyBorder="1">
      <alignment vertical="center"/>
    </xf>
    <xf numFmtId="0" fontId="80" fillId="32" borderId="60" xfId="0" applyNumberFormat="1" applyFont="1" applyFill="1" applyBorder="1" applyAlignment="1">
      <alignment horizontal="center" vertical="center" wrapText="1"/>
    </xf>
    <xf numFmtId="0" fontId="80" fillId="0" borderId="52" xfId="0" applyNumberFormat="1" applyFont="1" applyFill="1" applyBorder="1" applyAlignment="1">
      <alignment horizontal="center" vertical="center"/>
    </xf>
    <xf numFmtId="0" fontId="52" fillId="0" borderId="45" xfId="0" applyNumberFormat="1" applyFont="1" applyBorder="1" applyAlignment="1">
      <alignment horizontal="center" vertical="center" shrinkToFit="1"/>
    </xf>
    <xf numFmtId="41" fontId="52" fillId="0" borderId="45" xfId="87" applyFont="1" applyBorder="1" applyAlignment="1">
      <alignment horizontal="center" vertical="center"/>
    </xf>
    <xf numFmtId="0" fontId="52" fillId="0" borderId="45" xfId="87" applyNumberFormat="1" applyFont="1" applyBorder="1" applyAlignment="1">
      <alignment horizontal="center" vertical="center"/>
    </xf>
    <xf numFmtId="41" fontId="52" fillId="0" borderId="45" xfId="0" applyNumberFormat="1" applyFont="1" applyBorder="1" applyAlignment="1">
      <alignment horizontal="center" vertical="center"/>
    </xf>
    <xf numFmtId="213" fontId="52" fillId="0" borderId="45" xfId="87" applyNumberFormat="1" applyFont="1" applyBorder="1" applyAlignment="1">
      <alignment horizontal="center" vertical="center"/>
    </xf>
    <xf numFmtId="41" fontId="52" fillId="0" borderId="45" xfId="87" applyNumberFormat="1" applyFont="1" applyBorder="1" applyAlignment="1">
      <alignment horizontal="center" vertical="center"/>
    </xf>
    <xf numFmtId="0" fontId="75" fillId="33" borderId="45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4" fillId="28" borderId="65" xfId="0" applyNumberFormat="1" applyFont="1" applyFill="1" applyBorder="1" applyAlignment="1">
      <alignment horizontal="center" vertical="center"/>
    </xf>
    <xf numFmtId="0" fontId="80" fillId="0" borderId="65" xfId="0" applyNumberFormat="1" applyFont="1" applyFill="1" applyBorder="1" applyAlignment="1">
      <alignment horizontal="center" vertical="center"/>
    </xf>
    <xf numFmtId="0" fontId="96" fillId="0" borderId="65" xfId="0" applyNumberFormat="1" applyFont="1" applyFill="1" applyBorder="1" applyAlignment="1">
      <alignment horizontal="center" vertical="center"/>
    </xf>
    <xf numFmtId="193" fontId="80" fillId="0" borderId="65" xfId="0" applyNumberFormat="1" applyFont="1" applyFill="1" applyBorder="1" applyAlignment="1">
      <alignment horizontal="center"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59" fillId="27" borderId="47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5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87" fillId="0" borderId="0" xfId="0" applyFont="1" applyBorder="1">
      <alignment vertical="center"/>
    </xf>
    <xf numFmtId="0" fontId="99" fillId="0" borderId="0" xfId="0" applyFont="1" applyBorder="1" applyAlignment="1">
      <alignment vertical="center"/>
    </xf>
    <xf numFmtId="0" fontId="87" fillId="0" borderId="0" xfId="0" applyFont="1" applyBorder="1" applyAlignment="1">
      <alignment vertical="center"/>
    </xf>
    <xf numFmtId="190" fontId="81" fillId="28" borderId="65" xfId="0" applyNumberFormat="1" applyFont="1" applyFill="1" applyBorder="1" applyAlignment="1">
      <alignment horizontal="center" vertical="center" wrapText="1"/>
    </xf>
    <xf numFmtId="49" fontId="81" fillId="28" borderId="65" xfId="0" applyNumberFormat="1" applyFont="1" applyFill="1" applyBorder="1" applyAlignment="1">
      <alignment horizontal="center" vertical="center"/>
    </xf>
    <xf numFmtId="190" fontId="81" fillId="28" borderId="65" xfId="0" applyNumberFormat="1" applyFont="1" applyFill="1" applyBorder="1" applyAlignment="1">
      <alignment horizontal="center" vertical="center"/>
    </xf>
    <xf numFmtId="206" fontId="67" fillId="0" borderId="39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vertical="center"/>
    </xf>
    <xf numFmtId="214" fontId="67" fillId="0" borderId="39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0" fillId="0" borderId="65" xfId="78" applyNumberFormat="1" applyFont="1" applyFill="1" applyBorder="1" applyAlignment="1">
      <alignment horizontal="center" vertical="center"/>
    </xf>
    <xf numFmtId="193" fontId="80" fillId="0" borderId="65" xfId="78" applyNumberFormat="1" applyFont="1" applyFill="1" applyBorder="1" applyAlignment="1">
      <alignment horizontal="center" vertical="center"/>
    </xf>
    <xf numFmtId="188" fontId="80" fillId="0" borderId="65" xfId="0" applyNumberFormat="1" applyFont="1" applyFill="1" applyBorder="1" applyAlignment="1">
      <alignment horizontal="center" vertical="center"/>
    </xf>
    <xf numFmtId="0" fontId="80" fillId="32" borderId="65" xfId="0" applyNumberFormat="1" applyFont="1" applyFill="1" applyBorder="1" applyAlignment="1">
      <alignment horizontal="center" vertical="center"/>
    </xf>
    <xf numFmtId="0" fontId="80" fillId="29" borderId="65" xfId="0" applyNumberFormat="1" applyFont="1" applyFill="1" applyBorder="1" applyAlignment="1">
      <alignment horizontal="center" vertical="center"/>
    </xf>
    <xf numFmtId="0" fontId="80" fillId="31" borderId="65" xfId="0" applyNumberFormat="1" applyFont="1" applyFill="1" applyBorder="1" applyAlignment="1">
      <alignment horizontal="center" vertical="center"/>
    </xf>
    <xf numFmtId="189" fontId="80" fillId="36" borderId="65" xfId="0" applyNumberFormat="1" applyFont="1" applyFill="1" applyBorder="1" applyAlignment="1">
      <alignment horizontal="center" vertical="center"/>
    </xf>
    <xf numFmtId="0" fontId="80" fillId="32" borderId="65" xfId="0" applyNumberFormat="1" applyFont="1" applyFill="1" applyBorder="1" applyAlignment="1">
      <alignment horizontal="center" vertical="center" wrapText="1"/>
    </xf>
    <xf numFmtId="0" fontId="80" fillId="0" borderId="65" xfId="0" applyNumberFormat="1" applyFont="1" applyFill="1" applyBorder="1" applyAlignment="1">
      <alignment horizontal="center" vertical="center" wrapText="1"/>
    </xf>
    <xf numFmtId="0" fontId="80" fillId="0" borderId="65" xfId="0" applyNumberFormat="1" applyFont="1" applyBorder="1" applyAlignment="1">
      <alignment horizontal="center" vertical="center"/>
    </xf>
    <xf numFmtId="2" fontId="80" fillId="29" borderId="65" xfId="0" applyNumberFormat="1" applyFont="1" applyFill="1" applyBorder="1" applyAlignment="1">
      <alignment horizontal="center" vertical="center"/>
    </xf>
    <xf numFmtId="201" fontId="80" fillId="0" borderId="65" xfId="0" applyNumberFormat="1" applyFont="1" applyFill="1" applyBorder="1" applyAlignment="1">
      <alignment horizontal="center" vertical="center"/>
    </xf>
    <xf numFmtId="195" fontId="80" fillId="0" borderId="65" xfId="0" applyNumberFormat="1" applyFont="1" applyFill="1" applyBorder="1" applyAlignment="1">
      <alignment horizontal="center" vertical="center"/>
    </xf>
    <xf numFmtId="200" fontId="80" fillId="0" borderId="65" xfId="0" applyNumberFormat="1" applyFont="1" applyFill="1" applyBorder="1" applyAlignment="1">
      <alignment horizontal="center" vertical="center"/>
    </xf>
    <xf numFmtId="202" fontId="80" fillId="0" borderId="65" xfId="0" applyNumberFormat="1" applyFont="1" applyFill="1" applyBorder="1" applyAlignment="1">
      <alignment horizontal="center" vertical="center"/>
    </xf>
    <xf numFmtId="203" fontId="80" fillId="29" borderId="65" xfId="0" applyNumberFormat="1" applyFont="1" applyFill="1" applyBorder="1" applyAlignment="1">
      <alignment horizontal="center" vertical="center"/>
    </xf>
    <xf numFmtId="203" fontId="80" fillId="0" borderId="65" xfId="0" applyNumberFormat="1" applyFont="1" applyFill="1" applyBorder="1" applyAlignment="1">
      <alignment horizontal="center" vertical="center"/>
    </xf>
    <xf numFmtId="195" fontId="80" fillId="32" borderId="65" xfId="0" applyNumberFormat="1" applyFont="1" applyFill="1" applyBorder="1" applyAlignment="1">
      <alignment horizontal="center" vertical="center"/>
    </xf>
    <xf numFmtId="0" fontId="80" fillId="36" borderId="65" xfId="0" applyNumberFormat="1" applyFont="1" applyFill="1" applyBorder="1" applyAlignment="1">
      <alignment horizontal="center" vertical="center"/>
    </xf>
    <xf numFmtId="0" fontId="80" fillId="0" borderId="65" xfId="0" applyNumberFormat="1" applyFont="1" applyFill="1" applyBorder="1" applyAlignment="1">
      <alignment horizontal="left" vertical="center"/>
    </xf>
    <xf numFmtId="49" fontId="80" fillId="0" borderId="65" xfId="0" applyNumberFormat="1" applyFont="1" applyFill="1" applyBorder="1" applyAlignment="1">
      <alignment horizontal="left" vertical="center"/>
    </xf>
    <xf numFmtId="41" fontId="52" fillId="0" borderId="56" xfId="87" applyFont="1" applyBorder="1" applyAlignment="1">
      <alignment horizontal="center" vertical="center" wrapText="1"/>
    </xf>
    <xf numFmtId="41" fontId="52" fillId="0" borderId="57" xfId="87" applyFont="1" applyBorder="1" applyAlignment="1">
      <alignment horizontal="center" vertical="center" wrapText="1"/>
    </xf>
    <xf numFmtId="215" fontId="80" fillId="29" borderId="65" xfId="0" applyNumberFormat="1" applyFont="1" applyFill="1" applyBorder="1" applyAlignment="1">
      <alignment horizontal="center" vertical="center"/>
    </xf>
    <xf numFmtId="195" fontId="80" fillId="29" borderId="65" xfId="0" applyNumberFormat="1" applyFont="1" applyFill="1" applyBorder="1" applyAlignment="1">
      <alignment horizontal="center" vertical="center"/>
    </xf>
    <xf numFmtId="0" fontId="52" fillId="29" borderId="71" xfId="87" applyNumberFormat="1" applyFont="1" applyFill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29" borderId="71" xfId="87" applyNumberFormat="1" applyFont="1" applyFill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202" fontId="80" fillId="29" borderId="65" xfId="0" applyNumberFormat="1" applyFont="1" applyFill="1" applyBorder="1" applyAlignment="1">
      <alignment horizontal="center" vertical="center"/>
    </xf>
    <xf numFmtId="0" fontId="7" fillId="28" borderId="60" xfId="0" applyNumberFormat="1" applyFont="1" applyFill="1" applyBorder="1" applyAlignment="1">
      <alignment horizontal="center" vertical="center"/>
    </xf>
    <xf numFmtId="0" fontId="1" fillId="0" borderId="65" xfId="78" applyNumberFormat="1" applyFont="1" applyFill="1" applyBorder="1" applyAlignment="1">
      <alignment horizontal="center" vertical="center"/>
    </xf>
    <xf numFmtId="196" fontId="1" fillId="0" borderId="65" xfId="78" applyNumberFormat="1" applyFont="1" applyFill="1" applyBorder="1" applyAlignment="1">
      <alignment horizontal="center" vertical="center"/>
    </xf>
    <xf numFmtId="49" fontId="1" fillId="0" borderId="65" xfId="78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192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Font="1" applyBorder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205" fontId="67" fillId="0" borderId="0" xfId="0" applyNumberFormat="1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horizontal="right" vertical="center" shrinkToFit="1"/>
    </xf>
    <xf numFmtId="217" fontId="67" fillId="0" borderId="0" xfId="0" applyNumberFormat="1" applyFont="1" applyBorder="1" applyAlignment="1">
      <alignment horizontal="center" vertical="center" shrinkToFit="1"/>
    </xf>
    <xf numFmtId="218" fontId="67" fillId="0" borderId="0" xfId="0" applyNumberFormat="1" applyFont="1" applyBorder="1" applyAlignment="1">
      <alignment horizontal="left" vertical="center"/>
    </xf>
    <xf numFmtId="217" fontId="67" fillId="0" borderId="0" xfId="0" applyNumberFormat="1" applyFont="1" applyBorder="1" applyAlignment="1">
      <alignment vertical="center" shrinkToFit="1"/>
    </xf>
    <xf numFmtId="193" fontId="67" fillId="0" borderId="0" xfId="0" applyNumberFormat="1" applyFont="1" applyBorder="1" applyAlignment="1">
      <alignment vertical="center" shrinkToFit="1"/>
    </xf>
    <xf numFmtId="201" fontId="67" fillId="0" borderId="0" xfId="0" applyNumberFormat="1" applyFont="1" applyBorder="1" applyAlignment="1">
      <alignment vertical="center" shrinkToFit="1"/>
    </xf>
    <xf numFmtId="2" fontId="80" fillId="32" borderId="65" xfId="86" applyNumberFormat="1" applyFont="1" applyFill="1" applyBorder="1" applyAlignment="1">
      <alignment horizontal="center" vertical="center" wrapText="1"/>
    </xf>
    <xf numFmtId="195" fontId="80" fillId="31" borderId="65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9" fontId="102" fillId="37" borderId="39" xfId="11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shrinkToFit="1"/>
    </xf>
    <xf numFmtId="0" fontId="81" fillId="28" borderId="65" xfId="0" applyNumberFormat="1" applyFont="1" applyFill="1" applyBorder="1" applyAlignment="1">
      <alignment horizontal="center" vertical="center" shrinkToFit="1"/>
    </xf>
    <xf numFmtId="0" fontId="81" fillId="28" borderId="65" xfId="0" quotePrefix="1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0" xfId="0" applyNumberFormat="1" applyFont="1" applyFill="1" applyBorder="1" applyAlignment="1">
      <alignment horizontal="center" vertical="center" wrapText="1"/>
    </xf>
    <xf numFmtId="0" fontId="81" fillId="28" borderId="49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104" fillId="28" borderId="65" xfId="0" applyNumberFormat="1" applyFont="1" applyFill="1" applyBorder="1" applyAlignment="1">
      <alignment horizontal="center" vertical="center"/>
    </xf>
    <xf numFmtId="220" fontId="80" fillId="0" borderId="65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0" fillId="38" borderId="65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5" xfId="0" applyNumberFormat="1" applyFont="1" applyFill="1" applyBorder="1" applyAlignment="1">
      <alignment horizontal="center" vertical="center" wrapText="1"/>
    </xf>
    <xf numFmtId="0" fontId="105" fillId="35" borderId="49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shrinkToFit="1"/>
    </xf>
    <xf numFmtId="2" fontId="67" fillId="0" borderId="39" xfId="0" applyNumberFormat="1" applyFont="1" applyBorder="1" applyAlignment="1">
      <alignment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19" fontId="60" fillId="37" borderId="0" xfId="0" applyNumberFormat="1" applyFont="1" applyFill="1" applyBorder="1" applyAlignment="1">
      <alignment horizontal="center" vertical="center" wrapText="1"/>
    </xf>
    <xf numFmtId="219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19" fontId="48" fillId="37" borderId="0" xfId="0" applyNumberFormat="1" applyFont="1" applyFill="1" applyAlignment="1">
      <alignment horizontal="center" vertical="center"/>
    </xf>
    <xf numFmtId="219" fontId="48" fillId="37" borderId="39" xfId="0" applyNumberFormat="1" applyFont="1" applyFill="1" applyBorder="1" applyAlignment="1">
      <alignment horizontal="center" vertical="center"/>
    </xf>
    <xf numFmtId="219" fontId="102" fillId="37" borderId="0" xfId="113" applyNumberFormat="1" applyFont="1" applyFill="1" applyBorder="1" applyAlignment="1">
      <alignment horizontal="center" vertical="center" wrapText="1"/>
    </xf>
    <xf numFmtId="219" fontId="102" fillId="37" borderId="39" xfId="113" applyNumberFormat="1" applyFont="1" applyFill="1" applyBorder="1" applyAlignment="1">
      <alignment horizontal="center" vertical="center" wrapText="1"/>
    </xf>
    <xf numFmtId="219" fontId="102" fillId="37" borderId="0" xfId="113" applyNumberFormat="1" applyFont="1" applyFill="1" applyBorder="1" applyAlignment="1">
      <alignment horizontal="center" vertical="center"/>
    </xf>
    <xf numFmtId="219" fontId="102" fillId="37" borderId="39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19" fontId="48" fillId="37" borderId="0" xfId="0" applyNumberFormat="1" applyFont="1" applyFill="1" applyBorder="1" applyAlignment="1">
      <alignment horizontal="center" vertical="center"/>
    </xf>
    <xf numFmtId="219" fontId="60" fillId="37" borderId="0" xfId="0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60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5" fontId="67" fillId="0" borderId="39" xfId="0" applyNumberFormat="1" applyFont="1" applyBorder="1" applyAlignment="1">
      <alignment horizontal="center" vertical="center"/>
    </xf>
    <xf numFmtId="192" fontId="67" fillId="0" borderId="58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0" fontId="67" fillId="0" borderId="45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215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195" fontId="67" fillId="0" borderId="54" xfId="0" applyNumberFormat="1" applyFont="1" applyBorder="1" applyAlignment="1">
      <alignment vertical="center"/>
    </xf>
    <xf numFmtId="195" fontId="67" fillId="0" borderId="58" xfId="0" applyNumberFormat="1" applyFont="1" applyBorder="1" applyAlignment="1">
      <alignment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216" fontId="67" fillId="0" borderId="54" xfId="0" applyNumberFormat="1" applyFont="1" applyBorder="1" applyAlignment="1">
      <alignment vertical="center"/>
    </xf>
    <xf numFmtId="216" fontId="67" fillId="0" borderId="58" xfId="0" applyNumberFormat="1" applyFont="1" applyBorder="1" applyAlignment="1">
      <alignment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192" fontId="67" fillId="0" borderId="55" xfId="0" applyNumberFormat="1" applyFont="1" applyBorder="1" applyAlignment="1">
      <alignment vertical="center"/>
    </xf>
    <xf numFmtId="0" fontId="67" fillId="0" borderId="54" xfId="0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67" fillId="0" borderId="58" xfId="0" applyFont="1" applyBorder="1" applyAlignment="1">
      <alignment horizontal="left" vertical="center"/>
    </xf>
    <xf numFmtId="0" fontId="67" fillId="0" borderId="55" xfId="0" applyFont="1" applyBorder="1" applyAlignment="1">
      <alignment horizontal="left" vertical="center"/>
    </xf>
    <xf numFmtId="0" fontId="67" fillId="0" borderId="56" xfId="0" applyFont="1" applyBorder="1" applyAlignment="1">
      <alignment horizontal="center" vertical="center"/>
    </xf>
    <xf numFmtId="0" fontId="69" fillId="0" borderId="57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48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15" fontId="67" fillId="0" borderId="54" xfId="0" applyNumberFormat="1" applyFont="1" applyBorder="1" applyAlignment="1">
      <alignment vertical="center"/>
    </xf>
    <xf numFmtId="215" fontId="67" fillId="0" borderId="58" xfId="0" applyNumberFormat="1" applyFont="1" applyBorder="1" applyAlignment="1">
      <alignment vertical="center"/>
    </xf>
    <xf numFmtId="0" fontId="52" fillId="32" borderId="45" xfId="0" applyNumberFormat="1" applyFont="1" applyFill="1" applyBorder="1" applyAlignment="1">
      <alignment horizontal="center" vertical="center" shrinkToFit="1"/>
    </xf>
    <xf numFmtId="0" fontId="67" fillId="0" borderId="45" xfId="0" applyNumberFormat="1" applyFont="1" applyBorder="1" applyAlignment="1">
      <alignment horizontal="center" vertical="center" shrinkToFit="1"/>
    </xf>
    <xf numFmtId="0" fontId="52" fillId="32" borderId="54" xfId="0" applyNumberFormat="1" applyFont="1" applyFill="1" applyBorder="1" applyAlignment="1">
      <alignment horizontal="center" vertical="center" shrinkToFit="1"/>
    </xf>
    <xf numFmtId="0" fontId="52" fillId="32" borderId="58" xfId="0" applyNumberFormat="1" applyFont="1" applyFill="1" applyBorder="1" applyAlignment="1">
      <alignment horizontal="center" vertical="center" shrinkToFit="1"/>
    </xf>
    <xf numFmtId="0" fontId="52" fillId="32" borderId="55" xfId="0" applyNumberFormat="1" applyFont="1" applyFill="1" applyBorder="1" applyAlignment="1">
      <alignment horizontal="center" vertical="center" shrinkToFit="1"/>
    </xf>
    <xf numFmtId="0" fontId="52" fillId="32" borderId="54" xfId="0" applyNumberFormat="1" applyFont="1" applyFill="1" applyBorder="1" applyAlignment="1">
      <alignment horizontal="center" vertical="center"/>
    </xf>
    <xf numFmtId="0" fontId="52" fillId="32" borderId="58" xfId="0" applyNumberFormat="1" applyFont="1" applyFill="1" applyBorder="1" applyAlignment="1">
      <alignment horizontal="center" vertical="center"/>
    </xf>
    <xf numFmtId="0" fontId="52" fillId="32" borderId="55" xfId="0" applyNumberFormat="1" applyFont="1" applyFill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 shrinkToFit="1"/>
    </xf>
    <xf numFmtId="0" fontId="67" fillId="0" borderId="58" xfId="0" applyNumberFormat="1" applyFont="1" applyBorder="1" applyAlignment="1">
      <alignment horizontal="center" vertical="center" shrinkToFit="1"/>
    </xf>
    <xf numFmtId="0" fontId="67" fillId="0" borderId="55" xfId="0" applyNumberFormat="1" applyFont="1" applyBorder="1" applyAlignment="1">
      <alignment horizontal="center" vertical="center" shrinkToFit="1"/>
    </xf>
    <xf numFmtId="0" fontId="52" fillId="29" borderId="54" xfId="0" applyNumberFormat="1" applyFont="1" applyFill="1" applyBorder="1" applyAlignment="1">
      <alignment horizontal="center" vertical="center"/>
    </xf>
    <xf numFmtId="0" fontId="52" fillId="29" borderId="58" xfId="0" applyNumberFormat="1" applyFont="1" applyFill="1" applyBorder="1" applyAlignment="1">
      <alignment horizontal="center" vertical="center"/>
    </xf>
    <xf numFmtId="0" fontId="52" fillId="29" borderId="55" xfId="0" applyNumberFormat="1" applyFont="1" applyFill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horizontal="right" vertical="center"/>
    </xf>
    <xf numFmtId="0" fontId="52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201" fontId="69" fillId="0" borderId="0" xfId="0" applyNumberFormat="1" applyFont="1" applyBorder="1" applyAlignment="1">
      <alignment horizontal="right" vertical="center"/>
    </xf>
    <xf numFmtId="205" fontId="65" fillId="0" borderId="39" xfId="0" applyNumberFormat="1" applyFont="1" applyBorder="1" applyAlignment="1">
      <alignment horizontal="center" vertical="center"/>
    </xf>
    <xf numFmtId="205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39" xfId="0" applyFont="1" applyBorder="1" applyAlignment="1">
      <alignment horizontal="center"/>
    </xf>
    <xf numFmtId="205" fontId="67" fillId="0" borderId="0" xfId="0" applyNumberFormat="1" applyFont="1" applyBorder="1" applyAlignment="1">
      <alignment vertical="center"/>
    </xf>
    <xf numFmtId="0" fontId="67" fillId="0" borderId="41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 shrinkToFit="1"/>
    </xf>
    <xf numFmtId="0" fontId="69" fillId="0" borderId="0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right" vertical="center"/>
    </xf>
    <xf numFmtId="215" fontId="67" fillId="0" borderId="0" xfId="0" applyNumberFormat="1" applyFont="1" applyBorder="1" applyAlignment="1">
      <alignment horizontal="right" vertical="center"/>
    </xf>
    <xf numFmtId="195" fontId="67" fillId="0" borderId="39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center" vertical="center"/>
    </xf>
    <xf numFmtId="221" fontId="67" fillId="0" borderId="0" xfId="0" applyNumberFormat="1" applyFont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  <xf numFmtId="213" fontId="52" fillId="0" borderId="56" xfId="87" applyNumberFormat="1" applyFont="1" applyBorder="1" applyAlignment="1">
      <alignment horizontal="center" vertical="center"/>
    </xf>
    <xf numFmtId="213" fontId="52" fillId="0" borderId="71" xfId="87" applyNumberFormat="1" applyFont="1" applyBorder="1" applyAlignment="1">
      <alignment horizontal="center" vertical="center"/>
    </xf>
    <xf numFmtId="213" fontId="52" fillId="0" borderId="57" xfId="87" applyNumberFormat="1" applyFont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 wrapText="1"/>
    </xf>
    <xf numFmtId="0" fontId="81" fillId="28" borderId="60" xfId="0" applyNumberFormat="1" applyFont="1" applyFill="1" applyBorder="1" applyAlignment="1">
      <alignment horizontal="center" vertical="center" wrapText="1"/>
    </xf>
    <xf numFmtId="0" fontId="81" fillId="28" borderId="49" xfId="0" applyNumberFormat="1" applyFont="1" applyFill="1" applyBorder="1" applyAlignment="1">
      <alignment horizontal="center" vertical="center" wrapText="1"/>
    </xf>
    <xf numFmtId="0" fontId="81" fillId="28" borderId="60" xfId="0" applyNumberFormat="1" applyFont="1" applyFill="1" applyBorder="1" applyAlignment="1">
      <alignment horizontal="center" vertical="center"/>
    </xf>
    <xf numFmtId="0" fontId="81" fillId="28" borderId="49" xfId="0" applyNumberFormat="1" applyFont="1" applyFill="1" applyBorder="1" applyAlignment="1">
      <alignment horizontal="center" vertical="center"/>
    </xf>
    <xf numFmtId="0" fontId="81" fillId="28" borderId="70" xfId="0" applyNumberFormat="1" applyFont="1" applyFill="1" applyBorder="1" applyAlignment="1">
      <alignment horizontal="center" vertical="center"/>
    </xf>
    <xf numFmtId="0" fontId="81" fillId="28" borderId="65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4" xfId="0" applyNumberFormat="1" applyFont="1" applyFill="1" applyBorder="1" applyAlignment="1">
      <alignment horizontal="center" vertical="center"/>
    </xf>
    <xf numFmtId="189" fontId="80" fillId="0" borderId="65" xfId="0" applyNumberFormat="1" applyFont="1" applyFill="1" applyBorder="1" applyAlignment="1">
      <alignment horizontal="center" vertical="center"/>
    </xf>
    <xf numFmtId="188" fontId="80" fillId="32" borderId="60" xfId="86" applyNumberFormat="1" applyFont="1" applyFill="1" applyBorder="1" applyAlignment="1">
      <alignment horizontal="center" vertical="center" wrapText="1"/>
    </xf>
    <xf numFmtId="188" fontId="80" fillId="32" borderId="49" xfId="86" applyNumberFormat="1" applyFont="1" applyFill="1" applyBorder="1" applyAlignment="1">
      <alignment horizontal="center" vertical="center" wrapText="1"/>
    </xf>
    <xf numFmtId="0" fontId="81" fillId="28" borderId="43" xfId="0" applyNumberFormat="1" applyFont="1" applyFill="1" applyBorder="1" applyAlignment="1">
      <alignment horizontal="center" vertical="center" wrapText="1"/>
    </xf>
    <xf numFmtId="193" fontId="80" fillId="0" borderId="42" xfId="0" applyNumberFormat="1" applyFont="1" applyFill="1" applyBorder="1" applyAlignment="1">
      <alignment horizontal="center" vertical="center"/>
    </xf>
    <xf numFmtId="193" fontId="80" fillId="0" borderId="43" xfId="0" applyNumberFormat="1" applyFont="1" applyFill="1" applyBorder="1" applyAlignment="1">
      <alignment horizontal="center" vertical="center"/>
    </xf>
    <xf numFmtId="193" fontId="80" fillId="0" borderId="44" xfId="0" applyNumberFormat="1" applyFont="1" applyFill="1" applyBorder="1" applyAlignment="1">
      <alignment horizontal="center" vertical="center"/>
    </xf>
    <xf numFmtId="190" fontId="81" fillId="28" borderId="42" xfId="0" applyNumberFormat="1" applyFont="1" applyFill="1" applyBorder="1" applyAlignment="1">
      <alignment horizontal="center" vertical="center" wrapText="1"/>
    </xf>
    <xf numFmtId="190" fontId="81" fillId="28" borderId="44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 wrapText="1"/>
    </xf>
    <xf numFmtId="190" fontId="81" fillId="28" borderId="60" xfId="0" applyNumberFormat="1" applyFont="1" applyFill="1" applyBorder="1" applyAlignment="1">
      <alignment horizontal="center" vertical="center" wrapText="1"/>
    </xf>
    <xf numFmtId="190" fontId="81" fillId="28" borderId="49" xfId="0" applyNumberFormat="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38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38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37</xdr:row>
      <xdr:rowOff>9525</xdr:rowOff>
    </xdr:from>
    <xdr:to>
      <xdr:col>7</xdr:col>
      <xdr:colOff>267929</xdr:colOff>
      <xdr:row>37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92</xdr:row>
      <xdr:rowOff>57150</xdr:rowOff>
    </xdr:from>
    <xdr:ext cx="716991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1247775" y="28079700"/>
              <a:ext cx="716991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1247775" y="28079700"/>
              <a:ext cx="716991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𝑟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𝑟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48</xdr:row>
      <xdr:rowOff>4767</xdr:rowOff>
    </xdr:from>
    <xdr:ext cx="5629426" cy="700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314326" y="11358567"/>
              <a:ext cx="5629426" cy="700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314326" y="11358567"/>
              <a:ext cx="5629426" cy="700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𝑟=1,  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46</xdr:row>
      <xdr:rowOff>14286</xdr:rowOff>
    </xdr:from>
    <xdr:to>
      <xdr:col>51</xdr:col>
      <xdr:colOff>0</xdr:colOff>
      <xdr:row>47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161925" y="16130586"/>
              <a:ext cx="7610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161925" y="16130586"/>
              <a:ext cx="7610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=𝑐_(𝑙_𝑠)^2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9526</xdr:colOff>
      <xdr:row>32</xdr:row>
      <xdr:rowOff>80961</xdr:rowOff>
    </xdr:from>
    <xdr:to>
      <xdr:col>36</xdr:col>
      <xdr:colOff>9526</xdr:colOff>
      <xdr:row>33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>
              <a:spLocks noChangeAspect="1"/>
            </xdr:cNvSpPr>
          </xdr:nvSpPr>
          <xdr:spPr>
            <a:xfrm>
              <a:off x="161926" y="12863511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6" name="TextBox 65"/>
            <xdr:cNvSpPr txBox="1">
              <a:spLocks noChangeAspect="1"/>
            </xdr:cNvSpPr>
          </xdr:nvSpPr>
          <xdr:spPr>
            <a:xfrm>
              <a:off x="161926" y="12863511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𝐵_𝑥=𝑙_𝑠+𝑟−𝑙_𝑥−(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13</xdr:col>
      <xdr:colOff>38100</xdr:colOff>
      <xdr:row>73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019300" y="23517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019300" y="23517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73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2714625" y="23517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2714625" y="23517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142874</xdr:colOff>
      <xdr:row>76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1971674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1971674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95249</xdr:colOff>
      <xdr:row>76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5"/>
            <xdr:cNvSpPr txBox="1"/>
          </xdr:nvSpPr>
          <xdr:spPr>
            <a:xfrm>
              <a:off x="2686049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5"/>
            <xdr:cNvSpPr txBox="1"/>
          </xdr:nvSpPr>
          <xdr:spPr>
            <a:xfrm>
              <a:off x="2686049" y="2423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78</xdr:row>
      <xdr:rowOff>57150</xdr:rowOff>
    </xdr:from>
    <xdr:ext cx="75584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1228725" y="24745950"/>
              <a:ext cx="75584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1228725" y="24745950"/>
              <a:ext cx="75584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2019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2019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39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478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478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112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057525" y="44729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057525" y="44729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114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45237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452374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117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4590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4590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118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33524" y="46323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33524" y="463232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122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471297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471297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125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47796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477964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152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542734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542734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138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509397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509397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168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580834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580834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105</xdr:row>
      <xdr:rowOff>57150</xdr:rowOff>
    </xdr:from>
    <xdr:ext cx="774571" cy="350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25222200"/>
              <a:ext cx="774571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25222200"/>
              <a:ext cx="774571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183</xdr:row>
      <xdr:rowOff>57150</xdr:rowOff>
    </xdr:from>
    <xdr:ext cx="8953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5" y="61655325"/>
              <a:ext cx="8953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5" y="61655325"/>
              <a:ext cx="8953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127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48310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483108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150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53752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53752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133349</xdr:colOff>
      <xdr:row>136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145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14549" y="50434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155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5494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5494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55454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554545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166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24074" y="5757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24074" y="5757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103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276474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276474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103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3047999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3047999" y="306609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108</xdr:row>
      <xdr:rowOff>9525</xdr:rowOff>
    </xdr:from>
    <xdr:ext cx="213360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228725" y="31842075"/>
              <a:ext cx="213360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228725" y="31842075"/>
              <a:ext cx="213360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181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2305049" y="6115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2305049" y="6115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186</xdr:row>
      <xdr:rowOff>9525</xdr:rowOff>
    </xdr:from>
    <xdr:ext cx="22669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6232207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6232207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190</xdr:row>
      <xdr:rowOff>9525</xdr:rowOff>
    </xdr:from>
    <xdr:to>
      <xdr:col>38</xdr:col>
      <xdr:colOff>114300</xdr:colOff>
      <xdr:row>191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63274575"/>
              <a:ext cx="57435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63274575"/>
              <a:ext cx="57435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(𝑟)+𝑢^2 (𝑙_𝑥 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191</xdr:row>
      <xdr:rowOff>38101</xdr:rowOff>
    </xdr:from>
    <xdr:to>
      <xdr:col>10</xdr:col>
      <xdr:colOff>104775</xdr:colOff>
      <xdr:row>192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7524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7524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191</xdr:row>
      <xdr:rowOff>38101</xdr:rowOff>
    </xdr:from>
    <xdr:to>
      <xdr:col>17</xdr:col>
      <xdr:colOff>104775</xdr:colOff>
      <xdr:row>192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8192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8192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191</xdr:row>
      <xdr:rowOff>38101</xdr:rowOff>
    </xdr:from>
    <xdr:to>
      <xdr:col>24</xdr:col>
      <xdr:colOff>104775</xdr:colOff>
      <xdr:row>192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8860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886075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191</xdr:row>
      <xdr:rowOff>38101</xdr:rowOff>
    </xdr:from>
    <xdr:to>
      <xdr:col>31</xdr:col>
      <xdr:colOff>95250</xdr:colOff>
      <xdr:row>192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5010150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5010150" y="635412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142875</xdr:colOff>
      <xdr:row>191</xdr:row>
      <xdr:rowOff>28576</xdr:rowOff>
    </xdr:from>
    <xdr:to>
      <xdr:col>38</xdr:col>
      <xdr:colOff>104775</xdr:colOff>
      <xdr:row>191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6086475" y="63531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6086475" y="63531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192</xdr:row>
      <xdr:rowOff>28576</xdr:rowOff>
    </xdr:from>
    <xdr:to>
      <xdr:col>12</xdr:col>
      <xdr:colOff>104775</xdr:colOff>
      <xdr:row>192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0572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0572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192</xdr:row>
      <xdr:rowOff>28576</xdr:rowOff>
    </xdr:from>
    <xdr:to>
      <xdr:col>19</xdr:col>
      <xdr:colOff>104775</xdr:colOff>
      <xdr:row>192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1240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1240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193</xdr:row>
      <xdr:rowOff>38101</xdr:rowOff>
    </xdr:from>
    <xdr:to>
      <xdr:col>10</xdr:col>
      <xdr:colOff>104775</xdr:colOff>
      <xdr:row>194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752475" y="6401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752475" y="64017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7</xdr:col>
      <xdr:colOff>9525</xdr:colOff>
      <xdr:row>141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5"/>
            <xdr:cNvSpPr txBox="1"/>
          </xdr:nvSpPr>
          <xdr:spPr>
            <a:xfrm>
              <a:off x="1076325" y="51606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0" name="TextBox 5"/>
            <xdr:cNvSpPr txBox="1"/>
          </xdr:nvSpPr>
          <xdr:spPr>
            <a:xfrm>
              <a:off x="1076325" y="516064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171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5"/>
            <xdr:cNvSpPr txBox="1"/>
          </xdr:nvSpPr>
          <xdr:spPr>
            <a:xfrm>
              <a:off x="1076325" y="58750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5"/>
            <xdr:cNvSpPr txBox="1"/>
          </xdr:nvSpPr>
          <xdr:spPr>
            <a:xfrm>
              <a:off x="1076325" y="587502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9525</xdr:colOff>
      <xdr:row>111</xdr:row>
      <xdr:rowOff>38100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4"/>
            <xdr:cNvSpPr txBox="1"/>
          </xdr:nvSpPr>
          <xdr:spPr>
            <a:xfrm>
              <a:off x="3971925" y="4449127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4"/>
            <xdr:cNvSpPr txBox="1"/>
          </xdr:nvSpPr>
          <xdr:spPr>
            <a:xfrm>
              <a:off x="3971925" y="4449127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192</xdr:row>
      <xdr:rowOff>28576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31908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3190875" y="637698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1838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1838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104775</xdr:colOff>
      <xdr:row>201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/>
          </xdr:nvSpPr>
          <xdr:spPr>
            <a:xfrm>
              <a:off x="3305175" y="480583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177"/>
            <xdr:cNvSpPr txBox="1"/>
          </xdr:nvSpPr>
          <xdr:spPr>
            <a:xfrm>
              <a:off x="3305175" y="480583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2600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2600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3362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3362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4886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4886325" y="6544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198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61925" y="6521767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61925" y="6521767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990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990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2752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2752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3514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3514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9525</xdr:colOff>
      <xdr:row>202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4276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4276725" y="659177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2" t="s">
        <v>0</v>
      </c>
      <c r="B1" s="333"/>
      <c r="C1" s="333"/>
      <c r="D1" s="333"/>
      <c r="E1" s="333"/>
      <c r="F1" s="333"/>
      <c r="G1" s="333"/>
      <c r="H1" s="334"/>
      <c r="I1" s="335"/>
      <c r="J1" s="336"/>
    </row>
    <row r="2" spans="1:13" ht="12.95" customHeight="1">
      <c r="A2" s="312" t="s">
        <v>1</v>
      </c>
      <c r="B2" s="312"/>
      <c r="C2" s="312"/>
      <c r="D2" s="312"/>
      <c r="E2" s="312"/>
      <c r="F2" s="312"/>
      <c r="G2" s="312"/>
      <c r="H2" s="312"/>
      <c r="I2" s="312"/>
      <c r="J2" s="312"/>
    </row>
    <row r="3" spans="1:13" ht="12.95" customHeight="1">
      <c r="A3" s="313" t="s">
        <v>2</v>
      </c>
      <c r="B3" s="314"/>
      <c r="C3" s="337"/>
      <c r="D3" s="337"/>
      <c r="E3" s="337"/>
      <c r="F3" s="314" t="s">
        <v>3</v>
      </c>
      <c r="G3" s="314"/>
      <c r="H3" s="328"/>
      <c r="I3" s="327"/>
      <c r="J3" s="327"/>
    </row>
    <row r="4" spans="1:13" ht="12.95" customHeight="1">
      <c r="A4" s="314" t="s">
        <v>4</v>
      </c>
      <c r="B4" s="314"/>
      <c r="C4" s="338"/>
      <c r="D4" s="314"/>
      <c r="E4" s="314"/>
      <c r="F4" s="314" t="s">
        <v>5</v>
      </c>
      <c r="G4" s="314"/>
      <c r="H4" s="314"/>
      <c r="I4" s="327"/>
      <c r="J4" s="327"/>
    </row>
    <row r="5" spans="1:13" ht="12.95" customHeight="1">
      <c r="A5" s="314" t="s">
        <v>6</v>
      </c>
      <c r="B5" s="314"/>
      <c r="C5" s="314"/>
      <c r="D5" s="327"/>
      <c r="E5" s="327"/>
      <c r="F5" s="313" t="s">
        <v>7</v>
      </c>
      <c r="G5" s="314"/>
      <c r="H5" s="315"/>
      <c r="I5" s="316"/>
      <c r="J5" s="316"/>
    </row>
    <row r="6" spans="1:13" ht="12.95" customHeight="1">
      <c r="A6" s="314" t="s">
        <v>8</v>
      </c>
      <c r="B6" s="314"/>
      <c r="C6" s="314"/>
      <c r="D6" s="327"/>
      <c r="E6" s="327"/>
      <c r="F6" s="313" t="s">
        <v>9</v>
      </c>
      <c r="G6" s="314"/>
      <c r="H6" s="315"/>
      <c r="I6" s="316"/>
      <c r="J6" s="316"/>
    </row>
    <row r="7" spans="1:13" ht="12.95" customHeight="1">
      <c r="A7" s="314" t="s">
        <v>10</v>
      </c>
      <c r="B7" s="314"/>
      <c r="C7" s="330"/>
      <c r="D7" s="327"/>
      <c r="E7" s="327"/>
      <c r="F7" s="313" t="s">
        <v>11</v>
      </c>
      <c r="G7" s="314"/>
      <c r="H7" s="314"/>
      <c r="I7" s="327"/>
      <c r="J7" s="327"/>
    </row>
    <row r="8" spans="1:13" ht="12.95" customHeight="1">
      <c r="A8" s="314" t="s">
        <v>12</v>
      </c>
      <c r="B8" s="314"/>
      <c r="C8" s="328"/>
      <c r="D8" s="329"/>
      <c r="E8" s="329"/>
      <c r="F8" s="313" t="s">
        <v>13</v>
      </c>
      <c r="G8" s="314"/>
      <c r="H8" s="314"/>
      <c r="I8" s="327"/>
      <c r="J8" s="327"/>
    </row>
    <row r="9" spans="1:13" ht="12.95" customHeight="1">
      <c r="A9" s="313" t="s">
        <v>35</v>
      </c>
      <c r="B9" s="314"/>
      <c r="C9" s="315"/>
      <c r="D9" s="316"/>
      <c r="E9" s="316"/>
      <c r="F9" s="331" t="s">
        <v>14</v>
      </c>
      <c r="G9" s="331"/>
      <c r="H9" s="315"/>
      <c r="I9" s="316"/>
      <c r="J9" s="316"/>
    </row>
    <row r="10" spans="1:13" ht="23.25" customHeight="1">
      <c r="A10" s="314" t="s">
        <v>15</v>
      </c>
      <c r="B10" s="314"/>
      <c r="C10" s="315"/>
      <c r="D10" s="316"/>
      <c r="E10" s="316"/>
      <c r="F10" s="314" t="s">
        <v>16</v>
      </c>
      <c r="G10" s="314"/>
      <c r="H10" s="34"/>
      <c r="I10" s="319" t="s">
        <v>17</v>
      </c>
      <c r="J10" s="320"/>
      <c r="K10" s="4"/>
    </row>
    <row r="11" spans="1:13" ht="12.95" customHeight="1">
      <c r="A11" s="312" t="s">
        <v>18</v>
      </c>
      <c r="B11" s="312"/>
      <c r="C11" s="312"/>
      <c r="D11" s="312"/>
      <c r="E11" s="312"/>
      <c r="F11" s="312"/>
      <c r="G11" s="312"/>
      <c r="H11" s="312"/>
      <c r="I11" s="312"/>
      <c r="J11" s="312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21" t="s">
        <v>22</v>
      </c>
      <c r="H12" s="317"/>
      <c r="I12" s="323" t="s">
        <v>23</v>
      </c>
      <c r="J12" s="324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22"/>
      <c r="H13" s="318"/>
      <c r="I13" s="325"/>
      <c r="J13" s="326"/>
      <c r="K13" s="5"/>
    </row>
    <row r="14" spans="1:13" ht="12.95" customHeight="1">
      <c r="A14" s="312" t="s">
        <v>27</v>
      </c>
      <c r="B14" s="312"/>
      <c r="C14" s="312"/>
      <c r="D14" s="312"/>
      <c r="E14" s="312"/>
      <c r="F14" s="312"/>
      <c r="G14" s="312"/>
      <c r="H14" s="312"/>
      <c r="I14" s="312"/>
      <c r="J14" s="312"/>
      <c r="K14" s="5"/>
    </row>
    <row r="15" spans="1:13" ht="39" customHeight="1">
      <c r="A15" s="309"/>
      <c r="B15" s="310"/>
      <c r="C15" s="310"/>
      <c r="D15" s="310"/>
      <c r="E15" s="310"/>
      <c r="F15" s="310"/>
      <c r="G15" s="310"/>
      <c r="H15" s="310"/>
      <c r="I15" s="310"/>
      <c r="J15" s="311"/>
    </row>
    <row r="16" spans="1:13" ht="12.95" customHeight="1">
      <c r="A16" s="312" t="s">
        <v>28</v>
      </c>
      <c r="B16" s="312"/>
      <c r="C16" s="312"/>
      <c r="D16" s="312"/>
      <c r="E16" s="312"/>
      <c r="F16" s="312"/>
      <c r="G16" s="312"/>
      <c r="H16" s="312"/>
      <c r="I16" s="312"/>
      <c r="J16" s="312"/>
    </row>
    <row r="17" spans="1:12" ht="12.95" customHeight="1">
      <c r="A17" s="3" t="s">
        <v>29</v>
      </c>
      <c r="B17" s="313" t="s">
        <v>30</v>
      </c>
      <c r="C17" s="314"/>
      <c r="D17" s="314"/>
      <c r="E17" s="314"/>
      <c r="F17" s="313" t="s">
        <v>31</v>
      </c>
      <c r="G17" s="314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7"/>
      <c r="C18" s="308"/>
      <c r="D18" s="308"/>
      <c r="E18" s="308"/>
      <c r="F18" s="307"/>
      <c r="G18" s="308"/>
      <c r="H18" s="40"/>
      <c r="I18" s="18"/>
      <c r="J18" s="87"/>
      <c r="L18" s="5"/>
    </row>
    <row r="19" spans="1:12" ht="12.95" customHeight="1">
      <c r="A19" s="35"/>
      <c r="B19" s="307"/>
      <c r="C19" s="308"/>
      <c r="D19" s="308"/>
      <c r="E19" s="308"/>
      <c r="F19" s="307"/>
      <c r="G19" s="308"/>
      <c r="H19" s="21"/>
      <c r="I19" s="21"/>
      <c r="J19" s="87"/>
      <c r="L19" s="5"/>
    </row>
    <row r="20" spans="1:12" ht="12.95" customHeight="1">
      <c r="A20" s="35"/>
      <c r="B20" s="307"/>
      <c r="C20" s="308"/>
      <c r="D20" s="308"/>
      <c r="E20" s="308"/>
      <c r="F20" s="307"/>
      <c r="G20" s="308"/>
      <c r="H20" s="32"/>
      <c r="I20" s="32"/>
      <c r="J20" s="87"/>
      <c r="L20" s="5"/>
    </row>
    <row r="21" spans="1:12" ht="12.95" customHeight="1">
      <c r="A21" s="35"/>
      <c r="B21" s="307"/>
      <c r="C21" s="308"/>
      <c r="D21" s="308"/>
      <c r="E21" s="308"/>
      <c r="F21" s="307"/>
      <c r="G21" s="308"/>
      <c r="H21" s="32"/>
      <c r="I21" s="9"/>
      <c r="J21" s="87"/>
      <c r="L21" s="5"/>
    </row>
    <row r="22" spans="1:12" ht="12.95" customHeight="1">
      <c r="A22" s="35"/>
      <c r="B22" s="307"/>
      <c r="C22" s="308"/>
      <c r="D22" s="308"/>
      <c r="E22" s="308"/>
      <c r="F22" s="307"/>
      <c r="G22" s="308"/>
      <c r="H22" s="20"/>
      <c r="I22" s="11"/>
      <c r="J22" s="87"/>
      <c r="L22" s="5"/>
    </row>
    <row r="23" spans="1:12" ht="12.95" customHeight="1">
      <c r="A23" s="35"/>
      <c r="B23" s="307"/>
      <c r="C23" s="308"/>
      <c r="D23" s="308"/>
      <c r="E23" s="308"/>
      <c r="F23" s="307"/>
      <c r="G23" s="308"/>
      <c r="H23" s="11"/>
      <c r="I23" s="9"/>
      <c r="J23" s="87"/>
      <c r="L23" s="5"/>
    </row>
    <row r="24" spans="1:12" ht="12.95" customHeight="1">
      <c r="A24" s="35"/>
      <c r="B24" s="307"/>
      <c r="C24" s="308"/>
      <c r="D24" s="308"/>
      <c r="E24" s="308"/>
      <c r="F24" s="307"/>
      <c r="G24" s="308"/>
      <c r="H24" s="16"/>
      <c r="I24" s="9"/>
      <c r="J24" s="87"/>
      <c r="L24" s="5"/>
    </row>
    <row r="25" spans="1:12" ht="12.95" customHeight="1">
      <c r="A25" s="35"/>
      <c r="B25" s="307"/>
      <c r="C25" s="308"/>
      <c r="D25" s="308"/>
      <c r="E25" s="308"/>
      <c r="F25" s="307"/>
      <c r="G25" s="308"/>
      <c r="H25" s="16"/>
      <c r="I25" s="9"/>
      <c r="J25" s="87"/>
      <c r="L25" s="5"/>
    </row>
    <row r="26" spans="1:12" ht="12.95" customHeight="1">
      <c r="A26" s="35"/>
      <c r="B26" s="307"/>
      <c r="C26" s="308"/>
      <c r="D26" s="308"/>
      <c r="E26" s="308"/>
      <c r="F26" s="307"/>
      <c r="G26" s="308"/>
      <c r="H26" s="16"/>
      <c r="I26" s="9"/>
      <c r="J26" s="87"/>
      <c r="L26" s="5"/>
    </row>
    <row r="27" spans="1:12" ht="12.95" customHeight="1">
      <c r="A27" s="35"/>
      <c r="B27" s="307"/>
      <c r="C27" s="308"/>
      <c r="D27" s="308"/>
      <c r="E27" s="308"/>
      <c r="F27" s="307"/>
      <c r="G27" s="308"/>
      <c r="H27" s="9"/>
      <c r="I27" s="9"/>
      <c r="J27" s="87"/>
    </row>
    <row r="28" spans="1:12" ht="12.95" customHeight="1">
      <c r="A28" s="35"/>
      <c r="B28" s="307"/>
      <c r="C28" s="308"/>
      <c r="D28" s="308"/>
      <c r="E28" s="308"/>
      <c r="F28" s="307"/>
      <c r="G28" s="308"/>
      <c r="H28" s="9"/>
      <c r="I28" s="9"/>
      <c r="J28" s="87"/>
    </row>
    <row r="29" spans="1:12" ht="12.95" customHeight="1">
      <c r="A29" s="35"/>
      <c r="B29" s="307"/>
      <c r="C29" s="308"/>
      <c r="D29" s="308"/>
      <c r="E29" s="308"/>
      <c r="F29" s="307"/>
      <c r="G29" s="308"/>
      <c r="H29" s="9"/>
      <c r="I29" s="9"/>
      <c r="J29" s="87"/>
    </row>
    <row r="30" spans="1:12" ht="12.95" customHeight="1">
      <c r="A30" s="35"/>
      <c r="B30" s="307"/>
      <c r="C30" s="308"/>
      <c r="D30" s="308"/>
      <c r="E30" s="308"/>
      <c r="F30" s="307"/>
      <c r="G30" s="308"/>
      <c r="H30" s="9"/>
      <c r="I30" s="9"/>
      <c r="J30" s="87"/>
    </row>
    <row r="31" spans="1:12" ht="12.95" customHeight="1">
      <c r="A31" s="35"/>
      <c r="B31" s="307"/>
      <c r="C31" s="308"/>
      <c r="D31" s="308"/>
      <c r="E31" s="308"/>
      <c r="F31" s="307"/>
      <c r="G31" s="308"/>
      <c r="H31" s="9"/>
      <c r="I31" s="9"/>
      <c r="J31" s="87"/>
    </row>
    <row r="32" spans="1:12" ht="12.95" customHeight="1">
      <c r="A32" s="35"/>
      <c r="B32" s="307"/>
      <c r="C32" s="308"/>
      <c r="D32" s="308"/>
      <c r="E32" s="308"/>
      <c r="F32" s="307"/>
      <c r="G32" s="308"/>
      <c r="H32" s="9"/>
      <c r="I32" s="9"/>
      <c r="J32" s="87"/>
    </row>
    <row r="33" spans="1:10" ht="12.95" customHeight="1">
      <c r="A33" s="35"/>
      <c r="B33" s="307"/>
      <c r="C33" s="308"/>
      <c r="D33" s="308"/>
      <c r="E33" s="308"/>
      <c r="F33" s="307"/>
      <c r="G33" s="308"/>
      <c r="H33" s="9"/>
      <c r="I33" s="9"/>
      <c r="J33" s="87"/>
    </row>
    <row r="34" spans="1:10" ht="12.95" customHeight="1">
      <c r="A34" s="35"/>
      <c r="B34" s="307"/>
      <c r="C34" s="308"/>
      <c r="D34" s="308"/>
      <c r="E34" s="308"/>
      <c r="F34" s="307"/>
      <c r="G34" s="308"/>
      <c r="H34" s="9"/>
      <c r="I34" s="9"/>
      <c r="J34" s="87"/>
    </row>
    <row r="35" spans="1:10" ht="12.95" customHeight="1">
      <c r="A35" s="35"/>
      <c r="B35" s="307"/>
      <c r="C35" s="308"/>
      <c r="D35" s="308"/>
      <c r="E35" s="308"/>
      <c r="F35" s="307"/>
      <c r="G35" s="308"/>
      <c r="H35" s="9"/>
      <c r="I35" s="9"/>
      <c r="J35" s="87"/>
    </row>
    <row r="36" spans="1:10" ht="12.95" customHeight="1">
      <c r="A36" s="35"/>
      <c r="B36" s="307"/>
      <c r="C36" s="308"/>
      <c r="D36" s="308"/>
      <c r="E36" s="308"/>
      <c r="F36" s="307"/>
      <c r="G36" s="308"/>
      <c r="H36" s="9"/>
      <c r="I36" s="9"/>
      <c r="J36" s="87"/>
    </row>
    <row r="37" spans="1:10" ht="12.95" customHeight="1">
      <c r="A37" s="35"/>
      <c r="B37" s="307"/>
      <c r="C37" s="308"/>
      <c r="D37" s="308"/>
      <c r="E37" s="308"/>
      <c r="F37" s="307"/>
      <c r="G37" s="308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3" t="s">
        <v>37</v>
      </c>
      <c r="B39" s="293"/>
      <c r="C39" s="293"/>
      <c r="D39" s="293"/>
      <c r="E39" s="293"/>
      <c r="F39" s="294" t="s">
        <v>38</v>
      </c>
      <c r="G39" s="297"/>
      <c r="H39" s="298"/>
      <c r="I39" s="298"/>
      <c r="J39" s="299"/>
    </row>
    <row r="40" spans="1:10" ht="12.95" customHeight="1">
      <c r="A40" s="293" t="s">
        <v>39</v>
      </c>
      <c r="B40" s="293"/>
      <c r="C40" s="293"/>
      <c r="D40" s="293"/>
      <c r="E40" s="293"/>
      <c r="F40" s="295"/>
      <c r="G40" s="300"/>
      <c r="H40" s="301"/>
      <c r="I40" s="301"/>
      <c r="J40" s="302"/>
    </row>
    <row r="41" spans="1:10" ht="12.95" customHeight="1">
      <c r="A41" s="293" t="s">
        <v>40</v>
      </c>
      <c r="B41" s="293"/>
      <c r="C41" s="293"/>
      <c r="D41" s="293"/>
      <c r="E41" s="293"/>
      <c r="F41" s="295"/>
      <c r="G41" s="300"/>
      <c r="H41" s="301"/>
      <c r="I41" s="301"/>
      <c r="J41" s="302"/>
    </row>
    <row r="42" spans="1:10" ht="12.95" customHeight="1">
      <c r="A42" s="293" t="s">
        <v>41</v>
      </c>
      <c r="B42" s="293"/>
      <c r="C42" s="306" t="s">
        <v>42</v>
      </c>
      <c r="D42" s="306"/>
      <c r="E42" s="306"/>
      <c r="F42" s="296"/>
      <c r="G42" s="303"/>
      <c r="H42" s="304"/>
      <c r="I42" s="304"/>
      <c r="J42" s="305"/>
    </row>
    <row r="43" spans="1:10" ht="12.95" customHeight="1">
      <c r="A43" s="292" t="s">
        <v>52</v>
      </c>
      <c r="B43" s="292"/>
      <c r="C43" s="292" t="e">
        <f ca="1">Calcu!U3</f>
        <v>#N/A</v>
      </c>
      <c r="D43" s="292"/>
      <c r="E43" s="292"/>
    </row>
    <row r="46" spans="1:10" ht="12.95" customHeight="1">
      <c r="B46" s="1" t="s">
        <v>160</v>
      </c>
    </row>
    <row r="47" spans="1:10" ht="12.95" customHeight="1">
      <c r="B47" s="1" t="s">
        <v>161</v>
      </c>
    </row>
    <row r="48" spans="1:10" ht="12.95" customHeight="1">
      <c r="A48" s="1">
        <f>Calcu!R64</f>
        <v>0</v>
      </c>
      <c r="B48" s="1" t="s">
        <v>167</v>
      </c>
    </row>
    <row r="49" spans="1:2" ht="12.95" customHeight="1">
      <c r="A49" s="111"/>
    </row>
    <row r="50" spans="1:2" ht="12.95" customHeight="1">
      <c r="A50" s="1" t="str">
        <f>Calcu!V3</f>
        <v>PASS</v>
      </c>
      <c r="B50" s="1" t="s">
        <v>168</v>
      </c>
    </row>
    <row r="52" spans="1:2" ht="12.95" customHeight="1">
      <c r="B52" s="1" t="s">
        <v>340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17" t="s">
        <v>104</v>
      </c>
      <c r="B1" s="117" t="s">
        <v>65</v>
      </c>
      <c r="C1" s="117" t="s">
        <v>66</v>
      </c>
      <c r="D1" s="117" t="s">
        <v>105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106</v>
      </c>
      <c r="O1" s="117" t="s">
        <v>107</v>
      </c>
      <c r="P1" s="117" t="s">
        <v>67</v>
      </c>
      <c r="Q1" s="117" t="s">
        <v>108</v>
      </c>
      <c r="R1" s="117" t="s">
        <v>69</v>
      </c>
      <c r="S1" s="117" t="s">
        <v>68</v>
      </c>
      <c r="T1" s="117" t="s">
        <v>70</v>
      </c>
      <c r="U1" s="117" t="s">
        <v>109</v>
      </c>
      <c r="V1" s="117" t="s">
        <v>71</v>
      </c>
      <c r="W1" s="117" t="s">
        <v>72</v>
      </c>
      <c r="X1" s="117" t="s">
        <v>110</v>
      </c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 t="s">
        <v>111</v>
      </c>
      <c r="AJ1" s="172" t="s">
        <v>159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0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98</v>
      </c>
    </row>
    <row r="2" spans="1:17" s="12" customFormat="1" ht="17.100000000000001" customHeight="1">
      <c r="A2" s="17" t="s">
        <v>43</v>
      </c>
      <c r="C2" s="97" t="s">
        <v>62</v>
      </c>
      <c r="F2" s="97" t="s">
        <v>74</v>
      </c>
      <c r="J2" s="17" t="s">
        <v>44</v>
      </c>
      <c r="M2" s="17" t="s">
        <v>45</v>
      </c>
    </row>
    <row r="3" spans="1:17" s="12" customFormat="1" ht="13.5">
      <c r="A3" s="14" t="s">
        <v>179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61</v>
      </c>
      <c r="H3" s="14" t="s">
        <v>75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63</v>
      </c>
      <c r="N3" s="41" t="s">
        <v>64</v>
      </c>
      <c r="O3" s="113" t="s">
        <v>100</v>
      </c>
      <c r="P3" s="113" t="s">
        <v>101</v>
      </c>
      <c r="Q3" s="41" t="s">
        <v>102</v>
      </c>
    </row>
    <row r="4" spans="1:17" s="12" customFormat="1" ht="17.100000000000001" customHeight="1">
      <c r="A4" s="112"/>
      <c r="B4" s="112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112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112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112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112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112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112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112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112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112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112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112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112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112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112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2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2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2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2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2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103</v>
      </c>
    </row>
    <row r="26" spans="1:17" s="19" customFormat="1" ht="18" customHeight="1">
      <c r="A26" s="181" t="s">
        <v>163</v>
      </c>
      <c r="B26" s="181" t="s">
        <v>164</v>
      </c>
      <c r="C26" s="181" t="s">
        <v>165</v>
      </c>
      <c r="D26" s="181" t="s">
        <v>341</v>
      </c>
      <c r="E26" s="181" t="s">
        <v>342</v>
      </c>
      <c r="F26" s="181" t="s">
        <v>343</v>
      </c>
      <c r="G26" s="181" t="s">
        <v>85</v>
      </c>
      <c r="H26" s="181" t="s">
        <v>344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</row>
    <row r="47" spans="1:36" ht="17.100000000000001" customHeight="1">
      <c r="AE47" s="12"/>
      <c r="AF47" s="12"/>
      <c r="AG47" s="12"/>
      <c r="AH47" s="12"/>
      <c r="AI47" s="12"/>
      <c r="AJ47" s="12"/>
    </row>
    <row r="48" spans="1:36" ht="17.100000000000001" customHeight="1">
      <c r="A48" s="17" t="s">
        <v>190</v>
      </c>
      <c r="B48" s="12"/>
      <c r="C48" s="12"/>
      <c r="D48" s="12"/>
      <c r="E48" s="12"/>
      <c r="F48" s="12"/>
      <c r="G48" s="12"/>
      <c r="H48" s="12"/>
    </row>
    <row r="49" spans="1:36" ht="17.100000000000001" customHeight="1">
      <c r="A49" s="181" t="s">
        <v>181</v>
      </c>
      <c r="B49" s="181" t="s">
        <v>182</v>
      </c>
      <c r="C49" s="181" t="s">
        <v>183</v>
      </c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 t="s">
        <v>164</v>
      </c>
      <c r="O49" s="181" t="s">
        <v>184</v>
      </c>
      <c r="P49" s="181" t="s">
        <v>185</v>
      </c>
      <c r="Q49" s="181" t="s">
        <v>165</v>
      </c>
      <c r="R49" s="181" t="s">
        <v>186</v>
      </c>
      <c r="S49" s="181" t="s">
        <v>165</v>
      </c>
      <c r="T49" s="181" t="s">
        <v>180</v>
      </c>
      <c r="U49" s="181"/>
      <c r="V49" s="181" t="s">
        <v>187</v>
      </c>
      <c r="W49" s="181" t="s">
        <v>188</v>
      </c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 t="s">
        <v>189</v>
      </c>
      <c r="AJ49" s="181" t="s">
        <v>159</v>
      </c>
    </row>
    <row r="50" spans="1:36" ht="17.100000000000001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0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39" t="s">
        <v>34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47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47" customFormat="1" ht="12.75" customHeight="1">
      <c r="A3" s="48" t="s">
        <v>93</v>
      </c>
      <c r="B3" s="48"/>
      <c r="C3" s="48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2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94</v>
      </c>
      <c r="G11" s="38"/>
    </row>
    <row r="12" spans="1:12" ht="15" customHeight="1">
      <c r="F12" s="54" t="e">
        <f ca="1">"○ 교정범위 : ("&amp;Calcu!L3&amp;" ~ "&amp;Calcu!N3&amp;") mm"</f>
        <v>#N/A</v>
      </c>
      <c r="G12" s="54"/>
    </row>
    <row r="13" spans="1:12" ht="15" customHeight="1">
      <c r="A13" s="44"/>
      <c r="B13" s="44"/>
      <c r="C13" s="44"/>
      <c r="F13" s="54" t="str">
        <f ca="1">"○ 최소눈금 : "&amp;Calcu!P3&amp;" mm"</f>
        <v>○ 최소눈금 : 0 mm</v>
      </c>
      <c r="G13" s="54"/>
    </row>
    <row r="14" spans="1:12" ht="15" customHeight="1">
      <c r="A14" s="44"/>
      <c r="B14" s="44"/>
      <c r="C14" s="44"/>
    </row>
    <row r="15" spans="1:12" ht="15" customHeight="1">
      <c r="A15" s="44"/>
      <c r="B15" s="44"/>
      <c r="C15" s="44"/>
      <c r="F15" s="185" t="s">
        <v>121</v>
      </c>
      <c r="G15" s="185" t="s">
        <v>169</v>
      </c>
    </row>
    <row r="16" spans="1:12" ht="15" customHeight="1">
      <c r="A16" s="44"/>
      <c r="B16" s="43"/>
      <c r="C16" s="43"/>
      <c r="F16" s="184" t="s">
        <v>125</v>
      </c>
      <c r="G16" s="184" t="s">
        <v>125</v>
      </c>
    </row>
    <row r="17" spans="1:7" ht="15" customHeight="1">
      <c r="A17" s="44" t="str">
        <f>IF(Calcu!B9=TRUE,"","삭제")</f>
        <v>삭제</v>
      </c>
      <c r="B17" s="43"/>
      <c r="C17" s="43"/>
      <c r="F17" s="138" t="str">
        <f>Calcu!Z9</f>
        <v/>
      </c>
      <c r="G17" s="138" t="e">
        <f ca="1">Calcu!AB9</f>
        <v>#N/A</v>
      </c>
    </row>
    <row r="18" spans="1:7" ht="15" customHeight="1">
      <c r="A18" s="44" t="str">
        <f>IF(Calcu!B10=TRUE,"","삭제")</f>
        <v>삭제</v>
      </c>
      <c r="B18" s="43"/>
      <c r="C18" s="43"/>
      <c r="F18" s="138" t="str">
        <f>Calcu!Z10</f>
        <v/>
      </c>
      <c r="G18" s="138" t="e">
        <f ca="1">Calcu!AB10</f>
        <v>#N/A</v>
      </c>
    </row>
    <row r="19" spans="1:7" ht="15" customHeight="1">
      <c r="A19" s="44" t="str">
        <f>IF(Calcu!B11=TRUE,"","삭제")</f>
        <v>삭제</v>
      </c>
      <c r="B19" s="43"/>
      <c r="C19" s="43"/>
      <c r="F19" s="138" t="str">
        <f>Calcu!Z11</f>
        <v/>
      </c>
      <c r="G19" s="138" t="e">
        <f ca="1">Calcu!AB11</f>
        <v>#N/A</v>
      </c>
    </row>
    <row r="20" spans="1:7" ht="15" customHeight="1">
      <c r="A20" s="44" t="str">
        <f>IF(Calcu!B12=TRUE,"","삭제")</f>
        <v>삭제</v>
      </c>
      <c r="B20" s="43"/>
      <c r="C20" s="43"/>
      <c r="F20" s="138" t="str">
        <f>Calcu!Z12</f>
        <v/>
      </c>
      <c r="G20" s="138" t="e">
        <f ca="1">Calcu!AB12</f>
        <v>#N/A</v>
      </c>
    </row>
    <row r="21" spans="1:7" ht="15" customHeight="1">
      <c r="A21" s="44" t="str">
        <f>IF(Calcu!B13=TRUE,"","삭제")</f>
        <v>삭제</v>
      </c>
      <c r="B21" s="43"/>
      <c r="C21" s="43"/>
      <c r="F21" s="138" t="str">
        <f>Calcu!Z13</f>
        <v/>
      </c>
      <c r="G21" s="138" t="e">
        <f ca="1">Calcu!AB13</f>
        <v>#N/A</v>
      </c>
    </row>
    <row r="22" spans="1:7" ht="15" customHeight="1">
      <c r="A22" s="44" t="str">
        <f>IF(Calcu!B14=TRUE,"","삭제")</f>
        <v>삭제</v>
      </c>
      <c r="B22" s="43"/>
      <c r="C22" s="43"/>
      <c r="F22" s="138" t="str">
        <f>Calcu!Z14</f>
        <v/>
      </c>
      <c r="G22" s="138" t="e">
        <f ca="1">Calcu!AB14</f>
        <v>#N/A</v>
      </c>
    </row>
    <row r="23" spans="1:7" ht="15" customHeight="1">
      <c r="A23" s="44" t="str">
        <f>IF(Calcu!B15=TRUE,"","삭제")</f>
        <v>삭제</v>
      </c>
      <c r="B23" s="43"/>
      <c r="C23" s="43"/>
      <c r="F23" s="138" t="str">
        <f>Calcu!Z15</f>
        <v/>
      </c>
      <c r="G23" s="138" t="e">
        <f ca="1">Calcu!AB15</f>
        <v>#N/A</v>
      </c>
    </row>
    <row r="24" spans="1:7" ht="15" customHeight="1">
      <c r="A24" s="44" t="str">
        <f>IF(Calcu!B16=TRUE,"","삭제")</f>
        <v>삭제</v>
      </c>
      <c r="B24" s="43"/>
      <c r="C24" s="43"/>
      <c r="F24" s="138" t="str">
        <f>Calcu!Z16</f>
        <v/>
      </c>
      <c r="G24" s="138" t="e">
        <f ca="1">Calcu!AB16</f>
        <v>#N/A</v>
      </c>
    </row>
    <row r="25" spans="1:7" ht="15" customHeight="1">
      <c r="A25" s="44" t="str">
        <f>IF(Calcu!B17=TRUE,"","삭제")</f>
        <v>삭제</v>
      </c>
      <c r="B25" s="43"/>
      <c r="C25" s="43"/>
      <c r="F25" s="138" t="str">
        <f>Calcu!Z17</f>
        <v/>
      </c>
      <c r="G25" s="138" t="e">
        <f ca="1">Calcu!AB17</f>
        <v>#N/A</v>
      </c>
    </row>
    <row r="26" spans="1:7" ht="15" customHeight="1">
      <c r="A26" s="44" t="str">
        <f>IF(Calcu!B18=TRUE,"","삭제")</f>
        <v>삭제</v>
      </c>
      <c r="B26" s="43"/>
      <c r="C26" s="43"/>
      <c r="F26" s="138" t="str">
        <f>Calcu!Z18</f>
        <v/>
      </c>
      <c r="G26" s="138" t="e">
        <f ca="1">Calcu!AB18</f>
        <v>#N/A</v>
      </c>
    </row>
    <row r="27" spans="1:7" ht="15" customHeight="1">
      <c r="A27" s="44" t="str">
        <f>IF(Calcu!B19=TRUE,"","삭제")</f>
        <v>삭제</v>
      </c>
      <c r="B27" s="43"/>
      <c r="C27" s="43"/>
      <c r="F27" s="138" t="str">
        <f>Calcu!Z19</f>
        <v/>
      </c>
      <c r="G27" s="138" t="e">
        <f ca="1">Calcu!AB19</f>
        <v>#N/A</v>
      </c>
    </row>
    <row r="28" spans="1:7" ht="15" customHeight="1">
      <c r="A28" s="44" t="str">
        <f>IF(Calcu!B20=TRUE,"","삭제")</f>
        <v>삭제</v>
      </c>
      <c r="B28" s="43"/>
      <c r="C28" s="43"/>
      <c r="F28" s="138" t="str">
        <f>Calcu!Z20</f>
        <v/>
      </c>
      <c r="G28" s="138" t="e">
        <f ca="1">Calcu!AB20</f>
        <v>#N/A</v>
      </c>
    </row>
    <row r="29" spans="1:7" ht="15" customHeight="1">
      <c r="A29" s="44" t="str">
        <f>IF(Calcu!B21=TRUE,"","삭제")</f>
        <v>삭제</v>
      </c>
      <c r="B29" s="43"/>
      <c r="C29" s="43"/>
      <c r="F29" s="138" t="str">
        <f>Calcu!Z21</f>
        <v/>
      </c>
      <c r="G29" s="138" t="e">
        <f ca="1">Calcu!AB21</f>
        <v>#N/A</v>
      </c>
    </row>
    <row r="30" spans="1:7" ht="15" customHeight="1">
      <c r="A30" s="44" t="str">
        <f>IF(Calcu!B22=TRUE,"","삭제")</f>
        <v>삭제</v>
      </c>
      <c r="B30" s="43"/>
      <c r="C30" s="43"/>
      <c r="F30" s="138" t="str">
        <f>Calcu!Z22</f>
        <v/>
      </c>
      <c r="G30" s="138" t="e">
        <f ca="1">Calcu!AB22</f>
        <v>#N/A</v>
      </c>
    </row>
    <row r="31" spans="1:7" ht="15" customHeight="1">
      <c r="A31" s="44" t="str">
        <f>IF(Calcu!B23=TRUE,"","삭제")</f>
        <v>삭제</v>
      </c>
      <c r="B31" s="43"/>
      <c r="C31" s="43"/>
      <c r="F31" s="138" t="str">
        <f>Calcu!Z23</f>
        <v/>
      </c>
      <c r="G31" s="138" t="e">
        <f ca="1">Calcu!AB23</f>
        <v>#N/A</v>
      </c>
    </row>
    <row r="32" spans="1:7" ht="15" customHeight="1">
      <c r="A32" s="44" t="str">
        <f>IF(Calcu!B24=TRUE,"","삭제")</f>
        <v>삭제</v>
      </c>
      <c r="B32" s="43"/>
      <c r="C32" s="43"/>
      <c r="F32" s="138" t="str">
        <f>Calcu!Z24</f>
        <v/>
      </c>
      <c r="G32" s="138" t="e">
        <f ca="1">Calcu!AB24</f>
        <v>#N/A</v>
      </c>
    </row>
    <row r="33" spans="1:10" ht="15" customHeight="1">
      <c r="A33" s="44" t="str">
        <f>IF(Calcu!B25=TRUE,"","삭제")</f>
        <v>삭제</v>
      </c>
      <c r="B33" s="43"/>
      <c r="C33" s="43"/>
      <c r="F33" s="138" t="str">
        <f>Calcu!Z25</f>
        <v/>
      </c>
      <c r="G33" s="138" t="e">
        <f ca="1">Calcu!AB25</f>
        <v>#N/A</v>
      </c>
    </row>
    <row r="34" spans="1:10" ht="15" customHeight="1">
      <c r="A34" s="44" t="str">
        <f>IF(Calcu!B26=TRUE,"","삭제")</f>
        <v>삭제</v>
      </c>
      <c r="B34" s="43"/>
      <c r="C34" s="43"/>
      <c r="F34" s="138" t="str">
        <f>Calcu!Z26</f>
        <v/>
      </c>
      <c r="G34" s="138" t="e">
        <f ca="1">Calcu!AB26</f>
        <v>#N/A</v>
      </c>
    </row>
    <row r="35" spans="1:10" ht="15" customHeight="1">
      <c r="A35" s="44" t="str">
        <f>IF(Calcu!B27=TRUE,"","삭제")</f>
        <v>삭제</v>
      </c>
      <c r="B35" s="43"/>
      <c r="C35" s="43"/>
      <c r="F35" s="138" t="str">
        <f>Calcu!Z27</f>
        <v/>
      </c>
      <c r="G35" s="138" t="e">
        <f ca="1">Calcu!AB27</f>
        <v>#N/A</v>
      </c>
    </row>
    <row r="36" spans="1:10" ht="15" customHeight="1">
      <c r="A36" s="44" t="str">
        <f>IF(Calcu!B28=TRUE,"","삭제")</f>
        <v>삭제</v>
      </c>
      <c r="B36" s="43"/>
      <c r="C36" s="43"/>
      <c r="F36" s="138" t="str">
        <f>Calcu!Z28</f>
        <v/>
      </c>
      <c r="G36" s="138" t="e">
        <f ca="1">Calcu!AB28</f>
        <v>#N/A</v>
      </c>
    </row>
    <row r="37" spans="1:10" ht="15" customHeight="1">
      <c r="A37" s="44"/>
      <c r="F37" s="174"/>
      <c r="G37" s="174"/>
      <c r="H37" s="51"/>
    </row>
    <row r="38" spans="1:10" ht="15" customHeight="1">
      <c r="A38" s="44"/>
      <c r="F38" s="38" t="e">
        <f ca="1">"● 측정불확도 : "&amp;Calcu!T45</f>
        <v>#N/A</v>
      </c>
      <c r="G38" s="38"/>
      <c r="H38" s="38"/>
    </row>
    <row r="39" spans="1:10" ht="15" customHeight="1">
      <c r="A39" s="44"/>
      <c r="F39" s="53" t="e">
        <f ca="1">IF(Calcu!E55="사다리꼴","(신뢰수준 95 %,","(신뢰수준 약 95 %,")</f>
        <v>#N/A</v>
      </c>
      <c r="G39" s="182" t="e">
        <f ca="1">Calcu!E56&amp;IF(Calcu!E55="사다리꼴",", 사다리꼴 확률분포)",")")</f>
        <v>#N/A</v>
      </c>
      <c r="J39" s="50"/>
    </row>
    <row r="40" spans="1:10" ht="15" customHeight="1">
      <c r="F40" s="74"/>
      <c r="G40" s="74"/>
      <c r="H40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20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40" t="s">
        <v>58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</row>
    <row r="2" spans="1:12" s="81" customFormat="1" ht="33" customHeight="1">
      <c r="A2" s="340"/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91"/>
      <c r="C4" s="91"/>
      <c r="D4" s="80"/>
      <c r="E4" s="91"/>
      <c r="F4" s="79"/>
      <c r="G4" s="76"/>
      <c r="H4" s="78"/>
      <c r="I4" s="101"/>
      <c r="J4" s="77"/>
      <c r="K4" s="93"/>
      <c r="L4" s="76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92</v>
      </c>
    </row>
    <row r="12" spans="1:12" ht="15" customHeight="1">
      <c r="F12" s="54" t="e">
        <f ca="1">"○ Range : ("&amp;Calcu!L3&amp;" ~ "&amp;Calcu!N3&amp;") mm"</f>
        <v>#N/A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"&amp;Calcu!P3&amp;"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3"/>
      <c r="E15" s="43"/>
      <c r="F15" s="187" t="s">
        <v>216</v>
      </c>
      <c r="G15" s="187" t="s">
        <v>170</v>
      </c>
    </row>
    <row r="16" spans="1:12" ht="15" customHeight="1">
      <c r="A16" s="44"/>
      <c r="B16" s="44"/>
      <c r="C16" s="44"/>
      <c r="D16" s="43"/>
      <c r="E16" s="43"/>
      <c r="F16" s="186" t="s">
        <v>125</v>
      </c>
      <c r="G16" s="186" t="s">
        <v>125</v>
      </c>
    </row>
    <row r="17" spans="1:7" ht="15" customHeight="1">
      <c r="A17" s="44" t="str">
        <f>IF(Calcu!B9=TRUE,"","삭제")</f>
        <v>삭제</v>
      </c>
      <c r="B17" s="43"/>
      <c r="C17" s="43"/>
      <c r="F17" s="138" t="str">
        <f>Calcu!Z9</f>
        <v/>
      </c>
      <c r="G17" s="138" t="e">
        <f ca="1">Calcu!AB9</f>
        <v>#N/A</v>
      </c>
    </row>
    <row r="18" spans="1:7" ht="15" customHeight="1">
      <c r="A18" s="44" t="str">
        <f>IF(Calcu!B10=TRUE,"","삭제")</f>
        <v>삭제</v>
      </c>
      <c r="B18" s="43"/>
      <c r="C18" s="43"/>
      <c r="F18" s="138" t="str">
        <f>Calcu!Z10</f>
        <v/>
      </c>
      <c r="G18" s="138" t="e">
        <f ca="1">Calcu!AB10</f>
        <v>#N/A</v>
      </c>
    </row>
    <row r="19" spans="1:7" ht="15" customHeight="1">
      <c r="A19" s="44" t="str">
        <f>IF(Calcu!B11=TRUE,"","삭제")</f>
        <v>삭제</v>
      </c>
      <c r="B19" s="43"/>
      <c r="C19" s="43"/>
      <c r="F19" s="138" t="str">
        <f>Calcu!Z11</f>
        <v/>
      </c>
      <c r="G19" s="138" t="e">
        <f ca="1">Calcu!AB11</f>
        <v>#N/A</v>
      </c>
    </row>
    <row r="20" spans="1:7" ht="15" customHeight="1">
      <c r="A20" s="44" t="str">
        <f>IF(Calcu!B12=TRUE,"","삭제")</f>
        <v>삭제</v>
      </c>
      <c r="B20" s="43"/>
      <c r="C20" s="43"/>
      <c r="F20" s="138" t="str">
        <f>Calcu!Z12</f>
        <v/>
      </c>
      <c r="G20" s="138" t="e">
        <f ca="1">Calcu!AB12</f>
        <v>#N/A</v>
      </c>
    </row>
    <row r="21" spans="1:7" ht="15" customHeight="1">
      <c r="A21" s="44" t="str">
        <f>IF(Calcu!B13=TRUE,"","삭제")</f>
        <v>삭제</v>
      </c>
      <c r="B21" s="43"/>
      <c r="C21" s="43"/>
      <c r="F21" s="138" t="str">
        <f>Calcu!Z13</f>
        <v/>
      </c>
      <c r="G21" s="138" t="e">
        <f ca="1">Calcu!AB13</f>
        <v>#N/A</v>
      </c>
    </row>
    <row r="22" spans="1:7" ht="15" customHeight="1">
      <c r="A22" s="44" t="str">
        <f>IF(Calcu!B14=TRUE,"","삭제")</f>
        <v>삭제</v>
      </c>
      <c r="B22" s="43"/>
      <c r="C22" s="43"/>
      <c r="F22" s="138" t="str">
        <f>Calcu!Z14</f>
        <v/>
      </c>
      <c r="G22" s="138" t="e">
        <f ca="1">Calcu!AB14</f>
        <v>#N/A</v>
      </c>
    </row>
    <row r="23" spans="1:7" ht="15" customHeight="1">
      <c r="A23" s="44" t="str">
        <f>IF(Calcu!B15=TRUE,"","삭제")</f>
        <v>삭제</v>
      </c>
      <c r="B23" s="43"/>
      <c r="C23" s="43"/>
      <c r="F23" s="138" t="str">
        <f>Calcu!Z15</f>
        <v/>
      </c>
      <c r="G23" s="138" t="e">
        <f ca="1">Calcu!AB15</f>
        <v>#N/A</v>
      </c>
    </row>
    <row r="24" spans="1:7" ht="15" customHeight="1">
      <c r="A24" s="44" t="str">
        <f>IF(Calcu!B16=TRUE,"","삭제")</f>
        <v>삭제</v>
      </c>
      <c r="B24" s="43"/>
      <c r="C24" s="43"/>
      <c r="F24" s="138" t="str">
        <f>Calcu!Z16</f>
        <v/>
      </c>
      <c r="G24" s="138" t="e">
        <f ca="1">Calcu!AB16</f>
        <v>#N/A</v>
      </c>
    </row>
    <row r="25" spans="1:7" ht="15" customHeight="1">
      <c r="A25" s="44" t="str">
        <f>IF(Calcu!B17=TRUE,"","삭제")</f>
        <v>삭제</v>
      </c>
      <c r="B25" s="43"/>
      <c r="C25" s="43"/>
      <c r="F25" s="138" t="str">
        <f>Calcu!Z17</f>
        <v/>
      </c>
      <c r="G25" s="138" t="e">
        <f ca="1">Calcu!AB17</f>
        <v>#N/A</v>
      </c>
    </row>
    <row r="26" spans="1:7" ht="15" customHeight="1">
      <c r="A26" s="44" t="str">
        <f>IF(Calcu!B18=TRUE,"","삭제")</f>
        <v>삭제</v>
      </c>
      <c r="B26" s="43"/>
      <c r="C26" s="43"/>
      <c r="F26" s="138" t="str">
        <f>Calcu!Z18</f>
        <v/>
      </c>
      <c r="G26" s="138" t="e">
        <f ca="1">Calcu!AB18</f>
        <v>#N/A</v>
      </c>
    </row>
    <row r="27" spans="1:7" ht="15" customHeight="1">
      <c r="A27" s="44" t="str">
        <f>IF(Calcu!B19=TRUE,"","삭제")</f>
        <v>삭제</v>
      </c>
      <c r="B27" s="43"/>
      <c r="C27" s="43"/>
      <c r="F27" s="138" t="str">
        <f>Calcu!Z19</f>
        <v/>
      </c>
      <c r="G27" s="138" t="e">
        <f ca="1">Calcu!AB19</f>
        <v>#N/A</v>
      </c>
    </row>
    <row r="28" spans="1:7" ht="15" customHeight="1">
      <c r="A28" s="44" t="str">
        <f>IF(Calcu!B20=TRUE,"","삭제")</f>
        <v>삭제</v>
      </c>
      <c r="B28" s="43"/>
      <c r="C28" s="43"/>
      <c r="F28" s="138" t="str">
        <f>Calcu!Z20</f>
        <v/>
      </c>
      <c r="G28" s="138" t="e">
        <f ca="1">Calcu!AB20</f>
        <v>#N/A</v>
      </c>
    </row>
    <row r="29" spans="1:7" ht="15" customHeight="1">
      <c r="A29" s="44" t="str">
        <f>IF(Calcu!B21=TRUE,"","삭제")</f>
        <v>삭제</v>
      </c>
      <c r="B29" s="43"/>
      <c r="C29" s="43"/>
      <c r="F29" s="138" t="str">
        <f>Calcu!Z21</f>
        <v/>
      </c>
      <c r="G29" s="138" t="e">
        <f ca="1">Calcu!AB21</f>
        <v>#N/A</v>
      </c>
    </row>
    <row r="30" spans="1:7" ht="15" customHeight="1">
      <c r="A30" s="44" t="str">
        <f>IF(Calcu!B22=TRUE,"","삭제")</f>
        <v>삭제</v>
      </c>
      <c r="B30" s="43"/>
      <c r="C30" s="43"/>
      <c r="F30" s="138" t="str">
        <f>Calcu!Z22</f>
        <v/>
      </c>
      <c r="G30" s="138" t="e">
        <f ca="1">Calcu!AB22</f>
        <v>#N/A</v>
      </c>
    </row>
    <row r="31" spans="1:7" ht="15" customHeight="1">
      <c r="A31" s="44" t="str">
        <f>IF(Calcu!B23=TRUE,"","삭제")</f>
        <v>삭제</v>
      </c>
      <c r="B31" s="43"/>
      <c r="C31" s="43"/>
      <c r="F31" s="138" t="str">
        <f>Calcu!Z23</f>
        <v/>
      </c>
      <c r="G31" s="138" t="e">
        <f ca="1">Calcu!AB23</f>
        <v>#N/A</v>
      </c>
    </row>
    <row r="32" spans="1:7" ht="15" customHeight="1">
      <c r="A32" s="44" t="str">
        <f>IF(Calcu!B24=TRUE,"","삭제")</f>
        <v>삭제</v>
      </c>
      <c r="B32" s="43"/>
      <c r="C32" s="43"/>
      <c r="F32" s="138" t="str">
        <f>Calcu!Z24</f>
        <v/>
      </c>
      <c r="G32" s="138" t="e">
        <f ca="1">Calcu!AB24</f>
        <v>#N/A</v>
      </c>
    </row>
    <row r="33" spans="1:11" ht="15" customHeight="1">
      <c r="A33" s="44" t="str">
        <f>IF(Calcu!B25=TRUE,"","삭제")</f>
        <v>삭제</v>
      </c>
      <c r="B33" s="43"/>
      <c r="C33" s="43"/>
      <c r="F33" s="138" t="str">
        <f>Calcu!Z25</f>
        <v/>
      </c>
      <c r="G33" s="138" t="e">
        <f ca="1">Calcu!AB25</f>
        <v>#N/A</v>
      </c>
    </row>
    <row r="34" spans="1:11" ht="15" customHeight="1">
      <c r="A34" s="44" t="str">
        <f>IF(Calcu!B26=TRUE,"","삭제")</f>
        <v>삭제</v>
      </c>
      <c r="B34" s="43"/>
      <c r="C34" s="43"/>
      <c r="F34" s="138" t="str">
        <f>Calcu!Z26</f>
        <v/>
      </c>
      <c r="G34" s="138" t="e">
        <f ca="1">Calcu!AB26</f>
        <v>#N/A</v>
      </c>
    </row>
    <row r="35" spans="1:11" ht="15" customHeight="1">
      <c r="A35" s="44" t="str">
        <f>IF(Calcu!B27=TRUE,"","삭제")</f>
        <v>삭제</v>
      </c>
      <c r="B35" s="43"/>
      <c r="C35" s="43"/>
      <c r="F35" s="138" t="str">
        <f>Calcu!Z27</f>
        <v/>
      </c>
      <c r="G35" s="138" t="e">
        <f ca="1">Calcu!AB27</f>
        <v>#N/A</v>
      </c>
    </row>
    <row r="36" spans="1:11" ht="15" customHeight="1">
      <c r="A36" s="44" t="str">
        <f>IF(Calcu!B28=TRUE,"","삭제")</f>
        <v>삭제</v>
      </c>
      <c r="B36" s="43"/>
      <c r="C36" s="43"/>
      <c r="F36" s="138" t="str">
        <f>Calcu!Z28</f>
        <v/>
      </c>
      <c r="G36" s="138" t="e">
        <f ca="1">Calcu!AB28</f>
        <v>#N/A</v>
      </c>
    </row>
    <row r="37" spans="1:11" ht="15" customHeight="1">
      <c r="A37" s="44"/>
      <c r="B37" s="44"/>
      <c r="C37" s="44"/>
      <c r="F37" s="102"/>
      <c r="G37" s="102"/>
    </row>
    <row r="38" spans="1:11" ht="15" customHeight="1">
      <c r="A38" s="44"/>
      <c r="B38" s="44"/>
      <c r="C38" s="44"/>
      <c r="F38" s="38" t="e">
        <f ca="1">"● Measurement uncertainty : "&amp;Calcu!T45</f>
        <v>#N/A</v>
      </c>
      <c r="K38" s="50"/>
    </row>
    <row r="39" spans="1:11" ht="15" customHeight="1">
      <c r="A39" s="44"/>
      <c r="B39" s="44"/>
      <c r="C39" s="44"/>
      <c r="F39" s="53" t="e">
        <f ca="1">IF(Calcu!E55="사다리꼴","(Confidence level 95 %,","(Confidence level about 95 %,")</f>
        <v>#N/A</v>
      </c>
      <c r="G39" s="182" t="e">
        <f ca="1">Calcu!E56&amp;")"</f>
        <v>#N/A</v>
      </c>
      <c r="H39" s="53"/>
      <c r="I39" s="53"/>
      <c r="J39" s="50"/>
      <c r="K39" s="50"/>
    </row>
    <row r="40" spans="1:11" ht="15" customHeight="1">
      <c r="A40" s="44" t="e">
        <f>IF(Calcu!#REF!="사다리꼴","","삭제")</f>
        <v>#REF!</v>
      </c>
      <c r="B40" s="44"/>
      <c r="C40" s="44"/>
      <c r="F40" s="50" t="e">
        <f ca="1">IF(Calcu!E55="사다리꼴","※ Trapezoid probability distribution.","")</f>
        <v>#N/A</v>
      </c>
      <c r="G40" s="53"/>
      <c r="H40" s="53"/>
      <c r="I40" s="53"/>
      <c r="J40" s="50"/>
      <c r="K40" s="50"/>
    </row>
    <row r="41" spans="1:11" ht="15" customHeight="1">
      <c r="F41" s="74"/>
      <c r="G41" s="74"/>
      <c r="H4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3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39" t="s">
        <v>327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</row>
    <row r="2" spans="1:17" s="47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1:17" s="47" customFormat="1" ht="12.75" customHeight="1">
      <c r="A3" s="48" t="s">
        <v>328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92"/>
      <c r="K4" s="101"/>
      <c r="L4" s="93"/>
      <c r="M4" s="100"/>
      <c r="N4" s="100"/>
      <c r="O4" s="100"/>
      <c r="P4" s="100"/>
      <c r="Q4" s="100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94</v>
      </c>
      <c r="G11" s="38"/>
    </row>
    <row r="12" spans="1:17" ht="15" customHeight="1">
      <c r="F12" s="54" t="e">
        <f ca="1">"○ 교정범위 : ("&amp;Calcu!L3&amp;" ~ "&amp;Calcu!N3&amp;") mm"</f>
        <v>#N/A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"&amp;Calcu!P3&amp;"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62" customFormat="1" ht="15" customHeight="1">
      <c r="B15" s="346"/>
      <c r="C15" s="348"/>
      <c r="D15" s="348"/>
      <c r="E15" s="348"/>
      <c r="F15" s="350" t="s">
        <v>336</v>
      </c>
      <c r="G15" s="352" t="s">
        <v>329</v>
      </c>
      <c r="H15" s="354" t="s">
        <v>330</v>
      </c>
      <c r="I15" s="356"/>
      <c r="J15" s="357" t="s">
        <v>331</v>
      </c>
      <c r="K15" s="357"/>
      <c r="L15" s="357"/>
      <c r="M15" s="341" t="s">
        <v>332</v>
      </c>
      <c r="N15" s="341"/>
      <c r="O15" s="341"/>
      <c r="P15" s="342"/>
      <c r="Q15" s="344" t="s">
        <v>333</v>
      </c>
    </row>
    <row r="16" spans="1:17" s="263" customFormat="1" ht="22.5">
      <c r="B16" s="347"/>
      <c r="C16" s="349"/>
      <c r="D16" s="349"/>
      <c r="E16" s="349"/>
      <c r="F16" s="351"/>
      <c r="G16" s="353"/>
      <c r="H16" s="355"/>
      <c r="I16" s="349"/>
      <c r="J16" s="264" t="s">
        <v>337</v>
      </c>
      <c r="K16" s="265" t="s">
        <v>338</v>
      </c>
      <c r="L16" s="265" t="s">
        <v>339</v>
      </c>
      <c r="M16" s="264" t="s">
        <v>337</v>
      </c>
      <c r="N16" s="265" t="s">
        <v>338</v>
      </c>
      <c r="O16" s="265" t="s">
        <v>339</v>
      </c>
      <c r="P16" s="343"/>
      <c r="Q16" s="345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str">
        <f>Calcu!Z9</f>
        <v/>
      </c>
      <c r="G17" s="51" t="s">
        <v>334</v>
      </c>
      <c r="H17" s="51" t="e">
        <f ca="1">Calcu!AC9</f>
        <v>#N/A</v>
      </c>
      <c r="J17" s="37" t="e">
        <f ca="1">Calcu!AA9</f>
        <v>#N/A</v>
      </c>
      <c r="K17" s="37" t="e">
        <f ca="1">Calcu!AB9</f>
        <v>#N/A</v>
      </c>
      <c r="L17" s="37" t="str">
        <f>LEFT(Calcu!AD9,1)</f>
        <v/>
      </c>
      <c r="M17" s="37" t="s">
        <v>271</v>
      </c>
      <c r="N17" s="37" t="s">
        <v>335</v>
      </c>
      <c r="O17" s="37" t="s">
        <v>335</v>
      </c>
      <c r="Q17" s="37" t="e">
        <f ca="1">Calcu!AE9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str">
        <f>Calcu!Z10</f>
        <v/>
      </c>
      <c r="G18" s="51" t="s">
        <v>334</v>
      </c>
      <c r="H18" s="51" t="e">
        <f ca="1">Calcu!AC10</f>
        <v>#N/A</v>
      </c>
      <c r="J18" s="37" t="e">
        <f ca="1">Calcu!AA10</f>
        <v>#N/A</v>
      </c>
      <c r="K18" s="37" t="e">
        <f ca="1">Calcu!AB10</f>
        <v>#N/A</v>
      </c>
      <c r="L18" s="37" t="str">
        <f>LEFT(Calcu!AD10,1)</f>
        <v/>
      </c>
      <c r="M18" s="37" t="s">
        <v>271</v>
      </c>
      <c r="N18" s="37" t="s">
        <v>335</v>
      </c>
      <c r="O18" s="37" t="s">
        <v>335</v>
      </c>
      <c r="Q18" s="37" t="e">
        <f ca="1">Calcu!AE10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str">
        <f>Calcu!Z11</f>
        <v/>
      </c>
      <c r="G19" s="51" t="s">
        <v>334</v>
      </c>
      <c r="H19" s="51" t="e">
        <f ca="1">Calcu!AC11</f>
        <v>#N/A</v>
      </c>
      <c r="J19" s="37" t="e">
        <f ca="1">Calcu!AA11</f>
        <v>#N/A</v>
      </c>
      <c r="K19" s="37" t="e">
        <f ca="1">Calcu!AB11</f>
        <v>#N/A</v>
      </c>
      <c r="L19" s="37" t="str">
        <f>LEFT(Calcu!AD11,1)</f>
        <v/>
      </c>
      <c r="M19" s="37" t="s">
        <v>271</v>
      </c>
      <c r="N19" s="37" t="s">
        <v>335</v>
      </c>
      <c r="O19" s="37" t="s">
        <v>335</v>
      </c>
      <c r="Q19" s="37" t="e">
        <f ca="1">Calcu!AE11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str">
        <f>Calcu!Z12</f>
        <v/>
      </c>
      <c r="G20" s="51" t="s">
        <v>334</v>
      </c>
      <c r="H20" s="51" t="e">
        <f ca="1">Calcu!AC12</f>
        <v>#N/A</v>
      </c>
      <c r="J20" s="37" t="e">
        <f ca="1">Calcu!AA12</f>
        <v>#N/A</v>
      </c>
      <c r="K20" s="37" t="e">
        <f ca="1">Calcu!AB12</f>
        <v>#N/A</v>
      </c>
      <c r="L20" s="37" t="str">
        <f>LEFT(Calcu!AD12,1)</f>
        <v/>
      </c>
      <c r="M20" s="37" t="s">
        <v>271</v>
      </c>
      <c r="N20" s="37" t="s">
        <v>335</v>
      </c>
      <c r="O20" s="37" t="s">
        <v>335</v>
      </c>
      <c r="Q20" s="37" t="e">
        <f ca="1">Calcu!AE12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str">
        <f>Calcu!Z13</f>
        <v/>
      </c>
      <c r="G21" s="51" t="s">
        <v>334</v>
      </c>
      <c r="H21" s="51" t="e">
        <f ca="1">Calcu!AC13</f>
        <v>#N/A</v>
      </c>
      <c r="J21" s="37" t="e">
        <f ca="1">Calcu!AA13</f>
        <v>#N/A</v>
      </c>
      <c r="K21" s="37" t="e">
        <f ca="1">Calcu!AB13</f>
        <v>#N/A</v>
      </c>
      <c r="L21" s="37" t="str">
        <f>LEFT(Calcu!AD13,1)</f>
        <v/>
      </c>
      <c r="M21" s="37" t="s">
        <v>271</v>
      </c>
      <c r="N21" s="37" t="s">
        <v>335</v>
      </c>
      <c r="O21" s="37" t="s">
        <v>335</v>
      </c>
      <c r="Q21" s="37" t="e">
        <f ca="1">Calcu!AE13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str">
        <f>Calcu!Z14</f>
        <v/>
      </c>
      <c r="G22" s="51" t="s">
        <v>334</v>
      </c>
      <c r="H22" s="51" t="e">
        <f ca="1">Calcu!AC14</f>
        <v>#N/A</v>
      </c>
      <c r="J22" s="37" t="e">
        <f ca="1">Calcu!AA14</f>
        <v>#N/A</v>
      </c>
      <c r="K22" s="37" t="e">
        <f ca="1">Calcu!AB14</f>
        <v>#N/A</v>
      </c>
      <c r="L22" s="37" t="str">
        <f>LEFT(Calcu!AD14,1)</f>
        <v/>
      </c>
      <c r="M22" s="37" t="s">
        <v>271</v>
      </c>
      <c r="N22" s="37" t="s">
        <v>335</v>
      </c>
      <c r="O22" s="37" t="s">
        <v>335</v>
      </c>
      <c r="Q22" s="37" t="e">
        <f ca="1">Calcu!AE14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str">
        <f>Calcu!Z15</f>
        <v/>
      </c>
      <c r="G23" s="51" t="s">
        <v>334</v>
      </c>
      <c r="H23" s="51" t="e">
        <f ca="1">Calcu!AC15</f>
        <v>#N/A</v>
      </c>
      <c r="J23" s="37" t="e">
        <f ca="1">Calcu!AA15</f>
        <v>#N/A</v>
      </c>
      <c r="K23" s="37" t="e">
        <f ca="1">Calcu!AB15</f>
        <v>#N/A</v>
      </c>
      <c r="L23" s="37" t="str">
        <f>LEFT(Calcu!AD15,1)</f>
        <v/>
      </c>
      <c r="M23" s="37" t="s">
        <v>271</v>
      </c>
      <c r="N23" s="37" t="s">
        <v>335</v>
      </c>
      <c r="O23" s="37" t="s">
        <v>335</v>
      </c>
      <c r="Q23" s="37" t="e">
        <f ca="1">Calcu!AE15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str">
        <f>Calcu!Z16</f>
        <v/>
      </c>
      <c r="G24" s="51" t="s">
        <v>334</v>
      </c>
      <c r="H24" s="51" t="e">
        <f ca="1">Calcu!AC16</f>
        <v>#N/A</v>
      </c>
      <c r="J24" s="37" t="e">
        <f ca="1">Calcu!AA16</f>
        <v>#N/A</v>
      </c>
      <c r="K24" s="37" t="e">
        <f ca="1">Calcu!AB16</f>
        <v>#N/A</v>
      </c>
      <c r="L24" s="37" t="str">
        <f>LEFT(Calcu!AD16,1)</f>
        <v/>
      </c>
      <c r="M24" s="37" t="s">
        <v>271</v>
      </c>
      <c r="N24" s="37" t="s">
        <v>335</v>
      </c>
      <c r="O24" s="37" t="s">
        <v>335</v>
      </c>
      <c r="Q24" s="37" t="e">
        <f ca="1">Calcu!AE16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str">
        <f>Calcu!Z17</f>
        <v/>
      </c>
      <c r="G25" s="51" t="s">
        <v>334</v>
      </c>
      <c r="H25" s="51" t="e">
        <f ca="1">Calcu!AC17</f>
        <v>#N/A</v>
      </c>
      <c r="J25" s="37" t="e">
        <f ca="1">Calcu!AA17</f>
        <v>#N/A</v>
      </c>
      <c r="K25" s="37" t="e">
        <f ca="1">Calcu!AB17</f>
        <v>#N/A</v>
      </c>
      <c r="L25" s="37" t="str">
        <f>LEFT(Calcu!AD17,1)</f>
        <v/>
      </c>
      <c r="M25" s="37" t="s">
        <v>271</v>
      </c>
      <c r="N25" s="37" t="s">
        <v>335</v>
      </c>
      <c r="O25" s="37" t="s">
        <v>335</v>
      </c>
      <c r="Q25" s="37" t="e">
        <f ca="1">Calcu!AE17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str">
        <f>Calcu!Z18</f>
        <v/>
      </c>
      <c r="G26" s="51" t="s">
        <v>334</v>
      </c>
      <c r="H26" s="51" t="e">
        <f ca="1">Calcu!AC18</f>
        <v>#N/A</v>
      </c>
      <c r="J26" s="37" t="e">
        <f ca="1">Calcu!AA18</f>
        <v>#N/A</v>
      </c>
      <c r="K26" s="37" t="e">
        <f ca="1">Calcu!AB18</f>
        <v>#N/A</v>
      </c>
      <c r="L26" s="37" t="str">
        <f>LEFT(Calcu!AD18,1)</f>
        <v/>
      </c>
      <c r="M26" s="37" t="s">
        <v>271</v>
      </c>
      <c r="N26" s="37" t="s">
        <v>335</v>
      </c>
      <c r="O26" s="37" t="s">
        <v>335</v>
      </c>
      <c r="Q26" s="37" t="e">
        <f ca="1">Calcu!AE18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str">
        <f>Calcu!Z19</f>
        <v/>
      </c>
      <c r="G27" s="51" t="s">
        <v>334</v>
      </c>
      <c r="H27" s="51" t="e">
        <f ca="1">Calcu!AC19</f>
        <v>#N/A</v>
      </c>
      <c r="J27" s="37" t="e">
        <f ca="1">Calcu!AA19</f>
        <v>#N/A</v>
      </c>
      <c r="K27" s="37" t="e">
        <f ca="1">Calcu!AB19</f>
        <v>#N/A</v>
      </c>
      <c r="L27" s="37" t="str">
        <f>LEFT(Calcu!AD19,1)</f>
        <v/>
      </c>
      <c r="M27" s="37" t="s">
        <v>271</v>
      </c>
      <c r="N27" s="37" t="s">
        <v>335</v>
      </c>
      <c r="O27" s="37" t="s">
        <v>335</v>
      </c>
      <c r="Q27" s="37" t="e">
        <f ca="1">Calcu!AE19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str">
        <f>Calcu!Z20</f>
        <v/>
      </c>
      <c r="G28" s="51" t="s">
        <v>334</v>
      </c>
      <c r="H28" s="51" t="e">
        <f ca="1">Calcu!AC20</f>
        <v>#N/A</v>
      </c>
      <c r="J28" s="37" t="e">
        <f ca="1">Calcu!AA20</f>
        <v>#N/A</v>
      </c>
      <c r="K28" s="37" t="e">
        <f ca="1">Calcu!AB20</f>
        <v>#N/A</v>
      </c>
      <c r="L28" s="37" t="str">
        <f>LEFT(Calcu!AD20,1)</f>
        <v/>
      </c>
      <c r="M28" s="37" t="s">
        <v>271</v>
      </c>
      <c r="N28" s="37" t="s">
        <v>335</v>
      </c>
      <c r="O28" s="37" t="s">
        <v>335</v>
      </c>
      <c r="Q28" s="37" t="e">
        <f ca="1">Calcu!AE20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str">
        <f>Calcu!Z21</f>
        <v/>
      </c>
      <c r="G29" s="51" t="s">
        <v>334</v>
      </c>
      <c r="H29" s="51" t="e">
        <f ca="1">Calcu!AC21</f>
        <v>#N/A</v>
      </c>
      <c r="J29" s="37" t="e">
        <f ca="1">Calcu!AA21</f>
        <v>#N/A</v>
      </c>
      <c r="K29" s="37" t="e">
        <f ca="1">Calcu!AB21</f>
        <v>#N/A</v>
      </c>
      <c r="L29" s="37" t="str">
        <f>LEFT(Calcu!AD21,1)</f>
        <v/>
      </c>
      <c r="M29" s="37" t="s">
        <v>271</v>
      </c>
      <c r="N29" s="37" t="s">
        <v>335</v>
      </c>
      <c r="O29" s="37" t="s">
        <v>335</v>
      </c>
      <c r="Q29" s="37" t="e">
        <f ca="1">Calcu!AE21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str">
        <f>Calcu!Z22</f>
        <v/>
      </c>
      <c r="G30" s="51" t="s">
        <v>334</v>
      </c>
      <c r="H30" s="51" t="e">
        <f ca="1">Calcu!AC22</f>
        <v>#N/A</v>
      </c>
      <c r="J30" s="37" t="e">
        <f ca="1">Calcu!AA22</f>
        <v>#N/A</v>
      </c>
      <c r="K30" s="37" t="e">
        <f ca="1">Calcu!AB22</f>
        <v>#N/A</v>
      </c>
      <c r="L30" s="37" t="str">
        <f>LEFT(Calcu!AD22,1)</f>
        <v/>
      </c>
      <c r="M30" s="37" t="s">
        <v>271</v>
      </c>
      <c r="N30" s="37" t="s">
        <v>335</v>
      </c>
      <c r="O30" s="37" t="s">
        <v>335</v>
      </c>
      <c r="Q30" s="37" t="e">
        <f ca="1">Calcu!AE22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str">
        <f>Calcu!Z23</f>
        <v/>
      </c>
      <c r="G31" s="51" t="s">
        <v>334</v>
      </c>
      <c r="H31" s="51" t="e">
        <f ca="1">Calcu!AC23</f>
        <v>#N/A</v>
      </c>
      <c r="J31" s="37" t="e">
        <f ca="1">Calcu!AA23</f>
        <v>#N/A</v>
      </c>
      <c r="K31" s="37" t="e">
        <f ca="1">Calcu!AB23</f>
        <v>#N/A</v>
      </c>
      <c r="L31" s="37" t="str">
        <f>LEFT(Calcu!AD23,1)</f>
        <v/>
      </c>
      <c r="M31" s="37" t="s">
        <v>271</v>
      </c>
      <c r="N31" s="37" t="s">
        <v>335</v>
      </c>
      <c r="O31" s="37" t="s">
        <v>335</v>
      </c>
      <c r="Q31" s="37" t="e">
        <f ca="1">Calcu!AE23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str">
        <f>Calcu!Z24</f>
        <v/>
      </c>
      <c r="G32" s="51" t="s">
        <v>334</v>
      </c>
      <c r="H32" s="51" t="e">
        <f ca="1">Calcu!AC24</f>
        <v>#N/A</v>
      </c>
      <c r="J32" s="37" t="e">
        <f ca="1">Calcu!AA24</f>
        <v>#N/A</v>
      </c>
      <c r="K32" s="37" t="e">
        <f ca="1">Calcu!AB24</f>
        <v>#N/A</v>
      </c>
      <c r="L32" s="37" t="str">
        <f>LEFT(Calcu!AD24,1)</f>
        <v/>
      </c>
      <c r="M32" s="37" t="s">
        <v>271</v>
      </c>
      <c r="N32" s="37" t="s">
        <v>335</v>
      </c>
      <c r="O32" s="37" t="s">
        <v>335</v>
      </c>
      <c r="Q32" s="37" t="e">
        <f ca="1">Calcu!AE24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str">
        <f>Calcu!Z25</f>
        <v/>
      </c>
      <c r="G33" s="51" t="s">
        <v>334</v>
      </c>
      <c r="H33" s="51" t="e">
        <f ca="1">Calcu!AC25</f>
        <v>#N/A</v>
      </c>
      <c r="J33" s="37" t="e">
        <f ca="1">Calcu!AA25</f>
        <v>#N/A</v>
      </c>
      <c r="K33" s="37" t="e">
        <f ca="1">Calcu!AB25</f>
        <v>#N/A</v>
      </c>
      <c r="L33" s="37" t="str">
        <f>LEFT(Calcu!AD25,1)</f>
        <v/>
      </c>
      <c r="M33" s="37" t="s">
        <v>271</v>
      </c>
      <c r="N33" s="37" t="s">
        <v>335</v>
      </c>
      <c r="O33" s="37" t="s">
        <v>335</v>
      </c>
      <c r="Q33" s="37" t="e">
        <f ca="1">Calcu!AE25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str">
        <f>Calcu!Z26</f>
        <v/>
      </c>
      <c r="G34" s="51" t="s">
        <v>334</v>
      </c>
      <c r="H34" s="51" t="e">
        <f ca="1">Calcu!AC26</f>
        <v>#N/A</v>
      </c>
      <c r="J34" s="37" t="e">
        <f ca="1">Calcu!AA26</f>
        <v>#N/A</v>
      </c>
      <c r="K34" s="37" t="e">
        <f ca="1">Calcu!AB26</f>
        <v>#N/A</v>
      </c>
      <c r="L34" s="37" t="str">
        <f>LEFT(Calcu!AD26,1)</f>
        <v/>
      </c>
      <c r="M34" s="37" t="s">
        <v>271</v>
      </c>
      <c r="N34" s="37" t="s">
        <v>335</v>
      </c>
      <c r="O34" s="37" t="s">
        <v>335</v>
      </c>
      <c r="Q34" s="37" t="e">
        <f ca="1">Calcu!AE26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str">
        <f>Calcu!Z27</f>
        <v/>
      </c>
      <c r="G35" s="51" t="s">
        <v>334</v>
      </c>
      <c r="H35" s="51" t="e">
        <f ca="1">Calcu!AC27</f>
        <v>#N/A</v>
      </c>
      <c r="J35" s="37" t="e">
        <f ca="1">Calcu!AA27</f>
        <v>#N/A</v>
      </c>
      <c r="K35" s="37" t="e">
        <f ca="1">Calcu!AB27</f>
        <v>#N/A</v>
      </c>
      <c r="L35" s="37" t="str">
        <f>LEFT(Calcu!AD27,1)</f>
        <v/>
      </c>
      <c r="M35" s="37" t="s">
        <v>271</v>
      </c>
      <c r="N35" s="37" t="s">
        <v>335</v>
      </c>
      <c r="O35" s="37" t="s">
        <v>335</v>
      </c>
      <c r="Q35" s="37" t="e">
        <f ca="1">Calcu!AE27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str">
        <f>Calcu!Z28</f>
        <v/>
      </c>
      <c r="G36" s="51" t="s">
        <v>334</v>
      </c>
      <c r="H36" s="51" t="e">
        <f ca="1">Calcu!AC28</f>
        <v>#N/A</v>
      </c>
      <c r="J36" s="37" t="e">
        <f ca="1">Calcu!AA28</f>
        <v>#N/A</v>
      </c>
      <c r="K36" s="37" t="e">
        <f ca="1">Calcu!AB28</f>
        <v>#N/A</v>
      </c>
      <c r="L36" s="37" t="str">
        <f>LEFT(Calcu!AD28,1)</f>
        <v/>
      </c>
      <c r="M36" s="37" t="s">
        <v>271</v>
      </c>
      <c r="N36" s="37" t="s">
        <v>335</v>
      </c>
      <c r="O36" s="37" t="s">
        <v>335</v>
      </c>
      <c r="Q36" s="37" t="e">
        <f ca="1">Calcu!AE28</f>
        <v>#N/A</v>
      </c>
    </row>
    <row r="37" spans="1:17" ht="15" customHeight="1">
      <c r="A37" s="44"/>
      <c r="F37" s="51"/>
      <c r="G37" s="51"/>
      <c r="H37" s="51"/>
    </row>
    <row r="38" spans="1:17" ht="15" customHeight="1">
      <c r="A38" s="44"/>
      <c r="G38" s="53" t="e">
        <f ca="1">IF(Calcu!E55="사다리꼴","※ 신뢰수준 95 %,","※ 신뢰수준 약 95 %,")</f>
        <v>#N/A</v>
      </c>
      <c r="H38" s="182" t="e">
        <f ca="1">Calcu!E56&amp;IF(Calcu!E55="사다리꼴",", 사다리꼴 확률분포","")</f>
        <v>#N/A</v>
      </c>
      <c r="K38" s="50"/>
      <c r="Q38" s="53"/>
    </row>
    <row r="39" spans="1:17" ht="15" customHeight="1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5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1" width="3.77734375" style="37" customWidth="1"/>
    <col min="12" max="12" width="3.77734375" style="94" customWidth="1"/>
    <col min="13" max="13" width="6.77734375" style="106" customWidth="1"/>
    <col min="14" max="16384" width="10.77734375" style="94"/>
  </cols>
  <sheetData>
    <row r="1" spans="1:13" s="81" customFormat="1" ht="33" customHeight="1">
      <c r="A1" s="360" t="s">
        <v>73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83"/>
    </row>
    <row r="2" spans="1:13" s="81" customFormat="1" ht="33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5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126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37" t="s">
        <v>121</v>
      </c>
      <c r="F7" s="137" t="s">
        <v>96</v>
      </c>
      <c r="G7" s="173" t="s">
        <v>95</v>
      </c>
      <c r="H7" s="358" t="s">
        <v>97</v>
      </c>
      <c r="I7" s="51"/>
    </row>
    <row r="8" spans="1:13" s="86" customFormat="1" ht="15" customHeight="1">
      <c r="A8" s="43"/>
      <c r="D8" s="43"/>
      <c r="E8" s="136" t="s">
        <v>127</v>
      </c>
      <c r="F8" s="136" t="s">
        <v>127</v>
      </c>
      <c r="G8" s="136" t="s">
        <v>125</v>
      </c>
      <c r="H8" s="359"/>
      <c r="I8" s="51"/>
    </row>
    <row r="9" spans="1:13" s="86" customFormat="1" ht="15" customHeight="1">
      <c r="A9" s="43" t="str">
        <f>IF(Calcu!B9=TRUE,"","삭제")</f>
        <v>삭제</v>
      </c>
      <c r="D9" s="43"/>
      <c r="E9" s="188" t="str">
        <f>Calcu!Z9</f>
        <v/>
      </c>
      <c r="F9" s="188" t="e">
        <f ca="1">Calcu!AA9</f>
        <v>#N/A</v>
      </c>
      <c r="G9" s="188" t="e">
        <f ca="1">Calcu!AC9</f>
        <v>#N/A</v>
      </c>
      <c r="H9" s="188" t="str">
        <f>Calcu!AD9</f>
        <v/>
      </c>
    </row>
    <row r="10" spans="1:13" s="86" customFormat="1" ht="15" customHeight="1">
      <c r="A10" s="43" t="str">
        <f>IF(Calcu!B10=TRUE,"","삭제")</f>
        <v>삭제</v>
      </c>
      <c r="D10" s="43"/>
      <c r="E10" s="188" t="str">
        <f>Calcu!Z10</f>
        <v/>
      </c>
      <c r="F10" s="188" t="e">
        <f ca="1">Calcu!AA10</f>
        <v>#N/A</v>
      </c>
      <c r="G10" s="188" t="e">
        <f ca="1">Calcu!AC10</f>
        <v>#N/A</v>
      </c>
      <c r="H10" s="188" t="str">
        <f>Calcu!AD10</f>
        <v/>
      </c>
    </row>
    <row r="11" spans="1:13" s="86" customFormat="1" ht="15" customHeight="1">
      <c r="A11" s="43" t="str">
        <f>IF(Calcu!B11=TRUE,"","삭제")</f>
        <v>삭제</v>
      </c>
      <c r="D11" s="43"/>
      <c r="E11" s="188" t="str">
        <f>Calcu!Z11</f>
        <v/>
      </c>
      <c r="F11" s="188" t="e">
        <f ca="1">Calcu!AA11</f>
        <v>#N/A</v>
      </c>
      <c r="G11" s="188" t="e">
        <f ca="1">Calcu!AC11</f>
        <v>#N/A</v>
      </c>
      <c r="H11" s="188" t="str">
        <f>Calcu!AD11</f>
        <v/>
      </c>
    </row>
    <row r="12" spans="1:13" s="86" customFormat="1" ht="15" customHeight="1">
      <c r="A12" s="43" t="str">
        <f>IF(Calcu!B12=TRUE,"","삭제")</f>
        <v>삭제</v>
      </c>
      <c r="D12" s="43"/>
      <c r="E12" s="188" t="str">
        <f>Calcu!Z12</f>
        <v/>
      </c>
      <c r="F12" s="188" t="e">
        <f ca="1">Calcu!AA12</f>
        <v>#N/A</v>
      </c>
      <c r="G12" s="188" t="e">
        <f ca="1">Calcu!AC12</f>
        <v>#N/A</v>
      </c>
      <c r="H12" s="188" t="str">
        <f>Calcu!AD12</f>
        <v/>
      </c>
    </row>
    <row r="13" spans="1:13" s="86" customFormat="1" ht="15" customHeight="1">
      <c r="A13" s="43" t="str">
        <f>IF(Calcu!B13=TRUE,"","삭제")</f>
        <v>삭제</v>
      </c>
      <c r="D13" s="43"/>
      <c r="E13" s="188" t="str">
        <f>Calcu!Z13</f>
        <v/>
      </c>
      <c r="F13" s="188" t="e">
        <f ca="1">Calcu!AA13</f>
        <v>#N/A</v>
      </c>
      <c r="G13" s="188" t="e">
        <f ca="1">Calcu!AC13</f>
        <v>#N/A</v>
      </c>
      <c r="H13" s="188" t="str">
        <f>Calcu!AD13</f>
        <v/>
      </c>
    </row>
    <row r="14" spans="1:13" s="86" customFormat="1" ht="15" customHeight="1">
      <c r="A14" s="43" t="str">
        <f>IF(Calcu!B14=TRUE,"","삭제")</f>
        <v>삭제</v>
      </c>
      <c r="D14" s="43"/>
      <c r="E14" s="188" t="str">
        <f>Calcu!Z14</f>
        <v/>
      </c>
      <c r="F14" s="188" t="e">
        <f ca="1">Calcu!AA14</f>
        <v>#N/A</v>
      </c>
      <c r="G14" s="188" t="e">
        <f ca="1">Calcu!AC14</f>
        <v>#N/A</v>
      </c>
      <c r="H14" s="188" t="str">
        <f>Calcu!AD14</f>
        <v/>
      </c>
    </row>
    <row r="15" spans="1:13" s="86" customFormat="1" ht="15" customHeight="1">
      <c r="A15" s="43" t="str">
        <f>IF(Calcu!B15=TRUE,"","삭제")</f>
        <v>삭제</v>
      </c>
      <c r="D15" s="43"/>
      <c r="E15" s="188" t="str">
        <f>Calcu!Z15</f>
        <v/>
      </c>
      <c r="F15" s="188" t="e">
        <f ca="1">Calcu!AA15</f>
        <v>#N/A</v>
      </c>
      <c r="G15" s="188" t="e">
        <f ca="1">Calcu!AC15</f>
        <v>#N/A</v>
      </c>
      <c r="H15" s="188" t="str">
        <f>Calcu!AD15</f>
        <v/>
      </c>
    </row>
    <row r="16" spans="1:13" s="86" customFormat="1" ht="15" customHeight="1">
      <c r="A16" s="43" t="str">
        <f>IF(Calcu!B16=TRUE,"","삭제")</f>
        <v>삭제</v>
      </c>
      <c r="D16" s="43"/>
      <c r="E16" s="188" t="str">
        <f>Calcu!Z16</f>
        <v/>
      </c>
      <c r="F16" s="188" t="e">
        <f ca="1">Calcu!AA16</f>
        <v>#N/A</v>
      </c>
      <c r="G16" s="188" t="e">
        <f ca="1">Calcu!AC16</f>
        <v>#N/A</v>
      </c>
      <c r="H16" s="188" t="str">
        <f>Calcu!AD16</f>
        <v/>
      </c>
    </row>
    <row r="17" spans="1:13" s="86" customFormat="1" ht="15" customHeight="1">
      <c r="A17" s="43" t="str">
        <f>IF(Calcu!B17=TRUE,"","삭제")</f>
        <v>삭제</v>
      </c>
      <c r="D17" s="43"/>
      <c r="E17" s="188" t="str">
        <f>Calcu!Z17</f>
        <v/>
      </c>
      <c r="F17" s="188" t="e">
        <f ca="1">Calcu!AA17</f>
        <v>#N/A</v>
      </c>
      <c r="G17" s="188" t="e">
        <f ca="1">Calcu!AC17</f>
        <v>#N/A</v>
      </c>
      <c r="H17" s="188" t="str">
        <f>Calcu!AD17</f>
        <v/>
      </c>
    </row>
    <row r="18" spans="1:13" s="86" customFormat="1" ht="15" customHeight="1">
      <c r="A18" s="43" t="str">
        <f>IF(Calcu!B18=TRUE,"","삭제")</f>
        <v>삭제</v>
      </c>
      <c r="D18" s="43"/>
      <c r="E18" s="188" t="str">
        <f>Calcu!Z18</f>
        <v/>
      </c>
      <c r="F18" s="188" t="e">
        <f ca="1">Calcu!AA18</f>
        <v>#N/A</v>
      </c>
      <c r="G18" s="188" t="e">
        <f ca="1">Calcu!AC18</f>
        <v>#N/A</v>
      </c>
      <c r="H18" s="188" t="str">
        <f>Calcu!AD18</f>
        <v/>
      </c>
    </row>
    <row r="19" spans="1:13" s="86" customFormat="1" ht="15" customHeight="1">
      <c r="A19" s="43" t="str">
        <f>IF(Calcu!B19=TRUE,"","삭제")</f>
        <v>삭제</v>
      </c>
      <c r="D19" s="43"/>
      <c r="E19" s="188" t="str">
        <f>Calcu!Z19</f>
        <v/>
      </c>
      <c r="F19" s="188" t="e">
        <f ca="1">Calcu!AA19</f>
        <v>#N/A</v>
      </c>
      <c r="G19" s="188" t="e">
        <f ca="1">Calcu!AC19</f>
        <v>#N/A</v>
      </c>
      <c r="H19" s="188" t="str">
        <f>Calcu!AD19</f>
        <v/>
      </c>
    </row>
    <row r="20" spans="1:13" s="86" customFormat="1" ht="15" customHeight="1">
      <c r="A20" s="43" t="str">
        <f>IF(Calcu!B20=TRUE,"","삭제")</f>
        <v>삭제</v>
      </c>
      <c r="D20" s="43"/>
      <c r="E20" s="188" t="str">
        <f>Calcu!Z20</f>
        <v/>
      </c>
      <c r="F20" s="188" t="e">
        <f ca="1">Calcu!AA20</f>
        <v>#N/A</v>
      </c>
      <c r="G20" s="188" t="e">
        <f ca="1">Calcu!AC20</f>
        <v>#N/A</v>
      </c>
      <c r="H20" s="188" t="str">
        <f>Calcu!AD20</f>
        <v/>
      </c>
    </row>
    <row r="21" spans="1:13" s="86" customFormat="1" ht="15" customHeight="1">
      <c r="A21" s="43" t="str">
        <f>IF(Calcu!B21=TRUE,"","삭제")</f>
        <v>삭제</v>
      </c>
      <c r="D21" s="43"/>
      <c r="E21" s="188" t="str">
        <f>Calcu!Z21</f>
        <v/>
      </c>
      <c r="F21" s="188" t="e">
        <f ca="1">Calcu!AA21</f>
        <v>#N/A</v>
      </c>
      <c r="G21" s="188" t="e">
        <f ca="1">Calcu!AC21</f>
        <v>#N/A</v>
      </c>
      <c r="H21" s="188" t="str">
        <f>Calcu!AD21</f>
        <v/>
      </c>
    </row>
    <row r="22" spans="1:13" s="86" customFormat="1" ht="15" customHeight="1">
      <c r="A22" s="43" t="str">
        <f>IF(Calcu!B22=TRUE,"","삭제")</f>
        <v>삭제</v>
      </c>
      <c r="D22" s="43"/>
      <c r="E22" s="188" t="str">
        <f>Calcu!Z22</f>
        <v/>
      </c>
      <c r="F22" s="188" t="e">
        <f ca="1">Calcu!AA22</f>
        <v>#N/A</v>
      </c>
      <c r="G22" s="188" t="e">
        <f ca="1">Calcu!AC22</f>
        <v>#N/A</v>
      </c>
      <c r="H22" s="188" t="str">
        <f>Calcu!AD22</f>
        <v/>
      </c>
    </row>
    <row r="23" spans="1:13" s="86" customFormat="1" ht="15" customHeight="1">
      <c r="A23" s="43" t="str">
        <f>IF(Calcu!B23=TRUE,"","삭제")</f>
        <v>삭제</v>
      </c>
      <c r="D23" s="43"/>
      <c r="E23" s="188" t="str">
        <f>Calcu!Z23</f>
        <v/>
      </c>
      <c r="F23" s="188" t="e">
        <f ca="1">Calcu!AA23</f>
        <v>#N/A</v>
      </c>
      <c r="G23" s="188" t="e">
        <f ca="1">Calcu!AC23</f>
        <v>#N/A</v>
      </c>
      <c r="H23" s="188" t="str">
        <f>Calcu!AD23</f>
        <v/>
      </c>
    </row>
    <row r="24" spans="1:13" s="86" customFormat="1" ht="15" customHeight="1">
      <c r="A24" s="43" t="str">
        <f>IF(Calcu!B24=TRUE,"","삭제")</f>
        <v>삭제</v>
      </c>
      <c r="D24" s="43"/>
      <c r="E24" s="188" t="str">
        <f>Calcu!Z24</f>
        <v/>
      </c>
      <c r="F24" s="188" t="e">
        <f ca="1">Calcu!AA24</f>
        <v>#N/A</v>
      </c>
      <c r="G24" s="188" t="e">
        <f ca="1">Calcu!AC24</f>
        <v>#N/A</v>
      </c>
      <c r="H24" s="188" t="str">
        <f>Calcu!AD24</f>
        <v/>
      </c>
    </row>
    <row r="25" spans="1:13" s="86" customFormat="1" ht="15" customHeight="1">
      <c r="A25" s="43" t="str">
        <f>IF(Calcu!B25=TRUE,"","삭제")</f>
        <v>삭제</v>
      </c>
      <c r="D25" s="43"/>
      <c r="E25" s="188" t="str">
        <f>Calcu!Z25</f>
        <v/>
      </c>
      <c r="F25" s="188" t="e">
        <f ca="1">Calcu!AA25</f>
        <v>#N/A</v>
      </c>
      <c r="G25" s="188" t="e">
        <f ca="1">Calcu!AC25</f>
        <v>#N/A</v>
      </c>
      <c r="H25" s="188" t="str">
        <f>Calcu!AD25</f>
        <v/>
      </c>
    </row>
    <row r="26" spans="1:13" s="86" customFormat="1" ht="15" customHeight="1">
      <c r="A26" s="43" t="str">
        <f>IF(Calcu!B26=TRUE,"","삭제")</f>
        <v>삭제</v>
      </c>
      <c r="D26" s="43"/>
      <c r="E26" s="188" t="str">
        <f>Calcu!Z26</f>
        <v/>
      </c>
      <c r="F26" s="188" t="e">
        <f ca="1">Calcu!AA26</f>
        <v>#N/A</v>
      </c>
      <c r="G26" s="188" t="e">
        <f ca="1">Calcu!AC26</f>
        <v>#N/A</v>
      </c>
      <c r="H26" s="188" t="str">
        <f>Calcu!AD26</f>
        <v/>
      </c>
    </row>
    <row r="27" spans="1:13" s="86" customFormat="1" ht="15" customHeight="1">
      <c r="A27" s="43" t="str">
        <f>IF(Calcu!B27=TRUE,"","삭제")</f>
        <v>삭제</v>
      </c>
      <c r="D27" s="43"/>
      <c r="E27" s="188" t="str">
        <f>Calcu!Z27</f>
        <v/>
      </c>
      <c r="F27" s="188" t="e">
        <f ca="1">Calcu!AA27</f>
        <v>#N/A</v>
      </c>
      <c r="G27" s="188" t="e">
        <f ca="1">Calcu!AC27</f>
        <v>#N/A</v>
      </c>
      <c r="H27" s="188" t="str">
        <f>Calcu!AD27</f>
        <v/>
      </c>
    </row>
    <row r="28" spans="1:13" s="86" customFormat="1" ht="15" customHeight="1">
      <c r="A28" s="43" t="str">
        <f>IF(Calcu!B28=TRUE,"","삭제")</f>
        <v>삭제</v>
      </c>
      <c r="D28" s="43"/>
      <c r="E28" s="188" t="str">
        <f>Calcu!Z28</f>
        <v/>
      </c>
      <c r="F28" s="188" t="e">
        <f ca="1">Calcu!AA28</f>
        <v>#N/A</v>
      </c>
      <c r="G28" s="188" t="e">
        <f ca="1">Calcu!AC28</f>
        <v>#N/A</v>
      </c>
      <c r="H28" s="188" t="str">
        <f>Calcu!AD28</f>
        <v/>
      </c>
    </row>
    <row r="29" spans="1:13" ht="15" customHeight="1">
      <c r="B29" s="94"/>
      <c r="C29" s="94"/>
      <c r="D29" s="74"/>
      <c r="E29" s="107"/>
      <c r="F29" s="107"/>
      <c r="G29" s="107"/>
      <c r="H29" s="107"/>
      <c r="I29" s="74"/>
      <c r="J29" s="106"/>
      <c r="K29" s="94"/>
      <c r="M29" s="94"/>
    </row>
    <row r="30" spans="1:13" ht="15" customHeight="1">
      <c r="J30" s="94"/>
      <c r="K30" s="106"/>
      <c r="M30" s="94"/>
    </row>
    <row r="31" spans="1:13" ht="15" customHeight="1">
      <c r="J31" s="94"/>
      <c r="K31" s="106"/>
      <c r="M31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60" t="s">
        <v>59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</row>
    <row r="2" spans="1:12" s="81" customFormat="1" ht="33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4"/>
      <c r="C11" s="107"/>
      <c r="D11" s="107"/>
      <c r="E11" s="107"/>
      <c r="F11" s="107"/>
      <c r="G11" s="107"/>
      <c r="H11" s="108"/>
      <c r="I11" s="108"/>
      <c r="J11" s="107"/>
      <c r="K11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4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7" customFormat="1" ht="25.5">
      <c r="A1" s="63" t="s">
        <v>202</v>
      </c>
      <c r="B1" s="31"/>
      <c r="C1" s="31"/>
      <c r="D1" s="31"/>
      <c r="E1" s="64"/>
      <c r="F1" s="27"/>
      <c r="G1" s="27"/>
      <c r="H1" s="27"/>
      <c r="I1" s="27"/>
      <c r="J1" s="27"/>
      <c r="K1" s="65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31" t="s">
        <v>203</v>
      </c>
      <c r="C3" s="232">
        <f>기본정보!C3</f>
        <v>0</v>
      </c>
      <c r="D3" s="231" t="s">
        <v>204</v>
      </c>
      <c r="E3" s="365">
        <f>기본정보!H3</f>
        <v>0</v>
      </c>
      <c r="F3" s="366"/>
      <c r="G3" s="231" t="s">
        <v>205</v>
      </c>
      <c r="H3" s="233">
        <f>기본정보!H8</f>
        <v>0</v>
      </c>
      <c r="I3" s="25"/>
    </row>
    <row r="4" spans="1:30" s="28" customFormat="1" ht="15" customHeight="1">
      <c r="A4" s="46"/>
      <c r="B4" s="231" t="s">
        <v>206</v>
      </c>
      <c r="C4" s="234">
        <f>기본정보!C8</f>
        <v>0</v>
      </c>
      <c r="D4" s="231" t="s">
        <v>207</v>
      </c>
      <c r="E4" s="363">
        <f>기본정보!H4</f>
        <v>0</v>
      </c>
      <c r="F4" s="364"/>
      <c r="G4" s="231" t="s">
        <v>208</v>
      </c>
      <c r="H4" s="233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209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31" t="s">
        <v>210</v>
      </c>
      <c r="C7" s="231" t="s">
        <v>201</v>
      </c>
      <c r="D7" s="231" t="s">
        <v>211</v>
      </c>
      <c r="E7" s="231" t="s">
        <v>212</v>
      </c>
      <c r="F7" s="25"/>
      <c r="G7" s="25"/>
      <c r="H7" s="25"/>
      <c r="I7" s="25"/>
      <c r="J7" s="25"/>
    </row>
    <row r="8" spans="1:30" s="28" customFormat="1" ht="15" customHeight="1">
      <c r="A8" s="46"/>
      <c r="B8" s="232">
        <f>Calcu!F3</f>
        <v>0</v>
      </c>
      <c r="C8" s="232">
        <f>Calcu!G3</f>
        <v>0</v>
      </c>
      <c r="D8" s="232">
        <f>Calcu!H3</f>
        <v>0</v>
      </c>
      <c r="E8" s="232">
        <f>Calcu!J3</f>
        <v>0</v>
      </c>
      <c r="F8" s="25"/>
      <c r="G8" s="25"/>
      <c r="H8" s="25"/>
      <c r="I8" s="25"/>
      <c r="J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3" t="s">
        <v>213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4" t="s">
        <v>214</v>
      </c>
      <c r="C11" s="104"/>
      <c r="E11" s="31"/>
      <c r="F11" s="26"/>
      <c r="G11" s="25"/>
      <c r="H11" s="25"/>
      <c r="I11" s="25"/>
      <c r="J11" s="25"/>
      <c r="K11" s="28"/>
      <c r="L11" s="28"/>
      <c r="M11" s="28"/>
      <c r="N11" s="28"/>
      <c r="T11" s="45"/>
    </row>
    <row r="12" spans="1:30" ht="13.5" customHeight="1">
      <c r="B12" s="361" t="s">
        <v>215</v>
      </c>
      <c r="C12" s="367" t="str">
        <f>Calcu!E6</f>
        <v>줄자교정장치 지시값</v>
      </c>
      <c r="D12" s="368"/>
      <c r="E12" s="368"/>
      <c r="F12" s="368"/>
      <c r="G12" s="369"/>
      <c r="H12" s="25"/>
      <c r="I12" s="25"/>
      <c r="J12" s="28"/>
      <c r="K12" s="28"/>
      <c r="L12" s="28"/>
      <c r="M12" s="28"/>
    </row>
    <row r="13" spans="1:30" ht="13.5" customHeight="1">
      <c r="B13" s="362"/>
      <c r="C13" s="231" t="s">
        <v>91</v>
      </c>
      <c r="D13" s="231" t="s">
        <v>76</v>
      </c>
      <c r="E13" s="231" t="s">
        <v>77</v>
      </c>
      <c r="F13" s="231" t="s">
        <v>123</v>
      </c>
      <c r="G13" s="231" t="s">
        <v>124</v>
      </c>
      <c r="H13" s="25"/>
      <c r="I13" s="25"/>
      <c r="J13" s="28"/>
      <c r="K13" s="28"/>
      <c r="L13" s="28"/>
      <c r="M13" s="28"/>
    </row>
    <row r="14" spans="1:30" ht="13.5" customHeight="1">
      <c r="B14" s="231">
        <f>E8</f>
        <v>0</v>
      </c>
      <c r="C14" s="231">
        <f>B14</f>
        <v>0</v>
      </c>
      <c r="D14" s="231">
        <f t="shared" ref="D14:G14" si="0">C14</f>
        <v>0</v>
      </c>
      <c r="E14" s="231">
        <f t="shared" si="0"/>
        <v>0</v>
      </c>
      <c r="F14" s="231">
        <f t="shared" si="0"/>
        <v>0</v>
      </c>
      <c r="G14" s="231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232" t="str">
        <f>Calcu!C9</f>
        <v/>
      </c>
      <c r="C15" s="232" t="str">
        <f>IF(Calcu!$B9=FALSE,"",TEXT(Calcu!E9,Calcu!$Q$45))</f>
        <v/>
      </c>
      <c r="D15" s="232" t="str">
        <f>IF(Calcu!$B9=FALSE,"",TEXT(Calcu!F9,Calcu!$Q$45))</f>
        <v/>
      </c>
      <c r="E15" s="232" t="str">
        <f>IF(Calcu!$B9=FALSE,"",TEXT(Calcu!G9,Calcu!$Q$45))</f>
        <v/>
      </c>
      <c r="F15" s="232" t="str">
        <f>IF(Calcu!$B9=FALSE,"",TEXT(Calcu!H9,Calcu!$Q$45))</f>
        <v/>
      </c>
      <c r="G15" s="232" t="str">
        <f>IF(Calcu!$B9=FALSE,"",TEXT(Calcu!I9,Calcu!$Q$45))</f>
        <v/>
      </c>
      <c r="H15" s="25"/>
      <c r="I15" s="25"/>
      <c r="J15" s="28"/>
      <c r="K15" s="28"/>
      <c r="L15" s="28"/>
      <c r="M15" s="28"/>
    </row>
    <row r="16" spans="1:30" ht="13.5" customHeight="1">
      <c r="B16" s="232" t="str">
        <f>Calcu!C10</f>
        <v/>
      </c>
      <c r="C16" s="232" t="str">
        <f>IF(Calcu!$B10=FALSE,"",TEXT(Calcu!E10,Calcu!$Q$45))</f>
        <v/>
      </c>
      <c r="D16" s="232" t="str">
        <f>IF(Calcu!$B10=FALSE,"",TEXT(Calcu!F10,Calcu!$Q$45))</f>
        <v/>
      </c>
      <c r="E16" s="232" t="str">
        <f>IF(Calcu!$B10=FALSE,"",TEXT(Calcu!G10,Calcu!$Q$45))</f>
        <v/>
      </c>
      <c r="F16" s="232" t="str">
        <f>IF(Calcu!$B10=FALSE,"",TEXT(Calcu!H10,Calcu!$Q$45))</f>
        <v/>
      </c>
      <c r="G16" s="232" t="str">
        <f>IF(Calcu!$B10=FALSE,"",TEXT(Calcu!I10,Calcu!$Q$45))</f>
        <v/>
      </c>
      <c r="H16" s="25"/>
      <c r="I16" s="25"/>
      <c r="J16" s="28"/>
      <c r="K16" s="28"/>
      <c r="L16" s="28"/>
      <c r="M16" s="28"/>
    </row>
    <row r="17" spans="2:13" ht="13.5" customHeight="1">
      <c r="B17" s="232" t="str">
        <f>Calcu!C11</f>
        <v/>
      </c>
      <c r="C17" s="232" t="str">
        <f>IF(Calcu!$B11=FALSE,"",TEXT(Calcu!E11,Calcu!$Q$45))</f>
        <v/>
      </c>
      <c r="D17" s="232" t="str">
        <f>IF(Calcu!$B11=FALSE,"",TEXT(Calcu!F11,Calcu!$Q$45))</f>
        <v/>
      </c>
      <c r="E17" s="232" t="str">
        <f>IF(Calcu!$B11=FALSE,"",TEXT(Calcu!G11,Calcu!$Q$45))</f>
        <v/>
      </c>
      <c r="F17" s="232" t="str">
        <f>IF(Calcu!$B11=FALSE,"",TEXT(Calcu!H11,Calcu!$Q$45))</f>
        <v/>
      </c>
      <c r="G17" s="232" t="str">
        <f>IF(Calcu!$B11=FALSE,"",TEXT(Calcu!I11,Calcu!$Q$45))</f>
        <v/>
      </c>
      <c r="H17" s="25"/>
      <c r="I17" s="25"/>
      <c r="J17" s="28"/>
      <c r="K17" s="28"/>
      <c r="L17" s="28"/>
      <c r="M17" s="28"/>
    </row>
    <row r="18" spans="2:13" ht="13.5" customHeight="1">
      <c r="B18" s="232" t="str">
        <f>Calcu!C12</f>
        <v/>
      </c>
      <c r="C18" s="232" t="str">
        <f>IF(Calcu!$B12=FALSE,"",TEXT(Calcu!E12,Calcu!$Q$45))</f>
        <v/>
      </c>
      <c r="D18" s="232" t="str">
        <f>IF(Calcu!$B12=FALSE,"",TEXT(Calcu!F12,Calcu!$Q$45))</f>
        <v/>
      </c>
      <c r="E18" s="232" t="str">
        <f>IF(Calcu!$B12=FALSE,"",TEXT(Calcu!G12,Calcu!$Q$45))</f>
        <v/>
      </c>
      <c r="F18" s="232" t="str">
        <f>IF(Calcu!$B12=FALSE,"",TEXT(Calcu!H12,Calcu!$Q$45))</f>
        <v/>
      </c>
      <c r="G18" s="232" t="str">
        <f>IF(Calcu!$B12=FALSE,"",TEXT(Calcu!I12,Calcu!$Q$45))</f>
        <v/>
      </c>
      <c r="H18" s="25"/>
      <c r="I18" s="25"/>
      <c r="J18" s="28"/>
      <c r="K18" s="28"/>
      <c r="L18" s="28"/>
      <c r="M18" s="28"/>
    </row>
    <row r="19" spans="2:13" ht="13.5" customHeight="1">
      <c r="B19" s="232" t="str">
        <f>Calcu!C13</f>
        <v/>
      </c>
      <c r="C19" s="232" t="str">
        <f>IF(Calcu!$B13=FALSE,"",TEXT(Calcu!E13,Calcu!$Q$45))</f>
        <v/>
      </c>
      <c r="D19" s="232" t="str">
        <f>IF(Calcu!$B13=FALSE,"",TEXT(Calcu!F13,Calcu!$Q$45))</f>
        <v/>
      </c>
      <c r="E19" s="232" t="str">
        <f>IF(Calcu!$B13=FALSE,"",TEXT(Calcu!G13,Calcu!$Q$45))</f>
        <v/>
      </c>
      <c r="F19" s="232" t="str">
        <f>IF(Calcu!$B13=FALSE,"",TEXT(Calcu!H13,Calcu!$Q$45))</f>
        <v/>
      </c>
      <c r="G19" s="232" t="str">
        <f>IF(Calcu!$B13=FALSE,"",TEXT(Calcu!I13,Calcu!$Q$45))</f>
        <v/>
      </c>
      <c r="H19" s="25"/>
      <c r="I19" s="25"/>
      <c r="J19" s="28"/>
      <c r="K19" s="28"/>
      <c r="L19" s="28"/>
      <c r="M19" s="28"/>
    </row>
    <row r="20" spans="2:13" ht="13.5" customHeight="1">
      <c r="B20" s="232" t="str">
        <f>Calcu!C14</f>
        <v/>
      </c>
      <c r="C20" s="232" t="str">
        <f>IF(Calcu!$B14=FALSE,"",TEXT(Calcu!E14,Calcu!$Q$45))</f>
        <v/>
      </c>
      <c r="D20" s="232" t="str">
        <f>IF(Calcu!$B14=FALSE,"",TEXT(Calcu!F14,Calcu!$Q$45))</f>
        <v/>
      </c>
      <c r="E20" s="232" t="str">
        <f>IF(Calcu!$B14=FALSE,"",TEXT(Calcu!G14,Calcu!$Q$45))</f>
        <v/>
      </c>
      <c r="F20" s="232" t="str">
        <f>IF(Calcu!$B14=FALSE,"",TEXT(Calcu!H14,Calcu!$Q$45))</f>
        <v/>
      </c>
      <c r="G20" s="232" t="str">
        <f>IF(Calcu!$B14=FALSE,"",TEXT(Calcu!I14,Calcu!$Q$45))</f>
        <v/>
      </c>
      <c r="H20" s="25"/>
      <c r="I20" s="25"/>
      <c r="J20" s="28"/>
      <c r="K20" s="28"/>
      <c r="L20" s="28"/>
      <c r="M20" s="28"/>
    </row>
    <row r="21" spans="2:13" ht="13.5" customHeight="1">
      <c r="B21" s="232" t="str">
        <f>Calcu!C15</f>
        <v/>
      </c>
      <c r="C21" s="232" t="str">
        <f>IF(Calcu!$B15=FALSE,"",TEXT(Calcu!E15,Calcu!$Q$45))</f>
        <v/>
      </c>
      <c r="D21" s="232" t="str">
        <f>IF(Calcu!$B15=FALSE,"",TEXT(Calcu!F15,Calcu!$Q$45))</f>
        <v/>
      </c>
      <c r="E21" s="232" t="str">
        <f>IF(Calcu!$B15=FALSE,"",TEXT(Calcu!G15,Calcu!$Q$45))</f>
        <v/>
      </c>
      <c r="F21" s="232" t="str">
        <f>IF(Calcu!$B15=FALSE,"",TEXT(Calcu!H15,Calcu!$Q$45))</f>
        <v/>
      </c>
      <c r="G21" s="232" t="str">
        <f>IF(Calcu!$B15=FALSE,"",TEXT(Calcu!I15,Calcu!$Q$45))</f>
        <v/>
      </c>
    </row>
    <row r="22" spans="2:13" ht="13.5" customHeight="1">
      <c r="B22" s="232" t="str">
        <f>Calcu!C16</f>
        <v/>
      </c>
      <c r="C22" s="232" t="str">
        <f>IF(Calcu!$B16=FALSE,"",TEXT(Calcu!E16,Calcu!$Q$45))</f>
        <v/>
      </c>
      <c r="D22" s="232" t="str">
        <f>IF(Calcu!$B16=FALSE,"",TEXT(Calcu!F16,Calcu!$Q$45))</f>
        <v/>
      </c>
      <c r="E22" s="232" t="str">
        <f>IF(Calcu!$B16=FALSE,"",TEXT(Calcu!G16,Calcu!$Q$45))</f>
        <v/>
      </c>
      <c r="F22" s="232" t="str">
        <f>IF(Calcu!$B16=FALSE,"",TEXT(Calcu!H16,Calcu!$Q$45))</f>
        <v/>
      </c>
      <c r="G22" s="232" t="str">
        <f>IF(Calcu!$B16=FALSE,"",TEXT(Calcu!I16,Calcu!$Q$45))</f>
        <v/>
      </c>
    </row>
    <row r="23" spans="2:13" ht="13.5" customHeight="1">
      <c r="B23" s="232" t="str">
        <f>Calcu!C17</f>
        <v/>
      </c>
      <c r="C23" s="232" t="str">
        <f>IF(Calcu!$B17=FALSE,"",TEXT(Calcu!E17,Calcu!$Q$45))</f>
        <v/>
      </c>
      <c r="D23" s="232" t="str">
        <f>IF(Calcu!$B17=FALSE,"",TEXT(Calcu!F17,Calcu!$Q$45))</f>
        <v/>
      </c>
      <c r="E23" s="232" t="str">
        <f>IF(Calcu!$B17=FALSE,"",TEXT(Calcu!G17,Calcu!$Q$45))</f>
        <v/>
      </c>
      <c r="F23" s="232" t="str">
        <f>IF(Calcu!$B17=FALSE,"",TEXT(Calcu!H17,Calcu!$Q$45))</f>
        <v/>
      </c>
      <c r="G23" s="232" t="str">
        <f>IF(Calcu!$B17=FALSE,"",TEXT(Calcu!I17,Calcu!$Q$45))</f>
        <v/>
      </c>
    </row>
    <row r="24" spans="2:13" ht="13.5" customHeight="1">
      <c r="B24" s="232" t="str">
        <f>Calcu!C18</f>
        <v/>
      </c>
      <c r="C24" s="232" t="str">
        <f>IF(Calcu!$B18=FALSE,"",TEXT(Calcu!E18,Calcu!$Q$45))</f>
        <v/>
      </c>
      <c r="D24" s="232" t="str">
        <f>IF(Calcu!$B18=FALSE,"",TEXT(Calcu!F18,Calcu!$Q$45))</f>
        <v/>
      </c>
      <c r="E24" s="232" t="str">
        <f>IF(Calcu!$B18=FALSE,"",TEXT(Calcu!G18,Calcu!$Q$45))</f>
        <v/>
      </c>
      <c r="F24" s="232" t="str">
        <f>IF(Calcu!$B18=FALSE,"",TEXT(Calcu!H18,Calcu!$Q$45))</f>
        <v/>
      </c>
      <c r="G24" s="232" t="str">
        <f>IF(Calcu!$B18=FALSE,"",TEXT(Calcu!I18,Calcu!$Q$45))</f>
        <v/>
      </c>
    </row>
    <row r="25" spans="2:13" ht="13.5" customHeight="1">
      <c r="B25" s="232" t="str">
        <f>Calcu!C19</f>
        <v/>
      </c>
      <c r="C25" s="232" t="str">
        <f>IF(Calcu!$B19=FALSE,"",TEXT(Calcu!E19,Calcu!$Q$45))</f>
        <v/>
      </c>
      <c r="D25" s="232" t="str">
        <f>IF(Calcu!$B19=FALSE,"",TEXT(Calcu!F19,Calcu!$Q$45))</f>
        <v/>
      </c>
      <c r="E25" s="232" t="str">
        <f>IF(Calcu!$B19=FALSE,"",TEXT(Calcu!G19,Calcu!$Q$45))</f>
        <v/>
      </c>
      <c r="F25" s="232" t="str">
        <f>IF(Calcu!$B19=FALSE,"",TEXT(Calcu!H19,Calcu!$Q$45))</f>
        <v/>
      </c>
      <c r="G25" s="232" t="str">
        <f>IF(Calcu!$B19=FALSE,"",TEXT(Calcu!I19,Calcu!$Q$45))</f>
        <v/>
      </c>
    </row>
    <row r="26" spans="2:13" ht="13.5" customHeight="1">
      <c r="B26" s="232" t="str">
        <f>Calcu!C20</f>
        <v/>
      </c>
      <c r="C26" s="232" t="str">
        <f>IF(Calcu!$B20=FALSE,"",TEXT(Calcu!E20,Calcu!$Q$45))</f>
        <v/>
      </c>
      <c r="D26" s="232" t="str">
        <f>IF(Calcu!$B20=FALSE,"",TEXT(Calcu!F20,Calcu!$Q$45))</f>
        <v/>
      </c>
      <c r="E26" s="232" t="str">
        <f>IF(Calcu!$B20=FALSE,"",TEXT(Calcu!G20,Calcu!$Q$45))</f>
        <v/>
      </c>
      <c r="F26" s="232" t="str">
        <f>IF(Calcu!$B20=FALSE,"",TEXT(Calcu!H20,Calcu!$Q$45))</f>
        <v/>
      </c>
      <c r="G26" s="232" t="str">
        <f>IF(Calcu!$B20=FALSE,"",TEXT(Calcu!I20,Calcu!$Q$45))</f>
        <v/>
      </c>
    </row>
    <row r="27" spans="2:13" ht="13.5" customHeight="1">
      <c r="B27" s="232" t="str">
        <f>Calcu!C21</f>
        <v/>
      </c>
      <c r="C27" s="232" t="str">
        <f>IF(Calcu!$B21=FALSE,"",TEXT(Calcu!E21,Calcu!$Q$45))</f>
        <v/>
      </c>
      <c r="D27" s="232" t="str">
        <f>IF(Calcu!$B21=FALSE,"",TEXT(Calcu!F21,Calcu!$Q$45))</f>
        <v/>
      </c>
      <c r="E27" s="232" t="str">
        <f>IF(Calcu!$B21=FALSE,"",TEXT(Calcu!G21,Calcu!$Q$45))</f>
        <v/>
      </c>
      <c r="F27" s="232" t="str">
        <f>IF(Calcu!$B21=FALSE,"",TEXT(Calcu!H21,Calcu!$Q$45))</f>
        <v/>
      </c>
      <c r="G27" s="232" t="str">
        <f>IF(Calcu!$B21=FALSE,"",TEXT(Calcu!I21,Calcu!$Q$45))</f>
        <v/>
      </c>
    </row>
    <row r="28" spans="2:13" ht="13.5" customHeight="1">
      <c r="B28" s="232" t="str">
        <f>Calcu!C22</f>
        <v/>
      </c>
      <c r="C28" s="232" t="str">
        <f>IF(Calcu!$B22=FALSE,"",TEXT(Calcu!E22,Calcu!$Q$45))</f>
        <v/>
      </c>
      <c r="D28" s="232" t="str">
        <f>IF(Calcu!$B22=FALSE,"",TEXT(Calcu!F22,Calcu!$Q$45))</f>
        <v/>
      </c>
      <c r="E28" s="232" t="str">
        <f>IF(Calcu!$B22=FALSE,"",TEXT(Calcu!G22,Calcu!$Q$45))</f>
        <v/>
      </c>
      <c r="F28" s="232" t="str">
        <f>IF(Calcu!$B22=FALSE,"",TEXT(Calcu!H22,Calcu!$Q$45))</f>
        <v/>
      </c>
      <c r="G28" s="232" t="str">
        <f>IF(Calcu!$B22=FALSE,"",TEXT(Calcu!I22,Calcu!$Q$45))</f>
        <v/>
      </c>
    </row>
    <row r="29" spans="2:13" ht="13.5" customHeight="1">
      <c r="B29" s="232" t="str">
        <f>Calcu!C23</f>
        <v/>
      </c>
      <c r="C29" s="232" t="str">
        <f>IF(Calcu!$B23=FALSE,"",TEXT(Calcu!E23,Calcu!$Q$45))</f>
        <v/>
      </c>
      <c r="D29" s="232" t="str">
        <f>IF(Calcu!$B23=FALSE,"",TEXT(Calcu!F23,Calcu!$Q$45))</f>
        <v/>
      </c>
      <c r="E29" s="232" t="str">
        <f>IF(Calcu!$B23=FALSE,"",TEXT(Calcu!G23,Calcu!$Q$45))</f>
        <v/>
      </c>
      <c r="F29" s="232" t="str">
        <f>IF(Calcu!$B23=FALSE,"",TEXT(Calcu!H23,Calcu!$Q$45))</f>
        <v/>
      </c>
      <c r="G29" s="232" t="str">
        <f>IF(Calcu!$B23=FALSE,"",TEXT(Calcu!I23,Calcu!$Q$45))</f>
        <v/>
      </c>
    </row>
    <row r="30" spans="2:13" ht="13.5" customHeight="1">
      <c r="B30" s="232" t="str">
        <f>Calcu!C24</f>
        <v/>
      </c>
      <c r="C30" s="232" t="str">
        <f>IF(Calcu!$B24=FALSE,"",TEXT(Calcu!E24,Calcu!$Q$45))</f>
        <v/>
      </c>
      <c r="D30" s="232" t="str">
        <f>IF(Calcu!$B24=FALSE,"",TEXT(Calcu!F24,Calcu!$Q$45))</f>
        <v/>
      </c>
      <c r="E30" s="232" t="str">
        <f>IF(Calcu!$B24=FALSE,"",TEXT(Calcu!G24,Calcu!$Q$45))</f>
        <v/>
      </c>
      <c r="F30" s="232" t="str">
        <f>IF(Calcu!$B24=FALSE,"",TEXT(Calcu!H24,Calcu!$Q$45))</f>
        <v/>
      </c>
      <c r="G30" s="232" t="str">
        <f>IF(Calcu!$B24=FALSE,"",TEXT(Calcu!I24,Calcu!$Q$45))</f>
        <v/>
      </c>
    </row>
    <row r="31" spans="2:13" ht="13.5" customHeight="1">
      <c r="B31" s="232" t="str">
        <f>Calcu!C25</f>
        <v/>
      </c>
      <c r="C31" s="232" t="str">
        <f>IF(Calcu!$B25=FALSE,"",TEXT(Calcu!E25,Calcu!$Q$45))</f>
        <v/>
      </c>
      <c r="D31" s="232" t="str">
        <f>IF(Calcu!$B25=FALSE,"",TEXT(Calcu!F25,Calcu!$Q$45))</f>
        <v/>
      </c>
      <c r="E31" s="232" t="str">
        <f>IF(Calcu!$B25=FALSE,"",TEXT(Calcu!G25,Calcu!$Q$45))</f>
        <v/>
      </c>
      <c r="F31" s="232" t="str">
        <f>IF(Calcu!$B25=FALSE,"",TEXT(Calcu!H25,Calcu!$Q$45))</f>
        <v/>
      </c>
      <c r="G31" s="232" t="str">
        <f>IF(Calcu!$B25=FALSE,"",TEXT(Calcu!I25,Calcu!$Q$45))</f>
        <v/>
      </c>
    </row>
    <row r="32" spans="2:13" ht="13.5" customHeight="1">
      <c r="B32" s="232" t="str">
        <f>Calcu!C26</f>
        <v/>
      </c>
      <c r="C32" s="232" t="str">
        <f>IF(Calcu!$B26=FALSE,"",TEXT(Calcu!E26,Calcu!$Q$45))</f>
        <v/>
      </c>
      <c r="D32" s="232" t="str">
        <f>IF(Calcu!$B26=FALSE,"",TEXT(Calcu!F26,Calcu!$Q$45))</f>
        <v/>
      </c>
      <c r="E32" s="232" t="str">
        <f>IF(Calcu!$B26=FALSE,"",TEXT(Calcu!G26,Calcu!$Q$45))</f>
        <v/>
      </c>
      <c r="F32" s="232" t="str">
        <f>IF(Calcu!$B26=FALSE,"",TEXT(Calcu!H26,Calcu!$Q$45))</f>
        <v/>
      </c>
      <c r="G32" s="232" t="str">
        <f>IF(Calcu!$B26=FALSE,"",TEXT(Calcu!I26,Calcu!$Q$45))</f>
        <v/>
      </c>
    </row>
    <row r="33" spans="2:7" ht="13.5" customHeight="1">
      <c r="B33" s="232" t="str">
        <f>Calcu!C27</f>
        <v/>
      </c>
      <c r="C33" s="232" t="str">
        <f>IF(Calcu!$B27=FALSE,"",TEXT(Calcu!E27,Calcu!$Q$45))</f>
        <v/>
      </c>
      <c r="D33" s="232" t="str">
        <f>IF(Calcu!$B27=FALSE,"",TEXT(Calcu!F27,Calcu!$Q$45))</f>
        <v/>
      </c>
      <c r="E33" s="232" t="str">
        <f>IF(Calcu!$B27=FALSE,"",TEXT(Calcu!G27,Calcu!$Q$45))</f>
        <v/>
      </c>
      <c r="F33" s="232" t="str">
        <f>IF(Calcu!$B27=FALSE,"",TEXT(Calcu!H27,Calcu!$Q$45))</f>
        <v/>
      </c>
      <c r="G33" s="232" t="str">
        <f>IF(Calcu!$B27=FALSE,"",TEXT(Calcu!I27,Calcu!$Q$45))</f>
        <v/>
      </c>
    </row>
    <row r="34" spans="2:7" ht="13.5" customHeight="1">
      <c r="B34" s="232" t="str">
        <f>Calcu!C28</f>
        <v/>
      </c>
      <c r="C34" s="232" t="str">
        <f>IF(Calcu!$B28=FALSE,"",TEXT(Calcu!E28,Calcu!$Q$45))</f>
        <v/>
      </c>
      <c r="D34" s="232" t="str">
        <f>IF(Calcu!$B28=FALSE,"",TEXT(Calcu!F28,Calcu!$Q$45))</f>
        <v/>
      </c>
      <c r="E34" s="232" t="str">
        <f>IF(Calcu!$B28=FALSE,"",TEXT(Calcu!G28,Calcu!$Q$45))</f>
        <v/>
      </c>
      <c r="F34" s="232" t="str">
        <f>IF(Calcu!$B28=FALSE,"",TEXT(Calcu!H28,Calcu!$Q$45))</f>
        <v/>
      </c>
      <c r="G34" s="232" t="str">
        <f>IF(Calcu!$B28=FALSE,"",TEXT(Calcu!I28,Calcu!$Q$45))</f>
        <v/>
      </c>
    </row>
  </sheetData>
  <sortState ref="S5:T14">
    <sortCondition descending="1" ref="S5"/>
  </sortState>
  <mergeCells count="4">
    <mergeCell ref="B12:B13"/>
    <mergeCell ref="E4:F4"/>
    <mergeCell ref="E3:F3"/>
    <mergeCell ref="C12:G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17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1" s="69" customFormat="1" ht="31.5">
      <c r="A1" s="68" t="s">
        <v>78</v>
      </c>
    </row>
    <row r="2" spans="1:51" s="69" customFormat="1" ht="18.75" customHeight="1"/>
    <row r="3" spans="1:51" s="69" customFormat="1" ht="18.75" customHeight="1">
      <c r="A3" s="70" t="s">
        <v>227</v>
      </c>
    </row>
    <row r="4" spans="1:51" s="69" customFormat="1" ht="18.75" customHeight="1">
      <c r="B4" s="424" t="s">
        <v>228</v>
      </c>
      <c r="C4" s="425"/>
      <c r="D4" s="425"/>
      <c r="E4" s="425"/>
      <c r="F4" s="425"/>
      <c r="G4" s="426"/>
      <c r="H4" s="427" t="s">
        <v>229</v>
      </c>
      <c r="I4" s="428"/>
      <c r="J4" s="428"/>
      <c r="K4" s="428"/>
      <c r="L4" s="428"/>
      <c r="M4" s="429"/>
      <c r="N4" s="422" t="s">
        <v>230</v>
      </c>
      <c r="O4" s="422"/>
      <c r="P4" s="422"/>
      <c r="Q4" s="422"/>
      <c r="R4" s="422"/>
      <c r="S4" s="422"/>
      <c r="T4" s="422" t="s">
        <v>231</v>
      </c>
      <c r="U4" s="422"/>
      <c r="V4" s="422"/>
      <c r="W4" s="422"/>
      <c r="X4" s="422"/>
      <c r="Y4" s="422"/>
    </row>
    <row r="5" spans="1:51" s="69" customFormat="1" ht="18.75" customHeight="1">
      <c r="B5" s="430">
        <f>Calcu!J3</f>
        <v>0</v>
      </c>
      <c r="C5" s="431"/>
      <c r="D5" s="431"/>
      <c r="E5" s="431"/>
      <c r="F5" s="431"/>
      <c r="G5" s="432"/>
      <c r="H5" s="433">
        <f>Calcu!K3</f>
        <v>1</v>
      </c>
      <c r="I5" s="434"/>
      <c r="J5" s="434"/>
      <c r="K5" s="434"/>
      <c r="L5" s="434"/>
      <c r="M5" s="435"/>
      <c r="N5" s="423" t="s">
        <v>535</v>
      </c>
      <c r="O5" s="423"/>
      <c r="P5" s="423"/>
      <c r="Q5" s="423"/>
      <c r="R5" s="423"/>
      <c r="S5" s="423"/>
      <c r="T5" s="423" t="s">
        <v>486</v>
      </c>
      <c r="U5" s="423"/>
      <c r="V5" s="423"/>
      <c r="W5" s="423"/>
      <c r="X5" s="423"/>
      <c r="Y5" s="423"/>
    </row>
    <row r="6" spans="1:51" s="69" customFormat="1" ht="18.75" customHeight="1"/>
    <row r="7" spans="1:51" ht="18.75" customHeight="1">
      <c r="A7" s="57" t="s">
        <v>232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</row>
    <row r="8" spans="1:51" ht="18.75" customHeight="1">
      <c r="A8" s="57"/>
      <c r="B8" s="394" t="s">
        <v>233</v>
      </c>
      <c r="C8" s="395"/>
      <c r="D8" s="395"/>
      <c r="E8" s="395"/>
      <c r="F8" s="396"/>
      <c r="G8" s="400" t="str">
        <f>$T$5&amp;" 지시값"</f>
        <v>줄자교정장치 지시값</v>
      </c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2"/>
      <c r="AF8" s="394" t="s">
        <v>234</v>
      </c>
      <c r="AG8" s="395"/>
      <c r="AH8" s="395"/>
      <c r="AI8" s="395"/>
      <c r="AJ8" s="396"/>
      <c r="AK8" s="394" t="s">
        <v>79</v>
      </c>
      <c r="AL8" s="395"/>
      <c r="AM8" s="395"/>
      <c r="AN8" s="395"/>
      <c r="AO8" s="396"/>
      <c r="AP8" s="394" t="s">
        <v>235</v>
      </c>
      <c r="AQ8" s="395"/>
      <c r="AR8" s="395"/>
      <c r="AS8" s="395"/>
      <c r="AT8" s="396"/>
      <c r="AU8" s="394" t="s">
        <v>236</v>
      </c>
      <c r="AV8" s="395"/>
      <c r="AW8" s="395"/>
      <c r="AX8" s="395"/>
      <c r="AY8" s="396"/>
    </row>
    <row r="9" spans="1:51" ht="18.75" customHeight="1">
      <c r="A9" s="57"/>
      <c r="B9" s="397"/>
      <c r="C9" s="398"/>
      <c r="D9" s="398"/>
      <c r="E9" s="398"/>
      <c r="F9" s="399"/>
      <c r="G9" s="400" t="s">
        <v>237</v>
      </c>
      <c r="H9" s="401"/>
      <c r="I9" s="401"/>
      <c r="J9" s="401"/>
      <c r="K9" s="402"/>
      <c r="L9" s="400" t="s">
        <v>118</v>
      </c>
      <c r="M9" s="401"/>
      <c r="N9" s="401"/>
      <c r="O9" s="401"/>
      <c r="P9" s="402"/>
      <c r="Q9" s="400" t="s">
        <v>238</v>
      </c>
      <c r="R9" s="401"/>
      <c r="S9" s="401"/>
      <c r="T9" s="401"/>
      <c r="U9" s="402"/>
      <c r="V9" s="400" t="s">
        <v>239</v>
      </c>
      <c r="W9" s="401"/>
      <c r="X9" s="401"/>
      <c r="Y9" s="401"/>
      <c r="Z9" s="402"/>
      <c r="AA9" s="400" t="s">
        <v>128</v>
      </c>
      <c r="AB9" s="401"/>
      <c r="AC9" s="401"/>
      <c r="AD9" s="401"/>
      <c r="AE9" s="402"/>
      <c r="AF9" s="397"/>
      <c r="AG9" s="398"/>
      <c r="AH9" s="398"/>
      <c r="AI9" s="398"/>
      <c r="AJ9" s="399"/>
      <c r="AK9" s="397"/>
      <c r="AL9" s="398"/>
      <c r="AM9" s="398"/>
      <c r="AN9" s="398"/>
      <c r="AO9" s="399"/>
      <c r="AP9" s="397"/>
      <c r="AQ9" s="398"/>
      <c r="AR9" s="398"/>
      <c r="AS9" s="398"/>
      <c r="AT9" s="399"/>
      <c r="AU9" s="397"/>
      <c r="AV9" s="398"/>
      <c r="AW9" s="398"/>
      <c r="AX9" s="398"/>
      <c r="AY9" s="399"/>
    </row>
    <row r="10" spans="1:51" ht="18.75" customHeight="1">
      <c r="A10" s="57"/>
      <c r="B10" s="400" t="s">
        <v>240</v>
      </c>
      <c r="C10" s="401"/>
      <c r="D10" s="401"/>
      <c r="E10" s="401"/>
      <c r="F10" s="402"/>
      <c r="G10" s="400" t="str">
        <f>B10</f>
        <v>mm</v>
      </c>
      <c r="H10" s="401"/>
      <c r="I10" s="401"/>
      <c r="J10" s="401"/>
      <c r="K10" s="402"/>
      <c r="L10" s="400" t="str">
        <f>G10</f>
        <v>mm</v>
      </c>
      <c r="M10" s="401"/>
      <c r="N10" s="401"/>
      <c r="O10" s="401"/>
      <c r="P10" s="402"/>
      <c r="Q10" s="400" t="str">
        <f>L10</f>
        <v>mm</v>
      </c>
      <c r="R10" s="401"/>
      <c r="S10" s="401"/>
      <c r="T10" s="401"/>
      <c r="U10" s="402"/>
      <c r="V10" s="400" t="str">
        <f>Q10</f>
        <v>mm</v>
      </c>
      <c r="W10" s="401"/>
      <c r="X10" s="401"/>
      <c r="Y10" s="401"/>
      <c r="Z10" s="402"/>
      <c r="AA10" s="400" t="str">
        <f>V10</f>
        <v>mm</v>
      </c>
      <c r="AB10" s="401"/>
      <c r="AC10" s="401"/>
      <c r="AD10" s="401"/>
      <c r="AE10" s="402"/>
      <c r="AF10" s="400" t="s">
        <v>240</v>
      </c>
      <c r="AG10" s="401"/>
      <c r="AH10" s="401"/>
      <c r="AI10" s="401"/>
      <c r="AJ10" s="402"/>
      <c r="AK10" s="400" t="s">
        <v>122</v>
      </c>
      <c r="AL10" s="401"/>
      <c r="AM10" s="401"/>
      <c r="AN10" s="401"/>
      <c r="AO10" s="402"/>
      <c r="AP10" s="400" t="s">
        <v>240</v>
      </c>
      <c r="AQ10" s="401"/>
      <c r="AR10" s="401"/>
      <c r="AS10" s="401"/>
      <c r="AT10" s="402"/>
      <c r="AU10" s="400" t="s">
        <v>122</v>
      </c>
      <c r="AV10" s="401"/>
      <c r="AW10" s="401"/>
      <c r="AX10" s="401"/>
      <c r="AY10" s="402"/>
    </row>
    <row r="11" spans="1:51" ht="18.75" customHeight="1">
      <c r="A11" s="57"/>
      <c r="B11" s="391" t="str">
        <f>Calcu!C9</f>
        <v/>
      </c>
      <c r="C11" s="392"/>
      <c r="D11" s="392"/>
      <c r="E11" s="392"/>
      <c r="F11" s="393"/>
      <c r="G11" s="391" t="str">
        <f>IF(Calcu!B9=TRUE,Calcu!E9*$H$5,"")</f>
        <v/>
      </c>
      <c r="H11" s="392"/>
      <c r="I11" s="392"/>
      <c r="J11" s="392"/>
      <c r="K11" s="393"/>
      <c r="L11" s="391" t="str">
        <f>IF(Calcu!B9=TRUE,Calcu!F9*H$5,"")</f>
        <v/>
      </c>
      <c r="M11" s="392"/>
      <c r="N11" s="392"/>
      <c r="O11" s="392"/>
      <c r="P11" s="393"/>
      <c r="Q11" s="391" t="str">
        <f>IF(Calcu!B9=TRUE,Calcu!G9*H$5,"")</f>
        <v/>
      </c>
      <c r="R11" s="392"/>
      <c r="S11" s="392"/>
      <c r="T11" s="392"/>
      <c r="U11" s="393"/>
      <c r="V11" s="391" t="str">
        <f>IF(Calcu!B9=TRUE,Calcu!H9*H$5,"")</f>
        <v/>
      </c>
      <c r="W11" s="392"/>
      <c r="X11" s="392"/>
      <c r="Y11" s="392"/>
      <c r="Z11" s="393"/>
      <c r="AA11" s="391" t="str">
        <f>IF(Calcu!B9=TRUE,Calcu!I9*H$5,"")</f>
        <v/>
      </c>
      <c r="AB11" s="392"/>
      <c r="AC11" s="392"/>
      <c r="AD11" s="392"/>
      <c r="AE11" s="393"/>
      <c r="AF11" s="391" t="str">
        <f>Calcu!L9</f>
        <v/>
      </c>
      <c r="AG11" s="392"/>
      <c r="AH11" s="392"/>
      <c r="AI11" s="392"/>
      <c r="AJ11" s="393"/>
      <c r="AK11" s="391" t="str">
        <f>Calcu!K9</f>
        <v/>
      </c>
      <c r="AL11" s="392"/>
      <c r="AM11" s="392"/>
      <c r="AN11" s="392"/>
      <c r="AO11" s="393"/>
      <c r="AP11" s="391" t="str">
        <f>Calcu!M9</f>
        <v/>
      </c>
      <c r="AQ11" s="392"/>
      <c r="AR11" s="392"/>
      <c r="AS11" s="392"/>
      <c r="AT11" s="393"/>
      <c r="AU11" s="391" t="str">
        <f>Calcu!T9</f>
        <v/>
      </c>
      <c r="AV11" s="392"/>
      <c r="AW11" s="392"/>
      <c r="AX11" s="392"/>
      <c r="AY11" s="393"/>
    </row>
    <row r="12" spans="1:51" ht="18.75" customHeight="1">
      <c r="A12" s="57"/>
      <c r="B12" s="391" t="str">
        <f>Calcu!C10</f>
        <v/>
      </c>
      <c r="C12" s="392"/>
      <c r="D12" s="392"/>
      <c r="E12" s="392"/>
      <c r="F12" s="393"/>
      <c r="G12" s="391" t="str">
        <f>IF(Calcu!B10=TRUE,Calcu!E10*$H$5,"")</f>
        <v/>
      </c>
      <c r="H12" s="392"/>
      <c r="I12" s="392"/>
      <c r="J12" s="392"/>
      <c r="K12" s="393"/>
      <c r="L12" s="391" t="str">
        <f>IF(Calcu!B10=TRUE,Calcu!F10*H$5,"")</f>
        <v/>
      </c>
      <c r="M12" s="392"/>
      <c r="N12" s="392"/>
      <c r="O12" s="392"/>
      <c r="P12" s="393"/>
      <c r="Q12" s="391" t="str">
        <f>IF(Calcu!B10=TRUE,Calcu!G10*H$5,"")</f>
        <v/>
      </c>
      <c r="R12" s="392"/>
      <c r="S12" s="392"/>
      <c r="T12" s="392"/>
      <c r="U12" s="393"/>
      <c r="V12" s="391" t="str">
        <f>IF(Calcu!B10=TRUE,Calcu!H10*H$5,"")</f>
        <v/>
      </c>
      <c r="W12" s="392"/>
      <c r="X12" s="392"/>
      <c r="Y12" s="392"/>
      <c r="Z12" s="393"/>
      <c r="AA12" s="391" t="str">
        <f>IF(Calcu!B10=TRUE,Calcu!I10*H$5,"")</f>
        <v/>
      </c>
      <c r="AB12" s="392"/>
      <c r="AC12" s="392"/>
      <c r="AD12" s="392"/>
      <c r="AE12" s="393"/>
      <c r="AF12" s="391" t="str">
        <f>Calcu!L10</f>
        <v/>
      </c>
      <c r="AG12" s="392"/>
      <c r="AH12" s="392"/>
      <c r="AI12" s="392"/>
      <c r="AJ12" s="393"/>
      <c r="AK12" s="391" t="str">
        <f>Calcu!K10</f>
        <v/>
      </c>
      <c r="AL12" s="392"/>
      <c r="AM12" s="392"/>
      <c r="AN12" s="392"/>
      <c r="AO12" s="393"/>
      <c r="AP12" s="391" t="str">
        <f>Calcu!M10</f>
        <v/>
      </c>
      <c r="AQ12" s="392"/>
      <c r="AR12" s="392"/>
      <c r="AS12" s="392"/>
      <c r="AT12" s="393"/>
      <c r="AU12" s="391" t="str">
        <f>Calcu!T10</f>
        <v/>
      </c>
      <c r="AV12" s="392"/>
      <c r="AW12" s="392"/>
      <c r="AX12" s="392"/>
      <c r="AY12" s="393"/>
    </row>
    <row r="13" spans="1:51" ht="18.75" customHeight="1">
      <c r="A13" s="57"/>
      <c r="B13" s="391" t="str">
        <f>Calcu!C11</f>
        <v/>
      </c>
      <c r="C13" s="392"/>
      <c r="D13" s="392"/>
      <c r="E13" s="392"/>
      <c r="F13" s="393"/>
      <c r="G13" s="391" t="str">
        <f>IF(Calcu!B11=TRUE,Calcu!E11*$H$5,"")</f>
        <v/>
      </c>
      <c r="H13" s="392"/>
      <c r="I13" s="392"/>
      <c r="J13" s="392"/>
      <c r="K13" s="393"/>
      <c r="L13" s="391" t="str">
        <f>IF(Calcu!B11=TRUE,Calcu!F11*H$5,"")</f>
        <v/>
      </c>
      <c r="M13" s="392"/>
      <c r="N13" s="392"/>
      <c r="O13" s="392"/>
      <c r="P13" s="393"/>
      <c r="Q13" s="391" t="str">
        <f>IF(Calcu!B11=TRUE,Calcu!G11*H$5,"")</f>
        <v/>
      </c>
      <c r="R13" s="392"/>
      <c r="S13" s="392"/>
      <c r="T13" s="392"/>
      <c r="U13" s="393"/>
      <c r="V13" s="391" t="str">
        <f>IF(Calcu!B11=TRUE,Calcu!H11*H$5,"")</f>
        <v/>
      </c>
      <c r="W13" s="392"/>
      <c r="X13" s="392"/>
      <c r="Y13" s="392"/>
      <c r="Z13" s="393"/>
      <c r="AA13" s="391" t="str">
        <f>IF(Calcu!B11=TRUE,Calcu!I11*H$5,"")</f>
        <v/>
      </c>
      <c r="AB13" s="392"/>
      <c r="AC13" s="392"/>
      <c r="AD13" s="392"/>
      <c r="AE13" s="393"/>
      <c r="AF13" s="391" t="str">
        <f>Calcu!L11</f>
        <v/>
      </c>
      <c r="AG13" s="392"/>
      <c r="AH13" s="392"/>
      <c r="AI13" s="392"/>
      <c r="AJ13" s="393"/>
      <c r="AK13" s="391" t="str">
        <f>Calcu!K11</f>
        <v/>
      </c>
      <c r="AL13" s="392"/>
      <c r="AM13" s="392"/>
      <c r="AN13" s="392"/>
      <c r="AO13" s="393"/>
      <c r="AP13" s="391" t="str">
        <f>Calcu!M11</f>
        <v/>
      </c>
      <c r="AQ13" s="392"/>
      <c r="AR13" s="392"/>
      <c r="AS13" s="392"/>
      <c r="AT13" s="393"/>
      <c r="AU13" s="391" t="str">
        <f>Calcu!T11</f>
        <v/>
      </c>
      <c r="AV13" s="392"/>
      <c r="AW13" s="392"/>
      <c r="AX13" s="392"/>
      <c r="AY13" s="393"/>
    </row>
    <row r="14" spans="1:51" ht="18.75" customHeight="1">
      <c r="A14" s="57"/>
      <c r="B14" s="391" t="str">
        <f>Calcu!C12</f>
        <v/>
      </c>
      <c r="C14" s="392"/>
      <c r="D14" s="392"/>
      <c r="E14" s="392"/>
      <c r="F14" s="393"/>
      <c r="G14" s="391" t="str">
        <f>IF(Calcu!B12=TRUE,Calcu!E12*$H$5,"")</f>
        <v/>
      </c>
      <c r="H14" s="392"/>
      <c r="I14" s="392"/>
      <c r="J14" s="392"/>
      <c r="K14" s="393"/>
      <c r="L14" s="391" t="str">
        <f>IF(Calcu!B12=TRUE,Calcu!F12*H$5,"")</f>
        <v/>
      </c>
      <c r="M14" s="392"/>
      <c r="N14" s="392"/>
      <c r="O14" s="392"/>
      <c r="P14" s="393"/>
      <c r="Q14" s="391" t="str">
        <f>IF(Calcu!B12=TRUE,Calcu!G12*H$5,"")</f>
        <v/>
      </c>
      <c r="R14" s="392"/>
      <c r="S14" s="392"/>
      <c r="T14" s="392"/>
      <c r="U14" s="393"/>
      <c r="V14" s="391" t="str">
        <f>IF(Calcu!B12=TRUE,Calcu!H12*H$5,"")</f>
        <v/>
      </c>
      <c r="W14" s="392"/>
      <c r="X14" s="392"/>
      <c r="Y14" s="392"/>
      <c r="Z14" s="393"/>
      <c r="AA14" s="391" t="str">
        <f>IF(Calcu!B12=TRUE,Calcu!I12*H$5,"")</f>
        <v/>
      </c>
      <c r="AB14" s="392"/>
      <c r="AC14" s="392"/>
      <c r="AD14" s="392"/>
      <c r="AE14" s="393"/>
      <c r="AF14" s="391" t="str">
        <f>Calcu!L12</f>
        <v/>
      </c>
      <c r="AG14" s="392"/>
      <c r="AH14" s="392"/>
      <c r="AI14" s="392"/>
      <c r="AJ14" s="393"/>
      <c r="AK14" s="391" t="str">
        <f>Calcu!K12</f>
        <v/>
      </c>
      <c r="AL14" s="392"/>
      <c r="AM14" s="392"/>
      <c r="AN14" s="392"/>
      <c r="AO14" s="393"/>
      <c r="AP14" s="391" t="str">
        <f>Calcu!M12</f>
        <v/>
      </c>
      <c r="AQ14" s="392"/>
      <c r="AR14" s="392"/>
      <c r="AS14" s="392"/>
      <c r="AT14" s="393"/>
      <c r="AU14" s="391" t="str">
        <f>Calcu!T12</f>
        <v/>
      </c>
      <c r="AV14" s="392"/>
      <c r="AW14" s="392"/>
      <c r="AX14" s="392"/>
      <c r="AY14" s="393"/>
    </row>
    <row r="15" spans="1:51" ht="18.75" customHeight="1">
      <c r="A15" s="57"/>
      <c r="B15" s="391" t="str">
        <f>Calcu!C13</f>
        <v/>
      </c>
      <c r="C15" s="392"/>
      <c r="D15" s="392"/>
      <c r="E15" s="392"/>
      <c r="F15" s="393"/>
      <c r="G15" s="391" t="str">
        <f>IF(Calcu!B13=TRUE,Calcu!E13*$H$5,"")</f>
        <v/>
      </c>
      <c r="H15" s="392"/>
      <c r="I15" s="392"/>
      <c r="J15" s="392"/>
      <c r="K15" s="393"/>
      <c r="L15" s="391" t="str">
        <f>IF(Calcu!B13=TRUE,Calcu!F13*H$5,"")</f>
        <v/>
      </c>
      <c r="M15" s="392"/>
      <c r="N15" s="392"/>
      <c r="O15" s="392"/>
      <c r="P15" s="393"/>
      <c r="Q15" s="391" t="str">
        <f>IF(Calcu!B13=TRUE,Calcu!G13*H$5,"")</f>
        <v/>
      </c>
      <c r="R15" s="392"/>
      <c r="S15" s="392"/>
      <c r="T15" s="392"/>
      <c r="U15" s="393"/>
      <c r="V15" s="391" t="str">
        <f>IF(Calcu!B13=TRUE,Calcu!H13*H$5,"")</f>
        <v/>
      </c>
      <c r="W15" s="392"/>
      <c r="X15" s="392"/>
      <c r="Y15" s="392"/>
      <c r="Z15" s="393"/>
      <c r="AA15" s="391" t="str">
        <f>IF(Calcu!B13=TRUE,Calcu!I13*H$5,"")</f>
        <v/>
      </c>
      <c r="AB15" s="392"/>
      <c r="AC15" s="392"/>
      <c r="AD15" s="392"/>
      <c r="AE15" s="393"/>
      <c r="AF15" s="391" t="str">
        <f>Calcu!L13</f>
        <v/>
      </c>
      <c r="AG15" s="392"/>
      <c r="AH15" s="392"/>
      <c r="AI15" s="392"/>
      <c r="AJ15" s="393"/>
      <c r="AK15" s="391" t="str">
        <f>Calcu!K13</f>
        <v/>
      </c>
      <c r="AL15" s="392"/>
      <c r="AM15" s="392"/>
      <c r="AN15" s="392"/>
      <c r="AO15" s="393"/>
      <c r="AP15" s="391" t="str">
        <f>Calcu!M13</f>
        <v/>
      </c>
      <c r="AQ15" s="392"/>
      <c r="AR15" s="392"/>
      <c r="AS15" s="392"/>
      <c r="AT15" s="393"/>
      <c r="AU15" s="391" t="str">
        <f>Calcu!T13</f>
        <v/>
      </c>
      <c r="AV15" s="392"/>
      <c r="AW15" s="392"/>
      <c r="AX15" s="392"/>
      <c r="AY15" s="393"/>
    </row>
    <row r="16" spans="1:51" ht="18.75" customHeight="1">
      <c r="A16" s="57"/>
      <c r="B16" s="391" t="str">
        <f>Calcu!C14</f>
        <v/>
      </c>
      <c r="C16" s="392"/>
      <c r="D16" s="392"/>
      <c r="E16" s="392"/>
      <c r="F16" s="393"/>
      <c r="G16" s="391" t="str">
        <f>IF(Calcu!B14=TRUE,Calcu!E14*$H$5,"")</f>
        <v/>
      </c>
      <c r="H16" s="392"/>
      <c r="I16" s="392"/>
      <c r="J16" s="392"/>
      <c r="K16" s="393"/>
      <c r="L16" s="391" t="str">
        <f>IF(Calcu!B14=TRUE,Calcu!F14*H$5,"")</f>
        <v/>
      </c>
      <c r="M16" s="392"/>
      <c r="N16" s="392"/>
      <c r="O16" s="392"/>
      <c r="P16" s="393"/>
      <c r="Q16" s="391" t="str">
        <f>IF(Calcu!B14=TRUE,Calcu!G14*H$5,"")</f>
        <v/>
      </c>
      <c r="R16" s="392"/>
      <c r="S16" s="392"/>
      <c r="T16" s="392"/>
      <c r="U16" s="393"/>
      <c r="V16" s="391" t="str">
        <f>IF(Calcu!B14=TRUE,Calcu!H14*H$5,"")</f>
        <v/>
      </c>
      <c r="W16" s="392"/>
      <c r="X16" s="392"/>
      <c r="Y16" s="392"/>
      <c r="Z16" s="393"/>
      <c r="AA16" s="391" t="str">
        <f>IF(Calcu!B14=TRUE,Calcu!I14*H$5,"")</f>
        <v/>
      </c>
      <c r="AB16" s="392"/>
      <c r="AC16" s="392"/>
      <c r="AD16" s="392"/>
      <c r="AE16" s="393"/>
      <c r="AF16" s="391" t="str">
        <f>Calcu!L14</f>
        <v/>
      </c>
      <c r="AG16" s="392"/>
      <c r="AH16" s="392"/>
      <c r="AI16" s="392"/>
      <c r="AJ16" s="393"/>
      <c r="AK16" s="391" t="str">
        <f>Calcu!K14</f>
        <v/>
      </c>
      <c r="AL16" s="392"/>
      <c r="AM16" s="392"/>
      <c r="AN16" s="392"/>
      <c r="AO16" s="393"/>
      <c r="AP16" s="391" t="str">
        <f>Calcu!M14</f>
        <v/>
      </c>
      <c r="AQ16" s="392"/>
      <c r="AR16" s="392"/>
      <c r="AS16" s="392"/>
      <c r="AT16" s="393"/>
      <c r="AU16" s="391" t="str">
        <f>Calcu!T14</f>
        <v/>
      </c>
      <c r="AV16" s="392"/>
      <c r="AW16" s="392"/>
      <c r="AX16" s="392"/>
      <c r="AY16" s="393"/>
    </row>
    <row r="17" spans="1:51" ht="18.75" customHeight="1">
      <c r="A17" s="57"/>
      <c r="B17" s="391" t="str">
        <f>Calcu!C15</f>
        <v/>
      </c>
      <c r="C17" s="392"/>
      <c r="D17" s="392"/>
      <c r="E17" s="392"/>
      <c r="F17" s="393"/>
      <c r="G17" s="391" t="str">
        <f>IF(Calcu!B15=TRUE,Calcu!E15*$H$5,"")</f>
        <v/>
      </c>
      <c r="H17" s="392"/>
      <c r="I17" s="392"/>
      <c r="J17" s="392"/>
      <c r="K17" s="393"/>
      <c r="L17" s="391" t="str">
        <f>IF(Calcu!B15=TRUE,Calcu!F15*H$5,"")</f>
        <v/>
      </c>
      <c r="M17" s="392"/>
      <c r="N17" s="392"/>
      <c r="O17" s="392"/>
      <c r="P17" s="393"/>
      <c r="Q17" s="391" t="str">
        <f>IF(Calcu!B15=TRUE,Calcu!G15*H$5,"")</f>
        <v/>
      </c>
      <c r="R17" s="392"/>
      <c r="S17" s="392"/>
      <c r="T17" s="392"/>
      <c r="U17" s="393"/>
      <c r="V17" s="391" t="str">
        <f>IF(Calcu!B15=TRUE,Calcu!H15*H$5,"")</f>
        <v/>
      </c>
      <c r="W17" s="392"/>
      <c r="X17" s="392"/>
      <c r="Y17" s="392"/>
      <c r="Z17" s="393"/>
      <c r="AA17" s="391" t="str">
        <f>IF(Calcu!B15=TRUE,Calcu!I15*H$5,"")</f>
        <v/>
      </c>
      <c r="AB17" s="392"/>
      <c r="AC17" s="392"/>
      <c r="AD17" s="392"/>
      <c r="AE17" s="393"/>
      <c r="AF17" s="391" t="str">
        <f>Calcu!L15</f>
        <v/>
      </c>
      <c r="AG17" s="392"/>
      <c r="AH17" s="392"/>
      <c r="AI17" s="392"/>
      <c r="AJ17" s="393"/>
      <c r="AK17" s="391" t="str">
        <f>Calcu!K15</f>
        <v/>
      </c>
      <c r="AL17" s="392"/>
      <c r="AM17" s="392"/>
      <c r="AN17" s="392"/>
      <c r="AO17" s="393"/>
      <c r="AP17" s="391" t="str">
        <f>Calcu!M15</f>
        <v/>
      </c>
      <c r="AQ17" s="392"/>
      <c r="AR17" s="392"/>
      <c r="AS17" s="392"/>
      <c r="AT17" s="393"/>
      <c r="AU17" s="391" t="str">
        <f>Calcu!T15</f>
        <v/>
      </c>
      <c r="AV17" s="392"/>
      <c r="AW17" s="392"/>
      <c r="AX17" s="392"/>
      <c r="AY17" s="393"/>
    </row>
    <row r="18" spans="1:51" ht="18.75" customHeight="1">
      <c r="A18" s="57"/>
      <c r="B18" s="391" t="str">
        <f>Calcu!C16</f>
        <v/>
      </c>
      <c r="C18" s="392"/>
      <c r="D18" s="392"/>
      <c r="E18" s="392"/>
      <c r="F18" s="393"/>
      <c r="G18" s="391" t="str">
        <f>IF(Calcu!B16=TRUE,Calcu!E16*$H$5,"")</f>
        <v/>
      </c>
      <c r="H18" s="392"/>
      <c r="I18" s="392"/>
      <c r="J18" s="392"/>
      <c r="K18" s="393"/>
      <c r="L18" s="391" t="str">
        <f>IF(Calcu!B16=TRUE,Calcu!F16*H$5,"")</f>
        <v/>
      </c>
      <c r="M18" s="392"/>
      <c r="N18" s="392"/>
      <c r="O18" s="392"/>
      <c r="P18" s="393"/>
      <c r="Q18" s="391" t="str">
        <f>IF(Calcu!B16=TRUE,Calcu!G16*H$5,"")</f>
        <v/>
      </c>
      <c r="R18" s="392"/>
      <c r="S18" s="392"/>
      <c r="T18" s="392"/>
      <c r="U18" s="393"/>
      <c r="V18" s="391" t="str">
        <f>IF(Calcu!B16=TRUE,Calcu!H16*H$5,"")</f>
        <v/>
      </c>
      <c r="W18" s="392"/>
      <c r="X18" s="392"/>
      <c r="Y18" s="392"/>
      <c r="Z18" s="393"/>
      <c r="AA18" s="391" t="str">
        <f>IF(Calcu!B16=TRUE,Calcu!I16*H$5,"")</f>
        <v/>
      </c>
      <c r="AB18" s="392"/>
      <c r="AC18" s="392"/>
      <c r="AD18" s="392"/>
      <c r="AE18" s="393"/>
      <c r="AF18" s="391" t="str">
        <f>Calcu!L16</f>
        <v/>
      </c>
      <c r="AG18" s="392"/>
      <c r="AH18" s="392"/>
      <c r="AI18" s="392"/>
      <c r="AJ18" s="393"/>
      <c r="AK18" s="391" t="str">
        <f>Calcu!K16</f>
        <v/>
      </c>
      <c r="AL18" s="392"/>
      <c r="AM18" s="392"/>
      <c r="AN18" s="392"/>
      <c r="AO18" s="393"/>
      <c r="AP18" s="391" t="str">
        <f>Calcu!M16</f>
        <v/>
      </c>
      <c r="AQ18" s="392"/>
      <c r="AR18" s="392"/>
      <c r="AS18" s="392"/>
      <c r="AT18" s="393"/>
      <c r="AU18" s="391" t="str">
        <f>Calcu!T16</f>
        <v/>
      </c>
      <c r="AV18" s="392"/>
      <c r="AW18" s="392"/>
      <c r="AX18" s="392"/>
      <c r="AY18" s="393"/>
    </row>
    <row r="19" spans="1:51" ht="18.75" customHeight="1">
      <c r="A19" s="57"/>
      <c r="B19" s="391" t="str">
        <f>Calcu!C17</f>
        <v/>
      </c>
      <c r="C19" s="392"/>
      <c r="D19" s="392"/>
      <c r="E19" s="392"/>
      <c r="F19" s="393"/>
      <c r="G19" s="391" t="str">
        <f>IF(Calcu!B17=TRUE,Calcu!E17*$H$5,"")</f>
        <v/>
      </c>
      <c r="H19" s="392"/>
      <c r="I19" s="392"/>
      <c r="J19" s="392"/>
      <c r="K19" s="393"/>
      <c r="L19" s="391" t="str">
        <f>IF(Calcu!B17=TRUE,Calcu!F17*H$5,"")</f>
        <v/>
      </c>
      <c r="M19" s="392"/>
      <c r="N19" s="392"/>
      <c r="O19" s="392"/>
      <c r="P19" s="393"/>
      <c r="Q19" s="391" t="str">
        <f>IF(Calcu!B17=TRUE,Calcu!G17*H$5,"")</f>
        <v/>
      </c>
      <c r="R19" s="392"/>
      <c r="S19" s="392"/>
      <c r="T19" s="392"/>
      <c r="U19" s="393"/>
      <c r="V19" s="391" t="str">
        <f>IF(Calcu!B17=TRUE,Calcu!H17*H$5,"")</f>
        <v/>
      </c>
      <c r="W19" s="392"/>
      <c r="X19" s="392"/>
      <c r="Y19" s="392"/>
      <c r="Z19" s="393"/>
      <c r="AA19" s="391" t="str">
        <f>IF(Calcu!B17=TRUE,Calcu!I17*H$5,"")</f>
        <v/>
      </c>
      <c r="AB19" s="392"/>
      <c r="AC19" s="392"/>
      <c r="AD19" s="392"/>
      <c r="AE19" s="393"/>
      <c r="AF19" s="391" t="str">
        <f>Calcu!L17</f>
        <v/>
      </c>
      <c r="AG19" s="392"/>
      <c r="AH19" s="392"/>
      <c r="AI19" s="392"/>
      <c r="AJ19" s="393"/>
      <c r="AK19" s="391" t="str">
        <f>Calcu!K17</f>
        <v/>
      </c>
      <c r="AL19" s="392"/>
      <c r="AM19" s="392"/>
      <c r="AN19" s="392"/>
      <c r="AO19" s="393"/>
      <c r="AP19" s="391" t="str">
        <f>Calcu!M17</f>
        <v/>
      </c>
      <c r="AQ19" s="392"/>
      <c r="AR19" s="392"/>
      <c r="AS19" s="392"/>
      <c r="AT19" s="393"/>
      <c r="AU19" s="391" t="str">
        <f>Calcu!T17</f>
        <v/>
      </c>
      <c r="AV19" s="392"/>
      <c r="AW19" s="392"/>
      <c r="AX19" s="392"/>
      <c r="AY19" s="393"/>
    </row>
    <row r="20" spans="1:51" ht="18.75" customHeight="1">
      <c r="A20" s="57"/>
      <c r="B20" s="391" t="str">
        <f>Calcu!C18</f>
        <v/>
      </c>
      <c r="C20" s="392"/>
      <c r="D20" s="392"/>
      <c r="E20" s="392"/>
      <c r="F20" s="393"/>
      <c r="G20" s="391" t="str">
        <f>IF(Calcu!B18=TRUE,Calcu!E18*$H$5,"")</f>
        <v/>
      </c>
      <c r="H20" s="392"/>
      <c r="I20" s="392"/>
      <c r="J20" s="392"/>
      <c r="K20" s="393"/>
      <c r="L20" s="391" t="str">
        <f>IF(Calcu!B18=TRUE,Calcu!F18*H$5,"")</f>
        <v/>
      </c>
      <c r="M20" s="392"/>
      <c r="N20" s="392"/>
      <c r="O20" s="392"/>
      <c r="P20" s="393"/>
      <c r="Q20" s="391" t="str">
        <f>IF(Calcu!B18=TRUE,Calcu!G18*H$5,"")</f>
        <v/>
      </c>
      <c r="R20" s="392"/>
      <c r="S20" s="392"/>
      <c r="T20" s="392"/>
      <c r="U20" s="393"/>
      <c r="V20" s="391" t="str">
        <f>IF(Calcu!B18=TRUE,Calcu!H18*H$5,"")</f>
        <v/>
      </c>
      <c r="W20" s="392"/>
      <c r="X20" s="392"/>
      <c r="Y20" s="392"/>
      <c r="Z20" s="393"/>
      <c r="AA20" s="391" t="str">
        <f>IF(Calcu!B18=TRUE,Calcu!I18*H$5,"")</f>
        <v/>
      </c>
      <c r="AB20" s="392"/>
      <c r="AC20" s="392"/>
      <c r="AD20" s="392"/>
      <c r="AE20" s="393"/>
      <c r="AF20" s="391" t="str">
        <f>Calcu!L18</f>
        <v/>
      </c>
      <c r="AG20" s="392"/>
      <c r="AH20" s="392"/>
      <c r="AI20" s="392"/>
      <c r="AJ20" s="393"/>
      <c r="AK20" s="391" t="str">
        <f>Calcu!K18</f>
        <v/>
      </c>
      <c r="AL20" s="392"/>
      <c r="AM20" s="392"/>
      <c r="AN20" s="392"/>
      <c r="AO20" s="393"/>
      <c r="AP20" s="391" t="str">
        <f>Calcu!M18</f>
        <v/>
      </c>
      <c r="AQ20" s="392"/>
      <c r="AR20" s="392"/>
      <c r="AS20" s="392"/>
      <c r="AT20" s="393"/>
      <c r="AU20" s="391" t="str">
        <f>Calcu!T18</f>
        <v/>
      </c>
      <c r="AV20" s="392"/>
      <c r="AW20" s="392"/>
      <c r="AX20" s="392"/>
      <c r="AY20" s="393"/>
    </row>
    <row r="21" spans="1:51" ht="18.75" customHeight="1">
      <c r="A21" s="57"/>
      <c r="B21" s="391" t="str">
        <f>Calcu!C19</f>
        <v/>
      </c>
      <c r="C21" s="392"/>
      <c r="D21" s="392"/>
      <c r="E21" s="392"/>
      <c r="F21" s="393"/>
      <c r="G21" s="391" t="str">
        <f>IF(Calcu!B19=TRUE,Calcu!E19*$H$5,"")</f>
        <v/>
      </c>
      <c r="H21" s="392"/>
      <c r="I21" s="392"/>
      <c r="J21" s="392"/>
      <c r="K21" s="393"/>
      <c r="L21" s="391" t="str">
        <f>IF(Calcu!B19=TRUE,Calcu!F19*H$5,"")</f>
        <v/>
      </c>
      <c r="M21" s="392"/>
      <c r="N21" s="392"/>
      <c r="O21" s="392"/>
      <c r="P21" s="393"/>
      <c r="Q21" s="391" t="str">
        <f>IF(Calcu!B19=TRUE,Calcu!G19*H$5,"")</f>
        <v/>
      </c>
      <c r="R21" s="392"/>
      <c r="S21" s="392"/>
      <c r="T21" s="392"/>
      <c r="U21" s="393"/>
      <c r="V21" s="391" t="str">
        <f>IF(Calcu!B19=TRUE,Calcu!H19*H$5,"")</f>
        <v/>
      </c>
      <c r="W21" s="392"/>
      <c r="X21" s="392"/>
      <c r="Y21" s="392"/>
      <c r="Z21" s="393"/>
      <c r="AA21" s="391" t="str">
        <f>IF(Calcu!B19=TRUE,Calcu!I19*H$5,"")</f>
        <v/>
      </c>
      <c r="AB21" s="392"/>
      <c r="AC21" s="392"/>
      <c r="AD21" s="392"/>
      <c r="AE21" s="393"/>
      <c r="AF21" s="391" t="str">
        <f>Calcu!L19</f>
        <v/>
      </c>
      <c r="AG21" s="392"/>
      <c r="AH21" s="392"/>
      <c r="AI21" s="392"/>
      <c r="AJ21" s="393"/>
      <c r="AK21" s="391" t="str">
        <f>Calcu!K19</f>
        <v/>
      </c>
      <c r="AL21" s="392"/>
      <c r="AM21" s="392"/>
      <c r="AN21" s="392"/>
      <c r="AO21" s="393"/>
      <c r="AP21" s="391" t="str">
        <f>Calcu!M19</f>
        <v/>
      </c>
      <c r="AQ21" s="392"/>
      <c r="AR21" s="392"/>
      <c r="AS21" s="392"/>
      <c r="AT21" s="393"/>
      <c r="AU21" s="391" t="str">
        <f>Calcu!T19</f>
        <v/>
      </c>
      <c r="AV21" s="392"/>
      <c r="AW21" s="392"/>
      <c r="AX21" s="392"/>
      <c r="AY21" s="393"/>
    </row>
    <row r="22" spans="1:51" ht="18.75" customHeight="1">
      <c r="A22" s="57"/>
      <c r="B22" s="391" t="str">
        <f>Calcu!C20</f>
        <v/>
      </c>
      <c r="C22" s="392"/>
      <c r="D22" s="392"/>
      <c r="E22" s="392"/>
      <c r="F22" s="393"/>
      <c r="G22" s="391" t="str">
        <f>IF(Calcu!B20=TRUE,Calcu!E20*$H$5,"")</f>
        <v/>
      </c>
      <c r="H22" s="392"/>
      <c r="I22" s="392"/>
      <c r="J22" s="392"/>
      <c r="K22" s="393"/>
      <c r="L22" s="391" t="str">
        <f>IF(Calcu!B20=TRUE,Calcu!F20*H$5,"")</f>
        <v/>
      </c>
      <c r="M22" s="392"/>
      <c r="N22" s="392"/>
      <c r="O22" s="392"/>
      <c r="P22" s="393"/>
      <c r="Q22" s="391" t="str">
        <f>IF(Calcu!B20=TRUE,Calcu!G20*H$5,"")</f>
        <v/>
      </c>
      <c r="R22" s="392"/>
      <c r="S22" s="392"/>
      <c r="T22" s="392"/>
      <c r="U22" s="393"/>
      <c r="V22" s="391" t="str">
        <f>IF(Calcu!B20=TRUE,Calcu!H20*H$5,"")</f>
        <v/>
      </c>
      <c r="W22" s="392"/>
      <c r="X22" s="392"/>
      <c r="Y22" s="392"/>
      <c r="Z22" s="393"/>
      <c r="AA22" s="391" t="str">
        <f>IF(Calcu!B20=TRUE,Calcu!I20*H$5,"")</f>
        <v/>
      </c>
      <c r="AB22" s="392"/>
      <c r="AC22" s="392"/>
      <c r="AD22" s="392"/>
      <c r="AE22" s="393"/>
      <c r="AF22" s="391" t="str">
        <f>Calcu!L20</f>
        <v/>
      </c>
      <c r="AG22" s="392"/>
      <c r="AH22" s="392"/>
      <c r="AI22" s="392"/>
      <c r="AJ22" s="393"/>
      <c r="AK22" s="391" t="str">
        <f>Calcu!K20</f>
        <v/>
      </c>
      <c r="AL22" s="392"/>
      <c r="AM22" s="392"/>
      <c r="AN22" s="392"/>
      <c r="AO22" s="393"/>
      <c r="AP22" s="391" t="str">
        <f>Calcu!M20</f>
        <v/>
      </c>
      <c r="AQ22" s="392"/>
      <c r="AR22" s="392"/>
      <c r="AS22" s="392"/>
      <c r="AT22" s="393"/>
      <c r="AU22" s="391" t="str">
        <f>Calcu!T20</f>
        <v/>
      </c>
      <c r="AV22" s="392"/>
      <c r="AW22" s="392"/>
      <c r="AX22" s="392"/>
      <c r="AY22" s="393"/>
    </row>
    <row r="23" spans="1:51" ht="18.75" customHeight="1">
      <c r="A23" s="57"/>
      <c r="B23" s="391" t="str">
        <f>Calcu!C21</f>
        <v/>
      </c>
      <c r="C23" s="392"/>
      <c r="D23" s="392"/>
      <c r="E23" s="392"/>
      <c r="F23" s="393"/>
      <c r="G23" s="391" t="str">
        <f>IF(Calcu!B21=TRUE,Calcu!E21*$H$5,"")</f>
        <v/>
      </c>
      <c r="H23" s="392"/>
      <c r="I23" s="392"/>
      <c r="J23" s="392"/>
      <c r="K23" s="393"/>
      <c r="L23" s="391" t="str">
        <f>IF(Calcu!B21=TRUE,Calcu!F21*H$5,"")</f>
        <v/>
      </c>
      <c r="M23" s="392"/>
      <c r="N23" s="392"/>
      <c r="O23" s="392"/>
      <c r="P23" s="393"/>
      <c r="Q23" s="391" t="str">
        <f>IF(Calcu!B21=TRUE,Calcu!G21*H$5,"")</f>
        <v/>
      </c>
      <c r="R23" s="392"/>
      <c r="S23" s="392"/>
      <c r="T23" s="392"/>
      <c r="U23" s="393"/>
      <c r="V23" s="391" t="str">
        <f>IF(Calcu!B21=TRUE,Calcu!H21*H$5,"")</f>
        <v/>
      </c>
      <c r="W23" s="392"/>
      <c r="X23" s="392"/>
      <c r="Y23" s="392"/>
      <c r="Z23" s="393"/>
      <c r="AA23" s="391" t="str">
        <f>IF(Calcu!B21=TRUE,Calcu!I21*H$5,"")</f>
        <v/>
      </c>
      <c r="AB23" s="392"/>
      <c r="AC23" s="392"/>
      <c r="AD23" s="392"/>
      <c r="AE23" s="393"/>
      <c r="AF23" s="391" t="str">
        <f>Calcu!L21</f>
        <v/>
      </c>
      <c r="AG23" s="392"/>
      <c r="AH23" s="392"/>
      <c r="AI23" s="392"/>
      <c r="AJ23" s="393"/>
      <c r="AK23" s="391" t="str">
        <f>Calcu!K21</f>
        <v/>
      </c>
      <c r="AL23" s="392"/>
      <c r="AM23" s="392"/>
      <c r="AN23" s="392"/>
      <c r="AO23" s="393"/>
      <c r="AP23" s="391" t="str">
        <f>Calcu!M21</f>
        <v/>
      </c>
      <c r="AQ23" s="392"/>
      <c r="AR23" s="392"/>
      <c r="AS23" s="392"/>
      <c r="AT23" s="393"/>
      <c r="AU23" s="391" t="str">
        <f>Calcu!T21</f>
        <v/>
      </c>
      <c r="AV23" s="392"/>
      <c r="AW23" s="392"/>
      <c r="AX23" s="392"/>
      <c r="AY23" s="393"/>
    </row>
    <row r="24" spans="1:51" ht="18.75" customHeight="1">
      <c r="A24" s="57"/>
      <c r="B24" s="391" t="str">
        <f>Calcu!C22</f>
        <v/>
      </c>
      <c r="C24" s="392"/>
      <c r="D24" s="392"/>
      <c r="E24" s="392"/>
      <c r="F24" s="393"/>
      <c r="G24" s="391" t="str">
        <f>IF(Calcu!B22=TRUE,Calcu!E22*$H$5,"")</f>
        <v/>
      </c>
      <c r="H24" s="392"/>
      <c r="I24" s="392"/>
      <c r="J24" s="392"/>
      <c r="K24" s="393"/>
      <c r="L24" s="391" t="str">
        <f>IF(Calcu!B22=TRUE,Calcu!F22*H$5,"")</f>
        <v/>
      </c>
      <c r="M24" s="392"/>
      <c r="N24" s="392"/>
      <c r="O24" s="392"/>
      <c r="P24" s="393"/>
      <c r="Q24" s="391" t="str">
        <f>IF(Calcu!B22=TRUE,Calcu!G22*H$5,"")</f>
        <v/>
      </c>
      <c r="R24" s="392"/>
      <c r="S24" s="392"/>
      <c r="T24" s="392"/>
      <c r="U24" s="393"/>
      <c r="V24" s="391" t="str">
        <f>IF(Calcu!B22=TRUE,Calcu!H22*H$5,"")</f>
        <v/>
      </c>
      <c r="W24" s="392"/>
      <c r="X24" s="392"/>
      <c r="Y24" s="392"/>
      <c r="Z24" s="393"/>
      <c r="AA24" s="391" t="str">
        <f>IF(Calcu!B22=TRUE,Calcu!I22*H$5,"")</f>
        <v/>
      </c>
      <c r="AB24" s="392"/>
      <c r="AC24" s="392"/>
      <c r="AD24" s="392"/>
      <c r="AE24" s="393"/>
      <c r="AF24" s="391" t="str">
        <f>Calcu!L22</f>
        <v/>
      </c>
      <c r="AG24" s="392"/>
      <c r="AH24" s="392"/>
      <c r="AI24" s="392"/>
      <c r="AJ24" s="393"/>
      <c r="AK24" s="391" t="str">
        <f>Calcu!K22</f>
        <v/>
      </c>
      <c r="AL24" s="392"/>
      <c r="AM24" s="392"/>
      <c r="AN24" s="392"/>
      <c r="AO24" s="393"/>
      <c r="AP24" s="391" t="str">
        <f>Calcu!M22</f>
        <v/>
      </c>
      <c r="AQ24" s="392"/>
      <c r="AR24" s="392"/>
      <c r="AS24" s="392"/>
      <c r="AT24" s="393"/>
      <c r="AU24" s="391" t="str">
        <f>Calcu!T22</f>
        <v/>
      </c>
      <c r="AV24" s="392"/>
      <c r="AW24" s="392"/>
      <c r="AX24" s="392"/>
      <c r="AY24" s="393"/>
    </row>
    <row r="25" spans="1:51" ht="18.75" customHeight="1">
      <c r="A25" s="57"/>
      <c r="B25" s="391" t="str">
        <f>Calcu!C23</f>
        <v/>
      </c>
      <c r="C25" s="392"/>
      <c r="D25" s="392"/>
      <c r="E25" s="392"/>
      <c r="F25" s="393"/>
      <c r="G25" s="391" t="str">
        <f>IF(Calcu!B23=TRUE,Calcu!E23*$H$5,"")</f>
        <v/>
      </c>
      <c r="H25" s="392"/>
      <c r="I25" s="392"/>
      <c r="J25" s="392"/>
      <c r="K25" s="393"/>
      <c r="L25" s="391" t="str">
        <f>IF(Calcu!B23=TRUE,Calcu!F23*H$5,"")</f>
        <v/>
      </c>
      <c r="M25" s="392"/>
      <c r="N25" s="392"/>
      <c r="O25" s="392"/>
      <c r="P25" s="393"/>
      <c r="Q25" s="391" t="str">
        <f>IF(Calcu!B23=TRUE,Calcu!G23*H$5,"")</f>
        <v/>
      </c>
      <c r="R25" s="392"/>
      <c r="S25" s="392"/>
      <c r="T25" s="392"/>
      <c r="U25" s="393"/>
      <c r="V25" s="391" t="str">
        <f>IF(Calcu!B23=TRUE,Calcu!H23*H$5,"")</f>
        <v/>
      </c>
      <c r="W25" s="392"/>
      <c r="X25" s="392"/>
      <c r="Y25" s="392"/>
      <c r="Z25" s="393"/>
      <c r="AA25" s="391" t="str">
        <f>IF(Calcu!B23=TRUE,Calcu!I23*H$5,"")</f>
        <v/>
      </c>
      <c r="AB25" s="392"/>
      <c r="AC25" s="392"/>
      <c r="AD25" s="392"/>
      <c r="AE25" s="393"/>
      <c r="AF25" s="391" t="str">
        <f>Calcu!L23</f>
        <v/>
      </c>
      <c r="AG25" s="392"/>
      <c r="AH25" s="392"/>
      <c r="AI25" s="392"/>
      <c r="AJ25" s="393"/>
      <c r="AK25" s="391" t="str">
        <f>Calcu!K23</f>
        <v/>
      </c>
      <c r="AL25" s="392"/>
      <c r="AM25" s="392"/>
      <c r="AN25" s="392"/>
      <c r="AO25" s="393"/>
      <c r="AP25" s="391" t="str">
        <f>Calcu!M23</f>
        <v/>
      </c>
      <c r="AQ25" s="392"/>
      <c r="AR25" s="392"/>
      <c r="AS25" s="392"/>
      <c r="AT25" s="393"/>
      <c r="AU25" s="391" t="str">
        <f>Calcu!T23</f>
        <v/>
      </c>
      <c r="AV25" s="392"/>
      <c r="AW25" s="392"/>
      <c r="AX25" s="392"/>
      <c r="AY25" s="393"/>
    </row>
    <row r="26" spans="1:51" ht="18.75" customHeight="1">
      <c r="A26" s="57"/>
      <c r="B26" s="391" t="str">
        <f>Calcu!C24</f>
        <v/>
      </c>
      <c r="C26" s="392"/>
      <c r="D26" s="392"/>
      <c r="E26" s="392"/>
      <c r="F26" s="393"/>
      <c r="G26" s="391" t="str">
        <f>IF(Calcu!B24=TRUE,Calcu!E24*$H$5,"")</f>
        <v/>
      </c>
      <c r="H26" s="392"/>
      <c r="I26" s="392"/>
      <c r="J26" s="392"/>
      <c r="K26" s="393"/>
      <c r="L26" s="391" t="str">
        <f>IF(Calcu!B24=TRUE,Calcu!F24*H$5,"")</f>
        <v/>
      </c>
      <c r="M26" s="392"/>
      <c r="N26" s="392"/>
      <c r="O26" s="392"/>
      <c r="P26" s="393"/>
      <c r="Q26" s="391" t="str">
        <f>IF(Calcu!B24=TRUE,Calcu!G24*H$5,"")</f>
        <v/>
      </c>
      <c r="R26" s="392"/>
      <c r="S26" s="392"/>
      <c r="T26" s="392"/>
      <c r="U26" s="393"/>
      <c r="V26" s="391" t="str">
        <f>IF(Calcu!B24=TRUE,Calcu!H24*H$5,"")</f>
        <v/>
      </c>
      <c r="W26" s="392"/>
      <c r="X26" s="392"/>
      <c r="Y26" s="392"/>
      <c r="Z26" s="393"/>
      <c r="AA26" s="391" t="str">
        <f>IF(Calcu!B24=TRUE,Calcu!I24*H$5,"")</f>
        <v/>
      </c>
      <c r="AB26" s="392"/>
      <c r="AC26" s="392"/>
      <c r="AD26" s="392"/>
      <c r="AE26" s="393"/>
      <c r="AF26" s="391" t="str">
        <f>Calcu!L24</f>
        <v/>
      </c>
      <c r="AG26" s="392"/>
      <c r="AH26" s="392"/>
      <c r="AI26" s="392"/>
      <c r="AJ26" s="393"/>
      <c r="AK26" s="391" t="str">
        <f>Calcu!K24</f>
        <v/>
      </c>
      <c r="AL26" s="392"/>
      <c r="AM26" s="392"/>
      <c r="AN26" s="392"/>
      <c r="AO26" s="393"/>
      <c r="AP26" s="391" t="str">
        <f>Calcu!M24</f>
        <v/>
      </c>
      <c r="AQ26" s="392"/>
      <c r="AR26" s="392"/>
      <c r="AS26" s="392"/>
      <c r="AT26" s="393"/>
      <c r="AU26" s="391" t="str">
        <f>Calcu!T24</f>
        <v/>
      </c>
      <c r="AV26" s="392"/>
      <c r="AW26" s="392"/>
      <c r="AX26" s="392"/>
      <c r="AY26" s="393"/>
    </row>
    <row r="27" spans="1:51" ht="18.75" customHeight="1">
      <c r="A27" s="57"/>
      <c r="B27" s="391" t="str">
        <f>Calcu!C25</f>
        <v/>
      </c>
      <c r="C27" s="392"/>
      <c r="D27" s="392"/>
      <c r="E27" s="392"/>
      <c r="F27" s="393"/>
      <c r="G27" s="391" t="str">
        <f>IF(Calcu!B25=TRUE,Calcu!E25*$H$5,"")</f>
        <v/>
      </c>
      <c r="H27" s="392"/>
      <c r="I27" s="392"/>
      <c r="J27" s="392"/>
      <c r="K27" s="393"/>
      <c r="L27" s="391" t="str">
        <f>IF(Calcu!B25=TRUE,Calcu!F25*H$5,"")</f>
        <v/>
      </c>
      <c r="M27" s="392"/>
      <c r="N27" s="392"/>
      <c r="O27" s="392"/>
      <c r="P27" s="393"/>
      <c r="Q27" s="391" t="str">
        <f>IF(Calcu!B25=TRUE,Calcu!G25*H$5,"")</f>
        <v/>
      </c>
      <c r="R27" s="392"/>
      <c r="S27" s="392"/>
      <c r="T27" s="392"/>
      <c r="U27" s="393"/>
      <c r="V27" s="391" t="str">
        <f>IF(Calcu!B25=TRUE,Calcu!H25*H$5,"")</f>
        <v/>
      </c>
      <c r="W27" s="392"/>
      <c r="X27" s="392"/>
      <c r="Y27" s="392"/>
      <c r="Z27" s="393"/>
      <c r="AA27" s="391" t="str">
        <f>IF(Calcu!B25=TRUE,Calcu!I25*H$5,"")</f>
        <v/>
      </c>
      <c r="AB27" s="392"/>
      <c r="AC27" s="392"/>
      <c r="AD27" s="392"/>
      <c r="AE27" s="393"/>
      <c r="AF27" s="391" t="str">
        <f>Calcu!L25</f>
        <v/>
      </c>
      <c r="AG27" s="392"/>
      <c r="AH27" s="392"/>
      <c r="AI27" s="392"/>
      <c r="AJ27" s="393"/>
      <c r="AK27" s="391" t="str">
        <f>Calcu!K25</f>
        <v/>
      </c>
      <c r="AL27" s="392"/>
      <c r="AM27" s="392"/>
      <c r="AN27" s="392"/>
      <c r="AO27" s="393"/>
      <c r="AP27" s="391" t="str">
        <f>Calcu!M25</f>
        <v/>
      </c>
      <c r="AQ27" s="392"/>
      <c r="AR27" s="392"/>
      <c r="AS27" s="392"/>
      <c r="AT27" s="393"/>
      <c r="AU27" s="391" t="str">
        <f>Calcu!T25</f>
        <v/>
      </c>
      <c r="AV27" s="392"/>
      <c r="AW27" s="392"/>
      <c r="AX27" s="392"/>
      <c r="AY27" s="393"/>
    </row>
    <row r="28" spans="1:51" ht="18.75" customHeight="1">
      <c r="A28" s="57"/>
      <c r="B28" s="391" t="str">
        <f>Calcu!C26</f>
        <v/>
      </c>
      <c r="C28" s="392"/>
      <c r="D28" s="392"/>
      <c r="E28" s="392"/>
      <c r="F28" s="393"/>
      <c r="G28" s="391" t="str">
        <f>IF(Calcu!B26=TRUE,Calcu!E26*$H$5,"")</f>
        <v/>
      </c>
      <c r="H28" s="392"/>
      <c r="I28" s="392"/>
      <c r="J28" s="392"/>
      <c r="K28" s="393"/>
      <c r="L28" s="391" t="str">
        <f>IF(Calcu!B26=TRUE,Calcu!F26*H$5,"")</f>
        <v/>
      </c>
      <c r="M28" s="392"/>
      <c r="N28" s="392"/>
      <c r="O28" s="392"/>
      <c r="P28" s="393"/>
      <c r="Q28" s="391" t="str">
        <f>IF(Calcu!B26=TRUE,Calcu!G26*H$5,"")</f>
        <v/>
      </c>
      <c r="R28" s="392"/>
      <c r="S28" s="392"/>
      <c r="T28" s="392"/>
      <c r="U28" s="393"/>
      <c r="V28" s="391" t="str">
        <f>IF(Calcu!B26=TRUE,Calcu!H26*H$5,"")</f>
        <v/>
      </c>
      <c r="W28" s="392"/>
      <c r="X28" s="392"/>
      <c r="Y28" s="392"/>
      <c r="Z28" s="393"/>
      <c r="AA28" s="391" t="str">
        <f>IF(Calcu!B26=TRUE,Calcu!I26*H$5,"")</f>
        <v/>
      </c>
      <c r="AB28" s="392"/>
      <c r="AC28" s="392"/>
      <c r="AD28" s="392"/>
      <c r="AE28" s="393"/>
      <c r="AF28" s="391" t="str">
        <f>Calcu!L26</f>
        <v/>
      </c>
      <c r="AG28" s="392"/>
      <c r="AH28" s="392"/>
      <c r="AI28" s="392"/>
      <c r="AJ28" s="393"/>
      <c r="AK28" s="391" t="str">
        <f>Calcu!K26</f>
        <v/>
      </c>
      <c r="AL28" s="392"/>
      <c r="AM28" s="392"/>
      <c r="AN28" s="392"/>
      <c r="AO28" s="393"/>
      <c r="AP28" s="391" t="str">
        <f>Calcu!M26</f>
        <v/>
      </c>
      <c r="AQ28" s="392"/>
      <c r="AR28" s="392"/>
      <c r="AS28" s="392"/>
      <c r="AT28" s="393"/>
      <c r="AU28" s="391" t="str">
        <f>Calcu!T26</f>
        <v/>
      </c>
      <c r="AV28" s="392"/>
      <c r="AW28" s="392"/>
      <c r="AX28" s="392"/>
      <c r="AY28" s="393"/>
    </row>
    <row r="29" spans="1:51" ht="18.75" customHeight="1">
      <c r="A29" s="57"/>
      <c r="B29" s="391" t="str">
        <f>Calcu!C27</f>
        <v/>
      </c>
      <c r="C29" s="392"/>
      <c r="D29" s="392"/>
      <c r="E29" s="392"/>
      <c r="F29" s="393"/>
      <c r="G29" s="391" t="str">
        <f>IF(Calcu!B27=TRUE,Calcu!E27*$H$5,"")</f>
        <v/>
      </c>
      <c r="H29" s="392"/>
      <c r="I29" s="392"/>
      <c r="J29" s="392"/>
      <c r="K29" s="393"/>
      <c r="L29" s="391" t="str">
        <f>IF(Calcu!B27=TRUE,Calcu!F27*H$5,"")</f>
        <v/>
      </c>
      <c r="M29" s="392"/>
      <c r="N29" s="392"/>
      <c r="O29" s="392"/>
      <c r="P29" s="393"/>
      <c r="Q29" s="391" t="str">
        <f>IF(Calcu!B27=TRUE,Calcu!G27*H$5,"")</f>
        <v/>
      </c>
      <c r="R29" s="392"/>
      <c r="S29" s="392"/>
      <c r="T29" s="392"/>
      <c r="U29" s="393"/>
      <c r="V29" s="391" t="str">
        <f>IF(Calcu!B27=TRUE,Calcu!H27*H$5,"")</f>
        <v/>
      </c>
      <c r="W29" s="392"/>
      <c r="X29" s="392"/>
      <c r="Y29" s="392"/>
      <c r="Z29" s="393"/>
      <c r="AA29" s="391" t="str">
        <f>IF(Calcu!B27=TRUE,Calcu!I27*H$5,"")</f>
        <v/>
      </c>
      <c r="AB29" s="392"/>
      <c r="AC29" s="392"/>
      <c r="AD29" s="392"/>
      <c r="AE29" s="393"/>
      <c r="AF29" s="391" t="str">
        <f>Calcu!L27</f>
        <v/>
      </c>
      <c r="AG29" s="392"/>
      <c r="AH29" s="392"/>
      <c r="AI29" s="392"/>
      <c r="AJ29" s="393"/>
      <c r="AK29" s="391" t="str">
        <f>Calcu!K27</f>
        <v/>
      </c>
      <c r="AL29" s="392"/>
      <c r="AM29" s="392"/>
      <c r="AN29" s="392"/>
      <c r="AO29" s="393"/>
      <c r="AP29" s="391" t="str">
        <f>Calcu!M27</f>
        <v/>
      </c>
      <c r="AQ29" s="392"/>
      <c r="AR29" s="392"/>
      <c r="AS29" s="392"/>
      <c r="AT29" s="393"/>
      <c r="AU29" s="391" t="str">
        <f>Calcu!T27</f>
        <v/>
      </c>
      <c r="AV29" s="392"/>
      <c r="AW29" s="392"/>
      <c r="AX29" s="392"/>
      <c r="AY29" s="393"/>
    </row>
    <row r="30" spans="1:51" ht="18.75" customHeight="1">
      <c r="A30" s="57"/>
      <c r="B30" s="391" t="str">
        <f>Calcu!C28</f>
        <v/>
      </c>
      <c r="C30" s="392"/>
      <c r="D30" s="392"/>
      <c r="E30" s="392"/>
      <c r="F30" s="393"/>
      <c r="G30" s="391" t="str">
        <f>IF(Calcu!B28=TRUE,Calcu!E28*$H$5,"")</f>
        <v/>
      </c>
      <c r="H30" s="392"/>
      <c r="I30" s="392"/>
      <c r="J30" s="392"/>
      <c r="K30" s="393"/>
      <c r="L30" s="391" t="str">
        <f>IF(Calcu!B28=TRUE,Calcu!F28*H$5,"")</f>
        <v/>
      </c>
      <c r="M30" s="392"/>
      <c r="N30" s="392"/>
      <c r="O30" s="392"/>
      <c r="P30" s="393"/>
      <c r="Q30" s="391" t="str">
        <f>IF(Calcu!B28=TRUE,Calcu!G28*H$5,"")</f>
        <v/>
      </c>
      <c r="R30" s="392"/>
      <c r="S30" s="392"/>
      <c r="T30" s="392"/>
      <c r="U30" s="393"/>
      <c r="V30" s="391" t="str">
        <f>IF(Calcu!B28=TRUE,Calcu!H28*H$5,"")</f>
        <v/>
      </c>
      <c r="W30" s="392"/>
      <c r="X30" s="392"/>
      <c r="Y30" s="392"/>
      <c r="Z30" s="393"/>
      <c r="AA30" s="391" t="str">
        <f>IF(Calcu!B28=TRUE,Calcu!I28*H$5,"")</f>
        <v/>
      </c>
      <c r="AB30" s="392"/>
      <c r="AC30" s="392"/>
      <c r="AD30" s="392"/>
      <c r="AE30" s="393"/>
      <c r="AF30" s="391" t="str">
        <f>Calcu!L28</f>
        <v/>
      </c>
      <c r="AG30" s="392"/>
      <c r="AH30" s="392"/>
      <c r="AI30" s="392"/>
      <c r="AJ30" s="393"/>
      <c r="AK30" s="391" t="str">
        <f>Calcu!K28</f>
        <v/>
      </c>
      <c r="AL30" s="392"/>
      <c r="AM30" s="392"/>
      <c r="AN30" s="392"/>
      <c r="AO30" s="393"/>
      <c r="AP30" s="391" t="str">
        <f>Calcu!M28</f>
        <v/>
      </c>
      <c r="AQ30" s="392"/>
      <c r="AR30" s="392"/>
      <c r="AS30" s="392"/>
      <c r="AT30" s="393"/>
      <c r="AU30" s="391" t="str">
        <f>Calcu!T28</f>
        <v/>
      </c>
      <c r="AV30" s="392"/>
      <c r="AW30" s="392"/>
      <c r="AX30" s="392"/>
      <c r="AY30" s="393"/>
    </row>
    <row r="31" spans="1:51" ht="18.75" customHeight="1">
      <c r="A31" s="57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</row>
    <row r="32" spans="1:51" ht="18.75" customHeight="1">
      <c r="A32" s="57" t="s">
        <v>129</v>
      </c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</row>
    <row r="33" spans="1:69" ht="18.75" customHeight="1">
      <c r="A33" s="71"/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</row>
    <row r="34" spans="1:69" ht="18.75" customHeight="1">
      <c r="A34" s="71"/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</row>
    <row r="35" spans="1:69" ht="18.75" customHeight="1">
      <c r="A35" s="71"/>
      <c r="B35" s="248"/>
      <c r="C35" s="419" t="s">
        <v>156</v>
      </c>
      <c r="D35" s="419"/>
      <c r="E35" s="419"/>
      <c r="F35" s="237" t="s">
        <v>241</v>
      </c>
      <c r="G35" s="248" t="str">
        <f>"표준온도에서 "&amp;$N$5&amp;"의 보정값"</f>
        <v>표준온도에서 곧은자의 보정값</v>
      </c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W35" s="59"/>
      <c r="X35" s="59"/>
      <c r="Y35" s="59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</row>
    <row r="36" spans="1:69" ht="18.75" customHeight="1">
      <c r="A36" s="71"/>
      <c r="B36" s="248"/>
      <c r="C36" s="419" t="s">
        <v>242</v>
      </c>
      <c r="D36" s="419"/>
      <c r="E36" s="419"/>
      <c r="F36" s="237" t="s">
        <v>130</v>
      </c>
      <c r="G36" s="248" t="str">
        <f>$T$5&amp;"의 지시값"</f>
        <v>줄자교정장치의 지시값</v>
      </c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</row>
    <row r="37" spans="1:69" ht="18.75" customHeight="1">
      <c r="A37" s="71"/>
      <c r="B37" s="248"/>
      <c r="C37" s="419" t="s">
        <v>243</v>
      </c>
      <c r="D37" s="419"/>
      <c r="E37" s="419"/>
      <c r="F37" s="237" t="s">
        <v>244</v>
      </c>
      <c r="G37" s="248" t="str">
        <f>$T$5&amp;"의 보정값"</f>
        <v>줄자교정장치의 보정값</v>
      </c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</row>
    <row r="38" spans="1:69" ht="18.75" customHeight="1">
      <c r="A38" s="71"/>
      <c r="B38" s="248"/>
      <c r="C38" s="419" t="s">
        <v>489</v>
      </c>
      <c r="D38" s="419"/>
      <c r="E38" s="419"/>
      <c r="F38" s="237" t="s">
        <v>241</v>
      </c>
      <c r="G38" s="248" t="str">
        <f>$N$5&amp;"의 지시값"</f>
        <v>곧은자의 지시값</v>
      </c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</row>
    <row r="39" spans="1:69" ht="18.75" customHeight="1">
      <c r="A39" s="71"/>
      <c r="B39" s="248"/>
      <c r="C39" s="419" t="s">
        <v>245</v>
      </c>
      <c r="D39" s="419"/>
      <c r="E39" s="419"/>
      <c r="F39" s="274" t="s">
        <v>241</v>
      </c>
      <c r="G39" s="248" t="str">
        <f>$N$5&amp;"의 눈금값"</f>
        <v>곧은자의 눈금값</v>
      </c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</row>
    <row r="40" spans="1:69" ht="18.75" customHeight="1">
      <c r="A40" s="71"/>
      <c r="B40" s="248"/>
      <c r="C40" s="419"/>
      <c r="D40" s="419"/>
      <c r="E40" s="419"/>
      <c r="F40" s="237" t="s">
        <v>241</v>
      </c>
      <c r="G40" s="248" t="str">
        <f>$N$5&amp;"와 "&amp;$T$5&amp;"의 평균열팽창계수"</f>
        <v>곧은자와 줄자교정장치의 평균열팽창계수</v>
      </c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</row>
    <row r="41" spans="1:69" ht="18.75" customHeight="1">
      <c r="A41" s="71"/>
      <c r="B41" s="248"/>
      <c r="C41" s="419" t="s">
        <v>246</v>
      </c>
      <c r="D41" s="419"/>
      <c r="E41" s="419"/>
      <c r="F41" s="237" t="s">
        <v>130</v>
      </c>
      <c r="G41" s="248" t="str">
        <f>$N$5&amp;"와 "&amp;$T$5&amp;"의 온도차이"</f>
        <v>곧은자와 줄자교정장치의 온도차이</v>
      </c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</row>
    <row r="42" spans="1:69" ht="18.75" customHeight="1">
      <c r="A42" s="71"/>
      <c r="B42" s="248"/>
      <c r="C42" s="419" t="s">
        <v>247</v>
      </c>
      <c r="D42" s="419"/>
      <c r="E42" s="419"/>
      <c r="F42" s="237" t="s">
        <v>248</v>
      </c>
      <c r="G42" s="248" t="str">
        <f>$N$5&amp;"와 "&amp;$T$5&amp;"의 열팽창계수 차이"</f>
        <v>곧은자와 줄자교정장치의 열팽창계수 차이</v>
      </c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</row>
    <row r="43" spans="1:69" ht="18.75" customHeight="1">
      <c r="A43" s="71"/>
      <c r="B43" s="248"/>
      <c r="C43" s="419" t="s">
        <v>249</v>
      </c>
      <c r="D43" s="419"/>
      <c r="E43" s="419"/>
      <c r="F43" s="237" t="s">
        <v>250</v>
      </c>
      <c r="G43" s="248" t="str">
        <f>$N$5&amp;"와 "&amp;$T$5&amp;"의 평균 온도값과 기준온도와의 차"</f>
        <v>곧은자와 줄자교정장치의 평균 온도값과 기준온도와의 차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</row>
    <row r="44" spans="1:69" ht="18.75" customHeight="1">
      <c r="A44" s="71"/>
      <c r="B44" s="248"/>
      <c r="C44" s="419" t="s">
        <v>251</v>
      </c>
      <c r="D44" s="419"/>
      <c r="E44" s="419"/>
      <c r="F44" s="237" t="s">
        <v>250</v>
      </c>
      <c r="G44" s="248" t="s">
        <v>252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</row>
    <row r="45" spans="1:69" ht="18.75" customHeight="1">
      <c r="A45" s="71"/>
      <c r="B45" s="248"/>
      <c r="C45" s="419"/>
      <c r="D45" s="419"/>
      <c r="E45" s="419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</row>
    <row r="46" spans="1:69" ht="18.75" customHeight="1">
      <c r="A46" s="57" t="s">
        <v>253</v>
      </c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</row>
    <row r="47" spans="1:69" ht="18.75" customHeight="1">
      <c r="A47" s="248"/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</row>
    <row r="48" spans="1:69" ht="18.75" customHeight="1">
      <c r="A48" s="248"/>
      <c r="B48" s="248"/>
      <c r="C48" s="248" t="s">
        <v>254</v>
      </c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</row>
    <row r="49" spans="1:46" ht="18.75" customHeight="1">
      <c r="A49" s="248"/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</row>
    <row r="50" spans="1:46" ht="18.75" customHeight="1">
      <c r="A50" s="248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</row>
    <row r="51" spans="1:46" ht="18.75" customHeight="1">
      <c r="A51" s="24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</row>
    <row r="52" spans="1:46" ht="18.75" customHeight="1">
      <c r="A52" s="248"/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</row>
    <row r="53" spans="1:46" ht="18.75" customHeight="1">
      <c r="A53" s="60" t="s">
        <v>255</v>
      </c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</row>
    <row r="54" spans="1:46" ht="18.75" customHeight="1">
      <c r="A54" s="248"/>
      <c r="B54" s="416"/>
      <c r="C54" s="418"/>
      <c r="D54" s="410"/>
      <c r="E54" s="411"/>
      <c r="F54" s="411"/>
      <c r="G54" s="412"/>
      <c r="H54" s="377">
        <v>1</v>
      </c>
      <c r="I54" s="377"/>
      <c r="J54" s="377"/>
      <c r="K54" s="377"/>
      <c r="L54" s="377"/>
      <c r="M54" s="377"/>
      <c r="N54" s="377"/>
      <c r="O54" s="377">
        <v>2</v>
      </c>
      <c r="P54" s="377"/>
      <c r="Q54" s="377"/>
      <c r="R54" s="377"/>
      <c r="S54" s="377"/>
      <c r="T54" s="377"/>
      <c r="U54" s="377"/>
      <c r="V54" s="377">
        <v>3</v>
      </c>
      <c r="W54" s="377"/>
      <c r="X54" s="377"/>
      <c r="Y54" s="377"/>
      <c r="Z54" s="377"/>
      <c r="AA54" s="410">
        <v>4</v>
      </c>
      <c r="AB54" s="411"/>
      <c r="AC54" s="411"/>
      <c r="AD54" s="411"/>
      <c r="AE54" s="411"/>
      <c r="AF54" s="411"/>
      <c r="AG54" s="412"/>
      <c r="AH54" s="377">
        <v>5</v>
      </c>
      <c r="AI54" s="377"/>
      <c r="AJ54" s="377"/>
      <c r="AK54" s="377"/>
      <c r="AL54" s="377"/>
      <c r="AM54" s="377"/>
      <c r="AN54" s="377"/>
      <c r="AO54" s="377"/>
      <c r="AP54" s="377">
        <v>6</v>
      </c>
      <c r="AQ54" s="377"/>
      <c r="AR54" s="377"/>
      <c r="AS54" s="377"/>
      <c r="AT54" s="248"/>
    </row>
    <row r="55" spans="1:46" ht="18.75" customHeight="1">
      <c r="A55" s="248"/>
      <c r="B55" s="439"/>
      <c r="C55" s="440"/>
      <c r="D55" s="416" t="s">
        <v>256</v>
      </c>
      <c r="E55" s="417"/>
      <c r="F55" s="417"/>
      <c r="G55" s="418"/>
      <c r="H55" s="408" t="s">
        <v>257</v>
      </c>
      <c r="I55" s="408"/>
      <c r="J55" s="408"/>
      <c r="K55" s="408"/>
      <c r="L55" s="408"/>
      <c r="M55" s="408"/>
      <c r="N55" s="408"/>
      <c r="O55" s="408" t="s">
        <v>258</v>
      </c>
      <c r="P55" s="408"/>
      <c r="Q55" s="408"/>
      <c r="R55" s="408"/>
      <c r="S55" s="408"/>
      <c r="T55" s="408"/>
      <c r="U55" s="408"/>
      <c r="V55" s="408" t="s">
        <v>259</v>
      </c>
      <c r="W55" s="408"/>
      <c r="X55" s="408"/>
      <c r="Y55" s="408"/>
      <c r="Z55" s="408"/>
      <c r="AA55" s="416" t="s">
        <v>260</v>
      </c>
      <c r="AB55" s="417"/>
      <c r="AC55" s="417"/>
      <c r="AD55" s="417"/>
      <c r="AE55" s="417"/>
      <c r="AF55" s="417"/>
      <c r="AG55" s="418"/>
      <c r="AH55" s="408" t="s">
        <v>261</v>
      </c>
      <c r="AI55" s="408"/>
      <c r="AJ55" s="408"/>
      <c r="AK55" s="408"/>
      <c r="AL55" s="408"/>
      <c r="AM55" s="408"/>
      <c r="AN55" s="408"/>
      <c r="AO55" s="408"/>
      <c r="AP55" s="408" t="s">
        <v>262</v>
      </c>
      <c r="AQ55" s="408"/>
      <c r="AR55" s="408"/>
      <c r="AS55" s="408"/>
      <c r="AT55" s="248"/>
    </row>
    <row r="56" spans="1:46" ht="18.75" customHeight="1">
      <c r="A56" s="248"/>
      <c r="B56" s="441"/>
      <c r="C56" s="442"/>
      <c r="D56" s="436" t="s">
        <v>263</v>
      </c>
      <c r="E56" s="437"/>
      <c r="F56" s="437"/>
      <c r="G56" s="438"/>
      <c r="H56" s="409" t="s">
        <v>264</v>
      </c>
      <c r="I56" s="409"/>
      <c r="J56" s="409"/>
      <c r="K56" s="409"/>
      <c r="L56" s="409"/>
      <c r="M56" s="409"/>
      <c r="N56" s="409"/>
      <c r="O56" s="409" t="s">
        <v>265</v>
      </c>
      <c r="P56" s="409"/>
      <c r="Q56" s="409"/>
      <c r="R56" s="409"/>
      <c r="S56" s="409"/>
      <c r="T56" s="409"/>
      <c r="U56" s="409"/>
      <c r="V56" s="409"/>
      <c r="W56" s="409"/>
      <c r="X56" s="409"/>
      <c r="Y56" s="409"/>
      <c r="Z56" s="409"/>
      <c r="AA56" s="413" t="s">
        <v>266</v>
      </c>
      <c r="AB56" s="414"/>
      <c r="AC56" s="414"/>
      <c r="AD56" s="414"/>
      <c r="AE56" s="414"/>
      <c r="AF56" s="414"/>
      <c r="AG56" s="415"/>
      <c r="AH56" s="409" t="s">
        <v>267</v>
      </c>
      <c r="AI56" s="409"/>
      <c r="AJ56" s="409"/>
      <c r="AK56" s="409"/>
      <c r="AL56" s="409"/>
      <c r="AM56" s="409"/>
      <c r="AN56" s="409"/>
      <c r="AO56" s="409"/>
      <c r="AP56" s="409"/>
      <c r="AQ56" s="409"/>
      <c r="AR56" s="409"/>
      <c r="AS56" s="409"/>
      <c r="AT56" s="248"/>
    </row>
    <row r="57" spans="1:46" ht="18.75" customHeight="1">
      <c r="A57" s="248"/>
      <c r="B57" s="377" t="s">
        <v>268</v>
      </c>
      <c r="C57" s="377"/>
      <c r="D57" s="382" t="s">
        <v>269</v>
      </c>
      <c r="E57" s="383"/>
      <c r="F57" s="383"/>
      <c r="G57" s="384"/>
      <c r="H57" s="387" t="e">
        <f ca="1">Calcu!E33</f>
        <v>#N/A</v>
      </c>
      <c r="I57" s="388"/>
      <c r="J57" s="388"/>
      <c r="K57" s="388"/>
      <c r="L57" s="388"/>
      <c r="M57" s="375" t="str">
        <f>Calcu!F33</f>
        <v>mm</v>
      </c>
      <c r="N57" s="376"/>
      <c r="O57" s="385">
        <f>Calcu!J33</f>
        <v>0</v>
      </c>
      <c r="P57" s="386"/>
      <c r="Q57" s="386"/>
      <c r="R57" s="386"/>
      <c r="S57" s="374" t="str">
        <f>Calcu!K33</f>
        <v>mm</v>
      </c>
      <c r="T57" s="375"/>
      <c r="U57" s="376"/>
      <c r="V57" s="377" t="str">
        <f>Calcu!L33</f>
        <v>t</v>
      </c>
      <c r="W57" s="377"/>
      <c r="X57" s="377"/>
      <c r="Y57" s="377"/>
      <c r="Z57" s="377"/>
      <c r="AA57" s="410">
        <f>Calcu!O33</f>
        <v>1</v>
      </c>
      <c r="AB57" s="411"/>
      <c r="AC57" s="411"/>
      <c r="AD57" s="411"/>
      <c r="AE57" s="411"/>
      <c r="AF57" s="411"/>
      <c r="AG57" s="412"/>
      <c r="AH57" s="385">
        <f>Calcu!Q33</f>
        <v>0</v>
      </c>
      <c r="AI57" s="386"/>
      <c r="AJ57" s="386"/>
      <c r="AK57" s="386"/>
      <c r="AL57" s="386"/>
      <c r="AM57" s="374" t="str">
        <f>Calcu!R33</f>
        <v>mm</v>
      </c>
      <c r="AN57" s="374"/>
      <c r="AO57" s="403"/>
      <c r="AP57" s="377">
        <f>Calcu!S33</f>
        <v>4</v>
      </c>
      <c r="AQ57" s="377"/>
      <c r="AR57" s="377"/>
      <c r="AS57" s="377"/>
      <c r="AT57" s="248"/>
    </row>
    <row r="58" spans="1:46" ht="18.75" customHeight="1">
      <c r="A58" s="248"/>
      <c r="B58" s="377" t="s">
        <v>270</v>
      </c>
      <c r="C58" s="377"/>
      <c r="D58" s="382" t="s">
        <v>490</v>
      </c>
      <c r="E58" s="383"/>
      <c r="F58" s="383"/>
      <c r="G58" s="384"/>
      <c r="H58" s="387" t="e">
        <f ca="1">Calcu!E34</f>
        <v>#N/A</v>
      </c>
      <c r="I58" s="388"/>
      <c r="J58" s="388"/>
      <c r="K58" s="388"/>
      <c r="L58" s="388"/>
      <c r="M58" s="375" t="str">
        <f>Calcu!F34</f>
        <v>mm</v>
      </c>
      <c r="N58" s="376"/>
      <c r="O58" s="420" t="e">
        <f ca="1">Calcu!J34</f>
        <v>#N/A</v>
      </c>
      <c r="P58" s="421"/>
      <c r="Q58" s="421"/>
      <c r="R58" s="421"/>
      <c r="S58" s="374" t="str">
        <f>Calcu!K34</f>
        <v>mm</v>
      </c>
      <c r="T58" s="375"/>
      <c r="U58" s="376"/>
      <c r="V58" s="377" t="str">
        <f>Calcu!L34</f>
        <v>정규</v>
      </c>
      <c r="W58" s="377"/>
      <c r="X58" s="377"/>
      <c r="Y58" s="377"/>
      <c r="Z58" s="377"/>
      <c r="AA58" s="410">
        <f>Calcu!O34</f>
        <v>1</v>
      </c>
      <c r="AB58" s="411"/>
      <c r="AC58" s="411"/>
      <c r="AD58" s="411"/>
      <c r="AE58" s="411"/>
      <c r="AF58" s="411"/>
      <c r="AG58" s="412"/>
      <c r="AH58" s="420" t="e">
        <f ca="1">Calcu!Q34</f>
        <v>#N/A</v>
      </c>
      <c r="AI58" s="421"/>
      <c r="AJ58" s="421"/>
      <c r="AK58" s="421"/>
      <c r="AL58" s="421"/>
      <c r="AM58" s="374" t="str">
        <f>Calcu!R34</f>
        <v>mm</v>
      </c>
      <c r="AN58" s="374"/>
      <c r="AO58" s="403"/>
      <c r="AP58" s="377" t="str">
        <f>Calcu!S34</f>
        <v>∞</v>
      </c>
      <c r="AQ58" s="377"/>
      <c r="AR58" s="377"/>
      <c r="AS58" s="377"/>
      <c r="AT58" s="248"/>
    </row>
    <row r="59" spans="1:46" ht="18.75" customHeight="1">
      <c r="A59" s="248"/>
      <c r="B59" s="377" t="s">
        <v>80</v>
      </c>
      <c r="C59" s="377"/>
      <c r="D59" s="382" t="s">
        <v>491</v>
      </c>
      <c r="E59" s="383"/>
      <c r="F59" s="383"/>
      <c r="G59" s="384"/>
      <c r="H59" s="387" t="e">
        <f ca="1">Calcu!E35</f>
        <v>#N/A</v>
      </c>
      <c r="I59" s="388"/>
      <c r="J59" s="388"/>
      <c r="K59" s="388"/>
      <c r="L59" s="388"/>
      <c r="M59" s="375" t="str">
        <f>Calcu!F35</f>
        <v>mm</v>
      </c>
      <c r="N59" s="376"/>
      <c r="O59" s="385">
        <f>Calcu!J35</f>
        <v>0</v>
      </c>
      <c r="P59" s="386"/>
      <c r="Q59" s="386"/>
      <c r="R59" s="386"/>
      <c r="S59" s="374" t="str">
        <f>Calcu!K35</f>
        <v>mm</v>
      </c>
      <c r="T59" s="375"/>
      <c r="U59" s="376"/>
      <c r="V59" s="377" t="str">
        <f>Calcu!L35</f>
        <v>직사각형</v>
      </c>
      <c r="W59" s="377"/>
      <c r="X59" s="377"/>
      <c r="Y59" s="377"/>
      <c r="Z59" s="377"/>
      <c r="AA59" s="410">
        <f>Calcu!O35</f>
        <v>-1</v>
      </c>
      <c r="AB59" s="411"/>
      <c r="AC59" s="411"/>
      <c r="AD59" s="411"/>
      <c r="AE59" s="411"/>
      <c r="AF59" s="411"/>
      <c r="AG59" s="412"/>
      <c r="AH59" s="385">
        <f>Calcu!Q35</f>
        <v>0</v>
      </c>
      <c r="AI59" s="386"/>
      <c r="AJ59" s="386"/>
      <c r="AK59" s="386"/>
      <c r="AL59" s="386"/>
      <c r="AM59" s="374" t="str">
        <f>Calcu!R35</f>
        <v>mm</v>
      </c>
      <c r="AN59" s="374"/>
      <c r="AO59" s="403"/>
      <c r="AP59" s="377" t="str">
        <f>Calcu!S35</f>
        <v>∞</v>
      </c>
      <c r="AQ59" s="377"/>
      <c r="AR59" s="377"/>
      <c r="AS59" s="377"/>
      <c r="AT59" s="248"/>
    </row>
    <row r="60" spans="1:46" ht="18.75" customHeight="1">
      <c r="A60" s="248"/>
      <c r="B60" s="377" t="s">
        <v>495</v>
      </c>
      <c r="C60" s="377"/>
      <c r="D60" s="382"/>
      <c r="E60" s="383"/>
      <c r="F60" s="383"/>
      <c r="G60" s="384"/>
      <c r="H60" s="387" t="str">
        <f>Calcu!E36</f>
        <v/>
      </c>
      <c r="I60" s="388"/>
      <c r="J60" s="388"/>
      <c r="K60" s="388"/>
      <c r="L60" s="388"/>
      <c r="M60" s="375" t="str">
        <f>Calcu!F36</f>
        <v>/℃</v>
      </c>
      <c r="N60" s="376"/>
      <c r="O60" s="389">
        <f>Calcu!J36</f>
        <v>4.0824829046386305E-7</v>
      </c>
      <c r="P60" s="390"/>
      <c r="Q60" s="390"/>
      <c r="R60" s="390"/>
      <c r="S60" s="374" t="str">
        <f>Calcu!K36</f>
        <v>/℃</v>
      </c>
      <c r="T60" s="375"/>
      <c r="U60" s="376"/>
      <c r="V60" s="377" t="str">
        <f>Calcu!L36</f>
        <v>삼각형</v>
      </c>
      <c r="W60" s="377"/>
      <c r="X60" s="377"/>
      <c r="Y60" s="377"/>
      <c r="Z60" s="377"/>
      <c r="AA60" s="404" t="e">
        <f>Calcu!O36</f>
        <v>#VALUE!</v>
      </c>
      <c r="AB60" s="405"/>
      <c r="AC60" s="405"/>
      <c r="AD60" s="405"/>
      <c r="AE60" s="406" t="str">
        <f>Calcu!P36</f>
        <v>℃·mm</v>
      </c>
      <c r="AF60" s="406"/>
      <c r="AG60" s="407"/>
      <c r="AH60" s="385" t="e">
        <f>Calcu!Q36</f>
        <v>#VALUE!</v>
      </c>
      <c r="AI60" s="386"/>
      <c r="AJ60" s="386"/>
      <c r="AK60" s="386"/>
      <c r="AL60" s="386"/>
      <c r="AM60" s="374" t="str">
        <f>Calcu!R36</f>
        <v>mm</v>
      </c>
      <c r="AN60" s="374"/>
      <c r="AO60" s="403"/>
      <c r="AP60" s="377">
        <f>Calcu!S36</f>
        <v>100</v>
      </c>
      <c r="AQ60" s="377"/>
      <c r="AR60" s="377"/>
      <c r="AS60" s="377"/>
      <c r="AT60" s="248"/>
    </row>
    <row r="61" spans="1:46" ht="18.75" customHeight="1">
      <c r="A61" s="248"/>
      <c r="B61" s="377" t="s">
        <v>496</v>
      </c>
      <c r="C61" s="377"/>
      <c r="D61" s="382" t="s">
        <v>272</v>
      </c>
      <c r="E61" s="383"/>
      <c r="F61" s="383"/>
      <c r="G61" s="384"/>
      <c r="H61" s="387" t="str">
        <f>Calcu!E37</f>
        <v/>
      </c>
      <c r="I61" s="388"/>
      <c r="J61" s="388"/>
      <c r="K61" s="388"/>
      <c r="L61" s="388"/>
      <c r="M61" s="375" t="str">
        <f>Calcu!F37</f>
        <v>℃</v>
      </c>
      <c r="N61" s="376"/>
      <c r="O61" s="385" t="e">
        <f>Calcu!J37</f>
        <v>#VALUE!</v>
      </c>
      <c r="P61" s="386"/>
      <c r="Q61" s="386"/>
      <c r="R61" s="386"/>
      <c r="S61" s="374" t="str">
        <f>Calcu!K37</f>
        <v>℃</v>
      </c>
      <c r="T61" s="375"/>
      <c r="U61" s="376"/>
      <c r="V61" s="377" t="str">
        <f>Calcu!L37</f>
        <v>직사각형</v>
      </c>
      <c r="W61" s="377"/>
      <c r="X61" s="377"/>
      <c r="Y61" s="377"/>
      <c r="Z61" s="377"/>
      <c r="AA61" s="404" t="e">
        <f>Calcu!O37</f>
        <v>#VALUE!</v>
      </c>
      <c r="AB61" s="405"/>
      <c r="AC61" s="405"/>
      <c r="AD61" s="405"/>
      <c r="AE61" s="406" t="str">
        <f>Calcu!P37</f>
        <v>/℃·mm</v>
      </c>
      <c r="AF61" s="406"/>
      <c r="AG61" s="407"/>
      <c r="AH61" s="385" t="e">
        <f>Calcu!Q37</f>
        <v>#VALUE!</v>
      </c>
      <c r="AI61" s="386"/>
      <c r="AJ61" s="386"/>
      <c r="AK61" s="386"/>
      <c r="AL61" s="386"/>
      <c r="AM61" s="374" t="str">
        <f>Calcu!R37</f>
        <v>mm</v>
      </c>
      <c r="AN61" s="374"/>
      <c r="AO61" s="403"/>
      <c r="AP61" s="377">
        <f>Calcu!S37</f>
        <v>12</v>
      </c>
      <c r="AQ61" s="377"/>
      <c r="AR61" s="377"/>
      <c r="AS61" s="377"/>
      <c r="AT61" s="248"/>
    </row>
    <row r="62" spans="1:46" ht="18.75" customHeight="1">
      <c r="A62" s="248"/>
      <c r="B62" s="377" t="s">
        <v>497</v>
      </c>
      <c r="C62" s="377"/>
      <c r="D62" s="382" t="s">
        <v>247</v>
      </c>
      <c r="E62" s="383"/>
      <c r="F62" s="383"/>
      <c r="G62" s="384"/>
      <c r="H62" s="387" t="str">
        <f>Calcu!E38</f>
        <v/>
      </c>
      <c r="I62" s="388"/>
      <c r="J62" s="388"/>
      <c r="K62" s="388"/>
      <c r="L62" s="388"/>
      <c r="M62" s="375" t="str">
        <f>Calcu!F38</f>
        <v>/℃</v>
      </c>
      <c r="N62" s="376"/>
      <c r="O62" s="389">
        <f>Calcu!J38</f>
        <v>8.1649658092772609E-7</v>
      </c>
      <c r="P62" s="390"/>
      <c r="Q62" s="390"/>
      <c r="R62" s="390"/>
      <c r="S62" s="374" t="str">
        <f>Calcu!K38</f>
        <v>/℃</v>
      </c>
      <c r="T62" s="375"/>
      <c r="U62" s="376"/>
      <c r="V62" s="377" t="str">
        <f>Calcu!L38</f>
        <v>삼각형</v>
      </c>
      <c r="W62" s="377"/>
      <c r="X62" s="377"/>
      <c r="Y62" s="377"/>
      <c r="Z62" s="377"/>
      <c r="AA62" s="404" t="e">
        <f>Calcu!O38</f>
        <v>#VALUE!</v>
      </c>
      <c r="AB62" s="405"/>
      <c r="AC62" s="405"/>
      <c r="AD62" s="405"/>
      <c r="AE62" s="406" t="str">
        <f>Calcu!P38</f>
        <v>℃·mm</v>
      </c>
      <c r="AF62" s="406"/>
      <c r="AG62" s="407"/>
      <c r="AH62" s="385" t="e">
        <f>Calcu!Q38</f>
        <v>#VALUE!</v>
      </c>
      <c r="AI62" s="386"/>
      <c r="AJ62" s="386"/>
      <c r="AK62" s="386"/>
      <c r="AL62" s="386"/>
      <c r="AM62" s="374" t="str">
        <f>Calcu!R38</f>
        <v>mm</v>
      </c>
      <c r="AN62" s="374"/>
      <c r="AO62" s="403"/>
      <c r="AP62" s="377">
        <f>Calcu!S38</f>
        <v>100</v>
      </c>
      <c r="AQ62" s="377"/>
      <c r="AR62" s="377"/>
      <c r="AS62" s="377"/>
      <c r="AT62" s="248"/>
    </row>
    <row r="63" spans="1:46" ht="18.75" customHeight="1">
      <c r="A63" s="248"/>
      <c r="B63" s="377" t="s">
        <v>220</v>
      </c>
      <c r="C63" s="377"/>
      <c r="D63" s="382" t="s">
        <v>249</v>
      </c>
      <c r="E63" s="383"/>
      <c r="F63" s="383"/>
      <c r="G63" s="384"/>
      <c r="H63" s="387" t="str">
        <f>Calcu!E39</f>
        <v/>
      </c>
      <c r="I63" s="388"/>
      <c r="J63" s="388"/>
      <c r="K63" s="388"/>
      <c r="L63" s="388"/>
      <c r="M63" s="375" t="str">
        <f>Calcu!F39</f>
        <v>℃</v>
      </c>
      <c r="N63" s="376"/>
      <c r="O63" s="385">
        <f>Calcu!J39</f>
        <v>0.57735026918962584</v>
      </c>
      <c r="P63" s="386"/>
      <c r="Q63" s="386"/>
      <c r="R63" s="386"/>
      <c r="S63" s="374" t="str">
        <f>Calcu!K39</f>
        <v>℃</v>
      </c>
      <c r="T63" s="375"/>
      <c r="U63" s="376"/>
      <c r="V63" s="377" t="str">
        <f>Calcu!L39</f>
        <v>직사각형</v>
      </c>
      <c r="W63" s="377"/>
      <c r="X63" s="377"/>
      <c r="Y63" s="377"/>
      <c r="Z63" s="377"/>
      <c r="AA63" s="404">
        <f>Calcu!O39</f>
        <v>0</v>
      </c>
      <c r="AB63" s="405"/>
      <c r="AC63" s="405"/>
      <c r="AD63" s="405"/>
      <c r="AE63" s="406" t="str">
        <f>Calcu!P39</f>
        <v>/℃·mm</v>
      </c>
      <c r="AF63" s="406"/>
      <c r="AG63" s="407"/>
      <c r="AH63" s="385">
        <f>Calcu!Q39</f>
        <v>0</v>
      </c>
      <c r="AI63" s="386"/>
      <c r="AJ63" s="386"/>
      <c r="AK63" s="386"/>
      <c r="AL63" s="386"/>
      <c r="AM63" s="374" t="str">
        <f>Calcu!R39</f>
        <v>mm</v>
      </c>
      <c r="AN63" s="374"/>
      <c r="AO63" s="403"/>
      <c r="AP63" s="377">
        <f>Calcu!S39</f>
        <v>12</v>
      </c>
      <c r="AQ63" s="377"/>
      <c r="AR63" s="377"/>
      <c r="AS63" s="377"/>
      <c r="AT63" s="248"/>
    </row>
    <row r="64" spans="1:46" ht="18.75" customHeight="1">
      <c r="A64" s="248"/>
      <c r="B64" s="377" t="s">
        <v>498</v>
      </c>
      <c r="C64" s="377"/>
      <c r="D64" s="382" t="s">
        <v>273</v>
      </c>
      <c r="E64" s="383"/>
      <c r="F64" s="383"/>
      <c r="G64" s="384"/>
      <c r="H64" s="387">
        <f>Calcu!E40</f>
        <v>0</v>
      </c>
      <c r="I64" s="388"/>
      <c r="J64" s="388"/>
      <c r="K64" s="388"/>
      <c r="L64" s="388"/>
      <c r="M64" s="375" t="str">
        <f>Calcu!F40</f>
        <v>mm</v>
      </c>
      <c r="N64" s="376"/>
      <c r="O64" s="385">
        <f>Calcu!J40</f>
        <v>2.8867513459481291E-2</v>
      </c>
      <c r="P64" s="386"/>
      <c r="Q64" s="386"/>
      <c r="R64" s="386"/>
      <c r="S64" s="374" t="str">
        <f>Calcu!K40</f>
        <v>mm</v>
      </c>
      <c r="T64" s="375"/>
      <c r="U64" s="376"/>
      <c r="V64" s="377" t="str">
        <f>Calcu!L40</f>
        <v>직사각형</v>
      </c>
      <c r="W64" s="377"/>
      <c r="X64" s="377"/>
      <c r="Y64" s="377"/>
      <c r="Z64" s="377"/>
      <c r="AA64" s="410">
        <f>Calcu!O40</f>
        <v>1</v>
      </c>
      <c r="AB64" s="411"/>
      <c r="AC64" s="411"/>
      <c r="AD64" s="411"/>
      <c r="AE64" s="411"/>
      <c r="AF64" s="411"/>
      <c r="AG64" s="412"/>
      <c r="AH64" s="385">
        <f>Calcu!Q40</f>
        <v>2.8867513459481291E-2</v>
      </c>
      <c r="AI64" s="386"/>
      <c r="AJ64" s="386"/>
      <c r="AK64" s="386"/>
      <c r="AL64" s="386"/>
      <c r="AM64" s="374" t="str">
        <f>Calcu!R40</f>
        <v>mm</v>
      </c>
      <c r="AN64" s="374"/>
      <c r="AO64" s="403"/>
      <c r="AP64" s="377">
        <f>Calcu!S40</f>
        <v>12</v>
      </c>
      <c r="AQ64" s="377"/>
      <c r="AR64" s="377"/>
      <c r="AS64" s="377"/>
      <c r="AT64" s="248"/>
    </row>
    <row r="65" spans="1:48" ht="18.75" customHeight="1">
      <c r="A65" s="248"/>
      <c r="B65" s="377" t="s">
        <v>423</v>
      </c>
      <c r="C65" s="377"/>
      <c r="D65" s="382" t="s">
        <v>274</v>
      </c>
      <c r="E65" s="383"/>
      <c r="F65" s="383"/>
      <c r="G65" s="384"/>
      <c r="H65" s="387" t="e">
        <f ca="1">Calcu!E41</f>
        <v>#N/A</v>
      </c>
      <c r="I65" s="388"/>
      <c r="J65" s="388"/>
      <c r="K65" s="388"/>
      <c r="L65" s="388"/>
      <c r="M65" s="375" t="str">
        <f>Calcu!F41</f>
        <v>mm</v>
      </c>
      <c r="N65" s="376"/>
      <c r="O65" s="410"/>
      <c r="P65" s="411"/>
      <c r="Q65" s="411"/>
      <c r="R65" s="411"/>
      <c r="S65" s="411"/>
      <c r="T65" s="411"/>
      <c r="U65" s="412"/>
      <c r="V65" s="377"/>
      <c r="W65" s="377"/>
      <c r="X65" s="377"/>
      <c r="Y65" s="377"/>
      <c r="Z65" s="377"/>
      <c r="AA65" s="410"/>
      <c r="AB65" s="411"/>
      <c r="AC65" s="411"/>
      <c r="AD65" s="411"/>
      <c r="AE65" s="411"/>
      <c r="AF65" s="411"/>
      <c r="AG65" s="412"/>
      <c r="AH65" s="385" t="e">
        <f ca="1">Calcu!Q41</f>
        <v>#N/A</v>
      </c>
      <c r="AI65" s="386"/>
      <c r="AJ65" s="386"/>
      <c r="AK65" s="386"/>
      <c r="AL65" s="386"/>
      <c r="AM65" s="374" t="str">
        <f>Calcu!R41</f>
        <v>mm</v>
      </c>
      <c r="AN65" s="374"/>
      <c r="AO65" s="403"/>
      <c r="AP65" s="377" t="e">
        <f>Calcu!S41</f>
        <v>#VALUE!</v>
      </c>
      <c r="AQ65" s="377"/>
      <c r="AR65" s="377"/>
      <c r="AS65" s="377"/>
      <c r="AT65" s="248"/>
    </row>
    <row r="66" spans="1:48" ht="18.75" customHeight="1">
      <c r="A66" s="248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248"/>
      <c r="AS66" s="248"/>
      <c r="AT66" s="248"/>
    </row>
    <row r="67" spans="1:48" ht="18.75" customHeight="1">
      <c r="A67" s="57" t="s">
        <v>275</v>
      </c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8"/>
      <c r="AQ67" s="248"/>
      <c r="AR67" s="248"/>
      <c r="AS67" s="248"/>
      <c r="AT67" s="248"/>
    </row>
    <row r="68" spans="1:48" ht="18.75" customHeight="1">
      <c r="A68" s="248"/>
      <c r="B68" s="60" t="str">
        <f>"1. "&amp;$T$5&amp;" 지시값의 표준불확도,"</f>
        <v>1. 줄자교정장치 지시값의 표준불확도,</v>
      </c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P68" s="248"/>
      <c r="R68" s="189" t="s">
        <v>171</v>
      </c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</row>
    <row r="69" spans="1:48" ht="18.75" customHeight="1">
      <c r="A69" s="248"/>
      <c r="C69" s="248" t="s">
        <v>131</v>
      </c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8"/>
      <c r="AQ69" s="248"/>
      <c r="AR69" s="248"/>
      <c r="AS69" s="248"/>
      <c r="AT69" s="248"/>
    </row>
    <row r="70" spans="1:48" ht="18.75" customHeight="1">
      <c r="A70" s="248"/>
      <c r="C70" s="60"/>
      <c r="D70" s="248" t="s">
        <v>276</v>
      </c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8"/>
      <c r="AQ70" s="248"/>
      <c r="AR70" s="248"/>
      <c r="AS70" s="248"/>
      <c r="AT70" s="248"/>
    </row>
    <row r="71" spans="1:48" ht="18.75" customHeight="1">
      <c r="B71" s="248"/>
      <c r="C71" s="248" t="s">
        <v>157</v>
      </c>
      <c r="D71" s="248"/>
      <c r="E71" s="248"/>
      <c r="F71" s="248"/>
      <c r="G71" s="248"/>
      <c r="H71" s="248"/>
      <c r="I71" s="381" t="e">
        <f ca="1">H57</f>
        <v>#N/A</v>
      </c>
      <c r="J71" s="381"/>
      <c r="K71" s="381"/>
      <c r="L71" s="381"/>
      <c r="M71" s="381"/>
      <c r="N71" s="381" t="str">
        <f>M57</f>
        <v>mm</v>
      </c>
      <c r="O71" s="381"/>
      <c r="P71" s="236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</row>
    <row r="72" spans="1:48" ht="18.75" customHeight="1">
      <c r="B72" s="248"/>
      <c r="C72" s="248" t="s">
        <v>132</v>
      </c>
      <c r="D72" s="248"/>
      <c r="E72" s="248"/>
      <c r="F72" s="248"/>
      <c r="G72" s="248"/>
      <c r="H72" s="248"/>
      <c r="I72" s="248"/>
      <c r="J72" s="61" t="s">
        <v>133</v>
      </c>
      <c r="K72" s="248"/>
      <c r="L72" s="248"/>
      <c r="M72" s="248"/>
      <c r="N72" s="248"/>
      <c r="O72" s="248"/>
      <c r="P72" s="248"/>
      <c r="Q72" s="381">
        <f>Calcu!G33</f>
        <v>0</v>
      </c>
      <c r="R72" s="381"/>
      <c r="S72" s="381"/>
      <c r="T72" s="443" t="s">
        <v>117</v>
      </c>
      <c r="U72" s="443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</row>
    <row r="73" spans="1:48" ht="18.75" customHeight="1">
      <c r="B73" s="248"/>
      <c r="C73" s="248"/>
      <c r="D73" s="248"/>
      <c r="E73" s="248"/>
      <c r="F73" s="248"/>
      <c r="G73" s="248"/>
      <c r="H73" s="248"/>
      <c r="I73" s="248"/>
      <c r="J73" s="444" t="s">
        <v>277</v>
      </c>
      <c r="K73" s="444"/>
      <c r="L73" s="444"/>
      <c r="M73" s="419" t="s">
        <v>135</v>
      </c>
      <c r="N73" s="437" t="s">
        <v>134</v>
      </c>
      <c r="O73" s="437"/>
      <c r="P73" s="419" t="s">
        <v>278</v>
      </c>
      <c r="Q73" s="445">
        <f>Q72</f>
        <v>0</v>
      </c>
      <c r="R73" s="445"/>
      <c r="S73" s="445"/>
      <c r="T73" s="446" t="str">
        <f>T72</f>
        <v>μm</v>
      </c>
      <c r="U73" s="446"/>
      <c r="V73" s="419" t="s">
        <v>135</v>
      </c>
      <c r="W73" s="447">
        <f>Q73/SQRT(5)</f>
        <v>0</v>
      </c>
      <c r="X73" s="447"/>
      <c r="Y73" s="447"/>
      <c r="Z73" s="380" t="str">
        <f>T72</f>
        <v>μm</v>
      </c>
      <c r="AA73" s="380"/>
      <c r="AB73" s="240"/>
      <c r="AC73" s="240"/>
      <c r="AD73" s="240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</row>
    <row r="74" spans="1:48" ht="18.75" customHeight="1">
      <c r="B74" s="248"/>
      <c r="C74" s="248"/>
      <c r="D74" s="248"/>
      <c r="E74" s="248"/>
      <c r="F74" s="248"/>
      <c r="G74" s="248"/>
      <c r="H74" s="248"/>
      <c r="I74" s="248"/>
      <c r="J74" s="444"/>
      <c r="K74" s="444"/>
      <c r="L74" s="444"/>
      <c r="M74" s="419"/>
      <c r="N74" s="448"/>
      <c r="O74" s="448"/>
      <c r="P74" s="419"/>
      <c r="Q74" s="417"/>
      <c r="R74" s="417"/>
      <c r="S74" s="417"/>
      <c r="T74" s="417"/>
      <c r="U74" s="417"/>
      <c r="V74" s="419"/>
      <c r="W74" s="447"/>
      <c r="X74" s="447"/>
      <c r="Y74" s="447"/>
      <c r="Z74" s="380"/>
      <c r="AA74" s="380"/>
      <c r="AB74" s="240"/>
      <c r="AC74" s="240"/>
      <c r="AD74" s="240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</row>
    <row r="75" spans="1:48" ht="18.75" customHeight="1">
      <c r="B75" s="248"/>
      <c r="C75" s="248"/>
      <c r="D75" s="248"/>
      <c r="E75" s="163" t="s">
        <v>154</v>
      </c>
      <c r="F75" s="248"/>
      <c r="G75" s="248"/>
      <c r="H75" s="248"/>
      <c r="I75" s="247"/>
      <c r="J75" s="247"/>
      <c r="K75" s="247"/>
      <c r="L75" s="247"/>
      <c r="M75" s="245"/>
      <c r="N75" s="245"/>
      <c r="O75" s="245"/>
      <c r="P75" s="237"/>
      <c r="Q75" s="237"/>
      <c r="R75" s="237"/>
      <c r="S75" s="237"/>
      <c r="T75" s="237"/>
      <c r="U75" s="245"/>
      <c r="V75" s="238"/>
      <c r="W75" s="238"/>
      <c r="X75" s="238"/>
      <c r="Y75" s="240"/>
      <c r="Z75" s="240"/>
      <c r="AA75" s="240"/>
      <c r="AB75" s="240"/>
      <c r="AC75" s="240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</row>
    <row r="76" spans="1:48" ht="18.75" customHeight="1">
      <c r="B76" s="248"/>
      <c r="C76" s="248"/>
      <c r="D76" s="248"/>
      <c r="E76" s="163"/>
      <c r="F76" s="248"/>
      <c r="G76" s="248"/>
      <c r="H76" s="248"/>
      <c r="I76" s="248"/>
      <c r="J76" s="444" t="s">
        <v>176</v>
      </c>
      <c r="K76" s="444"/>
      <c r="L76" s="444"/>
      <c r="M76" s="419" t="s">
        <v>279</v>
      </c>
      <c r="N76" s="437" t="s">
        <v>280</v>
      </c>
      <c r="O76" s="437"/>
      <c r="P76" s="419" t="s">
        <v>279</v>
      </c>
      <c r="Q76" s="445">
        <f>Calcu!G35</f>
        <v>0</v>
      </c>
      <c r="R76" s="445"/>
      <c r="S76" s="445"/>
      <c r="T76" s="446" t="str">
        <f>T72</f>
        <v>μm</v>
      </c>
      <c r="U76" s="446"/>
      <c r="V76" s="419" t="s">
        <v>279</v>
      </c>
      <c r="W76" s="447">
        <f>Q76/(2*SQRT(3))</f>
        <v>0</v>
      </c>
      <c r="X76" s="447"/>
      <c r="Y76" s="447"/>
      <c r="Z76" s="380" t="str">
        <f>T72</f>
        <v>μm</v>
      </c>
      <c r="AA76" s="380"/>
      <c r="AB76" s="240"/>
      <c r="AC76" s="240"/>
      <c r="AD76" s="240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</row>
    <row r="77" spans="1:48" ht="18.75" customHeight="1">
      <c r="B77" s="248"/>
      <c r="C77" s="248"/>
      <c r="D77" s="248"/>
      <c r="E77" s="163"/>
      <c r="F77" s="248"/>
      <c r="G77" s="248"/>
      <c r="H77" s="248"/>
      <c r="I77" s="248"/>
      <c r="J77" s="444"/>
      <c r="K77" s="444"/>
      <c r="L77" s="444"/>
      <c r="M77" s="419"/>
      <c r="N77" s="448"/>
      <c r="O77" s="448"/>
      <c r="P77" s="419"/>
      <c r="Q77" s="417"/>
      <c r="R77" s="417"/>
      <c r="S77" s="417"/>
      <c r="T77" s="417"/>
      <c r="U77" s="417"/>
      <c r="V77" s="419"/>
      <c r="W77" s="447"/>
      <c r="X77" s="447"/>
      <c r="Y77" s="447"/>
      <c r="Z77" s="380"/>
      <c r="AA77" s="380"/>
      <c r="AB77" s="240"/>
      <c r="AC77" s="240"/>
      <c r="AD77" s="240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</row>
    <row r="78" spans="1:48" ht="18.75" customHeight="1">
      <c r="B78" s="248"/>
      <c r="C78" s="248" t="s">
        <v>158</v>
      </c>
      <c r="D78" s="248"/>
      <c r="E78" s="248"/>
      <c r="F78" s="248"/>
      <c r="G78" s="248"/>
      <c r="H78" s="248"/>
      <c r="I78" s="378" t="str">
        <f>V57</f>
        <v>t</v>
      </c>
      <c r="J78" s="378"/>
      <c r="K78" s="378"/>
      <c r="L78" s="378"/>
      <c r="M78" s="378"/>
      <c r="N78" s="378"/>
      <c r="O78" s="378"/>
      <c r="P78" s="37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</row>
    <row r="79" spans="1:48" ht="18.75" customHeight="1">
      <c r="B79" s="248"/>
      <c r="C79" s="371" t="s">
        <v>136</v>
      </c>
      <c r="D79" s="371"/>
      <c r="E79" s="371"/>
      <c r="F79" s="371"/>
      <c r="G79" s="371"/>
      <c r="H79" s="371"/>
      <c r="I79" s="242"/>
      <c r="J79" s="242"/>
      <c r="K79" s="248"/>
      <c r="L79" s="248"/>
      <c r="N79" s="378">
        <f>AA57</f>
        <v>1</v>
      </c>
      <c r="O79" s="37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</row>
    <row r="80" spans="1:48" ht="18.75" customHeight="1">
      <c r="B80" s="248"/>
      <c r="C80" s="371"/>
      <c r="D80" s="371"/>
      <c r="E80" s="371"/>
      <c r="F80" s="371"/>
      <c r="G80" s="371"/>
      <c r="H80" s="371"/>
      <c r="I80" s="239"/>
      <c r="J80" s="239"/>
      <c r="K80" s="248"/>
      <c r="L80" s="248"/>
      <c r="N80" s="378"/>
      <c r="O80" s="37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</row>
    <row r="81" spans="1:69" ht="18.75" customHeight="1">
      <c r="B81" s="248"/>
      <c r="C81" s="248" t="s">
        <v>81</v>
      </c>
      <c r="D81" s="248"/>
      <c r="E81" s="248"/>
      <c r="F81" s="248"/>
      <c r="G81" s="248"/>
      <c r="H81" s="248"/>
      <c r="I81" s="248"/>
      <c r="J81" s="248"/>
      <c r="K81" s="249" t="s">
        <v>82</v>
      </c>
      <c r="L81" s="370">
        <f>N79</f>
        <v>1</v>
      </c>
      <c r="M81" s="370"/>
      <c r="N81" s="237" t="s">
        <v>281</v>
      </c>
      <c r="O81" s="447">
        <f>O57</f>
        <v>0</v>
      </c>
      <c r="P81" s="447"/>
      <c r="Q81" s="447"/>
      <c r="R81" s="380" t="str">
        <f>S57</f>
        <v>mm</v>
      </c>
      <c r="S81" s="381"/>
      <c r="T81" s="249" t="s">
        <v>82</v>
      </c>
      <c r="U81" s="73" t="s">
        <v>278</v>
      </c>
      <c r="V81" s="447">
        <f>O81</f>
        <v>0</v>
      </c>
      <c r="W81" s="447"/>
      <c r="X81" s="447"/>
      <c r="Y81" s="380" t="str">
        <f>R81</f>
        <v>mm</v>
      </c>
      <c r="Z81" s="381"/>
      <c r="AA81" s="236"/>
      <c r="AB81" s="248"/>
      <c r="AC81" s="248"/>
      <c r="AD81" s="248"/>
      <c r="AE81" s="248"/>
      <c r="AF81" s="248"/>
      <c r="AP81" s="248"/>
      <c r="AQ81" s="248"/>
      <c r="AR81" s="248"/>
      <c r="AS81" s="248"/>
      <c r="AT81" s="248"/>
      <c r="AU81" s="248"/>
      <c r="AV81" s="248"/>
    </row>
    <row r="82" spans="1:69" ht="18.75" customHeight="1">
      <c r="B82" s="248"/>
      <c r="C82" s="248" t="s">
        <v>84</v>
      </c>
      <c r="D82" s="248"/>
      <c r="E82" s="248"/>
      <c r="F82" s="248"/>
      <c r="G82" s="248"/>
      <c r="H82" s="248"/>
      <c r="I82" s="109" t="s">
        <v>546</v>
      </c>
      <c r="J82" s="109"/>
      <c r="K82" s="109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248"/>
      <c r="AB82" s="248"/>
      <c r="AC82" s="248"/>
      <c r="AD82" s="248"/>
      <c r="AE82" s="248"/>
      <c r="AF82" s="248"/>
    </row>
    <row r="83" spans="1:69" ht="18.75" customHeight="1">
      <c r="B83" s="248"/>
      <c r="C83" s="248"/>
      <c r="D83" s="248"/>
      <c r="E83" s="248"/>
      <c r="F83" s="248"/>
      <c r="G83" s="248"/>
      <c r="H83" s="248"/>
      <c r="I83" s="109"/>
      <c r="J83" s="99"/>
      <c r="K83" s="109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248"/>
      <c r="AB83" s="248"/>
      <c r="AC83" s="248"/>
      <c r="AD83" s="248"/>
      <c r="AE83" s="248"/>
      <c r="AF83" s="248"/>
    </row>
    <row r="84" spans="1:69" ht="18.75" customHeight="1">
      <c r="A84" s="248"/>
      <c r="B84" s="60" t="str">
        <f>"2. "&amp;$T$5&amp;"의 표준불확도,"</f>
        <v>2. 줄자교정장치의 표준불확도,</v>
      </c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O84" s="189" t="s">
        <v>282</v>
      </c>
      <c r="Q84" s="248"/>
      <c r="R84" s="248"/>
      <c r="S84" s="248"/>
      <c r="T84" s="248"/>
      <c r="U84" s="248"/>
      <c r="V84" s="248"/>
      <c r="W84" s="248"/>
      <c r="X84" s="248"/>
      <c r="Y84" s="248"/>
      <c r="Z84" s="248"/>
      <c r="AA84" s="248"/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248"/>
      <c r="AP84" s="248"/>
      <c r="AQ84" s="248"/>
      <c r="AR84" s="248"/>
      <c r="AS84" s="248"/>
      <c r="AT84" s="248"/>
    </row>
    <row r="85" spans="1:69" ht="18.75" customHeight="1">
      <c r="A85" s="248"/>
      <c r="B85" s="60"/>
      <c r="C85" s="248" t="str">
        <f>"※ 교정성적서에 주어진 "&amp;$T$5&amp;"의 측정불확도를 포함인자로 나누어 구한다."</f>
        <v>※ 교정성적서에 주어진 줄자교정장치의 측정불확도를 포함인자로 나누어 구한다.</v>
      </c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8"/>
      <c r="AQ85" s="248"/>
      <c r="AR85" s="248"/>
      <c r="AS85" s="248"/>
      <c r="AT85" s="248"/>
    </row>
    <row r="86" spans="1:69" ht="18.75" customHeight="1">
      <c r="A86" s="248"/>
      <c r="B86" s="248"/>
      <c r="C86" s="248" t="s">
        <v>137</v>
      </c>
      <c r="D86" s="248"/>
      <c r="E86" s="248"/>
      <c r="F86" s="248"/>
      <c r="G86" s="248"/>
      <c r="H86" s="248"/>
      <c r="I86" s="381" t="e">
        <f ca="1">H58</f>
        <v>#N/A</v>
      </c>
      <c r="J86" s="381"/>
      <c r="K86" s="381"/>
      <c r="L86" s="381"/>
      <c r="M86" s="381"/>
      <c r="N86" s="381" t="str">
        <f>M58</f>
        <v>mm</v>
      </c>
      <c r="O86" s="381"/>
      <c r="P86" s="236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Q86" s="248"/>
      <c r="AR86" s="248"/>
      <c r="AS86" s="248"/>
      <c r="AT86" s="248"/>
    </row>
    <row r="87" spans="1:69" s="140" customFormat="1" ht="18.75" customHeight="1">
      <c r="A87" s="237"/>
      <c r="B87" s="242"/>
      <c r="C87" s="242" t="s">
        <v>283</v>
      </c>
      <c r="D87" s="242"/>
      <c r="E87" s="242"/>
      <c r="F87" s="242"/>
      <c r="G87" s="242"/>
      <c r="H87" s="242"/>
      <c r="I87" s="242"/>
      <c r="J87" s="58" t="str">
        <f>"※ 줄자교정장치의 교정성적서에 주어진 확장불확도가 "&amp;Calcu!G34&amp;" mm 이고"</f>
        <v>※ 줄자교정장치의 교정성적서에 주어진 확장불확도가 0 mm 이고</v>
      </c>
      <c r="AE87" s="288"/>
      <c r="AF87" s="288"/>
      <c r="AG87" s="288"/>
      <c r="AH87" s="252"/>
      <c r="AI87" s="238"/>
      <c r="AJ87" s="238"/>
      <c r="AK87" s="238"/>
      <c r="AL87" s="238"/>
      <c r="AM87" s="238"/>
      <c r="AN87" s="253"/>
      <c r="AO87" s="449"/>
      <c r="AP87" s="449"/>
      <c r="AZ87" s="253"/>
      <c r="BA87" s="253"/>
      <c r="BB87" s="253"/>
      <c r="BC87" s="253"/>
      <c r="BD87" s="253"/>
      <c r="BE87" s="253"/>
      <c r="BF87" s="253"/>
      <c r="BG87" s="253"/>
      <c r="BH87" s="253"/>
      <c r="BI87" s="253"/>
      <c r="BJ87" s="253"/>
      <c r="BK87" s="253"/>
      <c r="BL87" s="253"/>
      <c r="BM87" s="253"/>
      <c r="BN87" s="253"/>
      <c r="BO87" s="253"/>
      <c r="BP87" s="58"/>
      <c r="BQ87" s="58"/>
    </row>
    <row r="88" spans="1:69" s="140" customFormat="1" ht="18.75" customHeight="1">
      <c r="A88" s="237"/>
      <c r="B88" s="242"/>
      <c r="C88" s="242"/>
      <c r="D88" s="242"/>
      <c r="E88" s="242"/>
      <c r="F88" s="242"/>
      <c r="G88" s="242"/>
      <c r="H88" s="242"/>
      <c r="I88" s="242"/>
      <c r="K88" s="242" t="s">
        <v>548</v>
      </c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42"/>
      <c r="AM88" s="237"/>
      <c r="AN88" s="237"/>
      <c r="AO88" s="237"/>
      <c r="AP88" s="242"/>
      <c r="AQ88" s="237"/>
      <c r="AR88" s="237"/>
      <c r="AS88" s="254"/>
      <c r="AT88" s="254"/>
      <c r="AU88" s="254"/>
      <c r="AV88" s="250"/>
      <c r="AW88" s="255"/>
      <c r="AX88" s="255"/>
      <c r="AY88" s="255"/>
      <c r="AZ88" s="255"/>
      <c r="BA88" s="237"/>
      <c r="BB88" s="242"/>
      <c r="BC88" s="242"/>
      <c r="BD88" s="58"/>
      <c r="BE88" s="58"/>
      <c r="BF88" s="58"/>
      <c r="BG88" s="58"/>
      <c r="BH88" s="58"/>
      <c r="BI88" s="58"/>
      <c r="BJ88" s="58"/>
      <c r="BK88" s="253"/>
      <c r="BL88" s="58"/>
      <c r="BM88" s="58"/>
      <c r="BN88" s="58"/>
      <c r="BO88" s="58"/>
      <c r="BP88" s="58"/>
      <c r="BQ88" s="58"/>
    </row>
    <row r="89" spans="1:69" s="140" customFormat="1" ht="18.75" customHeight="1">
      <c r="A89" s="286"/>
      <c r="B89" s="287"/>
      <c r="C89" s="287"/>
      <c r="D89" s="287"/>
      <c r="E89" s="287"/>
      <c r="F89" s="287"/>
      <c r="G89" s="287"/>
      <c r="H89" s="287"/>
      <c r="I89" s="287"/>
      <c r="K89" s="287" t="s">
        <v>549</v>
      </c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6"/>
      <c r="AC89" s="286"/>
      <c r="AD89" s="286"/>
      <c r="AE89" s="286"/>
      <c r="AF89" s="286"/>
      <c r="AG89" s="286"/>
      <c r="AH89" s="286"/>
      <c r="AI89" s="286"/>
      <c r="AJ89" s="286"/>
      <c r="AK89" s="286"/>
      <c r="AL89" s="287"/>
      <c r="AM89" s="286"/>
      <c r="AN89" s="286"/>
      <c r="AO89" s="286"/>
      <c r="AP89" s="287"/>
      <c r="AQ89" s="286"/>
      <c r="AR89" s="286"/>
      <c r="AS89" s="254"/>
      <c r="AT89" s="254"/>
      <c r="AU89" s="254"/>
      <c r="AV89" s="290"/>
      <c r="AW89" s="255"/>
      <c r="AX89" s="255"/>
      <c r="AY89" s="255"/>
      <c r="AZ89" s="255"/>
      <c r="BA89" s="286"/>
      <c r="BB89" s="287"/>
      <c r="BC89" s="287"/>
      <c r="BD89" s="58"/>
      <c r="BE89" s="58"/>
      <c r="BF89" s="58"/>
      <c r="BG89" s="58"/>
      <c r="BH89" s="58"/>
      <c r="BI89" s="58"/>
      <c r="BJ89" s="58"/>
      <c r="BK89" s="289"/>
      <c r="BL89" s="58"/>
      <c r="BM89" s="58"/>
      <c r="BN89" s="58"/>
      <c r="BO89" s="58"/>
      <c r="BP89" s="58"/>
      <c r="BQ89" s="58"/>
    </row>
    <row r="90" spans="1:69" ht="18.75" customHeight="1">
      <c r="A90" s="248"/>
      <c r="B90" s="60"/>
      <c r="K90" s="419" t="s">
        <v>284</v>
      </c>
      <c r="L90" s="419"/>
      <c r="M90" s="419"/>
      <c r="N90" s="419" t="s">
        <v>285</v>
      </c>
      <c r="O90" s="437" t="s">
        <v>286</v>
      </c>
      <c r="P90" s="437"/>
      <c r="Q90" s="419" t="s">
        <v>550</v>
      </c>
      <c r="R90" s="451" t="s">
        <v>551</v>
      </c>
      <c r="S90" s="451"/>
      <c r="T90" s="451"/>
      <c r="U90" s="451"/>
      <c r="V90" s="419" t="s">
        <v>285</v>
      </c>
      <c r="W90" s="450">
        <f>Calcu!G34</f>
        <v>0</v>
      </c>
      <c r="X90" s="450"/>
      <c r="Y90" s="450"/>
      <c r="Z90" s="179" t="s">
        <v>552</v>
      </c>
      <c r="AA90" s="291"/>
      <c r="AB90" s="452" t="s">
        <v>550</v>
      </c>
      <c r="AC90" s="453">
        <f>Calcu!H34</f>
        <v>0</v>
      </c>
      <c r="AD90" s="453"/>
      <c r="AE90" s="453"/>
      <c r="AF90" s="371" t="s">
        <v>552</v>
      </c>
      <c r="AG90" s="371"/>
      <c r="AH90" s="372" t="s">
        <v>135</v>
      </c>
      <c r="AI90" s="370" t="e">
        <f ca="1">Calcu!J34</f>
        <v>#N/A</v>
      </c>
      <c r="AJ90" s="370"/>
      <c r="AK90" s="370"/>
      <c r="AL90" s="371" t="s">
        <v>552</v>
      </c>
      <c r="AM90" s="371"/>
      <c r="AN90" s="288"/>
      <c r="AO90" s="288"/>
      <c r="AP90" s="288"/>
      <c r="AQ90" s="288"/>
      <c r="AR90" s="288"/>
      <c r="AS90" s="288"/>
      <c r="AT90" s="288"/>
      <c r="AU90" s="288"/>
      <c r="AV90" s="288"/>
      <c r="AW90" s="248"/>
    </row>
    <row r="91" spans="1:69" ht="18.75" customHeight="1">
      <c r="A91" s="248"/>
      <c r="B91" s="60"/>
      <c r="K91" s="419"/>
      <c r="L91" s="419"/>
      <c r="M91" s="419"/>
      <c r="N91" s="419"/>
      <c r="O91" s="448" t="s">
        <v>287</v>
      </c>
      <c r="P91" s="448"/>
      <c r="Q91" s="419"/>
      <c r="R91" s="451"/>
      <c r="S91" s="451"/>
      <c r="T91" s="451"/>
      <c r="U91" s="451"/>
      <c r="V91" s="419"/>
      <c r="W91" s="417">
        <v>2</v>
      </c>
      <c r="X91" s="417"/>
      <c r="Y91" s="417"/>
      <c r="Z91" s="417"/>
      <c r="AA91" s="417"/>
      <c r="AB91" s="452"/>
      <c r="AC91" s="453"/>
      <c r="AD91" s="453"/>
      <c r="AE91" s="453"/>
      <c r="AF91" s="371"/>
      <c r="AG91" s="371"/>
      <c r="AH91" s="372"/>
      <c r="AI91" s="370"/>
      <c r="AJ91" s="370"/>
      <c r="AK91" s="370"/>
      <c r="AL91" s="371"/>
      <c r="AM91" s="371"/>
      <c r="AN91" s="288"/>
      <c r="AO91" s="288"/>
      <c r="AP91" s="288"/>
      <c r="AQ91" s="288"/>
      <c r="AR91" s="288"/>
      <c r="AS91" s="288"/>
      <c r="AT91" s="288"/>
      <c r="AU91" s="288"/>
      <c r="AV91" s="288"/>
      <c r="AW91" s="248"/>
    </row>
    <row r="92" spans="1:69" ht="18.75" customHeight="1">
      <c r="A92" s="248"/>
      <c r="B92" s="248"/>
      <c r="C92" s="248" t="s">
        <v>288</v>
      </c>
      <c r="D92" s="248"/>
      <c r="E92" s="248"/>
      <c r="F92" s="248"/>
      <c r="G92" s="248"/>
      <c r="H92" s="248"/>
      <c r="I92" s="378" t="str">
        <f>V58</f>
        <v>정규</v>
      </c>
      <c r="J92" s="378"/>
      <c r="K92" s="378"/>
      <c r="L92" s="378"/>
      <c r="M92" s="378"/>
      <c r="N92" s="378"/>
      <c r="O92" s="378"/>
      <c r="P92" s="37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</row>
    <row r="93" spans="1:69" ht="18.75" customHeight="1">
      <c r="A93" s="248"/>
      <c r="B93" s="248"/>
      <c r="C93" s="371" t="s">
        <v>289</v>
      </c>
      <c r="D93" s="371"/>
      <c r="E93" s="371"/>
      <c r="F93" s="371"/>
      <c r="G93" s="371"/>
      <c r="H93" s="371"/>
      <c r="I93" s="242"/>
      <c r="J93" s="242"/>
      <c r="K93" s="248"/>
      <c r="L93" s="248"/>
      <c r="N93" s="378">
        <f>AA58</f>
        <v>1</v>
      </c>
      <c r="O93" s="378"/>
      <c r="P93" s="248"/>
      <c r="S93" s="248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8"/>
      <c r="AQ93" s="248"/>
      <c r="AR93" s="248"/>
      <c r="AS93" s="248"/>
      <c r="AT93" s="248"/>
    </row>
    <row r="94" spans="1:69" ht="18.75" customHeight="1">
      <c r="A94" s="248"/>
      <c r="B94" s="248"/>
      <c r="C94" s="371"/>
      <c r="D94" s="371"/>
      <c r="E94" s="371"/>
      <c r="F94" s="371"/>
      <c r="G94" s="371"/>
      <c r="H94" s="371"/>
      <c r="I94" s="239"/>
      <c r="J94" s="239"/>
      <c r="K94" s="248"/>
      <c r="L94" s="248"/>
      <c r="N94" s="378"/>
      <c r="O94" s="378"/>
      <c r="P94" s="248"/>
      <c r="S94" s="248"/>
      <c r="T94" s="248"/>
      <c r="U94" s="248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8"/>
      <c r="AQ94" s="248"/>
      <c r="AR94" s="248"/>
      <c r="AS94" s="248"/>
      <c r="AT94" s="248"/>
    </row>
    <row r="95" spans="1:69" s="248" customFormat="1" ht="18.75" customHeight="1">
      <c r="C95" s="248" t="s">
        <v>290</v>
      </c>
      <c r="K95" s="249" t="s">
        <v>82</v>
      </c>
      <c r="L95" s="370">
        <f>N93</f>
        <v>1</v>
      </c>
      <c r="M95" s="370"/>
      <c r="N95" s="237" t="s">
        <v>83</v>
      </c>
      <c r="O95" s="379" t="e">
        <f ca="1">AI90</f>
        <v>#N/A</v>
      </c>
      <c r="P95" s="379"/>
      <c r="Q95" s="379"/>
      <c r="R95" s="380" t="str">
        <f>AL90</f>
        <v>mm</v>
      </c>
      <c r="S95" s="381"/>
      <c r="T95" s="249" t="s">
        <v>82</v>
      </c>
      <c r="U95" s="73" t="s">
        <v>135</v>
      </c>
      <c r="V95" s="379" t="e">
        <f ca="1">O95</f>
        <v>#N/A</v>
      </c>
      <c r="W95" s="379"/>
      <c r="X95" s="379"/>
      <c r="Y95" s="380" t="str">
        <f>R95</f>
        <v>mm</v>
      </c>
      <c r="Z95" s="381"/>
      <c r="AA95" s="236"/>
      <c r="AB95" s="242"/>
      <c r="AC95" s="242"/>
    </row>
    <row r="96" spans="1:69" ht="18.75" customHeight="1">
      <c r="A96" s="248"/>
      <c r="B96" s="248"/>
      <c r="C96" s="242" t="s">
        <v>291</v>
      </c>
      <c r="D96" s="242"/>
      <c r="E96" s="242"/>
      <c r="F96" s="242"/>
      <c r="G96" s="242"/>
      <c r="I96" s="109" t="s">
        <v>547</v>
      </c>
      <c r="J96" s="248"/>
      <c r="K96" s="248"/>
      <c r="L96" s="248"/>
      <c r="M96" s="248"/>
      <c r="N96" s="248"/>
      <c r="O96" s="248"/>
      <c r="P96" s="248"/>
      <c r="Q96" s="248"/>
      <c r="R96" s="248"/>
      <c r="U96" s="180"/>
      <c r="V96" s="180"/>
      <c r="W96" s="248"/>
      <c r="Y96" s="248"/>
      <c r="Z96" s="248"/>
      <c r="AA96" s="248"/>
      <c r="AB96" s="248"/>
      <c r="AC96" s="248"/>
      <c r="AD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</row>
    <row r="97" spans="1:65" ht="18.75" customHeight="1">
      <c r="A97" s="248"/>
      <c r="B97" s="248"/>
      <c r="C97" s="242"/>
      <c r="D97" s="242"/>
      <c r="E97" s="242"/>
      <c r="F97" s="242"/>
      <c r="G97" s="242"/>
      <c r="H97" s="61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U97" s="180"/>
      <c r="V97" s="180"/>
      <c r="W97" s="248"/>
      <c r="X97" s="248"/>
      <c r="Y97" s="248"/>
      <c r="Z97" s="248"/>
      <c r="AA97" s="248"/>
      <c r="AB97" s="248"/>
      <c r="AC97" s="248"/>
      <c r="AD97" s="248"/>
      <c r="AG97" s="248"/>
      <c r="AH97" s="248"/>
      <c r="AI97" s="248"/>
      <c r="AJ97" s="248"/>
      <c r="AK97" s="248"/>
      <c r="AL97" s="248"/>
      <c r="AM97" s="248"/>
      <c r="AN97" s="248"/>
      <c r="AO97" s="248"/>
      <c r="AP97" s="248"/>
      <c r="AQ97" s="248"/>
      <c r="AR97" s="248"/>
      <c r="AS97" s="248"/>
      <c r="AT97" s="248"/>
    </row>
    <row r="98" spans="1:65" s="140" customFormat="1" ht="18.75" customHeight="1">
      <c r="B98" s="57" t="str">
        <f>"3. "&amp;$N$5&amp;" 지시값의 표준불확도,"</f>
        <v>3. 곧은자 지시값의 표준불확도,</v>
      </c>
      <c r="D98" s="242"/>
      <c r="E98" s="242"/>
      <c r="F98" s="242"/>
      <c r="G98" s="237"/>
      <c r="H98" s="242"/>
      <c r="I98" s="242"/>
      <c r="J98" s="242"/>
      <c r="K98" s="242"/>
      <c r="L98" s="242"/>
      <c r="M98" s="242"/>
      <c r="N98" s="191" t="s">
        <v>492</v>
      </c>
      <c r="O98" s="242"/>
      <c r="P98" s="242"/>
      <c r="R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/>
      <c r="AE98" s="237"/>
      <c r="AF98" s="242"/>
      <c r="AG98" s="237"/>
      <c r="AH98" s="237"/>
      <c r="AI98" s="237"/>
      <c r="AJ98" s="237"/>
      <c r="AK98" s="237"/>
      <c r="AL98" s="237"/>
      <c r="AM98" s="237"/>
      <c r="AN98" s="237"/>
      <c r="AO98" s="237"/>
      <c r="AP98" s="237"/>
      <c r="AQ98" s="237"/>
      <c r="AR98" s="237"/>
      <c r="AS98" s="237"/>
      <c r="AT98" s="237"/>
      <c r="AU98" s="237"/>
      <c r="AV98" s="237"/>
      <c r="AW98" s="237"/>
      <c r="AX98" s="237"/>
      <c r="AY98" s="237"/>
      <c r="AZ98" s="237"/>
      <c r="BA98" s="237"/>
      <c r="BB98" s="237"/>
      <c r="BC98" s="237"/>
      <c r="BD98" s="237"/>
      <c r="BE98" s="237"/>
      <c r="BF98" s="237"/>
      <c r="BG98" s="237"/>
    </row>
    <row r="99" spans="1:65" s="140" customFormat="1" ht="18.75" customHeight="1">
      <c r="B99" s="57"/>
      <c r="C99" s="242" t="str">
        <f>"※ "&amp;$N$5&amp;"의 눈금을 기준으로 하여 레이저 간섭계의 지시값을 읽는 방법으로 교정하며, "&amp;$N$5&amp;"의 분해능에 의한"</f>
        <v>※ 곧은자의 눈금을 기준으로 하여 레이저 간섭계의 지시값을 읽는 방법으로 교정하며, 곧은자의 분해능에 의한</v>
      </c>
      <c r="D99" s="242"/>
      <c r="E99" s="242"/>
      <c r="F99" s="242"/>
      <c r="G99" s="237"/>
      <c r="H99" s="242"/>
      <c r="I99" s="242"/>
      <c r="J99" s="242"/>
      <c r="K99" s="242"/>
      <c r="L99" s="242"/>
      <c r="M99" s="242"/>
      <c r="N99" s="242"/>
      <c r="O99" s="242"/>
      <c r="P99" s="242"/>
      <c r="Q99" s="190"/>
      <c r="R99" s="242"/>
      <c r="T99" s="242"/>
      <c r="U99" s="242"/>
      <c r="V99" s="242"/>
      <c r="W99" s="242"/>
      <c r="X99" s="242"/>
      <c r="Y99" s="242"/>
      <c r="Z99" s="242"/>
      <c r="AA99" s="242"/>
      <c r="AB99" s="242"/>
      <c r="AC99" s="242"/>
      <c r="AD99" s="242"/>
      <c r="AE99" s="237"/>
      <c r="AF99" s="242"/>
      <c r="AG99" s="237"/>
      <c r="AH99" s="237"/>
      <c r="AI99" s="237"/>
      <c r="AJ99" s="237"/>
      <c r="AK99" s="237"/>
      <c r="AL99" s="237"/>
      <c r="AM99" s="237"/>
      <c r="AN99" s="237"/>
      <c r="AO99" s="237"/>
      <c r="AP99" s="237"/>
      <c r="AQ99" s="237"/>
      <c r="AR99" s="237"/>
      <c r="AS99" s="237"/>
      <c r="AT99" s="237"/>
      <c r="AU99" s="237"/>
      <c r="AV99" s="237"/>
      <c r="AW99" s="237"/>
      <c r="AX99" s="237"/>
      <c r="AY99" s="237"/>
      <c r="AZ99" s="237"/>
      <c r="BA99" s="237"/>
      <c r="BB99" s="237"/>
      <c r="BC99" s="237"/>
      <c r="BD99" s="237"/>
      <c r="BE99" s="237"/>
      <c r="BF99" s="237"/>
      <c r="BG99" s="237"/>
    </row>
    <row r="100" spans="1:65" s="140" customFormat="1" ht="18.75" customHeight="1">
      <c r="B100" s="57"/>
      <c r="C100" s="242"/>
      <c r="D100" s="242" t="s">
        <v>292</v>
      </c>
      <c r="E100" s="242"/>
      <c r="F100" s="242"/>
      <c r="G100" s="237"/>
      <c r="H100" s="242"/>
      <c r="I100" s="242"/>
      <c r="J100" s="242"/>
      <c r="K100" s="242"/>
      <c r="L100" s="242"/>
      <c r="M100" s="242"/>
      <c r="N100" s="242"/>
      <c r="O100" s="242"/>
      <c r="P100" s="242"/>
      <c r="Q100" s="190"/>
      <c r="R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37"/>
      <c r="AF100" s="242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</row>
    <row r="101" spans="1:65" s="140" customFormat="1" ht="18.75" customHeight="1">
      <c r="B101" s="237"/>
      <c r="C101" s="239" t="s">
        <v>138</v>
      </c>
      <c r="D101" s="237"/>
      <c r="E101" s="237"/>
      <c r="F101" s="237"/>
      <c r="G101" s="237"/>
      <c r="H101" s="248"/>
      <c r="I101" s="381" t="e">
        <f ca="1">H59</f>
        <v>#N/A</v>
      </c>
      <c r="J101" s="381"/>
      <c r="K101" s="381"/>
      <c r="L101" s="381"/>
      <c r="M101" s="381"/>
      <c r="N101" s="381" t="str">
        <f>M59</f>
        <v>mm</v>
      </c>
      <c r="O101" s="381"/>
      <c r="P101" s="236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C101" s="242"/>
      <c r="AD101" s="242"/>
      <c r="AE101" s="242"/>
      <c r="AF101" s="242"/>
      <c r="AG101" s="242"/>
      <c r="AH101" s="242"/>
      <c r="AI101" s="237"/>
      <c r="AJ101" s="237"/>
      <c r="AK101" s="237"/>
      <c r="AL101" s="237"/>
      <c r="AM101" s="237"/>
      <c r="AN101" s="237"/>
      <c r="AO101" s="237"/>
      <c r="AP101" s="237"/>
      <c r="AQ101" s="237"/>
      <c r="AR101" s="237"/>
      <c r="AS101" s="242"/>
      <c r="AT101" s="242"/>
      <c r="AU101" s="242"/>
      <c r="AV101" s="242"/>
      <c r="AW101" s="242"/>
      <c r="AX101" s="242"/>
      <c r="AY101" s="237"/>
      <c r="AZ101" s="237"/>
      <c r="BA101" s="237"/>
      <c r="BB101" s="237"/>
      <c r="BC101" s="237"/>
      <c r="BD101" s="237"/>
      <c r="BE101" s="237"/>
      <c r="BF101" s="237"/>
      <c r="BG101" s="237"/>
    </row>
    <row r="102" spans="1:65" s="140" customFormat="1" ht="18.75" customHeight="1">
      <c r="B102" s="237"/>
      <c r="C102" s="242" t="s">
        <v>139</v>
      </c>
      <c r="D102" s="242"/>
      <c r="E102" s="242"/>
      <c r="F102" s="242"/>
      <c r="G102" s="242"/>
      <c r="H102" s="242"/>
      <c r="I102" s="237"/>
      <c r="J102" s="242" t="s">
        <v>175</v>
      </c>
      <c r="K102" s="242"/>
      <c r="L102" s="242"/>
      <c r="M102" s="242"/>
      <c r="N102" s="242"/>
      <c r="O102" s="242"/>
      <c r="P102" s="381">
        <f>Calcu!G35</f>
        <v>0</v>
      </c>
      <c r="Q102" s="381"/>
      <c r="R102" s="381"/>
      <c r="S102" s="197" t="s">
        <v>122</v>
      </c>
      <c r="T102" s="197"/>
      <c r="AD102" s="242"/>
      <c r="AE102" s="242"/>
      <c r="AF102" s="237"/>
      <c r="AG102" s="237"/>
      <c r="AH102" s="237"/>
      <c r="AI102" s="237"/>
      <c r="AJ102" s="237"/>
      <c r="AK102" s="237"/>
      <c r="AL102" s="237"/>
      <c r="AM102" s="237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37"/>
      <c r="AZ102" s="237"/>
      <c r="BA102" s="237"/>
      <c r="BB102" s="237"/>
      <c r="BC102" s="237"/>
      <c r="BD102" s="237"/>
      <c r="BE102" s="237"/>
      <c r="BF102" s="237"/>
      <c r="BG102" s="237"/>
    </row>
    <row r="103" spans="1:65" s="140" customFormat="1" ht="18.75" customHeight="1">
      <c r="B103" s="237"/>
      <c r="C103" s="242"/>
      <c r="D103" s="242"/>
      <c r="E103" s="242"/>
      <c r="F103" s="242"/>
      <c r="G103" s="242"/>
      <c r="H103" s="242"/>
      <c r="I103" s="242"/>
      <c r="K103" s="454" t="s">
        <v>493</v>
      </c>
      <c r="L103" s="454"/>
      <c r="M103" s="454"/>
      <c r="N103" s="372" t="s">
        <v>135</v>
      </c>
      <c r="O103" s="455" t="s">
        <v>155</v>
      </c>
      <c r="P103" s="456"/>
      <c r="Q103" s="456"/>
      <c r="R103" s="456"/>
      <c r="S103" s="372" t="s">
        <v>135</v>
      </c>
      <c r="T103" s="445">
        <f>Calcu!G35</f>
        <v>0</v>
      </c>
      <c r="U103" s="445"/>
      <c r="V103" s="198" t="str">
        <f>S102</f>
        <v>mm</v>
      </c>
      <c r="W103" s="198"/>
      <c r="X103" s="457" t="s">
        <v>135</v>
      </c>
      <c r="Y103" s="447">
        <f>T103/2/SQRT(3)</f>
        <v>0</v>
      </c>
      <c r="Z103" s="447"/>
      <c r="AA103" s="447"/>
      <c r="AB103" s="459" t="str">
        <f>V103</f>
        <v>mm</v>
      </c>
      <c r="AC103" s="459"/>
      <c r="AD103" s="242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42"/>
      <c r="AS103" s="242"/>
      <c r="AT103" s="242"/>
      <c r="AU103" s="242"/>
      <c r="AV103" s="242"/>
      <c r="AW103" s="242"/>
      <c r="AX103" s="242"/>
      <c r="AY103" s="242"/>
      <c r="AZ103" s="237"/>
      <c r="BA103" s="237"/>
      <c r="BB103" s="237"/>
      <c r="BC103" s="237"/>
      <c r="BD103" s="237"/>
      <c r="BE103" s="237"/>
      <c r="BF103" s="237"/>
      <c r="BG103" s="237"/>
      <c r="BH103" s="237"/>
    </row>
    <row r="104" spans="1:65" s="140" customFormat="1" ht="18.75" customHeight="1">
      <c r="B104" s="237"/>
      <c r="C104" s="242"/>
      <c r="D104" s="242"/>
      <c r="E104" s="242"/>
      <c r="F104" s="242"/>
      <c r="G104" s="242"/>
      <c r="H104" s="242"/>
      <c r="I104" s="242"/>
      <c r="J104" s="199"/>
      <c r="K104" s="454"/>
      <c r="L104" s="454"/>
      <c r="M104" s="454"/>
      <c r="N104" s="372"/>
      <c r="O104" s="460"/>
      <c r="P104" s="460"/>
      <c r="Q104" s="460"/>
      <c r="R104" s="460"/>
      <c r="S104" s="372"/>
      <c r="T104" s="460"/>
      <c r="U104" s="460"/>
      <c r="V104" s="460"/>
      <c r="W104" s="460"/>
      <c r="X104" s="457"/>
      <c r="Y104" s="447"/>
      <c r="Z104" s="447"/>
      <c r="AA104" s="447"/>
      <c r="AB104" s="459"/>
      <c r="AC104" s="459"/>
      <c r="AD104" s="242"/>
      <c r="AE104" s="237"/>
      <c r="AF104" s="237"/>
      <c r="AG104" s="237"/>
      <c r="AH104" s="237"/>
      <c r="AI104" s="237"/>
      <c r="AJ104" s="237"/>
      <c r="AK104" s="237"/>
      <c r="AL104" s="237"/>
      <c r="AM104" s="237"/>
      <c r="AN104" s="237"/>
      <c r="AO104" s="237"/>
      <c r="AP104" s="237"/>
      <c r="AQ104" s="237"/>
      <c r="AR104" s="242"/>
      <c r="AS104" s="242"/>
      <c r="AT104" s="242"/>
      <c r="AU104" s="242"/>
      <c r="AV104" s="242"/>
      <c r="AW104" s="242"/>
      <c r="AX104" s="242"/>
      <c r="AY104" s="242"/>
      <c r="AZ104" s="237"/>
      <c r="BA104" s="237"/>
      <c r="BB104" s="237"/>
      <c r="BC104" s="237"/>
      <c r="BD104" s="237"/>
      <c r="BE104" s="237"/>
      <c r="BF104" s="237"/>
      <c r="BG104" s="237"/>
      <c r="BH104" s="237"/>
    </row>
    <row r="105" spans="1:65" s="140" customFormat="1" ht="18.75" customHeight="1">
      <c r="B105" s="237"/>
      <c r="C105" s="242" t="s">
        <v>87</v>
      </c>
      <c r="D105" s="242"/>
      <c r="E105" s="242"/>
      <c r="F105" s="242"/>
      <c r="G105" s="242"/>
      <c r="H105" s="242"/>
      <c r="I105" s="378" t="str">
        <f>V59</f>
        <v>직사각형</v>
      </c>
      <c r="J105" s="378"/>
      <c r="K105" s="378"/>
      <c r="L105" s="378"/>
      <c r="M105" s="378"/>
      <c r="N105" s="378"/>
      <c r="O105" s="378"/>
      <c r="P105" s="378"/>
      <c r="Q105" s="242"/>
      <c r="R105" s="242"/>
      <c r="S105" s="242"/>
      <c r="T105" s="242"/>
      <c r="U105" s="242"/>
      <c r="V105" s="242"/>
      <c r="W105" s="242"/>
      <c r="X105" s="242"/>
      <c r="Y105" s="242"/>
      <c r="Z105" s="237"/>
      <c r="AA105" s="237"/>
      <c r="AB105" s="237"/>
      <c r="AC105" s="237"/>
      <c r="AD105" s="237"/>
      <c r="AE105" s="237"/>
      <c r="AF105" s="237"/>
      <c r="AG105" s="237"/>
      <c r="AH105" s="242"/>
      <c r="AI105" s="242"/>
      <c r="AJ105" s="242"/>
      <c r="AK105" s="242"/>
      <c r="AL105" s="242"/>
      <c r="AM105" s="242"/>
      <c r="AN105" s="242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37"/>
      <c r="AZ105" s="237"/>
      <c r="BA105" s="237"/>
      <c r="BB105" s="237"/>
      <c r="BC105" s="237"/>
      <c r="BD105" s="237"/>
      <c r="BE105" s="237"/>
      <c r="BF105" s="237"/>
      <c r="BG105" s="237"/>
    </row>
    <row r="106" spans="1:65" s="140" customFormat="1" ht="18.75" customHeight="1">
      <c r="B106" s="237"/>
      <c r="C106" s="371" t="s">
        <v>88</v>
      </c>
      <c r="D106" s="371"/>
      <c r="E106" s="371"/>
      <c r="F106" s="371"/>
      <c r="G106" s="371"/>
      <c r="H106" s="371"/>
      <c r="I106" s="242"/>
      <c r="J106" s="242"/>
      <c r="K106" s="242"/>
      <c r="L106" s="242"/>
      <c r="M106" s="242"/>
      <c r="N106" s="372">
        <f>AA59</f>
        <v>-1</v>
      </c>
      <c r="O106" s="372"/>
      <c r="P106" s="242"/>
      <c r="Q106" s="148"/>
      <c r="R106" s="148"/>
      <c r="S106" s="242"/>
      <c r="T106" s="242"/>
      <c r="U106" s="242"/>
      <c r="V106" s="242"/>
      <c r="W106" s="242"/>
      <c r="X106" s="242"/>
      <c r="Y106" s="242"/>
      <c r="Z106" s="149"/>
      <c r="AA106" s="149"/>
      <c r="AB106" s="242"/>
      <c r="AC106" s="242"/>
      <c r="AD106" s="242"/>
      <c r="AE106" s="242"/>
      <c r="AF106" s="242"/>
      <c r="AG106" s="242"/>
      <c r="AH106" s="242"/>
      <c r="AI106" s="242"/>
      <c r="AJ106" s="242"/>
      <c r="AK106" s="242"/>
      <c r="AL106" s="237"/>
      <c r="AM106" s="237"/>
      <c r="AN106" s="237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37"/>
      <c r="AZ106" s="237"/>
      <c r="BA106" s="237"/>
      <c r="BB106" s="237"/>
      <c r="BC106" s="237"/>
      <c r="BD106" s="237"/>
      <c r="BE106" s="237"/>
      <c r="BF106" s="237"/>
      <c r="BG106" s="237"/>
    </row>
    <row r="107" spans="1:65" s="140" customFormat="1" ht="18.75" customHeight="1">
      <c r="B107" s="237"/>
      <c r="C107" s="371"/>
      <c r="D107" s="371"/>
      <c r="E107" s="371"/>
      <c r="F107" s="371"/>
      <c r="G107" s="371"/>
      <c r="H107" s="371"/>
      <c r="I107" s="242"/>
      <c r="J107" s="242"/>
      <c r="K107" s="242"/>
      <c r="L107" s="242"/>
      <c r="M107" s="242"/>
      <c r="N107" s="372"/>
      <c r="O107" s="372"/>
      <c r="P107" s="242"/>
      <c r="Q107" s="148"/>
      <c r="R107" s="148"/>
      <c r="S107" s="242"/>
      <c r="T107" s="242"/>
      <c r="U107" s="242"/>
      <c r="V107" s="242"/>
      <c r="W107" s="242"/>
      <c r="X107" s="242"/>
      <c r="Y107" s="242"/>
      <c r="Z107" s="149"/>
      <c r="AA107" s="149"/>
      <c r="AB107" s="242"/>
      <c r="AC107" s="242"/>
      <c r="AD107" s="242"/>
      <c r="AE107" s="242"/>
      <c r="AF107" s="242"/>
      <c r="AG107" s="242"/>
      <c r="AH107" s="242"/>
      <c r="AI107" s="242"/>
      <c r="AJ107" s="242"/>
      <c r="AK107" s="242"/>
      <c r="AL107" s="237"/>
      <c r="AM107" s="237"/>
      <c r="AN107" s="237"/>
      <c r="AO107" s="242"/>
      <c r="AP107" s="242"/>
      <c r="AQ107" s="242"/>
      <c r="AR107" s="242"/>
      <c r="AS107" s="242"/>
      <c r="AT107" s="242"/>
      <c r="AU107" s="242"/>
      <c r="AV107" s="242"/>
      <c r="AW107" s="242"/>
      <c r="AX107" s="242"/>
      <c r="AY107" s="237"/>
      <c r="AZ107" s="237"/>
      <c r="BA107" s="237"/>
      <c r="BB107" s="237"/>
      <c r="BC107" s="237"/>
      <c r="BD107" s="237"/>
      <c r="BE107" s="237"/>
      <c r="BF107" s="237"/>
      <c r="BG107" s="237"/>
    </row>
    <row r="108" spans="1:65" s="140" customFormat="1" ht="18.75" customHeight="1">
      <c r="B108" s="237"/>
      <c r="C108" s="242" t="s">
        <v>146</v>
      </c>
      <c r="D108" s="242"/>
      <c r="E108" s="242"/>
      <c r="F108" s="242"/>
      <c r="G108" s="242"/>
      <c r="H108" s="242"/>
      <c r="I108" s="242"/>
      <c r="J108" s="237"/>
      <c r="K108" s="237" t="s">
        <v>147</v>
      </c>
      <c r="L108" s="372">
        <f>N106</f>
        <v>-1</v>
      </c>
      <c r="M108" s="372"/>
      <c r="N108" s="237" t="s">
        <v>281</v>
      </c>
      <c r="O108" s="461">
        <f>Y103</f>
        <v>0</v>
      </c>
      <c r="P108" s="461"/>
      <c r="Q108" s="461"/>
      <c r="R108" s="241" t="str">
        <f>AB103</f>
        <v>mm</v>
      </c>
      <c r="S108" s="235"/>
      <c r="T108" s="237" t="s">
        <v>147</v>
      </c>
      <c r="U108" s="237" t="s">
        <v>135</v>
      </c>
      <c r="V108" s="447">
        <f>ABS(L108*O108)</f>
        <v>0</v>
      </c>
      <c r="W108" s="447"/>
      <c r="X108" s="447"/>
      <c r="Y108" s="241" t="str">
        <f>R108</f>
        <v>mm</v>
      </c>
      <c r="Z108" s="236"/>
      <c r="AA108" s="150"/>
      <c r="AB108" s="150"/>
      <c r="AC108" s="241"/>
      <c r="AD108" s="237"/>
      <c r="AE108" s="242"/>
      <c r="AF108" s="237"/>
      <c r="AG108" s="237"/>
      <c r="AH108" s="237"/>
      <c r="AI108" s="237"/>
      <c r="AJ108" s="237"/>
      <c r="AK108" s="242"/>
      <c r="AL108" s="237"/>
      <c r="AM108" s="237"/>
      <c r="AN108" s="237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37"/>
      <c r="AZ108" s="237"/>
      <c r="BA108" s="237"/>
      <c r="BB108" s="237"/>
      <c r="BC108" s="237"/>
      <c r="BD108" s="237"/>
      <c r="BE108" s="237"/>
      <c r="BF108" s="237"/>
      <c r="BG108" s="237"/>
    </row>
    <row r="109" spans="1:65" s="140" customFormat="1" ht="18.75" customHeight="1">
      <c r="B109" s="237"/>
      <c r="C109" s="371" t="s">
        <v>89</v>
      </c>
      <c r="D109" s="371"/>
      <c r="E109" s="371"/>
      <c r="F109" s="371"/>
      <c r="G109" s="371"/>
      <c r="H109" s="242"/>
      <c r="J109" s="242"/>
      <c r="K109" s="242"/>
      <c r="L109" s="242"/>
      <c r="M109" s="242"/>
      <c r="N109" s="242"/>
      <c r="O109" s="242"/>
      <c r="P109" s="242"/>
      <c r="Q109" s="242"/>
      <c r="R109" s="241"/>
      <c r="S109" s="242"/>
      <c r="T109" s="242"/>
      <c r="U109" s="242"/>
      <c r="W109" s="242"/>
      <c r="X109" s="248" t="s">
        <v>86</v>
      </c>
      <c r="Y109" s="242"/>
      <c r="Z109" s="242"/>
      <c r="AA109" s="242"/>
      <c r="AB109" s="242"/>
      <c r="AC109" s="242"/>
      <c r="AD109" s="242"/>
      <c r="AE109" s="237"/>
      <c r="AF109" s="237"/>
      <c r="AG109" s="237"/>
      <c r="AH109" s="237"/>
      <c r="AI109" s="237"/>
      <c r="AJ109" s="237"/>
      <c r="AK109" s="237"/>
      <c r="AL109" s="237"/>
      <c r="AM109" s="237"/>
      <c r="AN109" s="237"/>
      <c r="AO109" s="237"/>
      <c r="AP109" s="237"/>
      <c r="AQ109" s="237"/>
      <c r="AR109" s="237"/>
      <c r="AS109" s="237"/>
      <c r="AT109" s="237"/>
      <c r="AU109" s="237"/>
      <c r="AV109" s="237"/>
      <c r="AW109" s="237"/>
      <c r="AX109" s="237"/>
      <c r="AY109" s="237"/>
      <c r="AZ109" s="237"/>
      <c r="BA109" s="237"/>
      <c r="BB109" s="237"/>
      <c r="BC109" s="237"/>
      <c r="BD109" s="237"/>
      <c r="BE109" s="237"/>
      <c r="BF109" s="237"/>
      <c r="BG109" s="237"/>
    </row>
    <row r="110" spans="1:65" s="140" customFormat="1" ht="18.75" customHeight="1">
      <c r="B110" s="237"/>
      <c r="C110" s="371"/>
      <c r="D110" s="371"/>
      <c r="E110" s="371"/>
      <c r="F110" s="371"/>
      <c r="G110" s="371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1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37"/>
      <c r="AF110" s="237"/>
      <c r="AG110" s="237"/>
      <c r="AH110" s="237"/>
      <c r="AI110" s="237"/>
      <c r="AJ110" s="237"/>
      <c r="AK110" s="237"/>
      <c r="AL110" s="237"/>
      <c r="AM110" s="237"/>
      <c r="AN110" s="237"/>
      <c r="AO110" s="237"/>
      <c r="AP110" s="237"/>
      <c r="AQ110" s="237"/>
      <c r="AR110" s="237"/>
      <c r="AS110" s="237"/>
      <c r="AT110" s="237"/>
      <c r="AU110" s="237"/>
      <c r="AV110" s="237"/>
      <c r="AW110" s="237"/>
      <c r="AX110" s="237"/>
      <c r="AY110" s="237"/>
      <c r="AZ110" s="237"/>
      <c r="BA110" s="237"/>
      <c r="BB110" s="237"/>
      <c r="BC110" s="237"/>
      <c r="BD110" s="237"/>
      <c r="BE110" s="237"/>
      <c r="BF110" s="237"/>
      <c r="BG110" s="237"/>
    </row>
    <row r="111" spans="1:65" s="140" customFormat="1" ht="18.75" customHeight="1">
      <c r="B111" s="237"/>
      <c r="C111" s="57"/>
      <c r="D111" s="242"/>
      <c r="E111" s="242"/>
      <c r="F111" s="242"/>
      <c r="G111" s="237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37"/>
      <c r="AF111" s="242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37"/>
      <c r="AY111" s="237"/>
      <c r="AZ111" s="237"/>
      <c r="BA111" s="237"/>
      <c r="BB111" s="237"/>
      <c r="BC111" s="237"/>
      <c r="BD111" s="237"/>
      <c r="BE111" s="237"/>
      <c r="BF111" s="237"/>
      <c r="BG111" s="237"/>
    </row>
    <row r="112" spans="1:65" s="140" customFormat="1" ht="18.75" customHeight="1">
      <c r="A112" s="237"/>
      <c r="B112" s="57" t="str">
        <f>"4. "&amp;$N$5&amp;"와 "&amp;T5&amp;"의 평균 열팽창계수에 의한 표준불확도,"</f>
        <v>4. 곧은자와 줄자교정장치의 평균 열팽창계수에 의한 표준불확도,</v>
      </c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  <c r="AJ112" s="242"/>
      <c r="AK112" s="242"/>
      <c r="AL112" s="237"/>
      <c r="AM112" s="237"/>
      <c r="AN112" s="237"/>
      <c r="AO112" s="237"/>
      <c r="AP112" s="237"/>
      <c r="AQ112" s="237"/>
      <c r="AR112" s="237"/>
      <c r="AS112" s="237"/>
      <c r="AT112" s="237"/>
      <c r="AU112" s="237"/>
      <c r="AV112" s="237"/>
      <c r="AW112" s="237"/>
      <c r="AX112" s="237"/>
      <c r="AY112" s="242"/>
      <c r="AZ112" s="242"/>
      <c r="BA112" s="242"/>
      <c r="BB112" s="242"/>
      <c r="BC112" s="242"/>
      <c r="BD112" s="242"/>
      <c r="BE112" s="242"/>
      <c r="BF112" s="242"/>
      <c r="BG112" s="58"/>
      <c r="BH112" s="58"/>
      <c r="BI112" s="58"/>
      <c r="BJ112" s="58"/>
      <c r="BK112" s="58"/>
      <c r="BL112" s="58"/>
      <c r="BM112" s="58"/>
    </row>
    <row r="113" spans="1:83" s="140" customFormat="1" ht="18.75" customHeight="1">
      <c r="A113" s="237"/>
      <c r="B113" s="57"/>
      <c r="C113" s="242" t="str">
        <f>"※ "&amp;$N$5&amp;"와 "&amp;T5&amp;"의 평균 열팽창계수 :"</f>
        <v>※ 곧은자와 줄자교정장치의 평균 열팽창계수 :</v>
      </c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141"/>
      <c r="W113" s="59"/>
      <c r="X113" s="242"/>
      <c r="Y113" s="59"/>
      <c r="Z113" s="237"/>
      <c r="AA113" s="242"/>
      <c r="AB113" s="237"/>
      <c r="AC113" s="237"/>
      <c r="AD113" s="142"/>
      <c r="AE113" s="237"/>
      <c r="AF113" s="237"/>
      <c r="AG113" s="242"/>
      <c r="AH113" s="242"/>
      <c r="AI113" s="242"/>
      <c r="AJ113" s="242"/>
      <c r="AK113" s="242"/>
      <c r="AL113" s="242"/>
      <c r="AM113" s="242"/>
      <c r="AN113" s="242"/>
      <c r="AO113" s="237"/>
      <c r="AP113" s="237"/>
      <c r="AQ113" s="237"/>
      <c r="AR113" s="237"/>
      <c r="AS113" s="237"/>
      <c r="AT113" s="237"/>
      <c r="AU113" s="237"/>
      <c r="AV113" s="237"/>
      <c r="AW113" s="237"/>
      <c r="AX113" s="237"/>
      <c r="AY113" s="242"/>
      <c r="AZ113" s="242"/>
      <c r="BA113" s="242"/>
      <c r="BB113" s="242"/>
      <c r="BC113" s="242"/>
      <c r="BD113" s="242"/>
      <c r="BE113" s="242"/>
      <c r="BF113" s="242"/>
      <c r="BG113" s="58"/>
      <c r="BH113" s="58"/>
      <c r="BI113" s="58"/>
      <c r="BJ113" s="58"/>
      <c r="BK113" s="58"/>
      <c r="BL113" s="58"/>
      <c r="BM113" s="58"/>
    </row>
    <row r="114" spans="1:83" s="140" customFormat="1" ht="18.75" customHeight="1">
      <c r="B114" s="237"/>
      <c r="C114" s="239" t="s">
        <v>499</v>
      </c>
      <c r="D114" s="237"/>
      <c r="E114" s="237"/>
      <c r="F114" s="237"/>
      <c r="G114" s="237"/>
      <c r="H114" s="453" t="e">
        <f>H60*10^6</f>
        <v>#VALUE!</v>
      </c>
      <c r="I114" s="453"/>
      <c r="J114" s="453"/>
      <c r="K114" s="236" t="s">
        <v>297</v>
      </c>
      <c r="L114" s="237"/>
      <c r="M114" s="237"/>
      <c r="N114" s="236"/>
      <c r="O114" s="236"/>
      <c r="P114" s="236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59"/>
      <c r="AG114" s="242"/>
      <c r="AH114" s="242"/>
      <c r="AI114" s="242"/>
      <c r="AJ114" s="242"/>
      <c r="AK114" s="242"/>
      <c r="AL114" s="242"/>
      <c r="AM114" s="237"/>
      <c r="AN114" s="237"/>
      <c r="AO114" s="237"/>
      <c r="AP114" s="237"/>
      <c r="AQ114" s="237"/>
      <c r="AR114" s="237"/>
      <c r="AS114" s="237"/>
      <c r="AT114" s="237"/>
      <c r="AU114" s="237"/>
      <c r="AV114" s="237"/>
      <c r="AW114" s="237"/>
      <c r="AX114" s="237"/>
      <c r="AY114" s="237"/>
      <c r="AZ114" s="242"/>
      <c r="BA114" s="242"/>
      <c r="BB114" s="242"/>
      <c r="BC114" s="242"/>
      <c r="BD114" s="242"/>
      <c r="BE114" s="242"/>
      <c r="BF114" s="242"/>
      <c r="BG114" s="242"/>
      <c r="BH114" s="58"/>
      <c r="BI114" s="58"/>
      <c r="BJ114" s="58"/>
      <c r="BK114" s="58"/>
      <c r="BL114" s="58"/>
      <c r="BM114" s="58"/>
    </row>
    <row r="115" spans="1:83" s="140" customFormat="1" ht="18.75" customHeight="1">
      <c r="B115" s="237"/>
      <c r="C115" s="371" t="s">
        <v>500</v>
      </c>
      <c r="D115" s="371"/>
      <c r="E115" s="371"/>
      <c r="F115" s="371"/>
      <c r="G115" s="371"/>
      <c r="H115" s="371"/>
      <c r="I115" s="371"/>
      <c r="J115" s="378" t="s">
        <v>140</v>
      </c>
      <c r="K115" s="378"/>
      <c r="L115" s="378"/>
      <c r="M115" s="378"/>
      <c r="N115" s="378"/>
      <c r="O115" s="378"/>
      <c r="P115" s="378"/>
      <c r="Q115" s="378"/>
      <c r="R115" s="378"/>
      <c r="S115" s="378"/>
      <c r="T115" s="378"/>
      <c r="U115" s="378"/>
      <c r="V115" s="378"/>
      <c r="W115" s="378"/>
      <c r="X115" s="242"/>
      <c r="Y115" s="242"/>
      <c r="Z115" s="242"/>
      <c r="AA115" s="242"/>
      <c r="AB115" s="242"/>
      <c r="AC115" s="242"/>
      <c r="AD115" s="242"/>
      <c r="AE115" s="242"/>
      <c r="AF115" s="242"/>
      <c r="AG115" s="242"/>
      <c r="AH115" s="242"/>
      <c r="AI115" s="242"/>
      <c r="AJ115" s="242"/>
      <c r="AK115" s="237"/>
      <c r="AL115" s="237"/>
      <c r="AM115" s="237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  <c r="BD115" s="242"/>
      <c r="BE115" s="242"/>
      <c r="BF115" s="242"/>
      <c r="BG115" s="242"/>
      <c r="BH115" s="58"/>
      <c r="BI115" s="58"/>
      <c r="BJ115" s="58"/>
      <c r="BK115" s="58"/>
      <c r="BL115" s="58"/>
      <c r="BM115" s="58"/>
      <c r="BN115" s="58"/>
    </row>
    <row r="116" spans="1:83" s="140" customFormat="1" ht="18.75" customHeight="1">
      <c r="B116" s="237"/>
      <c r="C116" s="371"/>
      <c r="D116" s="371"/>
      <c r="E116" s="371"/>
      <c r="F116" s="371"/>
      <c r="G116" s="371"/>
      <c r="H116" s="371"/>
      <c r="I116" s="371"/>
      <c r="J116" s="378"/>
      <c r="K116" s="378"/>
      <c r="L116" s="378"/>
      <c r="M116" s="378"/>
      <c r="N116" s="378"/>
      <c r="O116" s="378"/>
      <c r="P116" s="378"/>
      <c r="Q116" s="378"/>
      <c r="R116" s="378"/>
      <c r="S116" s="378"/>
      <c r="T116" s="378"/>
      <c r="U116" s="378"/>
      <c r="V116" s="378"/>
      <c r="W116" s="378"/>
      <c r="X116" s="242"/>
      <c r="Y116" s="242"/>
      <c r="Z116" s="242"/>
      <c r="AA116" s="242"/>
      <c r="AB116" s="242"/>
      <c r="AC116" s="242"/>
      <c r="AD116" s="242"/>
      <c r="AE116" s="242"/>
      <c r="AF116" s="237"/>
      <c r="AG116" s="242"/>
      <c r="AH116" s="242"/>
      <c r="AI116" s="242"/>
      <c r="AJ116" s="242"/>
      <c r="AK116" s="237"/>
      <c r="AL116" s="237"/>
      <c r="AM116" s="237"/>
      <c r="AN116" s="242"/>
      <c r="AO116" s="242"/>
      <c r="AP116" s="242"/>
      <c r="AQ116" s="242"/>
      <c r="AR116" s="242"/>
      <c r="AS116" s="237"/>
      <c r="AT116" s="242"/>
      <c r="AU116" s="242"/>
      <c r="AV116" s="242"/>
      <c r="AW116" s="242"/>
      <c r="AX116" s="242"/>
      <c r="AY116" s="242"/>
      <c r="AZ116" s="242"/>
      <c r="BA116" s="242"/>
      <c r="BB116" s="242"/>
      <c r="BC116" s="242"/>
      <c r="BD116" s="242"/>
      <c r="BE116" s="242"/>
      <c r="BF116" s="242"/>
      <c r="BG116" s="242"/>
      <c r="BH116" s="58"/>
      <c r="BI116" s="58"/>
      <c r="BJ116" s="58"/>
      <c r="BK116" s="58"/>
      <c r="BL116" s="58"/>
      <c r="BM116" s="58"/>
      <c r="BN116" s="58"/>
    </row>
    <row r="117" spans="1:83" s="140" customFormat="1" ht="18.75" customHeight="1">
      <c r="B117" s="237"/>
      <c r="C117" s="242"/>
      <c r="D117" s="242"/>
      <c r="E117" s="242"/>
      <c r="F117" s="242"/>
      <c r="G117" s="242"/>
      <c r="H117" s="242"/>
      <c r="I117" s="237"/>
      <c r="J117" s="378" t="s">
        <v>141</v>
      </c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378"/>
      <c r="Y117" s="378"/>
      <c r="Z117" s="378"/>
      <c r="AA117" s="458" t="s">
        <v>142</v>
      </c>
      <c r="AB117" s="458"/>
      <c r="AC117" s="458"/>
      <c r="AD117" s="458"/>
      <c r="AE117" s="458"/>
      <c r="AF117" s="372" t="s">
        <v>135</v>
      </c>
      <c r="AG117" s="378" t="s">
        <v>143</v>
      </c>
      <c r="AH117" s="378"/>
      <c r="AI117" s="378"/>
      <c r="AJ117" s="378"/>
      <c r="AK117" s="378"/>
      <c r="AL117" s="378"/>
      <c r="AM117" s="237"/>
      <c r="AN117" s="242"/>
      <c r="AO117" s="242"/>
      <c r="AP117" s="242"/>
      <c r="AQ117" s="242"/>
      <c r="AR117" s="242"/>
      <c r="AS117" s="237"/>
      <c r="AT117" s="242"/>
      <c r="AU117" s="242"/>
      <c r="AV117" s="242"/>
      <c r="AW117" s="242"/>
      <c r="AX117" s="242"/>
      <c r="AY117" s="242"/>
      <c r="AZ117" s="242"/>
      <c r="BA117" s="242"/>
      <c r="BB117" s="242"/>
      <c r="BC117" s="242"/>
      <c r="BD117" s="242"/>
      <c r="BE117" s="242"/>
      <c r="BF117" s="242"/>
      <c r="BG117" s="242"/>
      <c r="BH117" s="58"/>
      <c r="BI117" s="58"/>
      <c r="BJ117" s="58"/>
      <c r="BK117" s="58"/>
      <c r="BL117" s="58"/>
      <c r="BM117" s="58"/>
      <c r="BN117" s="58"/>
    </row>
    <row r="118" spans="1:83" s="140" customFormat="1" ht="18.75" customHeight="1">
      <c r="B118" s="237"/>
      <c r="C118" s="242"/>
      <c r="D118" s="242"/>
      <c r="E118" s="242"/>
      <c r="F118" s="242"/>
      <c r="G118" s="242"/>
      <c r="H118" s="242"/>
      <c r="I118" s="237"/>
      <c r="J118" s="378"/>
      <c r="K118" s="378"/>
      <c r="L118" s="378"/>
      <c r="M118" s="378"/>
      <c r="N118" s="378"/>
      <c r="O118" s="378"/>
      <c r="P118" s="378"/>
      <c r="Q118" s="378"/>
      <c r="R118" s="378"/>
      <c r="S118" s="378"/>
      <c r="T118" s="378"/>
      <c r="U118" s="378"/>
      <c r="V118" s="378"/>
      <c r="W118" s="378"/>
      <c r="X118" s="378"/>
      <c r="Y118" s="378"/>
      <c r="Z118" s="378"/>
      <c r="AA118" s="242"/>
      <c r="AB118" s="237"/>
      <c r="AC118" s="237"/>
      <c r="AD118" s="237"/>
      <c r="AE118" s="237"/>
      <c r="AF118" s="372"/>
      <c r="AG118" s="378"/>
      <c r="AH118" s="378"/>
      <c r="AI118" s="378"/>
      <c r="AJ118" s="378"/>
      <c r="AK118" s="378"/>
      <c r="AL118" s="378"/>
      <c r="AM118" s="237"/>
      <c r="AN118" s="242"/>
      <c r="AO118" s="242"/>
      <c r="AP118" s="242"/>
      <c r="AQ118" s="242"/>
      <c r="AR118" s="242"/>
      <c r="AS118" s="242"/>
      <c r="AT118" s="242"/>
      <c r="AU118" s="242"/>
      <c r="AV118" s="242"/>
      <c r="AW118" s="242"/>
      <c r="AX118" s="242"/>
      <c r="AY118" s="242"/>
      <c r="AZ118" s="242"/>
      <c r="BA118" s="242"/>
      <c r="BB118" s="242"/>
      <c r="BC118" s="242"/>
      <c r="BD118" s="242"/>
      <c r="BE118" s="242"/>
      <c r="BF118" s="242"/>
      <c r="BG118" s="242"/>
      <c r="BH118" s="58"/>
      <c r="BI118" s="58"/>
      <c r="BJ118" s="58"/>
      <c r="BK118" s="58"/>
      <c r="BL118" s="58"/>
      <c r="BM118" s="58"/>
      <c r="BN118" s="58"/>
    </row>
    <row r="119" spans="1:83" s="140" customFormat="1" ht="18.75" customHeight="1">
      <c r="B119" s="237"/>
      <c r="C119" s="242"/>
      <c r="D119" s="242"/>
      <c r="E119" s="242"/>
      <c r="F119" s="242"/>
      <c r="G119" s="242"/>
      <c r="H119" s="242"/>
      <c r="I119" s="242"/>
      <c r="J119" s="237"/>
      <c r="K119" s="239" t="s">
        <v>144</v>
      </c>
      <c r="L119" s="239"/>
      <c r="M119" s="239"/>
      <c r="N119" s="239"/>
      <c r="O119" s="239"/>
      <c r="P119" s="239"/>
      <c r="Q119" s="239"/>
      <c r="R119" s="239"/>
      <c r="S119" s="242"/>
      <c r="T119" s="242"/>
      <c r="U119" s="242"/>
      <c r="V119" s="242"/>
      <c r="W119" s="242"/>
      <c r="X119" s="242"/>
      <c r="Y119" s="242"/>
      <c r="Z119" s="242"/>
      <c r="AA119" s="242"/>
      <c r="AB119" s="242"/>
      <c r="AC119" s="242"/>
      <c r="AD119" s="242"/>
      <c r="AE119" s="242"/>
      <c r="AF119" s="242"/>
      <c r="AG119" s="237"/>
      <c r="AH119" s="242"/>
      <c r="AI119" s="242"/>
      <c r="AJ119" s="242"/>
      <c r="AK119" s="237"/>
      <c r="AL119" s="237"/>
      <c r="AM119" s="237"/>
      <c r="AN119" s="237"/>
      <c r="AO119" s="242"/>
      <c r="AP119" s="242"/>
      <c r="AQ119" s="242"/>
      <c r="AR119" s="242"/>
      <c r="AS119" s="242"/>
      <c r="AT119" s="242"/>
      <c r="AU119" s="242"/>
      <c r="AV119" s="242"/>
      <c r="AW119" s="242"/>
      <c r="AX119" s="242"/>
      <c r="AY119" s="242"/>
      <c r="AZ119" s="242"/>
      <c r="BA119" s="242"/>
      <c r="BB119" s="242"/>
      <c r="BC119" s="242"/>
      <c r="BD119" s="242"/>
      <c r="BE119" s="242"/>
      <c r="BF119" s="242"/>
      <c r="BG119" s="242"/>
      <c r="BH119" s="237"/>
      <c r="BN119" s="58"/>
      <c r="BO119" s="58"/>
      <c r="BP119" s="58"/>
      <c r="BQ119" s="58"/>
      <c r="BR119" s="58"/>
      <c r="BS119" s="58"/>
      <c r="BX119" s="58"/>
      <c r="CE119" s="58"/>
    </row>
    <row r="120" spans="1:83" s="140" customFormat="1" ht="18.75" customHeight="1">
      <c r="B120" s="237"/>
      <c r="C120" s="242"/>
      <c r="D120" s="242"/>
      <c r="E120" s="242"/>
      <c r="F120" s="242"/>
      <c r="G120" s="242"/>
      <c r="H120" s="242"/>
      <c r="I120" s="242"/>
      <c r="J120" s="109"/>
      <c r="K120" s="109"/>
      <c r="L120" s="109"/>
      <c r="M120" s="237"/>
      <c r="N120" s="109"/>
      <c r="O120" s="109"/>
      <c r="P120" s="109"/>
      <c r="Q120" s="109"/>
      <c r="R120" s="109"/>
      <c r="S120" s="109"/>
      <c r="T120" s="109"/>
      <c r="U120" s="109"/>
      <c r="V120" s="237"/>
      <c r="W120" s="143"/>
      <c r="X120" s="143"/>
      <c r="Y120" s="143"/>
      <c r="Z120" s="237"/>
      <c r="AF120" s="237"/>
      <c r="AG120" s="378" t="s">
        <v>298</v>
      </c>
      <c r="AH120" s="378"/>
      <c r="AI120" s="378"/>
      <c r="AJ120" s="378"/>
      <c r="AK120" s="378"/>
      <c r="AL120" s="241"/>
      <c r="AM120" s="241"/>
      <c r="AN120" s="237"/>
      <c r="AO120" s="237"/>
      <c r="AP120" s="237"/>
      <c r="AQ120" s="237"/>
      <c r="AR120" s="237"/>
      <c r="AS120" s="242"/>
      <c r="AT120" s="242"/>
      <c r="AU120" s="237"/>
      <c r="AV120" s="237"/>
      <c r="AW120" s="237"/>
      <c r="AX120" s="237"/>
      <c r="AY120" s="237"/>
      <c r="AZ120" s="242"/>
      <c r="BA120" s="242"/>
      <c r="BB120" s="242"/>
      <c r="BC120" s="242"/>
      <c r="BD120" s="242"/>
      <c r="BE120" s="242"/>
      <c r="BF120" s="242"/>
      <c r="BG120" s="242"/>
      <c r="BH120" s="237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CE120" s="58"/>
    </row>
    <row r="121" spans="1:83" s="140" customFormat="1" ht="18.75" customHeight="1">
      <c r="B121" s="237"/>
      <c r="C121" s="242"/>
      <c r="D121" s="242"/>
      <c r="E121" s="242"/>
      <c r="F121" s="242"/>
      <c r="G121" s="242"/>
      <c r="H121" s="242"/>
      <c r="I121" s="242"/>
      <c r="J121" s="109"/>
      <c r="K121" s="109"/>
      <c r="L121" s="109"/>
      <c r="M121" s="237"/>
      <c r="N121" s="109"/>
      <c r="O121" s="109"/>
      <c r="P121" s="109"/>
      <c r="Q121" s="109"/>
      <c r="R121" s="109"/>
      <c r="S121" s="109"/>
      <c r="T121" s="109"/>
      <c r="U121" s="109"/>
      <c r="V121" s="237"/>
      <c r="W121" s="143"/>
      <c r="X121" s="143"/>
      <c r="Y121" s="143"/>
      <c r="Z121" s="237"/>
      <c r="AF121" s="237"/>
      <c r="AG121" s="378"/>
      <c r="AH121" s="378"/>
      <c r="AI121" s="378"/>
      <c r="AJ121" s="378"/>
      <c r="AK121" s="378"/>
      <c r="AL121" s="241"/>
      <c r="AM121" s="241"/>
      <c r="AN121" s="237"/>
      <c r="AO121" s="237"/>
      <c r="AP121" s="237"/>
      <c r="AQ121" s="237"/>
      <c r="AR121" s="237"/>
      <c r="AS121" s="242"/>
      <c r="AT121" s="242"/>
      <c r="AU121" s="237"/>
      <c r="AV121" s="237"/>
      <c r="AW121" s="237"/>
      <c r="AX121" s="237"/>
      <c r="AY121" s="237"/>
      <c r="AZ121" s="242"/>
      <c r="BA121" s="242"/>
      <c r="BB121" s="242"/>
      <c r="BC121" s="242"/>
      <c r="BD121" s="242"/>
      <c r="BE121" s="242"/>
      <c r="BF121" s="242"/>
      <c r="BG121" s="242"/>
      <c r="BH121" s="242"/>
      <c r="BI121" s="58"/>
      <c r="BJ121" s="58"/>
      <c r="BK121" s="58"/>
      <c r="BL121" s="58"/>
      <c r="BM121" s="58"/>
    </row>
    <row r="122" spans="1:83" s="140" customFormat="1" ht="18.75" customHeight="1">
      <c r="B122" s="237"/>
      <c r="C122" s="242" t="s">
        <v>294</v>
      </c>
      <c r="D122" s="242"/>
      <c r="E122" s="242"/>
      <c r="F122" s="242"/>
      <c r="G122" s="242"/>
      <c r="H122" s="242"/>
      <c r="I122" s="378" t="str">
        <f>V60</f>
        <v>삼각형</v>
      </c>
      <c r="J122" s="378"/>
      <c r="K122" s="378"/>
      <c r="L122" s="378"/>
      <c r="M122" s="378"/>
      <c r="N122" s="378"/>
      <c r="O122" s="378"/>
      <c r="P122" s="378"/>
      <c r="Q122" s="242"/>
      <c r="R122" s="242"/>
      <c r="S122" s="242"/>
      <c r="T122" s="242"/>
      <c r="U122" s="242"/>
      <c r="V122" s="242"/>
      <c r="W122" s="242"/>
      <c r="X122" s="242"/>
      <c r="Y122" s="242"/>
      <c r="Z122" s="237"/>
      <c r="AA122" s="237"/>
      <c r="AB122" s="237"/>
      <c r="AC122" s="237"/>
      <c r="AD122" s="237"/>
      <c r="AE122" s="237"/>
      <c r="AF122" s="237"/>
      <c r="AG122" s="237"/>
      <c r="AH122" s="242"/>
      <c r="AI122" s="242"/>
      <c r="AJ122" s="242"/>
      <c r="AK122" s="242"/>
      <c r="AL122" s="242"/>
      <c r="AM122" s="242"/>
      <c r="AN122" s="242"/>
      <c r="AO122" s="242"/>
      <c r="AP122" s="242"/>
      <c r="AQ122" s="242"/>
      <c r="AR122" s="242"/>
      <c r="AS122" s="242"/>
      <c r="AT122" s="242"/>
      <c r="AU122" s="242"/>
      <c r="AV122" s="242"/>
      <c r="AW122" s="242"/>
      <c r="AX122" s="242"/>
      <c r="AY122" s="242"/>
      <c r="AZ122" s="242"/>
      <c r="BA122" s="242"/>
      <c r="BB122" s="242"/>
      <c r="BC122" s="242"/>
      <c r="BD122" s="242"/>
      <c r="BE122" s="242"/>
      <c r="BF122" s="242"/>
      <c r="BG122" s="242"/>
      <c r="BH122" s="58"/>
      <c r="BI122" s="58"/>
      <c r="BJ122" s="58"/>
      <c r="BK122" s="58"/>
      <c r="BL122" s="58"/>
      <c r="BM122" s="58"/>
      <c r="BN122" s="58"/>
    </row>
    <row r="123" spans="1:83" s="140" customFormat="1" ht="18.75" customHeight="1">
      <c r="B123" s="237"/>
      <c r="C123" s="371" t="s">
        <v>501</v>
      </c>
      <c r="D123" s="371"/>
      <c r="E123" s="371"/>
      <c r="F123" s="371"/>
      <c r="G123" s="371"/>
      <c r="H123" s="371"/>
      <c r="I123" s="242"/>
      <c r="J123" s="242"/>
      <c r="K123" s="242"/>
      <c r="L123" s="242"/>
      <c r="M123" s="242"/>
      <c r="N123" s="242"/>
      <c r="O123" s="242"/>
      <c r="R123" s="462" t="e">
        <f>Calcu!M36</f>
        <v>#VALUE!</v>
      </c>
      <c r="S123" s="462"/>
      <c r="T123" s="371" t="s">
        <v>145</v>
      </c>
      <c r="U123" s="371"/>
      <c r="V123" s="463">
        <f>Calcu!N36</f>
        <v>0</v>
      </c>
      <c r="W123" s="463"/>
      <c r="X123" s="463"/>
      <c r="Y123" s="371" t="s">
        <v>122</v>
      </c>
      <c r="Z123" s="371"/>
      <c r="AA123" s="372" t="s">
        <v>135</v>
      </c>
      <c r="AB123" s="381" t="e">
        <f>R123*V123</f>
        <v>#VALUE!</v>
      </c>
      <c r="AC123" s="381"/>
      <c r="AD123" s="381"/>
      <c r="AE123" s="381"/>
      <c r="AF123" s="371" t="s">
        <v>200</v>
      </c>
      <c r="AG123" s="371"/>
      <c r="AH123" s="371"/>
      <c r="AI123" s="371"/>
      <c r="AJ123" s="371"/>
      <c r="AK123" s="371"/>
      <c r="AL123" s="371"/>
      <c r="AM123" s="242"/>
      <c r="AN123" s="242"/>
      <c r="AO123" s="242"/>
      <c r="AP123" s="242"/>
      <c r="AQ123" s="242"/>
      <c r="AR123" s="237"/>
      <c r="AS123" s="237"/>
      <c r="AT123" s="237"/>
      <c r="AU123" s="237"/>
      <c r="AV123" s="237"/>
      <c r="AW123" s="237"/>
      <c r="AX123" s="237"/>
      <c r="AY123" s="237"/>
      <c r="AZ123" s="237"/>
      <c r="BA123" s="237"/>
    </row>
    <row r="124" spans="1:83" s="140" customFormat="1" ht="18.75" customHeight="1">
      <c r="B124" s="237"/>
      <c r="C124" s="371"/>
      <c r="D124" s="371"/>
      <c r="E124" s="371"/>
      <c r="F124" s="371"/>
      <c r="G124" s="371"/>
      <c r="H124" s="371"/>
      <c r="I124" s="242"/>
      <c r="J124" s="242"/>
      <c r="K124" s="242"/>
      <c r="L124" s="242"/>
      <c r="M124" s="242"/>
      <c r="N124" s="242"/>
      <c r="O124" s="242"/>
      <c r="R124" s="462"/>
      <c r="S124" s="462"/>
      <c r="T124" s="371"/>
      <c r="U124" s="371"/>
      <c r="V124" s="463"/>
      <c r="W124" s="463"/>
      <c r="X124" s="463"/>
      <c r="Y124" s="371"/>
      <c r="Z124" s="371"/>
      <c r="AA124" s="372"/>
      <c r="AB124" s="381"/>
      <c r="AC124" s="381"/>
      <c r="AD124" s="381"/>
      <c r="AE124" s="381"/>
      <c r="AF124" s="371"/>
      <c r="AG124" s="371"/>
      <c r="AH124" s="371"/>
      <c r="AI124" s="371"/>
      <c r="AJ124" s="371"/>
      <c r="AK124" s="371"/>
      <c r="AL124" s="371"/>
      <c r="AM124" s="242"/>
      <c r="AN124" s="242"/>
      <c r="AO124" s="242"/>
      <c r="AP124" s="242"/>
      <c r="AQ124" s="242"/>
      <c r="AR124" s="237"/>
      <c r="AS124" s="237"/>
      <c r="AT124" s="237"/>
      <c r="AU124" s="237"/>
      <c r="AV124" s="237"/>
      <c r="AW124" s="237"/>
      <c r="AX124" s="237"/>
      <c r="AY124" s="237"/>
      <c r="AZ124" s="237"/>
      <c r="BA124" s="237"/>
    </row>
    <row r="125" spans="1:83" s="140" customFormat="1" ht="18.75" customHeight="1">
      <c r="B125" s="237"/>
      <c r="C125" s="242" t="s">
        <v>502</v>
      </c>
      <c r="D125" s="242"/>
      <c r="E125" s="242"/>
      <c r="F125" s="242"/>
      <c r="G125" s="242"/>
      <c r="H125" s="242"/>
      <c r="I125" s="242"/>
      <c r="J125" s="237"/>
      <c r="K125" s="248" t="s">
        <v>147</v>
      </c>
      <c r="L125" s="462" t="e">
        <f>AB123</f>
        <v>#VALUE!</v>
      </c>
      <c r="M125" s="462"/>
      <c r="N125" s="462"/>
      <c r="O125" s="462"/>
      <c r="P125" s="241" t="s">
        <v>300</v>
      </c>
      <c r="Q125" s="237"/>
      <c r="R125" s="237"/>
      <c r="S125" s="237"/>
      <c r="T125" s="237"/>
      <c r="U125" s="237"/>
      <c r="V125" s="237"/>
      <c r="W125" s="237"/>
      <c r="X125" s="237"/>
      <c r="Y125" s="248" t="s">
        <v>147</v>
      </c>
      <c r="Z125" s="237" t="s">
        <v>135</v>
      </c>
      <c r="AA125" s="447" t="e">
        <f>ABS(L125*O60)</f>
        <v>#VALUE!</v>
      </c>
      <c r="AB125" s="447"/>
      <c r="AC125" s="447"/>
      <c r="AD125" s="239" t="s">
        <v>122</v>
      </c>
      <c r="AE125" s="239"/>
      <c r="AF125" s="237"/>
      <c r="AG125" s="237"/>
      <c r="AH125" s="237"/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144"/>
      <c r="AV125" s="241"/>
      <c r="AW125" s="242"/>
      <c r="AX125" s="237"/>
      <c r="AY125" s="237"/>
      <c r="AZ125" s="237"/>
      <c r="BA125" s="237"/>
      <c r="BB125" s="237"/>
      <c r="BC125" s="237"/>
      <c r="BD125" s="237"/>
      <c r="BE125" s="237"/>
      <c r="BF125" s="237"/>
      <c r="BG125" s="237"/>
      <c r="BH125" s="58"/>
      <c r="BI125" s="58"/>
      <c r="BP125" s="239"/>
      <c r="BQ125" s="251"/>
    </row>
    <row r="126" spans="1:83" s="140" customFormat="1" ht="18.75" customHeight="1">
      <c r="B126" s="237"/>
      <c r="C126" s="371" t="s">
        <v>503</v>
      </c>
      <c r="D126" s="371"/>
      <c r="E126" s="371"/>
      <c r="F126" s="371"/>
      <c r="G126" s="371"/>
      <c r="H126" s="242"/>
      <c r="J126" s="242"/>
      <c r="K126" s="242"/>
      <c r="L126" s="242"/>
      <c r="M126" s="242"/>
      <c r="N126" s="242"/>
      <c r="O126" s="242"/>
      <c r="P126" s="242"/>
      <c r="Q126" s="242"/>
      <c r="R126" s="241"/>
      <c r="S126" s="242"/>
      <c r="T126" s="242"/>
      <c r="U126" s="242"/>
      <c r="W126" s="242"/>
      <c r="X126" s="242"/>
      <c r="Y126" s="242"/>
      <c r="Z126" s="242"/>
      <c r="AA126" s="248" t="s">
        <v>162</v>
      </c>
      <c r="AB126" s="242"/>
      <c r="AC126" s="242"/>
      <c r="AD126" s="242"/>
      <c r="AE126" s="237"/>
      <c r="AF126" s="237"/>
      <c r="AH126" s="237"/>
      <c r="AI126" s="237"/>
      <c r="AJ126" s="237"/>
      <c r="AK126" s="237"/>
      <c r="AL126" s="237"/>
      <c r="AM126" s="237"/>
      <c r="AN126" s="237"/>
      <c r="AO126" s="237"/>
      <c r="AP126" s="237"/>
      <c r="AQ126" s="237"/>
      <c r="AR126" s="237"/>
      <c r="AS126" s="237"/>
      <c r="AT126" s="237"/>
      <c r="AU126" s="237"/>
      <c r="AV126" s="237"/>
      <c r="AW126" s="237"/>
      <c r="AX126" s="237"/>
      <c r="AY126" s="237"/>
      <c r="AZ126" s="237"/>
      <c r="BA126" s="237"/>
      <c r="BB126" s="237"/>
      <c r="BC126" s="237"/>
      <c r="BD126" s="237"/>
      <c r="BE126" s="237"/>
      <c r="BF126" s="237"/>
      <c r="BG126" s="237"/>
      <c r="BH126" s="58"/>
      <c r="BI126" s="58"/>
      <c r="BJ126" s="58"/>
      <c r="BK126" s="58"/>
      <c r="BL126" s="58"/>
    </row>
    <row r="127" spans="1:83" s="140" customFormat="1" ht="18.75" customHeight="1">
      <c r="B127" s="237"/>
      <c r="C127" s="371"/>
      <c r="D127" s="371"/>
      <c r="E127" s="371"/>
      <c r="F127" s="371"/>
      <c r="G127" s="371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1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37"/>
      <c r="AF127" s="237"/>
      <c r="AG127" s="237"/>
      <c r="AH127" s="237"/>
      <c r="AI127" s="237"/>
      <c r="AJ127" s="237"/>
      <c r="AK127" s="237"/>
      <c r="AL127" s="237"/>
      <c r="AM127" s="237"/>
      <c r="AN127" s="237"/>
      <c r="AO127" s="237"/>
      <c r="AP127" s="237"/>
      <c r="AQ127" s="237"/>
      <c r="AR127" s="237"/>
      <c r="AS127" s="237"/>
      <c r="AT127" s="237"/>
      <c r="AU127" s="237"/>
      <c r="AV127" s="237"/>
      <c r="AW127" s="237"/>
      <c r="AX127" s="237"/>
      <c r="AY127" s="237"/>
      <c r="AZ127" s="237"/>
      <c r="BA127" s="237"/>
      <c r="BB127" s="237"/>
      <c r="BC127" s="237"/>
      <c r="BD127" s="237"/>
      <c r="BE127" s="237"/>
      <c r="BF127" s="237"/>
      <c r="BG127" s="237"/>
      <c r="BH127" s="58"/>
      <c r="BI127" s="58"/>
      <c r="BJ127" s="58"/>
      <c r="BK127" s="58"/>
      <c r="BL127" s="58"/>
    </row>
    <row r="128" spans="1:83" s="140" customFormat="1" ht="18.75" customHeight="1">
      <c r="B128" s="237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1"/>
      <c r="S128" s="242"/>
      <c r="T128" s="242"/>
      <c r="U128" s="242"/>
      <c r="V128" s="242"/>
      <c r="W128" s="242"/>
      <c r="X128" s="242"/>
      <c r="Y128" s="242"/>
      <c r="Z128" s="242"/>
      <c r="AA128" s="242"/>
      <c r="AB128" s="378">
        <v>100</v>
      </c>
      <c r="AC128" s="378"/>
      <c r="AD128" s="242"/>
      <c r="AE128" s="237"/>
      <c r="AF128" s="237"/>
      <c r="AG128" s="237"/>
      <c r="AH128" s="237"/>
      <c r="AI128" s="237"/>
      <c r="AJ128" s="237"/>
      <c r="AK128" s="237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7"/>
      <c r="AV128" s="237"/>
      <c r="AW128" s="237"/>
      <c r="AX128" s="237"/>
      <c r="AY128" s="237"/>
      <c r="AZ128" s="237"/>
      <c r="BA128" s="237"/>
      <c r="BB128" s="237"/>
      <c r="BC128" s="237"/>
      <c r="BD128" s="237"/>
      <c r="BE128" s="237"/>
      <c r="BF128" s="237"/>
      <c r="BG128" s="237"/>
      <c r="BH128" s="58"/>
      <c r="BI128" s="58"/>
      <c r="BJ128" s="58"/>
      <c r="BK128" s="58"/>
      <c r="BL128" s="58"/>
    </row>
    <row r="129" spans="2:68" s="140" customFormat="1" ht="18.75" customHeight="1">
      <c r="B129" s="237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1"/>
      <c r="S129" s="242"/>
      <c r="T129" s="242"/>
      <c r="U129" s="242"/>
      <c r="V129" s="242"/>
      <c r="W129" s="242"/>
      <c r="X129" s="242"/>
      <c r="Y129" s="242"/>
      <c r="Z129" s="242"/>
      <c r="AA129" s="242"/>
      <c r="AB129" s="378"/>
      <c r="AC129" s="378"/>
      <c r="AD129" s="242"/>
      <c r="AE129" s="237"/>
      <c r="AF129" s="237"/>
      <c r="AG129" s="237"/>
      <c r="AH129" s="237"/>
      <c r="AI129" s="237"/>
      <c r="AJ129" s="237"/>
      <c r="AK129" s="237"/>
      <c r="AL129" s="237"/>
      <c r="AM129" s="237"/>
      <c r="AN129" s="237"/>
      <c r="AO129" s="237"/>
      <c r="AP129" s="237"/>
      <c r="AQ129" s="237"/>
      <c r="AR129" s="237"/>
      <c r="AS129" s="237"/>
      <c r="AT129" s="237"/>
      <c r="AU129" s="237"/>
      <c r="AV129" s="237"/>
      <c r="AW129" s="237"/>
      <c r="AX129" s="237"/>
      <c r="AY129" s="237"/>
      <c r="AZ129" s="237"/>
      <c r="BA129" s="237"/>
      <c r="BB129" s="237"/>
      <c r="BC129" s="237"/>
      <c r="BD129" s="237"/>
      <c r="BE129" s="237"/>
      <c r="BF129" s="237"/>
      <c r="BG129" s="237"/>
      <c r="BH129" s="58"/>
      <c r="BI129" s="58"/>
      <c r="BJ129" s="58"/>
      <c r="BK129" s="58"/>
      <c r="BL129" s="58"/>
    </row>
    <row r="130" spans="2:68" s="140" customFormat="1" ht="18.75" customHeight="1">
      <c r="B130" s="237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1"/>
      <c r="S130" s="242"/>
      <c r="T130" s="242"/>
      <c r="U130" s="242"/>
      <c r="V130" s="242"/>
      <c r="W130" s="242"/>
      <c r="X130" s="242"/>
      <c r="Y130" s="242"/>
      <c r="Z130" s="242"/>
      <c r="AA130" s="242"/>
      <c r="AB130" s="242"/>
      <c r="AC130" s="242"/>
      <c r="AD130" s="242"/>
      <c r="AE130" s="237"/>
      <c r="AF130" s="237"/>
      <c r="AG130" s="237"/>
      <c r="AH130" s="237"/>
      <c r="AI130" s="237"/>
      <c r="AJ130" s="237"/>
      <c r="AK130" s="237"/>
      <c r="AL130" s="237"/>
      <c r="AM130" s="237"/>
      <c r="AN130" s="237"/>
      <c r="AO130" s="237"/>
      <c r="AP130" s="237"/>
      <c r="AQ130" s="237"/>
      <c r="AR130" s="237"/>
      <c r="AS130" s="237"/>
      <c r="AT130" s="237"/>
      <c r="AU130" s="237"/>
      <c r="AV130" s="237"/>
      <c r="AW130" s="237"/>
      <c r="AX130" s="237"/>
      <c r="AY130" s="237"/>
      <c r="AZ130" s="237"/>
      <c r="BA130" s="237"/>
      <c r="BB130" s="237"/>
      <c r="BC130" s="237"/>
      <c r="BD130" s="237"/>
      <c r="BE130" s="237"/>
      <c r="BF130" s="237"/>
      <c r="BG130" s="237"/>
      <c r="BH130" s="58"/>
      <c r="BI130" s="58"/>
      <c r="BJ130" s="58"/>
      <c r="BK130" s="58"/>
      <c r="BL130" s="58"/>
    </row>
    <row r="131" spans="2:68" s="140" customFormat="1" ht="18.75" customHeight="1">
      <c r="B131" s="237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1"/>
      <c r="S131" s="242"/>
      <c r="T131" s="242"/>
      <c r="U131" s="242"/>
      <c r="V131" s="242"/>
      <c r="W131" s="242"/>
      <c r="X131" s="242"/>
      <c r="Y131" s="242"/>
      <c r="Z131" s="242"/>
      <c r="AA131" s="242"/>
      <c r="AB131" s="242"/>
      <c r="AC131" s="242"/>
      <c r="AD131" s="242"/>
      <c r="AE131" s="237"/>
      <c r="AF131" s="237"/>
      <c r="AG131" s="237"/>
      <c r="AH131" s="237"/>
      <c r="AI131" s="237"/>
      <c r="AJ131" s="237"/>
      <c r="AK131" s="237"/>
      <c r="AL131" s="237"/>
      <c r="AM131" s="237"/>
      <c r="AN131" s="237"/>
      <c r="AO131" s="237"/>
      <c r="AP131" s="237"/>
      <c r="AQ131" s="237"/>
      <c r="AR131" s="237"/>
      <c r="AS131" s="237"/>
      <c r="AT131" s="237"/>
      <c r="AU131" s="237"/>
      <c r="AV131" s="237"/>
      <c r="AW131" s="237"/>
      <c r="AX131" s="237"/>
      <c r="AY131" s="237"/>
      <c r="AZ131" s="237"/>
      <c r="BA131" s="237"/>
      <c r="BB131" s="237"/>
      <c r="BC131" s="237"/>
      <c r="BD131" s="237"/>
      <c r="BE131" s="237"/>
      <c r="BF131" s="237"/>
      <c r="BG131" s="237"/>
      <c r="BH131" s="242"/>
      <c r="BI131" s="242"/>
      <c r="BJ131" s="242"/>
      <c r="BK131" s="242"/>
    </row>
    <row r="132" spans="2:68" s="140" customFormat="1" ht="18.75" customHeight="1">
      <c r="B132" s="57" t="str">
        <f>"5. "&amp;$N$5&amp;"와 "&amp;T5&amp;"의 온도 차에 의한 표준불확도,"</f>
        <v>5. 곧은자와 줄자교정장치의 온도 차에 의한 표준불확도,</v>
      </c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57" t="s">
        <v>172</v>
      </c>
      <c r="Y132" s="242"/>
      <c r="Z132" s="242"/>
      <c r="AA132" s="242"/>
      <c r="AB132" s="242"/>
      <c r="AC132" s="242"/>
      <c r="AD132" s="242"/>
      <c r="AE132" s="242"/>
      <c r="AF132" s="242"/>
      <c r="AG132" s="242"/>
      <c r="AH132" s="237"/>
      <c r="AI132" s="237"/>
      <c r="AJ132" s="237"/>
      <c r="AK132" s="237"/>
      <c r="AL132" s="237"/>
      <c r="AM132" s="237"/>
      <c r="AN132" s="237"/>
      <c r="AO132" s="242"/>
      <c r="AP132" s="242"/>
      <c r="AQ132" s="242"/>
      <c r="AR132" s="242"/>
      <c r="AS132" s="242"/>
      <c r="AT132" s="242"/>
      <c r="AU132" s="242"/>
      <c r="AV132" s="242"/>
      <c r="AW132" s="242"/>
      <c r="AX132" s="242"/>
      <c r="AY132" s="242"/>
      <c r="AZ132" s="242"/>
      <c r="BA132" s="242"/>
      <c r="BB132" s="242"/>
      <c r="BC132" s="242"/>
      <c r="BD132" s="242"/>
      <c r="BE132" s="242"/>
      <c r="BF132" s="242"/>
      <c r="BG132" s="242"/>
      <c r="BH132" s="58"/>
      <c r="BI132" s="58"/>
      <c r="BJ132" s="58"/>
      <c r="BK132" s="58"/>
      <c r="BL132" s="58"/>
      <c r="BM132" s="58"/>
      <c r="BN132" s="58"/>
    </row>
    <row r="133" spans="2:68" s="140" customFormat="1" ht="18.75" customHeight="1">
      <c r="B133" s="57"/>
      <c r="C133" s="242" t="e">
        <f>"※ 열평형 상태에서 "&amp;$N$5&amp;"와 "&amp;T5&amp;"의 온도차가 ±"&amp;N136&amp;" ℃ 이내에서 일치한다고"</f>
        <v>#VALUE!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42"/>
      <c r="AI133" s="242"/>
      <c r="AJ133" s="242"/>
      <c r="AK133" s="242"/>
      <c r="AL133" s="242"/>
      <c r="AM133" s="237"/>
      <c r="AN133" s="237"/>
      <c r="AO133" s="242"/>
      <c r="AP133" s="242"/>
      <c r="AQ133" s="242"/>
      <c r="AR133" s="242"/>
      <c r="AS133" s="242"/>
      <c r="AT133" s="242"/>
      <c r="AU133" s="242"/>
      <c r="AV133" s="242"/>
      <c r="AW133" s="242"/>
      <c r="AX133" s="242"/>
      <c r="AY133" s="242"/>
      <c r="AZ133" s="242"/>
      <c r="BA133" s="242"/>
      <c r="BB133" s="242"/>
      <c r="BC133" s="242"/>
      <c r="BD133" s="242"/>
      <c r="BE133" s="242"/>
      <c r="BF133" s="242"/>
      <c r="BG133" s="242"/>
      <c r="BH133" s="58"/>
      <c r="BI133" s="58"/>
      <c r="BJ133" s="58"/>
      <c r="BK133" s="58"/>
      <c r="BL133" s="58"/>
      <c r="BM133" s="58"/>
      <c r="BN133" s="58"/>
    </row>
    <row r="134" spans="2:68" s="140" customFormat="1" ht="18.75" customHeight="1">
      <c r="B134" s="57"/>
      <c r="C134" s="242"/>
      <c r="D134" s="242" t="s">
        <v>301</v>
      </c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  <c r="AA134" s="242"/>
      <c r="AB134" s="242"/>
      <c r="AC134" s="242"/>
      <c r="AD134" s="242"/>
      <c r="AE134" s="242"/>
      <c r="AF134" s="242"/>
      <c r="AG134" s="242"/>
      <c r="AH134" s="242"/>
      <c r="AI134" s="242"/>
      <c r="AJ134" s="242"/>
      <c r="AK134" s="242"/>
      <c r="AL134" s="242"/>
      <c r="AM134" s="237"/>
      <c r="AN134" s="237"/>
      <c r="AO134" s="242"/>
      <c r="AP134" s="242"/>
      <c r="AQ134" s="242"/>
      <c r="AR134" s="242"/>
      <c r="AS134" s="242"/>
      <c r="AT134" s="242"/>
      <c r="AU134" s="242"/>
      <c r="AV134" s="242"/>
      <c r="AW134" s="242"/>
      <c r="AX134" s="242"/>
      <c r="AY134" s="242"/>
      <c r="AZ134" s="242"/>
      <c r="BA134" s="242"/>
      <c r="BB134" s="242"/>
      <c r="BC134" s="242"/>
      <c r="BD134" s="242"/>
      <c r="BE134" s="242"/>
      <c r="BF134" s="242"/>
      <c r="BG134" s="242"/>
      <c r="BH134" s="58"/>
      <c r="BI134" s="58"/>
      <c r="BJ134" s="58"/>
      <c r="BK134" s="58"/>
      <c r="BL134" s="58"/>
      <c r="BM134" s="58"/>
      <c r="BN134" s="58"/>
    </row>
    <row r="135" spans="2:68" s="140" customFormat="1" ht="18.75" customHeight="1">
      <c r="B135" s="237"/>
      <c r="C135" s="239" t="s">
        <v>504</v>
      </c>
      <c r="D135" s="237"/>
      <c r="E135" s="237"/>
      <c r="F135" s="237"/>
      <c r="G135" s="237"/>
      <c r="H135" s="248"/>
      <c r="I135" s="381" t="str">
        <f>H61</f>
        <v/>
      </c>
      <c r="J135" s="381"/>
      <c r="K135" s="381"/>
      <c r="L135" s="381"/>
      <c r="M135" s="381"/>
      <c r="N135" s="381" t="str">
        <f>M61</f>
        <v>℃</v>
      </c>
      <c r="O135" s="381"/>
      <c r="P135" s="236"/>
      <c r="Q135" s="248"/>
      <c r="R135" s="248"/>
      <c r="S135" s="248"/>
      <c r="T135" s="248"/>
      <c r="U135" s="248"/>
      <c r="V135" s="248"/>
      <c r="W135" s="242"/>
      <c r="Y135" s="257"/>
      <c r="Z135" s="257"/>
      <c r="AA135" s="257"/>
      <c r="AB135" s="258"/>
      <c r="AD135" s="257"/>
      <c r="AE135" s="257"/>
      <c r="AF135" s="257"/>
      <c r="AG135" s="259"/>
      <c r="AH135" s="242"/>
      <c r="AI135" s="237"/>
      <c r="AJ135" s="237"/>
      <c r="AK135" s="237"/>
      <c r="AL135" s="237"/>
      <c r="AM135" s="237"/>
      <c r="AN135" s="237"/>
      <c r="AO135" s="242"/>
      <c r="AP135" s="242"/>
      <c r="AQ135" s="242"/>
      <c r="AR135" s="242"/>
      <c r="AS135" s="242"/>
      <c r="AT135" s="242"/>
      <c r="AU135" s="242"/>
      <c r="AV135" s="242"/>
      <c r="AW135" s="242"/>
      <c r="AX135" s="242"/>
      <c r="AY135" s="242"/>
      <c r="AZ135" s="242"/>
      <c r="BA135" s="242"/>
      <c r="BB135" s="242"/>
      <c r="BC135" s="242"/>
      <c r="BD135" s="242"/>
      <c r="BE135" s="242"/>
      <c r="BF135" s="242"/>
      <c r="BG135" s="242"/>
      <c r="BH135" s="58"/>
      <c r="BI135" s="58"/>
      <c r="BJ135" s="58"/>
      <c r="BK135" s="58"/>
      <c r="BL135" s="58"/>
      <c r="BM135" s="58"/>
    </row>
    <row r="136" spans="2:68" s="140" customFormat="1" ht="18.75" customHeight="1">
      <c r="B136" s="237"/>
      <c r="C136" s="371" t="s">
        <v>505</v>
      </c>
      <c r="D136" s="371"/>
      <c r="E136" s="371"/>
      <c r="F136" s="371"/>
      <c r="G136" s="371"/>
      <c r="H136" s="371"/>
      <c r="I136" s="371"/>
      <c r="J136" s="464" t="s">
        <v>177</v>
      </c>
      <c r="K136" s="464"/>
      <c r="L136" s="464"/>
      <c r="M136" s="372" t="s">
        <v>135</v>
      </c>
      <c r="N136" s="445" t="e">
        <f>Calcu!G37</f>
        <v>#VALUE!</v>
      </c>
      <c r="O136" s="445"/>
      <c r="P136" s="243" t="s">
        <v>174</v>
      </c>
      <c r="Q136" s="195"/>
      <c r="R136" s="372" t="s">
        <v>278</v>
      </c>
      <c r="S136" s="447" t="e">
        <f>N136/SQRT(3)</f>
        <v>#VALUE!</v>
      </c>
      <c r="T136" s="447"/>
      <c r="U136" s="447"/>
      <c r="V136" s="465" t="s">
        <v>221</v>
      </c>
      <c r="W136" s="465"/>
      <c r="X136" s="244"/>
      <c r="Y136" s="242"/>
      <c r="AX136" s="242"/>
      <c r="AY136" s="242"/>
      <c r="AZ136" s="242"/>
      <c r="BA136" s="242"/>
      <c r="BB136" s="242"/>
      <c r="BC136" s="242"/>
      <c r="BD136" s="242"/>
      <c r="BE136" s="242"/>
      <c r="BF136" s="242"/>
      <c r="BG136" s="242"/>
      <c r="BH136" s="242"/>
      <c r="BI136" s="242"/>
      <c r="BJ136" s="58"/>
      <c r="BK136" s="58"/>
      <c r="BL136" s="58"/>
      <c r="BM136" s="58"/>
      <c r="BN136" s="58"/>
      <c r="BO136" s="58"/>
      <c r="BP136" s="58"/>
    </row>
    <row r="137" spans="2:68" s="140" customFormat="1" ht="18.75" customHeight="1">
      <c r="B137" s="237"/>
      <c r="C137" s="371"/>
      <c r="D137" s="371"/>
      <c r="E137" s="371"/>
      <c r="F137" s="371"/>
      <c r="G137" s="371"/>
      <c r="H137" s="371"/>
      <c r="I137" s="371"/>
      <c r="J137" s="464"/>
      <c r="K137" s="464"/>
      <c r="L137" s="464"/>
      <c r="M137" s="372"/>
      <c r="N137" s="246"/>
      <c r="O137" s="246"/>
      <c r="P137" s="246"/>
      <c r="Q137" s="237"/>
      <c r="R137" s="372"/>
      <c r="S137" s="447"/>
      <c r="T137" s="447"/>
      <c r="U137" s="447"/>
      <c r="V137" s="465"/>
      <c r="W137" s="465"/>
      <c r="X137" s="244"/>
      <c r="Y137" s="242"/>
      <c r="AX137" s="242"/>
      <c r="AY137" s="242"/>
      <c r="AZ137" s="242"/>
      <c r="BA137" s="242"/>
      <c r="BB137" s="242"/>
      <c r="BC137" s="242"/>
      <c r="BD137" s="242"/>
      <c r="BE137" s="242"/>
      <c r="BF137" s="242"/>
      <c r="BG137" s="242"/>
      <c r="BH137" s="242"/>
      <c r="BI137" s="242"/>
      <c r="BJ137" s="58"/>
      <c r="BK137" s="58"/>
      <c r="BL137" s="58"/>
      <c r="BM137" s="58"/>
      <c r="BN137" s="58"/>
      <c r="BO137" s="58"/>
      <c r="BP137" s="58"/>
    </row>
    <row r="138" spans="2:68" s="140" customFormat="1" ht="18.75" customHeight="1">
      <c r="B138" s="237"/>
      <c r="C138" s="242" t="s">
        <v>506</v>
      </c>
      <c r="D138" s="242"/>
      <c r="E138" s="242"/>
      <c r="F138" s="242"/>
      <c r="G138" s="242"/>
      <c r="H138" s="242"/>
      <c r="I138" s="378" t="str">
        <f>V61</f>
        <v>직사각형</v>
      </c>
      <c r="J138" s="378"/>
      <c r="K138" s="378"/>
      <c r="L138" s="378"/>
      <c r="M138" s="378"/>
      <c r="N138" s="378"/>
      <c r="O138" s="378"/>
      <c r="P138" s="378"/>
      <c r="Q138" s="242"/>
      <c r="R138" s="242"/>
      <c r="S138" s="242"/>
      <c r="T138" s="242"/>
      <c r="U138" s="242"/>
      <c r="V138" s="242"/>
      <c r="W138" s="242"/>
      <c r="X138" s="242"/>
      <c r="Y138" s="242"/>
      <c r="Z138" s="237"/>
      <c r="AA138" s="237"/>
      <c r="AB138" s="237"/>
      <c r="AC138" s="237"/>
      <c r="AD138" s="237"/>
      <c r="AE138" s="237"/>
      <c r="AF138" s="237"/>
      <c r="AG138" s="237"/>
      <c r="AH138" s="237"/>
      <c r="AI138" s="237"/>
      <c r="AJ138" s="237"/>
      <c r="AK138" s="237"/>
      <c r="AL138" s="237"/>
      <c r="AM138" s="237"/>
      <c r="AN138" s="237"/>
      <c r="AO138" s="237"/>
      <c r="AP138" s="242"/>
      <c r="AQ138" s="242"/>
      <c r="AR138" s="242"/>
      <c r="AS138" s="242"/>
      <c r="AT138" s="242"/>
      <c r="AU138" s="242"/>
      <c r="AV138" s="242"/>
      <c r="AW138" s="242"/>
      <c r="AX138" s="242"/>
      <c r="AY138" s="242"/>
      <c r="AZ138" s="242"/>
      <c r="BA138" s="242"/>
      <c r="BB138" s="242"/>
      <c r="BC138" s="242"/>
      <c r="BD138" s="242"/>
      <c r="BE138" s="242"/>
      <c r="BF138" s="242"/>
      <c r="BG138" s="242"/>
      <c r="BH138" s="58"/>
      <c r="BI138" s="58"/>
      <c r="BJ138" s="58"/>
      <c r="BK138" s="58"/>
      <c r="BL138" s="58"/>
    </row>
    <row r="139" spans="2:68" s="140" customFormat="1" ht="18.75" customHeight="1">
      <c r="B139" s="237"/>
      <c r="C139" s="371" t="s">
        <v>507</v>
      </c>
      <c r="D139" s="371"/>
      <c r="E139" s="371"/>
      <c r="F139" s="371"/>
      <c r="G139" s="371"/>
      <c r="H139" s="371"/>
      <c r="I139" s="242"/>
      <c r="J139" s="242"/>
      <c r="K139" s="242"/>
      <c r="L139" s="242"/>
      <c r="M139" s="242"/>
      <c r="N139" s="242"/>
      <c r="O139" s="237"/>
      <c r="R139" s="371" t="e">
        <f>-H60*10^6</f>
        <v>#VALUE!</v>
      </c>
      <c r="S139" s="371"/>
      <c r="T139" s="371"/>
      <c r="U139" s="371" t="s">
        <v>302</v>
      </c>
      <c r="V139" s="371"/>
      <c r="W139" s="371"/>
      <c r="X139" s="371"/>
      <c r="Y139" s="372" t="s">
        <v>83</v>
      </c>
      <c r="Z139" s="463">
        <f>Calcu!N37</f>
        <v>0</v>
      </c>
      <c r="AA139" s="463"/>
      <c r="AB139" s="463"/>
      <c r="AC139" s="371" t="s">
        <v>122</v>
      </c>
      <c r="AD139" s="371"/>
      <c r="AE139" s="372" t="s">
        <v>135</v>
      </c>
      <c r="AF139" s="462" t="e">
        <f>R139*10^-6*Z139</f>
        <v>#VALUE!</v>
      </c>
      <c r="AG139" s="462"/>
      <c r="AH139" s="462"/>
      <c r="AI139" s="371" t="s">
        <v>222</v>
      </c>
      <c r="AJ139" s="371"/>
      <c r="AK139" s="371"/>
      <c r="AL139" s="371"/>
      <c r="AM139" s="371"/>
      <c r="AN139" s="371"/>
      <c r="AO139" s="371"/>
      <c r="AP139" s="242"/>
      <c r="AQ139" s="242"/>
      <c r="AR139" s="242"/>
      <c r="AS139" s="242"/>
      <c r="AT139" s="242"/>
      <c r="AU139" s="242"/>
      <c r="AV139" s="242"/>
      <c r="AW139" s="242"/>
      <c r="AX139" s="242"/>
      <c r="AY139" s="242"/>
      <c r="AZ139" s="242"/>
      <c r="BA139" s="242"/>
      <c r="BB139" s="242"/>
      <c r="BC139" s="237"/>
      <c r="BD139" s="237"/>
      <c r="BE139" s="237"/>
      <c r="BF139" s="237"/>
      <c r="BG139" s="237"/>
      <c r="BH139" s="237"/>
    </row>
    <row r="140" spans="2:68" s="140" customFormat="1" ht="18.75" customHeight="1">
      <c r="B140" s="237"/>
      <c r="C140" s="371"/>
      <c r="D140" s="371"/>
      <c r="E140" s="371"/>
      <c r="F140" s="371"/>
      <c r="G140" s="371"/>
      <c r="H140" s="371"/>
      <c r="I140" s="242"/>
      <c r="J140" s="242"/>
      <c r="K140" s="242"/>
      <c r="L140" s="242"/>
      <c r="M140" s="242"/>
      <c r="N140" s="242"/>
      <c r="O140" s="237"/>
      <c r="R140" s="371"/>
      <c r="S140" s="371"/>
      <c r="T140" s="371"/>
      <c r="U140" s="371"/>
      <c r="V140" s="371"/>
      <c r="W140" s="371"/>
      <c r="X140" s="371"/>
      <c r="Y140" s="372"/>
      <c r="Z140" s="463"/>
      <c r="AA140" s="463"/>
      <c r="AB140" s="463"/>
      <c r="AC140" s="371"/>
      <c r="AD140" s="371"/>
      <c r="AE140" s="372"/>
      <c r="AF140" s="462"/>
      <c r="AG140" s="462"/>
      <c r="AH140" s="462"/>
      <c r="AI140" s="371"/>
      <c r="AJ140" s="371"/>
      <c r="AK140" s="371"/>
      <c r="AL140" s="371"/>
      <c r="AM140" s="371"/>
      <c r="AN140" s="371"/>
      <c r="AO140" s="371"/>
      <c r="AP140" s="242"/>
      <c r="AQ140" s="242"/>
      <c r="AR140" s="242"/>
      <c r="AS140" s="242"/>
      <c r="AT140" s="242"/>
      <c r="AU140" s="242"/>
      <c r="AV140" s="242"/>
      <c r="AW140" s="242"/>
      <c r="AX140" s="242"/>
      <c r="AY140" s="242"/>
      <c r="AZ140" s="242"/>
      <c r="BA140" s="242"/>
      <c r="BB140" s="242"/>
      <c r="BC140" s="237"/>
      <c r="BD140" s="237"/>
      <c r="BE140" s="237"/>
      <c r="BF140" s="237"/>
      <c r="BG140" s="237"/>
      <c r="BH140" s="237"/>
    </row>
    <row r="141" spans="2:68" s="140" customFormat="1" ht="18.75" customHeight="1">
      <c r="B141" s="237"/>
      <c r="C141" s="242" t="s">
        <v>508</v>
      </c>
      <c r="D141" s="242"/>
      <c r="E141" s="242"/>
      <c r="F141" s="242"/>
      <c r="G141" s="242"/>
      <c r="H141" s="242"/>
      <c r="I141" s="242"/>
      <c r="J141" s="237"/>
      <c r="K141" s="248" t="s">
        <v>147</v>
      </c>
      <c r="L141" s="462" t="e">
        <f>AF139</f>
        <v>#VALUE!</v>
      </c>
      <c r="M141" s="462"/>
      <c r="N141" s="462"/>
      <c r="O141" s="241" t="s">
        <v>197</v>
      </c>
      <c r="P141" s="237"/>
      <c r="Q141" s="237"/>
      <c r="R141" s="237" t="s">
        <v>281</v>
      </c>
      <c r="S141" s="466" t="e">
        <f>S136</f>
        <v>#VALUE!</v>
      </c>
      <c r="T141" s="466"/>
      <c r="U141" s="466"/>
      <c r="V141" s="466"/>
      <c r="W141" s="248" t="s">
        <v>295</v>
      </c>
      <c r="X141" s="237" t="s">
        <v>278</v>
      </c>
      <c r="Y141" s="447" t="e">
        <f>ABS(L141*S141)</f>
        <v>#VALUE!</v>
      </c>
      <c r="Z141" s="447"/>
      <c r="AA141" s="447"/>
      <c r="AB141" s="239" t="s">
        <v>122</v>
      </c>
      <c r="AC141" s="239"/>
      <c r="AD141" s="237"/>
      <c r="AE141" s="237"/>
      <c r="AF141" s="235"/>
      <c r="AG141" s="237"/>
      <c r="AH141" s="237"/>
      <c r="AI141" s="237"/>
      <c r="AJ141" s="237"/>
      <c r="AK141" s="237"/>
      <c r="AL141" s="237"/>
      <c r="AM141" s="237"/>
      <c r="AN141" s="237"/>
      <c r="AO141" s="237"/>
      <c r="AP141" s="145"/>
      <c r="AQ141" s="145"/>
      <c r="AR141" s="145"/>
      <c r="AS141" s="242"/>
      <c r="AT141" s="242"/>
      <c r="AU141" s="242"/>
      <c r="AV141" s="146"/>
      <c r="AW141" s="146"/>
      <c r="AX141" s="146"/>
      <c r="AY141" s="146"/>
      <c r="AZ141" s="146"/>
      <c r="BA141" s="146"/>
      <c r="BB141" s="237"/>
      <c r="BC141" s="237"/>
      <c r="BD141" s="237"/>
      <c r="BE141" s="237"/>
      <c r="BF141" s="237"/>
      <c r="BG141" s="237"/>
    </row>
    <row r="142" spans="2:68" s="140" customFormat="1" ht="18.75" customHeight="1">
      <c r="B142" s="237"/>
      <c r="C142" s="371" t="s">
        <v>509</v>
      </c>
      <c r="D142" s="371"/>
      <c r="E142" s="371"/>
      <c r="F142" s="371"/>
      <c r="G142" s="371"/>
      <c r="H142" s="242"/>
      <c r="J142" s="242"/>
      <c r="K142" s="242"/>
      <c r="L142" s="242"/>
      <c r="M142" s="242"/>
      <c r="N142" s="242"/>
      <c r="O142" s="242"/>
      <c r="P142" s="242"/>
      <c r="Q142" s="242"/>
      <c r="R142" s="241"/>
      <c r="S142" s="242"/>
      <c r="T142" s="242"/>
      <c r="U142" s="242"/>
      <c r="W142" s="248" t="s">
        <v>303</v>
      </c>
      <c r="X142" s="242"/>
      <c r="Y142" s="242"/>
      <c r="Z142" s="242"/>
      <c r="AA142" s="242"/>
      <c r="AB142" s="242"/>
      <c r="AC142" s="242"/>
      <c r="AD142" s="242"/>
      <c r="AE142" s="237"/>
      <c r="AF142" s="237"/>
      <c r="AG142" s="237"/>
      <c r="AH142" s="237"/>
      <c r="AI142" s="237"/>
      <c r="AJ142" s="237"/>
      <c r="AK142" s="237"/>
      <c r="AL142" s="237"/>
      <c r="AM142" s="237"/>
      <c r="AN142" s="237"/>
      <c r="AO142" s="237"/>
      <c r="AP142" s="237"/>
      <c r="AQ142" s="237"/>
      <c r="AR142" s="237"/>
      <c r="AS142" s="237"/>
      <c r="AT142" s="237"/>
      <c r="AU142" s="242"/>
      <c r="AV142" s="237"/>
      <c r="AW142" s="237"/>
      <c r="AX142" s="237"/>
      <c r="AY142" s="237"/>
      <c r="AZ142" s="237"/>
      <c r="BA142" s="237"/>
      <c r="BB142" s="237"/>
      <c r="BC142" s="237"/>
      <c r="BD142" s="237"/>
      <c r="BE142" s="237"/>
      <c r="BF142" s="237"/>
      <c r="BG142" s="237"/>
    </row>
    <row r="143" spans="2:68" s="140" customFormat="1" ht="18.75" customHeight="1">
      <c r="B143" s="237"/>
      <c r="C143" s="371"/>
      <c r="D143" s="371"/>
      <c r="E143" s="371"/>
      <c r="F143" s="371"/>
      <c r="G143" s="371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1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37"/>
      <c r="AD143" s="237"/>
      <c r="AE143" s="237"/>
      <c r="AF143" s="237"/>
      <c r="AG143" s="237"/>
      <c r="AH143" s="237"/>
      <c r="AI143" s="237"/>
      <c r="AJ143" s="237"/>
      <c r="AK143" s="237"/>
      <c r="AL143" s="237"/>
      <c r="AM143" s="237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  <c r="AX143" s="237"/>
      <c r="AY143" s="237"/>
      <c r="AZ143" s="237"/>
      <c r="BA143" s="237"/>
      <c r="BB143" s="237"/>
      <c r="BC143" s="237"/>
      <c r="BD143" s="237"/>
      <c r="BE143" s="237"/>
      <c r="BF143" s="237"/>
      <c r="BG143" s="237"/>
    </row>
    <row r="144" spans="2:68" s="140" customFormat="1" ht="18.75" customHeight="1">
      <c r="B144" s="237"/>
      <c r="C144" s="242"/>
      <c r="D144" s="242"/>
      <c r="E144" s="242"/>
      <c r="F144" s="242"/>
      <c r="G144" s="237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37"/>
      <c r="AB144" s="237"/>
      <c r="AC144" s="237"/>
      <c r="AD144" s="237"/>
      <c r="AE144" s="237"/>
      <c r="AF144" s="237"/>
      <c r="AG144" s="237"/>
      <c r="AH144" s="237"/>
      <c r="AI144" s="237"/>
      <c r="AJ144" s="237"/>
      <c r="AK144" s="237"/>
      <c r="AL144" s="237"/>
      <c r="AM144" s="237"/>
      <c r="AN144" s="237"/>
      <c r="AO144" s="237"/>
      <c r="AP144" s="237"/>
      <c r="AQ144" s="237"/>
      <c r="AR144" s="237"/>
      <c r="AS144" s="237"/>
      <c r="AT144" s="237"/>
      <c r="AU144" s="237"/>
      <c r="AV144" s="237"/>
      <c r="AW144" s="237"/>
      <c r="AX144" s="237"/>
      <c r="AY144" s="237"/>
      <c r="AZ144" s="237"/>
      <c r="BA144" s="237"/>
      <c r="BB144" s="237"/>
      <c r="BC144" s="237"/>
      <c r="BD144" s="237"/>
      <c r="BE144" s="237"/>
      <c r="BF144" s="237"/>
      <c r="BG144" s="237"/>
    </row>
    <row r="145" spans="2:66" s="140" customFormat="1" ht="18.75" customHeight="1">
      <c r="B145" s="57" t="str">
        <f>"6. "&amp;$N$5&amp;"와 "&amp;T5&amp;"의 열팽창계수 차에 의한 표준불확도,"</f>
        <v>6. 곧은자와 줄자교정장치의 열팽창계수 차에 의한 표준불확도,</v>
      </c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190" t="s">
        <v>304</v>
      </c>
      <c r="AB145" s="242"/>
      <c r="AC145" s="242"/>
      <c r="AD145" s="242"/>
      <c r="AE145" s="242"/>
      <c r="AF145" s="242"/>
      <c r="AG145" s="242"/>
      <c r="AH145" s="242"/>
      <c r="AI145" s="242"/>
      <c r="AJ145" s="242"/>
      <c r="AK145" s="242"/>
      <c r="AL145" s="242"/>
      <c r="AM145" s="242"/>
      <c r="AN145" s="242"/>
      <c r="AO145" s="242"/>
      <c r="AP145" s="242"/>
      <c r="AQ145" s="242"/>
      <c r="AR145" s="242"/>
      <c r="AS145" s="242"/>
      <c r="AT145" s="242"/>
      <c r="AU145" s="242"/>
      <c r="AV145" s="242"/>
      <c r="AW145" s="242"/>
      <c r="AX145" s="242"/>
      <c r="AY145" s="242"/>
      <c r="AZ145" s="242"/>
      <c r="BA145" s="242"/>
      <c r="BB145" s="237"/>
      <c r="BC145" s="237"/>
      <c r="BD145" s="237"/>
      <c r="BE145" s="237"/>
      <c r="BF145" s="237"/>
      <c r="BG145" s="237"/>
    </row>
    <row r="146" spans="2:66" s="140" customFormat="1" ht="18.75" customHeight="1">
      <c r="B146" s="57"/>
      <c r="C146" s="242" t="str">
        <f>"※ "&amp;$N$5&amp;"와 "&amp;T5&amp;"의 열팽창계수 차이 :"</f>
        <v>※ 곧은자와 줄자교정장치의 열팽창계수 차이 :</v>
      </c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 t="s">
        <v>173</v>
      </c>
      <c r="V146" s="242"/>
      <c r="X146" s="242"/>
      <c r="Y146" s="242"/>
      <c r="Z146" s="190"/>
      <c r="AB146" s="242"/>
      <c r="AC146" s="242"/>
      <c r="AD146" s="242"/>
      <c r="AE146" s="242"/>
      <c r="AF146" s="242"/>
      <c r="AG146" s="242"/>
      <c r="AH146" s="242"/>
      <c r="AI146" s="242"/>
      <c r="AJ146" s="242"/>
      <c r="AK146" s="242"/>
      <c r="AL146" s="242"/>
      <c r="AM146" s="242"/>
      <c r="AN146" s="242"/>
      <c r="AO146" s="242"/>
      <c r="AP146" s="242"/>
      <c r="AQ146" s="242"/>
      <c r="AR146" s="242"/>
      <c r="AS146" s="242"/>
      <c r="AT146" s="242"/>
      <c r="AU146" s="242"/>
      <c r="AV146" s="242"/>
      <c r="AW146" s="242"/>
      <c r="AX146" s="242"/>
      <c r="AY146" s="242"/>
      <c r="AZ146" s="242"/>
      <c r="BA146" s="242"/>
      <c r="BB146" s="237"/>
      <c r="BC146" s="237"/>
      <c r="BD146" s="237"/>
      <c r="BE146" s="237"/>
      <c r="BF146" s="237"/>
      <c r="BG146" s="237"/>
    </row>
    <row r="147" spans="2:66" s="140" customFormat="1" ht="18.75" customHeight="1">
      <c r="B147" s="237"/>
      <c r="C147" s="239" t="s">
        <v>510</v>
      </c>
      <c r="D147" s="237"/>
      <c r="E147" s="237"/>
      <c r="F147" s="237"/>
      <c r="G147" s="237"/>
      <c r="H147" s="453" t="e">
        <f>H62*10^6</f>
        <v>#VALUE!</v>
      </c>
      <c r="I147" s="453"/>
      <c r="J147" s="453"/>
      <c r="K147" s="236" t="s">
        <v>297</v>
      </c>
      <c r="L147" s="236"/>
      <c r="M147" s="236"/>
      <c r="N147" s="236"/>
      <c r="O147" s="236"/>
      <c r="P147" s="236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  <c r="AJ147" s="242"/>
      <c r="AK147" s="242"/>
      <c r="AL147" s="242"/>
      <c r="AM147" s="242"/>
      <c r="AN147" s="242"/>
      <c r="AO147" s="242"/>
      <c r="AP147" s="242"/>
      <c r="AQ147" s="242"/>
      <c r="AR147" s="242"/>
      <c r="AS147" s="242"/>
      <c r="AT147" s="237"/>
      <c r="AU147" s="237"/>
      <c r="AV147" s="237"/>
      <c r="AW147" s="237"/>
      <c r="AX147" s="237"/>
      <c r="AY147" s="237"/>
      <c r="AZ147" s="237"/>
      <c r="BA147" s="237"/>
      <c r="BB147" s="237"/>
      <c r="BC147" s="237"/>
      <c r="BD147" s="237"/>
      <c r="BE147" s="237"/>
      <c r="BF147" s="237"/>
      <c r="BG147" s="237"/>
    </row>
    <row r="148" spans="2:66" s="140" customFormat="1" ht="18.75" customHeight="1">
      <c r="B148" s="237"/>
      <c r="C148" s="242" t="s">
        <v>511</v>
      </c>
      <c r="D148" s="242"/>
      <c r="E148" s="242"/>
      <c r="F148" s="242"/>
      <c r="G148" s="242"/>
      <c r="H148" s="242"/>
      <c r="I148" s="237"/>
      <c r="J148" s="242" t="s">
        <v>305</v>
      </c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37"/>
      <c r="V148" s="237"/>
      <c r="W148" s="59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42"/>
      <c r="AK148" s="242"/>
      <c r="AL148" s="237"/>
      <c r="AM148" s="237"/>
      <c r="AN148" s="237"/>
      <c r="AO148" s="242"/>
      <c r="AP148" s="242"/>
      <c r="AQ148" s="242"/>
      <c r="AR148" s="242"/>
      <c r="AS148" s="242"/>
      <c r="AT148" s="242"/>
      <c r="AU148" s="242"/>
      <c r="AV148" s="242"/>
      <c r="AW148" s="242"/>
      <c r="AX148" s="242"/>
      <c r="AY148" s="242"/>
      <c r="AZ148" s="242"/>
      <c r="BA148" s="242"/>
      <c r="BB148" s="242"/>
      <c r="BC148" s="242"/>
      <c r="BD148" s="242"/>
      <c r="BE148" s="242"/>
      <c r="BF148" s="242"/>
      <c r="BG148" s="242"/>
      <c r="BH148" s="58"/>
      <c r="BI148" s="58"/>
      <c r="BJ148" s="58"/>
      <c r="BK148" s="58"/>
      <c r="BL148" s="58"/>
      <c r="BM148" s="58"/>
    </row>
    <row r="149" spans="2:66" s="140" customFormat="1" ht="18.75" customHeight="1">
      <c r="B149" s="237"/>
      <c r="C149" s="242"/>
      <c r="D149" s="242"/>
      <c r="E149" s="242"/>
      <c r="F149" s="242"/>
      <c r="G149" s="242"/>
      <c r="H149" s="242"/>
      <c r="I149" s="237"/>
      <c r="J149" s="242" t="s">
        <v>306</v>
      </c>
      <c r="K149" s="242"/>
      <c r="L149" s="242"/>
      <c r="M149" s="242"/>
      <c r="N149" s="242"/>
      <c r="O149" s="242"/>
      <c r="P149" s="242"/>
      <c r="Q149" s="242"/>
      <c r="R149" s="242"/>
      <c r="S149" s="242"/>
      <c r="T149" s="237"/>
      <c r="U149" s="242"/>
      <c r="V149" s="59"/>
      <c r="W149" s="242"/>
      <c r="X149" s="242"/>
      <c r="Y149" s="242"/>
      <c r="Z149" s="242"/>
      <c r="AA149" s="242"/>
      <c r="AB149" s="242"/>
      <c r="AC149" s="242"/>
      <c r="AD149" s="237"/>
      <c r="AE149" s="242"/>
      <c r="AF149" s="242"/>
      <c r="AG149" s="242"/>
      <c r="AH149" s="242"/>
      <c r="AI149" s="242"/>
      <c r="AJ149" s="242"/>
      <c r="AK149" s="237"/>
      <c r="AL149" s="237"/>
      <c r="AM149" s="237"/>
      <c r="AN149" s="237"/>
      <c r="AO149" s="242"/>
      <c r="AP149" s="242"/>
      <c r="AQ149" s="242"/>
      <c r="AR149" s="242"/>
      <c r="AS149" s="242"/>
      <c r="AT149" s="242"/>
      <c r="AU149" s="242"/>
      <c r="AV149" s="242"/>
      <c r="AW149" s="242"/>
      <c r="AX149" s="242"/>
      <c r="AY149" s="242"/>
      <c r="AZ149" s="242"/>
      <c r="BA149" s="242"/>
      <c r="BB149" s="242"/>
      <c r="BC149" s="242"/>
      <c r="BD149" s="242"/>
      <c r="BE149" s="242"/>
      <c r="BF149" s="242"/>
      <c r="BG149" s="242"/>
      <c r="BH149" s="58"/>
      <c r="BI149" s="58"/>
      <c r="BJ149" s="58"/>
      <c r="BK149" s="58"/>
      <c r="BL149" s="58"/>
      <c r="BM149" s="58"/>
      <c r="BN149" s="58"/>
    </row>
    <row r="150" spans="2:66" s="140" customFormat="1" ht="18.75" customHeight="1">
      <c r="B150" s="237"/>
      <c r="C150" s="242"/>
      <c r="D150" s="242"/>
      <c r="E150" s="242"/>
      <c r="F150" s="242"/>
      <c r="G150" s="242"/>
      <c r="H150" s="242"/>
      <c r="I150" s="237"/>
      <c r="K150" s="239" t="s">
        <v>144</v>
      </c>
      <c r="L150" s="239"/>
      <c r="M150" s="239"/>
      <c r="N150" s="239"/>
      <c r="O150" s="239"/>
      <c r="P150" s="239"/>
      <c r="Q150" s="239"/>
      <c r="R150" s="239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143"/>
      <c r="AG150" s="242"/>
      <c r="AH150" s="242"/>
      <c r="AI150" s="242"/>
      <c r="AJ150" s="242"/>
      <c r="AK150" s="237"/>
      <c r="AL150" s="237"/>
      <c r="AM150" s="237"/>
      <c r="AN150" s="237"/>
      <c r="AO150" s="242"/>
      <c r="AP150" s="242"/>
      <c r="AQ150" s="242"/>
      <c r="AR150" s="242"/>
      <c r="AS150" s="242"/>
      <c r="AT150" s="242"/>
      <c r="AU150" s="242"/>
      <c r="AV150" s="242"/>
      <c r="AW150" s="242"/>
      <c r="AX150" s="242"/>
      <c r="AY150" s="242"/>
      <c r="AZ150" s="242"/>
      <c r="BA150" s="242"/>
      <c r="BB150" s="242"/>
      <c r="BC150" s="242"/>
      <c r="BD150" s="242"/>
      <c r="BE150" s="242"/>
      <c r="BF150" s="242"/>
      <c r="BG150" s="242"/>
      <c r="BH150" s="58"/>
      <c r="BI150" s="58"/>
      <c r="BJ150" s="58"/>
      <c r="BK150" s="58"/>
      <c r="BL150" s="58"/>
      <c r="BM150" s="58"/>
      <c r="BN150" s="58"/>
    </row>
    <row r="151" spans="2:66" s="140" customFormat="1" ht="18.75" customHeight="1">
      <c r="B151" s="237"/>
      <c r="C151" s="242"/>
      <c r="D151" s="242"/>
      <c r="E151" s="242"/>
      <c r="F151" s="242"/>
      <c r="G151" s="242"/>
      <c r="H151" s="242"/>
      <c r="I151" s="237"/>
      <c r="J151" s="237"/>
      <c r="K151" s="109"/>
      <c r="L151" s="109"/>
      <c r="M151" s="237"/>
      <c r="N151" s="237"/>
      <c r="O151" s="237"/>
      <c r="P151" s="237"/>
      <c r="Q151" s="237"/>
      <c r="R151" s="237"/>
      <c r="S151" s="242"/>
      <c r="T151" s="242"/>
      <c r="U151" s="242"/>
      <c r="V151" s="242"/>
      <c r="W151" s="242"/>
      <c r="X151" s="242"/>
      <c r="Y151" s="237"/>
      <c r="Z151" s="242"/>
      <c r="AA151" s="143"/>
      <c r="AB151" s="143"/>
      <c r="AC151" s="143"/>
      <c r="AD151" s="143"/>
      <c r="AE151" s="143"/>
      <c r="AF151" s="237"/>
      <c r="AG151" s="143"/>
      <c r="AH151" s="143"/>
      <c r="AI151" s="143"/>
      <c r="AJ151" s="143"/>
      <c r="AK151" s="237"/>
      <c r="AL151" s="241"/>
      <c r="AM151" s="241"/>
      <c r="AN151" s="241"/>
      <c r="AO151" s="241"/>
      <c r="AP151" s="242"/>
      <c r="AQ151" s="242"/>
      <c r="AR151" s="242"/>
      <c r="AS151" s="242"/>
      <c r="AT151" s="242"/>
      <c r="AU151" s="242"/>
      <c r="AV151" s="242"/>
      <c r="AW151" s="242"/>
      <c r="AX151" s="242"/>
      <c r="AY151" s="242"/>
      <c r="AZ151" s="242"/>
      <c r="BA151" s="242"/>
      <c r="BB151" s="242"/>
      <c r="BC151" s="242"/>
      <c r="BD151" s="242"/>
      <c r="BE151" s="242"/>
      <c r="BF151" s="242"/>
      <c r="BG151" s="242"/>
      <c r="BH151" s="58"/>
      <c r="BI151" s="58"/>
      <c r="BJ151" s="58"/>
      <c r="BK151" s="58"/>
      <c r="BL151" s="58"/>
    </row>
    <row r="152" spans="2:66" s="140" customFormat="1" ht="18.75" customHeight="1">
      <c r="B152" s="237"/>
      <c r="C152" s="242" t="s">
        <v>512</v>
      </c>
      <c r="D152" s="242"/>
      <c r="E152" s="242"/>
      <c r="F152" s="242"/>
      <c r="G152" s="242"/>
      <c r="H152" s="242"/>
      <c r="I152" s="378" t="str">
        <f>V62</f>
        <v>삼각형</v>
      </c>
      <c r="J152" s="378"/>
      <c r="K152" s="378"/>
      <c r="L152" s="378"/>
      <c r="M152" s="378"/>
      <c r="N152" s="378"/>
      <c r="O152" s="378"/>
      <c r="P152" s="378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37"/>
      <c r="AB152" s="237"/>
      <c r="AC152" s="237"/>
      <c r="AD152" s="237"/>
      <c r="AE152" s="237"/>
      <c r="AF152" s="110"/>
      <c r="AG152" s="237"/>
      <c r="AH152" s="237"/>
      <c r="AI152" s="242"/>
      <c r="AJ152" s="242"/>
      <c r="AK152" s="242"/>
      <c r="AL152" s="242"/>
      <c r="AM152" s="242"/>
      <c r="AN152" s="242"/>
      <c r="AO152" s="242"/>
      <c r="AP152" s="242"/>
      <c r="AQ152" s="242"/>
      <c r="AR152" s="242"/>
      <c r="AS152" s="242"/>
      <c r="AT152" s="242"/>
      <c r="AU152" s="242"/>
      <c r="AV152" s="242"/>
      <c r="AW152" s="242"/>
      <c r="AX152" s="242"/>
      <c r="AY152" s="242"/>
      <c r="AZ152" s="242"/>
      <c r="BA152" s="242"/>
      <c r="BB152" s="242"/>
      <c r="BC152" s="242"/>
      <c r="BD152" s="242"/>
      <c r="BE152" s="242"/>
      <c r="BF152" s="242"/>
      <c r="BG152" s="242"/>
      <c r="BH152" s="58"/>
      <c r="BI152" s="58"/>
      <c r="BJ152" s="58"/>
      <c r="BK152" s="58"/>
      <c r="BL152" s="58"/>
      <c r="BM152" s="58"/>
      <c r="BN152" s="58"/>
    </row>
    <row r="153" spans="2:66" s="140" customFormat="1" ht="18.75" customHeight="1">
      <c r="B153" s="237"/>
      <c r="C153" s="371" t="s">
        <v>513</v>
      </c>
      <c r="D153" s="371"/>
      <c r="E153" s="371"/>
      <c r="F153" s="371"/>
      <c r="G153" s="371"/>
      <c r="H153" s="371"/>
      <c r="I153" s="242"/>
      <c r="J153" s="237"/>
      <c r="K153" s="242"/>
      <c r="L153" s="242"/>
      <c r="M153" s="242"/>
      <c r="N153" s="242"/>
      <c r="O153" s="242"/>
      <c r="P153" s="242"/>
      <c r="S153" s="381" t="e">
        <f>-H63</f>
        <v>#VALUE!</v>
      </c>
      <c r="T153" s="381"/>
      <c r="U153" s="371" t="s">
        <v>145</v>
      </c>
      <c r="V153" s="371"/>
      <c r="W153" s="463">
        <f>Calcu!N38</f>
        <v>0</v>
      </c>
      <c r="X153" s="463"/>
      <c r="Y153" s="463"/>
      <c r="Z153" s="371" t="s">
        <v>219</v>
      </c>
      <c r="AA153" s="371"/>
      <c r="AB153" s="372" t="s">
        <v>135</v>
      </c>
      <c r="AC153" s="462" t="e">
        <f>S153*W153</f>
        <v>#VALUE!</v>
      </c>
      <c r="AD153" s="462"/>
      <c r="AE153" s="462"/>
      <c r="AF153" s="462"/>
      <c r="AG153" s="371" t="s">
        <v>200</v>
      </c>
      <c r="AH153" s="371"/>
      <c r="AI153" s="371"/>
      <c r="AJ153" s="371"/>
      <c r="AK153" s="371"/>
      <c r="AL153" s="371"/>
      <c r="AM153" s="371"/>
      <c r="AN153" s="237"/>
      <c r="AO153" s="237"/>
      <c r="AP153" s="237"/>
      <c r="AQ153" s="237"/>
      <c r="AR153" s="237"/>
      <c r="AS153" s="237"/>
      <c r="AT153" s="237"/>
      <c r="AU153" s="237"/>
      <c r="AV153" s="237"/>
      <c r="AW153" s="237"/>
      <c r="AX153" s="237"/>
      <c r="AY153" s="237"/>
      <c r="AZ153" s="237"/>
      <c r="BA153" s="242"/>
      <c r="BB153" s="242"/>
      <c r="BC153" s="242"/>
    </row>
    <row r="154" spans="2:66" s="140" customFormat="1" ht="18.75" customHeight="1">
      <c r="B154" s="237"/>
      <c r="C154" s="371"/>
      <c r="D154" s="371"/>
      <c r="E154" s="371"/>
      <c r="F154" s="371"/>
      <c r="G154" s="371"/>
      <c r="H154" s="371"/>
      <c r="I154" s="242"/>
      <c r="J154" s="242"/>
      <c r="K154" s="242"/>
      <c r="L154" s="242"/>
      <c r="M154" s="242"/>
      <c r="N154" s="242"/>
      <c r="O154" s="242"/>
      <c r="P154" s="237"/>
      <c r="S154" s="381"/>
      <c r="T154" s="381"/>
      <c r="U154" s="371"/>
      <c r="V154" s="371"/>
      <c r="W154" s="463"/>
      <c r="X154" s="463"/>
      <c r="Y154" s="463"/>
      <c r="Z154" s="371"/>
      <c r="AA154" s="371"/>
      <c r="AB154" s="372"/>
      <c r="AC154" s="462"/>
      <c r="AD154" s="462"/>
      <c r="AE154" s="462"/>
      <c r="AF154" s="462"/>
      <c r="AG154" s="371"/>
      <c r="AH154" s="371"/>
      <c r="AI154" s="371"/>
      <c r="AJ154" s="371"/>
      <c r="AK154" s="371"/>
      <c r="AL154" s="371"/>
      <c r="AM154" s="371"/>
      <c r="AN154" s="237"/>
      <c r="AO154" s="237"/>
      <c r="AP154" s="237"/>
      <c r="AQ154" s="237"/>
      <c r="AR154" s="237"/>
      <c r="AS154" s="237"/>
      <c r="AT154" s="237"/>
      <c r="AU154" s="237"/>
      <c r="AV154" s="237"/>
      <c r="AW154" s="237"/>
      <c r="AX154" s="237"/>
      <c r="AY154" s="237"/>
      <c r="AZ154" s="237"/>
      <c r="BA154" s="242"/>
      <c r="BB154" s="242"/>
      <c r="BC154" s="242"/>
    </row>
    <row r="155" spans="2:66" s="140" customFormat="1" ht="18.75" customHeight="1">
      <c r="B155" s="237"/>
      <c r="C155" s="242" t="s">
        <v>514</v>
      </c>
      <c r="D155" s="242"/>
      <c r="E155" s="242"/>
      <c r="F155" s="242"/>
      <c r="G155" s="242"/>
      <c r="H155" s="242"/>
      <c r="I155" s="242"/>
      <c r="J155" s="237"/>
      <c r="K155" s="248" t="s">
        <v>147</v>
      </c>
      <c r="L155" s="462" t="e">
        <f>AC153</f>
        <v>#VALUE!</v>
      </c>
      <c r="M155" s="462"/>
      <c r="N155" s="462"/>
      <c r="O155" s="462"/>
      <c r="P155" s="241" t="s">
        <v>307</v>
      </c>
      <c r="Q155" s="237"/>
      <c r="R155" s="237"/>
      <c r="S155" s="237"/>
      <c r="T155" s="237"/>
      <c r="U155" s="237"/>
      <c r="V155" s="237"/>
      <c r="W155" s="237"/>
      <c r="X155" s="237"/>
      <c r="Y155" s="248" t="s">
        <v>295</v>
      </c>
      <c r="Z155" s="237" t="s">
        <v>278</v>
      </c>
      <c r="AA155" s="447" t="e">
        <f>ABS(L155*O62)</f>
        <v>#VALUE!</v>
      </c>
      <c r="AB155" s="447"/>
      <c r="AC155" s="447"/>
      <c r="AD155" s="239" t="s">
        <v>293</v>
      </c>
      <c r="AE155" s="239"/>
      <c r="AF155" s="237"/>
      <c r="AG155" s="237"/>
      <c r="AH155" s="237"/>
      <c r="AI155" s="237"/>
      <c r="AJ155" s="237"/>
      <c r="AK155" s="237"/>
      <c r="AL155" s="237"/>
      <c r="AM155" s="237"/>
      <c r="AN155" s="237"/>
      <c r="AO155" s="237"/>
      <c r="AP155" s="237"/>
      <c r="AQ155" s="237"/>
      <c r="AR155" s="237"/>
      <c r="AS155" s="241"/>
      <c r="AT155" s="242"/>
      <c r="AU155" s="242"/>
      <c r="AV155" s="242"/>
      <c r="AW155" s="144"/>
      <c r="AX155" s="241"/>
      <c r="AY155" s="242"/>
      <c r="AZ155" s="242"/>
      <c r="BA155" s="242"/>
      <c r="BB155" s="242"/>
      <c r="BC155" s="242"/>
      <c r="BD155" s="242"/>
      <c r="BE155" s="237"/>
      <c r="BF155" s="242"/>
      <c r="BG155" s="242"/>
      <c r="BH155" s="58"/>
      <c r="BI155" s="58"/>
      <c r="BJ155" s="58"/>
    </row>
    <row r="156" spans="2:66" s="140" customFormat="1" ht="18.75" customHeight="1">
      <c r="B156" s="237"/>
      <c r="C156" s="371" t="s">
        <v>515</v>
      </c>
      <c r="D156" s="371"/>
      <c r="E156" s="371"/>
      <c r="F156" s="371"/>
      <c r="G156" s="371"/>
      <c r="H156" s="242"/>
      <c r="J156" s="242"/>
      <c r="K156" s="242"/>
      <c r="L156" s="242"/>
      <c r="M156" s="242"/>
      <c r="N156" s="242"/>
      <c r="O156" s="242"/>
      <c r="P156" s="242"/>
      <c r="Q156" s="242"/>
      <c r="R156" s="241"/>
      <c r="S156" s="242"/>
      <c r="T156" s="242"/>
      <c r="U156" s="242"/>
      <c r="W156" s="242"/>
      <c r="X156" s="242"/>
      <c r="Y156" s="242"/>
      <c r="Z156" s="242"/>
      <c r="AA156" s="248" t="s">
        <v>308</v>
      </c>
      <c r="AB156" s="242"/>
      <c r="AC156" s="242"/>
      <c r="AD156" s="242"/>
      <c r="AE156" s="237"/>
      <c r="AF156" s="237"/>
      <c r="AH156" s="237"/>
      <c r="AI156" s="237"/>
      <c r="AJ156" s="237"/>
      <c r="AK156" s="237"/>
      <c r="AL156" s="237"/>
      <c r="AM156" s="237"/>
      <c r="AN156" s="237"/>
      <c r="AO156" s="237"/>
      <c r="AP156" s="237"/>
      <c r="AQ156" s="237"/>
      <c r="AR156" s="237"/>
      <c r="AS156" s="237"/>
      <c r="AT156" s="237"/>
      <c r="AU156" s="237"/>
      <c r="AV156" s="237"/>
      <c r="AW156" s="237"/>
      <c r="AX156" s="237"/>
      <c r="AY156" s="237"/>
      <c r="AZ156" s="237"/>
      <c r="BA156" s="237"/>
      <c r="BB156" s="237"/>
      <c r="BC156" s="237"/>
      <c r="BD156" s="237"/>
      <c r="BE156" s="237"/>
      <c r="BF156" s="237"/>
      <c r="BG156" s="237"/>
      <c r="BH156" s="58"/>
      <c r="BI156" s="58"/>
      <c r="BJ156" s="58"/>
      <c r="BK156" s="58"/>
      <c r="BL156" s="58"/>
    </row>
    <row r="157" spans="2:66" s="140" customFormat="1" ht="18.75" customHeight="1">
      <c r="B157" s="237"/>
      <c r="C157" s="371"/>
      <c r="D157" s="371"/>
      <c r="E157" s="371"/>
      <c r="F157" s="371"/>
      <c r="G157" s="371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1"/>
      <c r="S157" s="242"/>
      <c r="T157" s="242"/>
      <c r="U157" s="242"/>
      <c r="V157" s="242"/>
      <c r="W157" s="242"/>
      <c r="X157" s="242"/>
      <c r="Y157" s="242"/>
      <c r="Z157" s="242"/>
      <c r="AA157" s="242"/>
      <c r="AB157" s="242"/>
      <c r="AC157" s="242"/>
      <c r="AD157" s="242"/>
      <c r="AE157" s="237"/>
      <c r="AF157" s="237"/>
      <c r="AG157" s="237"/>
      <c r="AH157" s="237"/>
      <c r="AI157" s="237"/>
      <c r="AJ157" s="237"/>
      <c r="AK157" s="237"/>
      <c r="AL157" s="237"/>
      <c r="AM157" s="237"/>
      <c r="AN157" s="237"/>
      <c r="AO157" s="237"/>
      <c r="AP157" s="237"/>
      <c r="AQ157" s="237"/>
      <c r="AR157" s="237"/>
      <c r="AS157" s="237"/>
      <c r="AT157" s="237"/>
      <c r="AU157" s="237"/>
      <c r="AV157" s="237"/>
      <c r="AW157" s="237"/>
      <c r="AX157" s="237"/>
      <c r="AY157" s="237"/>
      <c r="AZ157" s="237"/>
      <c r="BA157" s="237"/>
      <c r="BB157" s="237"/>
      <c r="BC157" s="237"/>
      <c r="BD157" s="237"/>
      <c r="BE157" s="237"/>
      <c r="BF157" s="237"/>
      <c r="BG157" s="237"/>
      <c r="BH157" s="58"/>
      <c r="BI157" s="58"/>
      <c r="BJ157" s="58"/>
      <c r="BK157" s="58"/>
      <c r="BL157" s="58"/>
    </row>
    <row r="158" spans="2:66" s="140" customFormat="1" ht="18.75" customHeight="1">
      <c r="B158" s="237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1"/>
      <c r="S158" s="242"/>
      <c r="T158" s="242"/>
      <c r="U158" s="242"/>
      <c r="V158" s="242"/>
      <c r="W158" s="242"/>
      <c r="X158" s="242"/>
      <c r="Y158" s="242"/>
      <c r="Z158" s="378">
        <v>100</v>
      </c>
      <c r="AA158" s="378"/>
      <c r="AD158" s="242"/>
      <c r="AE158" s="237"/>
      <c r="AF158" s="237"/>
      <c r="AG158" s="237"/>
      <c r="AH158" s="237"/>
      <c r="AI158" s="237"/>
      <c r="AJ158" s="237"/>
      <c r="AK158" s="237"/>
      <c r="AL158" s="237"/>
      <c r="AM158" s="237"/>
      <c r="AN158" s="237"/>
      <c r="AO158" s="237"/>
      <c r="AP158" s="237"/>
      <c r="AQ158" s="237"/>
      <c r="AR158" s="237"/>
      <c r="AS158" s="237"/>
      <c r="AT158" s="237"/>
      <c r="AU158" s="237"/>
      <c r="AV158" s="237"/>
      <c r="AW158" s="237"/>
      <c r="AX158" s="237"/>
      <c r="AY158" s="237"/>
      <c r="AZ158" s="237"/>
      <c r="BA158" s="237"/>
      <c r="BB158" s="237"/>
      <c r="BC158" s="237"/>
      <c r="BD158" s="237"/>
      <c r="BE158" s="237"/>
      <c r="BF158" s="237"/>
      <c r="BG158" s="237"/>
      <c r="BH158" s="58"/>
      <c r="BI158" s="58"/>
      <c r="BJ158" s="58"/>
      <c r="BK158" s="58"/>
      <c r="BL158" s="58"/>
    </row>
    <row r="159" spans="2:66" s="140" customFormat="1" ht="18.75" customHeight="1">
      <c r="B159" s="237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1"/>
      <c r="S159" s="242"/>
      <c r="T159" s="242"/>
      <c r="U159" s="242"/>
      <c r="V159" s="242"/>
      <c r="W159" s="242"/>
      <c r="X159" s="242"/>
      <c r="Y159" s="242"/>
      <c r="Z159" s="378"/>
      <c r="AA159" s="378"/>
      <c r="AD159" s="242"/>
      <c r="AE159" s="237"/>
      <c r="AF159" s="237"/>
      <c r="AG159" s="237"/>
      <c r="AH159" s="237"/>
      <c r="AI159" s="237"/>
      <c r="AJ159" s="237"/>
      <c r="AK159" s="237"/>
      <c r="AL159" s="237"/>
      <c r="AM159" s="237"/>
      <c r="AN159" s="237"/>
      <c r="AO159" s="237"/>
      <c r="AP159" s="237"/>
      <c r="AQ159" s="237"/>
      <c r="AR159" s="237"/>
      <c r="AS159" s="237"/>
      <c r="AT159" s="237"/>
      <c r="AU159" s="237"/>
      <c r="AV159" s="237"/>
      <c r="AW159" s="237"/>
      <c r="AX159" s="237"/>
      <c r="AY159" s="237"/>
      <c r="AZ159" s="237"/>
      <c r="BA159" s="237"/>
      <c r="BB159" s="237"/>
      <c r="BC159" s="237"/>
      <c r="BD159" s="237"/>
      <c r="BE159" s="237"/>
      <c r="BF159" s="237"/>
      <c r="BG159" s="237"/>
      <c r="BH159" s="58"/>
      <c r="BI159" s="58"/>
      <c r="BJ159" s="58"/>
      <c r="BK159" s="58"/>
      <c r="BL159" s="58"/>
    </row>
    <row r="160" spans="2:66" s="140" customFormat="1" ht="18.75" customHeight="1">
      <c r="B160" s="237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1"/>
      <c r="S160" s="242"/>
      <c r="T160" s="242"/>
      <c r="U160" s="242"/>
      <c r="V160" s="242"/>
      <c r="W160" s="242"/>
      <c r="X160" s="242"/>
      <c r="Y160" s="242"/>
      <c r="Z160" s="242"/>
      <c r="AA160" s="242"/>
      <c r="AB160" s="242"/>
      <c r="AC160" s="242"/>
      <c r="AD160" s="242"/>
      <c r="AE160" s="237"/>
      <c r="AF160" s="237"/>
      <c r="AG160" s="237"/>
      <c r="AH160" s="237"/>
      <c r="AI160" s="237"/>
      <c r="AJ160" s="237"/>
      <c r="AK160" s="237"/>
      <c r="AL160" s="237"/>
      <c r="AM160" s="237"/>
      <c r="AN160" s="237"/>
      <c r="AO160" s="237"/>
      <c r="AP160" s="237"/>
      <c r="AQ160" s="237"/>
      <c r="AR160" s="237"/>
      <c r="AS160" s="237"/>
      <c r="AT160" s="237"/>
      <c r="AU160" s="237"/>
      <c r="AV160" s="237"/>
      <c r="AW160" s="237"/>
      <c r="AX160" s="237"/>
      <c r="AY160" s="237"/>
      <c r="AZ160" s="237"/>
      <c r="BA160" s="237"/>
      <c r="BB160" s="237"/>
      <c r="BC160" s="237"/>
      <c r="BD160" s="237"/>
      <c r="BE160" s="237"/>
      <c r="BF160" s="237"/>
      <c r="BG160" s="237"/>
      <c r="BH160" s="58"/>
      <c r="BI160" s="58"/>
      <c r="BJ160" s="58"/>
      <c r="BK160" s="58"/>
      <c r="BL160" s="58"/>
    </row>
    <row r="161" spans="2:74" s="140" customFormat="1" ht="18.75" customHeight="1">
      <c r="B161" s="237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1"/>
      <c r="S161" s="242"/>
      <c r="T161" s="242"/>
      <c r="U161" s="242"/>
      <c r="V161" s="242"/>
      <c r="W161" s="242"/>
      <c r="X161" s="242"/>
      <c r="Y161" s="242"/>
      <c r="Z161" s="242"/>
      <c r="AA161" s="242"/>
      <c r="AB161" s="242"/>
      <c r="AC161" s="242"/>
      <c r="AD161" s="242"/>
      <c r="AE161" s="237"/>
      <c r="AF161" s="237"/>
      <c r="AG161" s="237"/>
      <c r="AH161" s="237"/>
      <c r="AI161" s="237"/>
      <c r="AJ161" s="237"/>
      <c r="AK161" s="237"/>
      <c r="AL161" s="237"/>
      <c r="AM161" s="237"/>
      <c r="AN161" s="237"/>
      <c r="AO161" s="237"/>
      <c r="AP161" s="237"/>
      <c r="AQ161" s="237"/>
      <c r="AR161" s="237"/>
      <c r="AS161" s="237"/>
      <c r="AT161" s="237"/>
      <c r="AU161" s="237"/>
      <c r="AV161" s="237"/>
      <c r="AW161" s="237"/>
      <c r="AX161" s="237"/>
      <c r="AY161" s="237"/>
      <c r="AZ161" s="237"/>
      <c r="BA161" s="237"/>
      <c r="BB161" s="237"/>
      <c r="BC161" s="237"/>
      <c r="BD161" s="237"/>
      <c r="BE161" s="237"/>
      <c r="BF161" s="237"/>
      <c r="BG161" s="237"/>
      <c r="BH161" s="242"/>
      <c r="BI161" s="242"/>
      <c r="BJ161" s="242"/>
      <c r="BK161" s="242"/>
    </row>
    <row r="162" spans="2:74" s="140" customFormat="1" ht="18.75" customHeight="1">
      <c r="B162" s="57" t="str">
        <f>"7. "&amp;$N$5&amp;"와 "&amp;T5&amp;"의 평균온도와 기준 온도와의 차이에 의한 표준불확도,"</f>
        <v>7. 곧은자와 줄자교정장치의 평균온도와 기준 온도와의 차이에 의한 표준불확도,</v>
      </c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  <c r="AE162" s="242"/>
      <c r="AG162" s="190" t="s">
        <v>309</v>
      </c>
      <c r="AH162" s="242"/>
      <c r="AI162" s="242"/>
      <c r="AJ162" s="242"/>
      <c r="AK162" s="242"/>
      <c r="AL162" s="242"/>
      <c r="AM162" s="242"/>
      <c r="AN162" s="242"/>
      <c r="AO162" s="242"/>
      <c r="AP162" s="242"/>
      <c r="AQ162" s="242"/>
      <c r="AR162" s="242"/>
      <c r="AS162" s="242"/>
      <c r="AT162" s="242"/>
      <c r="AU162" s="242"/>
      <c r="AV162" s="242"/>
      <c r="AW162" s="242"/>
      <c r="AX162" s="242"/>
      <c r="AY162" s="242"/>
      <c r="AZ162" s="242"/>
      <c r="BA162" s="242"/>
      <c r="BB162" s="242"/>
      <c r="BC162" s="242"/>
      <c r="BD162" s="242"/>
      <c r="BE162" s="242"/>
      <c r="BF162" s="242"/>
      <c r="BG162" s="242"/>
      <c r="BH162" s="58"/>
      <c r="BI162" s="58"/>
      <c r="BJ162" s="58"/>
      <c r="BK162" s="58"/>
      <c r="BL162" s="58"/>
      <c r="BM162" s="58"/>
      <c r="BN162" s="58"/>
    </row>
    <row r="163" spans="2:74" s="140" customFormat="1" ht="18.75" customHeight="1">
      <c r="B163" s="57"/>
      <c r="C163" s="242" t="str">
        <f>"※ 측정실 공기중의 온도를 측정하였고, 측정에 사용된 온도계의 불확도가 "&amp;N166&amp;" ℃를 넘지 않으므로,"</f>
        <v>※ 측정실 공기중의 온도를 측정하였고, 측정에 사용된 온도계의 불확도가 1 ℃를 넘지 않으므로,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  <c r="AE163" s="242"/>
      <c r="AF163" s="242"/>
      <c r="AG163" s="242"/>
      <c r="AH163" s="242"/>
      <c r="AI163" s="242"/>
      <c r="AJ163" s="242"/>
      <c r="AK163" s="242"/>
      <c r="AL163" s="242"/>
      <c r="AM163" s="242"/>
      <c r="AN163" s="242"/>
      <c r="AO163" s="242"/>
      <c r="AP163" s="242"/>
      <c r="AQ163" s="242"/>
      <c r="AR163" s="242"/>
      <c r="AS163" s="242"/>
      <c r="AT163" s="242"/>
      <c r="AU163" s="242"/>
      <c r="AV163" s="242"/>
      <c r="AW163" s="242"/>
      <c r="AX163" s="242"/>
      <c r="AY163" s="242"/>
      <c r="AZ163" s="242"/>
      <c r="BA163" s="242"/>
      <c r="BB163" s="242"/>
      <c r="BC163" s="242"/>
      <c r="BD163" s="242"/>
      <c r="BE163" s="242"/>
      <c r="BF163" s="242"/>
      <c r="BG163" s="242"/>
      <c r="BH163" s="58"/>
      <c r="BI163" s="58"/>
      <c r="BJ163" s="58"/>
      <c r="BK163" s="58"/>
      <c r="BL163" s="58"/>
      <c r="BM163" s="58"/>
      <c r="BN163" s="58"/>
    </row>
    <row r="164" spans="2:74" s="140" customFormat="1" ht="18.75" customHeight="1">
      <c r="B164" s="57"/>
      <c r="C164" s="242"/>
      <c r="D164" s="242" t="s">
        <v>310</v>
      </c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  <c r="AB164" s="242"/>
      <c r="AC164" s="242"/>
      <c r="AD164" s="242"/>
      <c r="AE164" s="242"/>
      <c r="AF164" s="242"/>
      <c r="AG164" s="242"/>
      <c r="AH164" s="242"/>
      <c r="AI164" s="242"/>
      <c r="AJ164" s="242"/>
      <c r="AK164" s="242"/>
      <c r="AL164" s="242"/>
      <c r="AM164" s="242"/>
      <c r="AN164" s="242"/>
      <c r="AO164" s="242"/>
      <c r="AP164" s="242"/>
      <c r="AQ164" s="242"/>
      <c r="AR164" s="242"/>
      <c r="AS164" s="242"/>
      <c r="AT164" s="242"/>
      <c r="AU164" s="242"/>
      <c r="AV164" s="242"/>
      <c r="AW164" s="242"/>
      <c r="AX164" s="242"/>
      <c r="AY164" s="242"/>
      <c r="AZ164" s="242"/>
      <c r="BA164" s="242"/>
      <c r="BB164" s="242"/>
      <c r="BC164" s="242"/>
      <c r="BD164" s="242"/>
      <c r="BE164" s="242"/>
      <c r="BF164" s="242"/>
      <c r="BG164" s="242"/>
      <c r="BH164" s="58"/>
      <c r="BI164" s="58"/>
      <c r="BJ164" s="58"/>
      <c r="BK164" s="58"/>
      <c r="BL164" s="58"/>
      <c r="BM164" s="58"/>
      <c r="BN164" s="58"/>
    </row>
    <row r="165" spans="2:74" s="140" customFormat="1" ht="18.75" customHeight="1">
      <c r="B165" s="237"/>
      <c r="C165" s="239" t="s">
        <v>516</v>
      </c>
      <c r="D165" s="237"/>
      <c r="E165" s="237"/>
      <c r="F165" s="237"/>
      <c r="G165" s="237"/>
      <c r="H165" s="248"/>
      <c r="I165" s="381" t="str">
        <f>H63</f>
        <v/>
      </c>
      <c r="J165" s="381"/>
      <c r="K165" s="381"/>
      <c r="L165" s="381"/>
      <c r="M165" s="381"/>
      <c r="N165" s="381" t="str">
        <f>M63</f>
        <v>℃</v>
      </c>
      <c r="O165" s="381"/>
      <c r="P165" s="236"/>
      <c r="Q165" s="248"/>
      <c r="R165" s="248"/>
      <c r="S165" s="248"/>
      <c r="T165" s="248"/>
      <c r="U165" s="248"/>
      <c r="V165" s="242"/>
      <c r="W165" s="242"/>
      <c r="X165" s="242"/>
      <c r="Y165" s="242"/>
      <c r="Z165" s="242"/>
      <c r="AA165" s="242"/>
      <c r="AB165" s="242"/>
      <c r="AC165" s="242"/>
      <c r="AD165" s="242"/>
      <c r="AE165" s="242"/>
      <c r="AF165" s="242"/>
      <c r="AG165" s="242"/>
      <c r="AH165" s="242"/>
      <c r="AI165" s="242"/>
      <c r="AJ165" s="242"/>
      <c r="AK165" s="242"/>
      <c r="AL165" s="242"/>
      <c r="AM165" s="242"/>
      <c r="AN165" s="242"/>
      <c r="AO165" s="242"/>
      <c r="AP165" s="242"/>
      <c r="AQ165" s="242"/>
      <c r="AR165" s="242"/>
      <c r="AS165" s="242"/>
      <c r="AT165" s="242"/>
      <c r="AU165" s="242"/>
      <c r="AV165" s="242"/>
      <c r="AW165" s="242"/>
      <c r="AX165" s="242"/>
      <c r="AY165" s="242"/>
      <c r="AZ165" s="242"/>
      <c r="BA165" s="242"/>
      <c r="BB165" s="242"/>
      <c r="BC165" s="242"/>
      <c r="BD165" s="242"/>
      <c r="BE165" s="242"/>
      <c r="BF165" s="242"/>
      <c r="BG165" s="242"/>
      <c r="BH165" s="58"/>
      <c r="BI165" s="58"/>
      <c r="BJ165" s="58"/>
      <c r="BK165" s="58"/>
      <c r="BL165" s="58"/>
      <c r="BM165" s="58"/>
    </row>
    <row r="166" spans="2:74" s="140" customFormat="1" ht="18.75" customHeight="1">
      <c r="B166" s="237"/>
      <c r="C166" s="371" t="s">
        <v>517</v>
      </c>
      <c r="D166" s="371"/>
      <c r="E166" s="371"/>
      <c r="F166" s="371"/>
      <c r="G166" s="371"/>
      <c r="H166" s="371"/>
      <c r="I166" s="371"/>
      <c r="J166" s="464" t="s">
        <v>178</v>
      </c>
      <c r="K166" s="464"/>
      <c r="L166" s="464"/>
      <c r="M166" s="372" t="s">
        <v>135</v>
      </c>
      <c r="N166" s="445">
        <f>Calcu!G39</f>
        <v>1</v>
      </c>
      <c r="O166" s="445"/>
      <c r="P166" s="243" t="s">
        <v>221</v>
      </c>
      <c r="Q166" s="196"/>
      <c r="R166" s="372" t="s">
        <v>278</v>
      </c>
      <c r="S166" s="447">
        <f>N166/SQRT(3)</f>
        <v>0.57735026918962584</v>
      </c>
      <c r="T166" s="447"/>
      <c r="U166" s="447"/>
      <c r="V166" s="381" t="s">
        <v>174</v>
      </c>
      <c r="W166" s="381"/>
      <c r="X166" s="236"/>
      <c r="Y166" s="147"/>
      <c r="Z166" s="244"/>
      <c r="AA166" s="244"/>
      <c r="AZ166" s="242"/>
      <c r="BA166" s="242"/>
      <c r="BB166" s="242"/>
      <c r="BC166" s="242"/>
      <c r="BD166" s="242"/>
      <c r="BE166" s="242"/>
      <c r="BF166" s="242"/>
      <c r="BG166" s="242"/>
      <c r="BH166" s="242"/>
      <c r="BI166" s="242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</row>
    <row r="167" spans="2:74" s="140" customFormat="1" ht="18.75" customHeight="1">
      <c r="B167" s="237"/>
      <c r="C167" s="371"/>
      <c r="D167" s="371"/>
      <c r="E167" s="371"/>
      <c r="F167" s="371"/>
      <c r="G167" s="371"/>
      <c r="H167" s="371"/>
      <c r="I167" s="371"/>
      <c r="J167" s="464"/>
      <c r="K167" s="464"/>
      <c r="L167" s="464"/>
      <c r="M167" s="372"/>
      <c r="N167" s="246"/>
      <c r="O167" s="246"/>
      <c r="P167" s="246"/>
      <c r="Q167" s="237"/>
      <c r="R167" s="372"/>
      <c r="S167" s="447"/>
      <c r="T167" s="447"/>
      <c r="U167" s="447"/>
      <c r="V167" s="381"/>
      <c r="W167" s="381"/>
      <c r="X167" s="236"/>
      <c r="Y167" s="147"/>
      <c r="Z167" s="244"/>
      <c r="AA167" s="244"/>
      <c r="AZ167" s="242"/>
      <c r="BA167" s="242"/>
      <c r="BB167" s="242"/>
      <c r="BC167" s="242"/>
      <c r="BD167" s="242"/>
      <c r="BE167" s="242"/>
      <c r="BF167" s="242"/>
      <c r="BG167" s="242"/>
      <c r="BH167" s="242"/>
      <c r="BI167" s="242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</row>
    <row r="168" spans="2:74" s="140" customFormat="1" ht="18.75" customHeight="1">
      <c r="B168" s="237"/>
      <c r="C168" s="242" t="s">
        <v>518</v>
      </c>
      <c r="D168" s="242"/>
      <c r="E168" s="242"/>
      <c r="F168" s="242"/>
      <c r="G168" s="242"/>
      <c r="H168" s="242"/>
      <c r="I168" s="378" t="str">
        <f>V63</f>
        <v>직사각형</v>
      </c>
      <c r="J168" s="378"/>
      <c r="K168" s="378"/>
      <c r="L168" s="378"/>
      <c r="M168" s="378"/>
      <c r="N168" s="378"/>
      <c r="O168" s="378"/>
      <c r="P168" s="378"/>
      <c r="Q168" s="242"/>
      <c r="R168" s="242"/>
      <c r="S168" s="242"/>
      <c r="T168" s="242"/>
      <c r="U168" s="242"/>
      <c r="V168" s="242"/>
      <c r="W168" s="242"/>
      <c r="X168" s="242"/>
      <c r="Y168" s="242"/>
      <c r="Z168" s="237"/>
      <c r="AA168" s="237"/>
      <c r="AB168" s="237"/>
      <c r="AC168" s="237"/>
      <c r="AD168" s="237"/>
      <c r="AE168" s="237"/>
      <c r="AF168" s="237"/>
      <c r="AG168" s="237"/>
      <c r="AH168" s="242"/>
      <c r="AI168" s="242"/>
      <c r="AJ168" s="242"/>
      <c r="AK168" s="242"/>
      <c r="AL168" s="242"/>
      <c r="AM168" s="242"/>
      <c r="AN168" s="242"/>
      <c r="AO168" s="242"/>
      <c r="AP168" s="242"/>
      <c r="AQ168" s="242"/>
      <c r="AR168" s="242"/>
      <c r="AS168" s="242"/>
      <c r="AT168" s="242"/>
      <c r="AU168" s="242"/>
      <c r="AV168" s="242"/>
      <c r="AW168" s="242"/>
      <c r="AX168" s="242"/>
      <c r="AY168" s="242"/>
      <c r="AZ168" s="242"/>
      <c r="BA168" s="242"/>
      <c r="BB168" s="242"/>
      <c r="BC168" s="242"/>
      <c r="BD168" s="242"/>
      <c r="BE168" s="242"/>
      <c r="BF168" s="237"/>
      <c r="BG168" s="242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</row>
    <row r="169" spans="2:74" s="140" customFormat="1" ht="18.75" customHeight="1">
      <c r="B169" s="237"/>
      <c r="C169" s="371" t="s">
        <v>519</v>
      </c>
      <c r="D169" s="371"/>
      <c r="E169" s="371"/>
      <c r="F169" s="371"/>
      <c r="G169" s="371"/>
      <c r="H169" s="371"/>
      <c r="I169" s="242"/>
      <c r="J169" s="242"/>
      <c r="K169" s="242"/>
      <c r="L169" s="242"/>
      <c r="M169" s="242"/>
      <c r="N169" s="242"/>
      <c r="O169" s="237"/>
      <c r="S169" s="453">
        <f>Calcu!M39*10^6</f>
        <v>-1</v>
      </c>
      <c r="T169" s="453"/>
      <c r="U169" s="453"/>
      <c r="V169" s="371" t="s">
        <v>297</v>
      </c>
      <c r="W169" s="371"/>
      <c r="X169" s="371"/>
      <c r="Y169" s="371"/>
      <c r="Z169" s="372" t="s">
        <v>83</v>
      </c>
      <c r="AA169" s="463">
        <f>Calcu!N39</f>
        <v>0</v>
      </c>
      <c r="AB169" s="463"/>
      <c r="AC169" s="463"/>
      <c r="AD169" s="371" t="s">
        <v>122</v>
      </c>
      <c r="AE169" s="371"/>
      <c r="AF169" s="372" t="s">
        <v>135</v>
      </c>
      <c r="AG169" s="462">
        <f>S169*10^-6*AA169</f>
        <v>0</v>
      </c>
      <c r="AH169" s="462"/>
      <c r="AI169" s="462"/>
      <c r="AJ169" s="371" t="s">
        <v>222</v>
      </c>
      <c r="AK169" s="371"/>
      <c r="AL169" s="371"/>
      <c r="AM169" s="371"/>
      <c r="AN169" s="371"/>
      <c r="AO169" s="371"/>
      <c r="AP169" s="371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42"/>
      <c r="BH169" s="58"/>
      <c r="BI169" s="58"/>
      <c r="BJ169" s="58"/>
      <c r="BK169" s="58"/>
      <c r="BL169" s="58"/>
      <c r="BM169" s="58"/>
    </row>
    <row r="170" spans="2:74" s="140" customFormat="1" ht="18.75" customHeight="1">
      <c r="B170" s="237"/>
      <c r="C170" s="371"/>
      <c r="D170" s="371"/>
      <c r="E170" s="371"/>
      <c r="F170" s="371"/>
      <c r="G170" s="371"/>
      <c r="H170" s="371"/>
      <c r="I170" s="242"/>
      <c r="J170" s="242"/>
      <c r="K170" s="242"/>
      <c r="L170" s="242"/>
      <c r="M170" s="242"/>
      <c r="N170" s="242"/>
      <c r="O170" s="242"/>
      <c r="S170" s="453"/>
      <c r="T170" s="453"/>
      <c r="U170" s="453"/>
      <c r="V170" s="371"/>
      <c r="W170" s="371"/>
      <c r="X170" s="371"/>
      <c r="Y170" s="371"/>
      <c r="Z170" s="372"/>
      <c r="AA170" s="463"/>
      <c r="AB170" s="463"/>
      <c r="AC170" s="463"/>
      <c r="AD170" s="371"/>
      <c r="AE170" s="371"/>
      <c r="AF170" s="372"/>
      <c r="AG170" s="462"/>
      <c r="AH170" s="462"/>
      <c r="AI170" s="462"/>
      <c r="AJ170" s="371"/>
      <c r="AK170" s="371"/>
      <c r="AL170" s="371"/>
      <c r="AM170" s="371"/>
      <c r="AN170" s="371"/>
      <c r="AO170" s="371"/>
      <c r="AP170" s="371"/>
      <c r="AQ170" s="242"/>
      <c r="AR170" s="242"/>
      <c r="AS170" s="242"/>
      <c r="AT170" s="242"/>
      <c r="AU170" s="242"/>
      <c r="AV170" s="242"/>
      <c r="AW170" s="242"/>
      <c r="AX170" s="242"/>
      <c r="AY170" s="242"/>
      <c r="AZ170" s="242"/>
      <c r="BA170" s="242"/>
      <c r="BB170" s="242"/>
      <c r="BC170" s="242"/>
      <c r="BD170" s="242"/>
      <c r="BE170" s="242"/>
      <c r="BF170" s="242"/>
      <c r="BG170" s="242"/>
      <c r="BH170" s="58"/>
      <c r="BI170" s="58"/>
      <c r="BJ170" s="58"/>
      <c r="BK170" s="58"/>
      <c r="BL170" s="58"/>
      <c r="BM170" s="58"/>
    </row>
    <row r="171" spans="2:74" s="140" customFormat="1" ht="18.75" customHeight="1">
      <c r="B171" s="237"/>
      <c r="C171" s="242" t="s">
        <v>520</v>
      </c>
      <c r="D171" s="242"/>
      <c r="E171" s="242"/>
      <c r="F171" s="242"/>
      <c r="G171" s="242"/>
      <c r="H171" s="242"/>
      <c r="I171" s="242"/>
      <c r="J171" s="237"/>
      <c r="K171" s="248" t="s">
        <v>147</v>
      </c>
      <c r="L171" s="462">
        <f>AG169</f>
        <v>0</v>
      </c>
      <c r="M171" s="462"/>
      <c r="N171" s="462"/>
      <c r="O171" s="241" t="s">
        <v>197</v>
      </c>
      <c r="P171" s="237"/>
      <c r="Q171" s="237"/>
      <c r="R171" s="237" t="s">
        <v>83</v>
      </c>
      <c r="S171" s="466">
        <f>S166</f>
        <v>0.57735026918962584</v>
      </c>
      <c r="T171" s="466"/>
      <c r="U171" s="466"/>
      <c r="V171" s="466"/>
      <c r="W171" s="248" t="s">
        <v>147</v>
      </c>
      <c r="X171" s="237" t="s">
        <v>135</v>
      </c>
      <c r="Y171" s="447">
        <f>ABS(L171*S171)</f>
        <v>0</v>
      </c>
      <c r="Z171" s="447"/>
      <c r="AA171" s="447"/>
      <c r="AB171" s="239" t="s">
        <v>122</v>
      </c>
      <c r="AC171" s="239"/>
      <c r="AD171" s="237"/>
      <c r="AE171" s="237"/>
      <c r="AF171" s="235"/>
      <c r="AG171" s="237"/>
      <c r="AH171" s="237"/>
      <c r="AI171" s="242"/>
      <c r="AJ171" s="237"/>
      <c r="AK171" s="242"/>
      <c r="AL171" s="237"/>
      <c r="AM171" s="237"/>
      <c r="AN171" s="237"/>
      <c r="AO171" s="242"/>
      <c r="AP171" s="242"/>
      <c r="AQ171" s="242"/>
      <c r="AR171" s="242"/>
      <c r="AS171" s="242"/>
      <c r="AT171" s="242"/>
      <c r="AU171" s="242"/>
      <c r="AV171" s="242"/>
      <c r="AW171" s="242"/>
      <c r="AX171" s="242"/>
      <c r="AY171" s="242"/>
      <c r="AZ171" s="242"/>
      <c r="BA171" s="242"/>
      <c r="BB171" s="242"/>
      <c r="BC171" s="242"/>
      <c r="BD171" s="242"/>
      <c r="BE171" s="242"/>
      <c r="BF171" s="242"/>
      <c r="BG171" s="242"/>
      <c r="BH171" s="58"/>
      <c r="BI171" s="58"/>
      <c r="BJ171" s="58"/>
      <c r="BK171" s="58"/>
    </row>
    <row r="172" spans="2:74" s="140" customFormat="1" ht="18.75" customHeight="1">
      <c r="B172" s="237"/>
      <c r="C172" s="371" t="s">
        <v>521</v>
      </c>
      <c r="D172" s="371"/>
      <c r="E172" s="371"/>
      <c r="F172" s="371"/>
      <c r="G172" s="371"/>
      <c r="H172" s="242"/>
      <c r="J172" s="242"/>
      <c r="K172" s="242"/>
      <c r="L172" s="242"/>
      <c r="M172" s="242"/>
      <c r="N172" s="242"/>
      <c r="O172" s="242"/>
      <c r="P172" s="242"/>
      <c r="Q172" s="242"/>
      <c r="R172" s="241"/>
      <c r="S172" s="242"/>
      <c r="T172" s="242"/>
      <c r="U172" s="242"/>
      <c r="W172" s="248" t="s">
        <v>166</v>
      </c>
      <c r="X172" s="242"/>
      <c r="Y172" s="242"/>
      <c r="Z172" s="242"/>
      <c r="AA172" s="242"/>
      <c r="AB172" s="242"/>
      <c r="AC172" s="242"/>
      <c r="AD172" s="242"/>
      <c r="AE172" s="237"/>
      <c r="AF172" s="237"/>
      <c r="AG172" s="237"/>
      <c r="AH172" s="237"/>
      <c r="AI172" s="237"/>
      <c r="AJ172" s="237"/>
      <c r="AK172" s="237"/>
      <c r="AL172" s="237"/>
      <c r="AM172" s="237"/>
      <c r="AN172" s="237"/>
      <c r="AO172" s="237"/>
      <c r="AP172" s="237"/>
      <c r="AQ172" s="237"/>
      <c r="AR172" s="237"/>
      <c r="AS172" s="237"/>
      <c r="AT172" s="237"/>
      <c r="AU172" s="237"/>
      <c r="AV172" s="237"/>
      <c r="AW172" s="237"/>
      <c r="AX172" s="237"/>
      <c r="AY172" s="237"/>
      <c r="AZ172" s="237"/>
      <c r="BA172" s="237"/>
      <c r="BB172" s="237"/>
      <c r="BC172" s="237"/>
      <c r="BD172" s="237"/>
      <c r="BE172" s="237"/>
      <c r="BF172" s="237"/>
      <c r="BG172" s="237"/>
      <c r="BH172" s="58"/>
      <c r="BI172" s="58"/>
      <c r="BJ172" s="58"/>
      <c r="BK172" s="58"/>
      <c r="BP172" s="58"/>
      <c r="BS172" s="58"/>
      <c r="BT172" s="58"/>
      <c r="BU172" s="58"/>
    </row>
    <row r="173" spans="2:74" s="140" customFormat="1" ht="18.75" customHeight="1">
      <c r="B173" s="237"/>
      <c r="C173" s="371"/>
      <c r="D173" s="371"/>
      <c r="E173" s="371"/>
      <c r="F173" s="371"/>
      <c r="G173" s="371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1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  <c r="AC173" s="237"/>
      <c r="AD173" s="237"/>
      <c r="AE173" s="237"/>
      <c r="AF173" s="237"/>
      <c r="AG173" s="237"/>
      <c r="AH173" s="237"/>
      <c r="AI173" s="237"/>
      <c r="AJ173" s="237"/>
      <c r="AK173" s="237"/>
      <c r="AL173" s="237"/>
      <c r="AM173" s="237"/>
      <c r="AN173" s="237"/>
      <c r="AO173" s="237"/>
      <c r="AP173" s="237"/>
      <c r="AQ173" s="237"/>
      <c r="AR173" s="237"/>
      <c r="AS173" s="237"/>
      <c r="AT173" s="237"/>
      <c r="AU173" s="237"/>
      <c r="AV173" s="237"/>
      <c r="AW173" s="237"/>
      <c r="AX173" s="237"/>
      <c r="AY173" s="237"/>
      <c r="AZ173" s="237"/>
      <c r="BA173" s="237"/>
      <c r="BB173" s="237"/>
      <c r="BC173" s="237"/>
      <c r="BD173" s="237"/>
      <c r="BE173" s="237"/>
      <c r="BF173" s="237"/>
      <c r="BG173" s="237"/>
      <c r="BH173" s="58"/>
      <c r="BI173" s="58"/>
      <c r="BJ173" s="58"/>
      <c r="BK173" s="58"/>
      <c r="BP173" s="58"/>
      <c r="BS173" s="58"/>
      <c r="BT173" s="58"/>
      <c r="BU173" s="58"/>
    </row>
    <row r="174" spans="2:74" s="140" customFormat="1" ht="18.75" customHeight="1">
      <c r="B174" s="237"/>
      <c r="C174" s="242"/>
      <c r="D174" s="242"/>
      <c r="E174" s="242"/>
      <c r="F174" s="242"/>
      <c r="G174" s="237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/>
      <c r="AJ174" s="237"/>
      <c r="AK174" s="237"/>
      <c r="AL174" s="237"/>
      <c r="AM174" s="237"/>
      <c r="AN174" s="237"/>
      <c r="AO174" s="237"/>
      <c r="AP174" s="237"/>
      <c r="AQ174" s="237"/>
      <c r="AR174" s="237"/>
      <c r="AS174" s="237"/>
      <c r="AT174" s="237"/>
      <c r="AU174" s="237"/>
      <c r="AV174" s="237"/>
      <c r="AW174" s="237"/>
      <c r="AX174" s="237"/>
      <c r="AY174" s="237"/>
      <c r="AZ174" s="237"/>
      <c r="BA174" s="237"/>
      <c r="BB174" s="237"/>
      <c r="BC174" s="237"/>
      <c r="BD174" s="237"/>
      <c r="BE174" s="237"/>
      <c r="BF174" s="237"/>
      <c r="BG174" s="237"/>
    </row>
    <row r="175" spans="2:74" s="140" customFormat="1" ht="18.75" customHeight="1">
      <c r="B175" s="57" t="s">
        <v>494</v>
      </c>
      <c r="C175" s="242"/>
      <c r="E175" s="242"/>
      <c r="F175" s="242"/>
      <c r="G175" s="237"/>
      <c r="H175" s="242"/>
      <c r="I175" s="242"/>
      <c r="J175" s="242"/>
      <c r="K175" s="242"/>
      <c r="L175" s="242"/>
      <c r="M175" s="242"/>
      <c r="N175" s="242"/>
      <c r="O175" s="242"/>
      <c r="P175" s="191" t="s">
        <v>311</v>
      </c>
      <c r="Q175" s="242"/>
      <c r="R175" s="242"/>
      <c r="S175" s="242"/>
      <c r="T175" s="242"/>
      <c r="V175" s="242"/>
      <c r="X175" s="242"/>
      <c r="Y175" s="242"/>
      <c r="AA175" s="242"/>
      <c r="AB175" s="242"/>
      <c r="AC175" s="242"/>
      <c r="AD175" s="242"/>
      <c r="AE175" s="237"/>
      <c r="AF175" s="242"/>
      <c r="AG175" s="237"/>
      <c r="AH175" s="237"/>
      <c r="AI175" s="237"/>
      <c r="AJ175" s="237"/>
      <c r="AK175" s="237"/>
      <c r="AL175" s="237"/>
      <c r="AM175" s="237"/>
      <c r="AN175" s="237"/>
      <c r="AO175" s="237"/>
      <c r="AP175" s="237"/>
      <c r="AQ175" s="237"/>
      <c r="AR175" s="237"/>
      <c r="AS175" s="237"/>
      <c r="AT175" s="237"/>
      <c r="AU175" s="237"/>
      <c r="AV175" s="237"/>
      <c r="AW175" s="237"/>
      <c r="AX175" s="237"/>
      <c r="AY175" s="237"/>
      <c r="AZ175" s="237"/>
      <c r="BA175" s="237"/>
      <c r="BB175" s="237"/>
      <c r="BC175" s="237"/>
      <c r="BD175" s="237"/>
      <c r="BE175" s="237"/>
      <c r="BF175" s="237"/>
      <c r="BG175" s="237"/>
    </row>
    <row r="176" spans="2:74" s="140" customFormat="1" ht="18.75" customHeight="1">
      <c r="B176" s="57"/>
      <c r="C176" s="253" t="s">
        <v>312</v>
      </c>
      <c r="D176" s="256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  <c r="AI176" s="242"/>
      <c r="AJ176" s="242"/>
      <c r="AK176" s="242"/>
      <c r="AL176" s="242"/>
      <c r="AM176" s="242"/>
      <c r="AN176" s="242"/>
      <c r="AO176" s="242"/>
      <c r="AP176" s="242"/>
      <c r="AQ176" s="242"/>
      <c r="AR176" s="242"/>
      <c r="AS176" s="242"/>
      <c r="AT176" s="242"/>
      <c r="AU176" s="237"/>
      <c r="AV176" s="237"/>
      <c r="AW176" s="237"/>
      <c r="AX176" s="237"/>
      <c r="AY176" s="237"/>
      <c r="AZ176" s="237"/>
      <c r="BA176" s="237"/>
      <c r="BB176" s="237"/>
      <c r="BC176" s="237"/>
      <c r="BD176" s="237"/>
      <c r="BE176" s="237"/>
      <c r="BF176" s="237"/>
      <c r="BG176" s="237"/>
    </row>
    <row r="177" spans="1:60" s="140" customFormat="1" ht="18.75" customHeight="1">
      <c r="B177" s="57"/>
      <c r="C177" s="256"/>
      <c r="D177" s="253" t="str">
        <f>"목측 오차를 최소화 하였으나, 축적된 과거의 경험으로 미루어 측정 결과가 측정장치의 한 눈금 "&amp;O181&amp;" mm"</f>
        <v>목측 오차를 최소화 하였으나, 축적된 과거의 경험으로 미루어 측정 결과가 측정장치의 한 눈금 0.1 mm</v>
      </c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  <c r="AB177" s="242"/>
      <c r="AC177" s="242"/>
      <c r="AD177" s="242"/>
      <c r="AE177" s="242"/>
      <c r="AF177" s="242"/>
      <c r="AG177" s="242"/>
      <c r="AH177" s="242"/>
      <c r="AI177" s="242"/>
      <c r="AJ177" s="242"/>
      <c r="AK177" s="242"/>
      <c r="AL177" s="242"/>
      <c r="AM177" s="242"/>
      <c r="AN177" s="242"/>
      <c r="AO177" s="242"/>
      <c r="AP177" s="242"/>
      <c r="AQ177" s="242"/>
      <c r="AR177" s="242"/>
      <c r="AS177" s="242"/>
      <c r="AT177" s="242"/>
      <c r="AU177" s="237"/>
      <c r="AV177" s="237"/>
      <c r="AW177" s="237"/>
      <c r="AX177" s="237"/>
      <c r="AY177" s="237"/>
      <c r="AZ177" s="237"/>
      <c r="BA177" s="237"/>
      <c r="BB177" s="237"/>
      <c r="BC177" s="237"/>
      <c r="BD177" s="237"/>
      <c r="BE177" s="237"/>
      <c r="BF177" s="237"/>
      <c r="BG177" s="237"/>
    </row>
    <row r="178" spans="1:60" s="140" customFormat="1" ht="18.75" customHeight="1">
      <c r="B178" s="57"/>
      <c r="C178" s="256"/>
      <c r="D178" s="253" t="s">
        <v>313</v>
      </c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  <c r="AB178" s="242"/>
      <c r="AC178" s="242"/>
      <c r="AD178" s="242"/>
      <c r="AE178" s="242"/>
      <c r="AF178" s="242"/>
      <c r="AG178" s="242"/>
      <c r="AH178" s="242"/>
      <c r="AI178" s="242"/>
      <c r="AJ178" s="242"/>
      <c r="AK178" s="242"/>
      <c r="AL178" s="242"/>
      <c r="AM178" s="242"/>
      <c r="AN178" s="242"/>
      <c r="AO178" s="242"/>
      <c r="AP178" s="242"/>
      <c r="AQ178" s="242"/>
      <c r="AR178" s="242"/>
      <c r="AS178" s="242"/>
      <c r="AT178" s="242"/>
      <c r="AU178" s="237"/>
      <c r="AV178" s="237"/>
      <c r="AW178" s="237"/>
      <c r="AX178" s="237"/>
      <c r="AY178" s="237"/>
      <c r="AZ178" s="237"/>
      <c r="BA178" s="237"/>
      <c r="BB178" s="237"/>
      <c r="BC178" s="237"/>
      <c r="BD178" s="237"/>
      <c r="BE178" s="237"/>
      <c r="BF178" s="237"/>
      <c r="BG178" s="237"/>
    </row>
    <row r="179" spans="1:60" s="140" customFormat="1" ht="18.75" customHeight="1">
      <c r="B179" s="237"/>
      <c r="C179" s="239" t="s">
        <v>522</v>
      </c>
      <c r="D179" s="237"/>
      <c r="E179" s="237"/>
      <c r="F179" s="237"/>
      <c r="G179" s="237"/>
      <c r="H179" s="248"/>
      <c r="I179" s="381">
        <f>H64</f>
        <v>0</v>
      </c>
      <c r="J179" s="381"/>
      <c r="K179" s="381"/>
      <c r="L179" s="381"/>
      <c r="M179" s="381"/>
      <c r="N179" s="381" t="str">
        <f>M64</f>
        <v>mm</v>
      </c>
      <c r="O179" s="381"/>
      <c r="P179" s="236"/>
      <c r="Q179" s="248"/>
      <c r="R179" s="248"/>
      <c r="S179" s="248"/>
      <c r="T179" s="248"/>
      <c r="U179" s="248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242"/>
      <c r="AH179" s="242"/>
      <c r="AI179" s="242"/>
      <c r="AJ179" s="242"/>
      <c r="AK179" s="242"/>
      <c r="AL179" s="242"/>
      <c r="AM179" s="242"/>
      <c r="AN179" s="242"/>
      <c r="AO179" s="242"/>
      <c r="AP179" s="242"/>
      <c r="AQ179" s="242"/>
      <c r="AR179" s="242"/>
      <c r="AS179" s="242"/>
      <c r="AT179" s="242"/>
      <c r="AU179" s="242"/>
      <c r="AV179" s="242"/>
      <c r="AW179" s="242"/>
      <c r="AX179" s="242"/>
      <c r="AY179" s="237"/>
      <c r="AZ179" s="237"/>
      <c r="BA179" s="237"/>
      <c r="BB179" s="237"/>
      <c r="BC179" s="237"/>
      <c r="BD179" s="237"/>
      <c r="BE179" s="237"/>
      <c r="BF179" s="237"/>
      <c r="BG179" s="237"/>
    </row>
    <row r="180" spans="1:60" s="140" customFormat="1" ht="18.75" customHeight="1">
      <c r="B180" s="237"/>
      <c r="C180" s="242" t="s">
        <v>523</v>
      </c>
      <c r="D180" s="242"/>
      <c r="E180" s="242"/>
      <c r="F180" s="242"/>
      <c r="G180" s="242"/>
      <c r="H180" s="242"/>
      <c r="I180" s="237"/>
      <c r="J180" s="239" t="s">
        <v>314</v>
      </c>
      <c r="K180" s="151"/>
      <c r="L180" s="151"/>
      <c r="M180" s="151"/>
      <c r="N180" s="151"/>
      <c r="O180" s="462">
        <f>Calcu!G40</f>
        <v>0.1</v>
      </c>
      <c r="P180" s="462"/>
      <c r="Q180" s="462"/>
      <c r="R180" s="236" t="s">
        <v>122</v>
      </c>
      <c r="S180" s="235"/>
      <c r="T180" s="235"/>
      <c r="BB180" s="237"/>
      <c r="BC180" s="237"/>
      <c r="BD180" s="237"/>
      <c r="BE180" s="237"/>
      <c r="BF180" s="237"/>
      <c r="BG180" s="237"/>
    </row>
    <row r="181" spans="1:60" s="140" customFormat="1" ht="18.75" customHeight="1">
      <c r="B181" s="237"/>
      <c r="C181" s="242"/>
      <c r="D181" s="242"/>
      <c r="E181" s="242"/>
      <c r="F181" s="242"/>
      <c r="G181" s="242"/>
      <c r="H181" s="242"/>
      <c r="I181" s="242"/>
      <c r="K181" s="467" t="s">
        <v>315</v>
      </c>
      <c r="L181" s="467"/>
      <c r="M181" s="467"/>
      <c r="N181" s="372" t="s">
        <v>135</v>
      </c>
      <c r="O181" s="445">
        <f>O180</f>
        <v>0.1</v>
      </c>
      <c r="P181" s="445"/>
      <c r="Q181" s="243" t="s">
        <v>122</v>
      </c>
      <c r="R181" s="243"/>
      <c r="S181" s="457" t="s">
        <v>135</v>
      </c>
      <c r="T181" s="447">
        <f>O181/2/SQRT(3)</f>
        <v>2.8867513459481291E-2</v>
      </c>
      <c r="U181" s="447"/>
      <c r="V181" s="447"/>
      <c r="W181" s="381" t="str">
        <f>Q181</f>
        <v>mm</v>
      </c>
      <c r="X181" s="381"/>
      <c r="Y181" s="244"/>
      <c r="Z181" s="244"/>
      <c r="AA181" s="244"/>
      <c r="AB181" s="242"/>
      <c r="AC181" s="242"/>
      <c r="AD181" s="242"/>
      <c r="AE181" s="242"/>
      <c r="AF181" s="242"/>
      <c r="AG181" s="242"/>
      <c r="AH181" s="242"/>
      <c r="AI181" s="242"/>
      <c r="AJ181" s="242"/>
      <c r="AK181" s="242"/>
      <c r="AL181" s="242"/>
      <c r="AM181" s="242"/>
      <c r="AN181" s="237"/>
      <c r="AO181" s="237"/>
      <c r="AP181" s="237"/>
      <c r="AQ181" s="237"/>
      <c r="AR181" s="242"/>
      <c r="AS181" s="242"/>
      <c r="AT181" s="242"/>
      <c r="AU181" s="242"/>
      <c r="AV181" s="242"/>
      <c r="AW181" s="242"/>
      <c r="AX181" s="242"/>
      <c r="AY181" s="242"/>
      <c r="AZ181" s="237"/>
      <c r="BA181" s="237"/>
      <c r="BB181" s="237"/>
      <c r="BC181" s="237"/>
      <c r="BD181" s="237"/>
      <c r="BE181" s="237"/>
      <c r="BF181" s="237"/>
      <c r="BG181" s="237"/>
      <c r="BH181" s="237"/>
    </row>
    <row r="182" spans="1:60" s="140" customFormat="1" ht="18.75" customHeight="1">
      <c r="B182" s="237"/>
      <c r="C182" s="242"/>
      <c r="D182" s="242"/>
      <c r="E182" s="242"/>
      <c r="F182" s="242"/>
      <c r="G182" s="242"/>
      <c r="H182" s="242"/>
      <c r="I182" s="242"/>
      <c r="J182" s="199"/>
      <c r="K182" s="467"/>
      <c r="L182" s="467"/>
      <c r="M182" s="467"/>
      <c r="N182" s="372"/>
      <c r="O182" s="460"/>
      <c r="P182" s="460"/>
      <c r="Q182" s="460"/>
      <c r="R182" s="460"/>
      <c r="S182" s="457"/>
      <c r="T182" s="447"/>
      <c r="U182" s="447"/>
      <c r="V182" s="447"/>
      <c r="W182" s="381"/>
      <c r="X182" s="381"/>
      <c r="Y182" s="244"/>
      <c r="Z182" s="244"/>
      <c r="AA182" s="244"/>
      <c r="AB182" s="242"/>
      <c r="AC182" s="242"/>
      <c r="AD182" s="242"/>
      <c r="AE182" s="242"/>
      <c r="AF182" s="242"/>
      <c r="AG182" s="242"/>
      <c r="AH182" s="242"/>
      <c r="AI182" s="242"/>
      <c r="AJ182" s="242"/>
      <c r="AK182" s="242"/>
      <c r="AL182" s="242"/>
      <c r="AM182" s="242"/>
      <c r="AN182" s="237"/>
      <c r="AO182" s="237"/>
      <c r="AP182" s="237"/>
      <c r="AQ182" s="237"/>
      <c r="AR182" s="242"/>
      <c r="AS182" s="242"/>
      <c r="AT182" s="242"/>
      <c r="AU182" s="242"/>
      <c r="AV182" s="242"/>
      <c r="AW182" s="242"/>
      <c r="AX182" s="242"/>
      <c r="AY182" s="242"/>
      <c r="AZ182" s="237"/>
      <c r="BA182" s="237"/>
      <c r="BB182" s="237"/>
      <c r="BC182" s="237"/>
      <c r="BD182" s="237"/>
      <c r="BE182" s="237"/>
      <c r="BF182" s="237"/>
      <c r="BG182" s="237"/>
      <c r="BH182" s="237"/>
    </row>
    <row r="183" spans="1:60" s="140" customFormat="1" ht="18.75" customHeight="1">
      <c r="B183" s="237"/>
      <c r="C183" s="242" t="s">
        <v>299</v>
      </c>
      <c r="D183" s="242"/>
      <c r="E183" s="242"/>
      <c r="F183" s="242"/>
      <c r="G183" s="242"/>
      <c r="H183" s="242"/>
      <c r="I183" s="378" t="str">
        <f>V64</f>
        <v>직사각형</v>
      </c>
      <c r="J183" s="378"/>
      <c r="K183" s="378"/>
      <c r="L183" s="378"/>
      <c r="M183" s="378"/>
      <c r="N183" s="378"/>
      <c r="O183" s="378"/>
      <c r="P183" s="378"/>
      <c r="Q183" s="242"/>
      <c r="R183" s="242"/>
      <c r="S183" s="242"/>
      <c r="T183" s="242"/>
      <c r="U183" s="242"/>
      <c r="V183" s="242"/>
      <c r="W183" s="242"/>
      <c r="X183" s="242"/>
      <c r="Y183" s="242"/>
      <c r="Z183" s="237"/>
      <c r="AA183" s="237"/>
      <c r="AB183" s="237"/>
      <c r="AC183" s="237"/>
      <c r="AD183" s="237"/>
      <c r="AE183" s="237"/>
      <c r="AF183" s="237"/>
      <c r="AG183" s="237"/>
      <c r="AH183" s="242"/>
      <c r="AI183" s="242"/>
      <c r="AJ183" s="242"/>
      <c r="AK183" s="242"/>
      <c r="AL183" s="237"/>
      <c r="AM183" s="237"/>
      <c r="AN183" s="237"/>
      <c r="AO183" s="237"/>
      <c r="AP183" s="237"/>
      <c r="AQ183" s="237"/>
      <c r="AR183" s="237"/>
      <c r="AS183" s="242"/>
      <c r="AT183" s="242"/>
      <c r="AU183" s="242"/>
      <c r="AV183" s="242"/>
      <c r="AW183" s="242"/>
      <c r="AX183" s="242"/>
      <c r="AY183" s="237"/>
      <c r="AZ183" s="237"/>
      <c r="BA183" s="237"/>
      <c r="BB183" s="237"/>
      <c r="BC183" s="237"/>
      <c r="BD183" s="237"/>
      <c r="BE183" s="237"/>
      <c r="BF183" s="237"/>
      <c r="BG183" s="237"/>
    </row>
    <row r="184" spans="1:60" s="140" customFormat="1" ht="18.75" customHeight="1">
      <c r="B184" s="237"/>
      <c r="C184" s="371" t="s">
        <v>524</v>
      </c>
      <c r="D184" s="371"/>
      <c r="E184" s="371"/>
      <c r="F184" s="371"/>
      <c r="G184" s="371"/>
      <c r="H184" s="371"/>
      <c r="I184" s="242"/>
      <c r="J184" s="242"/>
      <c r="K184" s="242"/>
      <c r="L184" s="242"/>
      <c r="M184" s="242"/>
      <c r="N184" s="372">
        <f>AA64</f>
        <v>1</v>
      </c>
      <c r="O184" s="372"/>
      <c r="P184" s="148"/>
      <c r="Q184" s="148"/>
      <c r="R184" s="148"/>
      <c r="S184" s="242"/>
      <c r="T184" s="242"/>
      <c r="U184" s="242"/>
      <c r="V184" s="242"/>
      <c r="W184" s="242"/>
      <c r="X184" s="242"/>
      <c r="Y184" s="242"/>
      <c r="Z184" s="149"/>
      <c r="AA184" s="149"/>
      <c r="AB184" s="242"/>
      <c r="AC184" s="242"/>
      <c r="AD184" s="242"/>
      <c r="AE184" s="242"/>
      <c r="AF184" s="242"/>
      <c r="AG184" s="242"/>
      <c r="AH184" s="242"/>
      <c r="AI184" s="242"/>
      <c r="AJ184" s="242"/>
      <c r="AK184" s="242"/>
      <c r="AL184" s="237"/>
      <c r="AM184" s="237"/>
      <c r="AN184" s="237"/>
      <c r="AO184" s="242"/>
      <c r="AP184" s="242"/>
      <c r="AQ184" s="242"/>
      <c r="AR184" s="242"/>
      <c r="AS184" s="242"/>
      <c r="AT184" s="242"/>
      <c r="AU184" s="242"/>
      <c r="AV184" s="242"/>
      <c r="AW184" s="242"/>
      <c r="AX184" s="242"/>
      <c r="AY184" s="237"/>
      <c r="AZ184" s="237"/>
      <c r="BA184" s="237"/>
      <c r="BB184" s="237"/>
      <c r="BC184" s="237"/>
      <c r="BD184" s="237"/>
      <c r="BE184" s="237"/>
      <c r="BF184" s="237"/>
      <c r="BG184" s="237"/>
    </row>
    <row r="185" spans="1:60" s="140" customFormat="1" ht="18.75" customHeight="1">
      <c r="B185" s="237"/>
      <c r="C185" s="371"/>
      <c r="D185" s="371"/>
      <c r="E185" s="371"/>
      <c r="F185" s="371"/>
      <c r="G185" s="371"/>
      <c r="H185" s="371"/>
      <c r="I185" s="242"/>
      <c r="J185" s="242"/>
      <c r="K185" s="242"/>
      <c r="L185" s="242"/>
      <c r="M185" s="242"/>
      <c r="N185" s="372"/>
      <c r="O185" s="372"/>
      <c r="P185" s="148"/>
      <c r="Q185" s="148"/>
      <c r="R185" s="148"/>
      <c r="S185" s="242"/>
      <c r="T185" s="242"/>
      <c r="U185" s="242"/>
      <c r="V185" s="242"/>
      <c r="W185" s="242"/>
      <c r="X185" s="242"/>
      <c r="Y185" s="242"/>
      <c r="Z185" s="149"/>
      <c r="AA185" s="149"/>
      <c r="AB185" s="242"/>
      <c r="AC185" s="242"/>
      <c r="AD185" s="242"/>
      <c r="AE185" s="242"/>
      <c r="AF185" s="242"/>
      <c r="AG185" s="242"/>
      <c r="AH185" s="242"/>
      <c r="AI185" s="242"/>
      <c r="AJ185" s="242"/>
      <c r="AK185" s="242"/>
      <c r="AL185" s="237"/>
      <c r="AM185" s="237"/>
      <c r="AN185" s="237"/>
      <c r="AO185" s="242"/>
      <c r="AP185" s="242"/>
      <c r="AQ185" s="242"/>
      <c r="AR185" s="242"/>
      <c r="AS185" s="242"/>
      <c r="AT185" s="242"/>
      <c r="AU185" s="242"/>
      <c r="AV185" s="242"/>
      <c r="AW185" s="242"/>
      <c r="AX185" s="242"/>
      <c r="AY185" s="237"/>
      <c r="AZ185" s="237"/>
      <c r="BA185" s="237"/>
      <c r="BB185" s="237"/>
      <c r="BC185" s="237"/>
      <c r="BD185" s="237"/>
      <c r="BE185" s="237"/>
      <c r="BF185" s="237"/>
      <c r="BG185" s="237"/>
    </row>
    <row r="186" spans="1:60" s="140" customFormat="1" ht="18.75" customHeight="1">
      <c r="B186" s="237"/>
      <c r="C186" s="242" t="s">
        <v>525</v>
      </c>
      <c r="D186" s="242"/>
      <c r="E186" s="242"/>
      <c r="F186" s="242"/>
      <c r="G186" s="242"/>
      <c r="H186" s="242"/>
      <c r="I186" s="242"/>
      <c r="J186" s="237"/>
      <c r="K186" s="237" t="s">
        <v>147</v>
      </c>
      <c r="L186" s="372">
        <f>N184</f>
        <v>1</v>
      </c>
      <c r="M186" s="372"/>
      <c r="N186" s="237" t="s">
        <v>83</v>
      </c>
      <c r="O186" s="447">
        <f>T181</f>
        <v>2.8867513459481291E-2</v>
      </c>
      <c r="P186" s="447"/>
      <c r="Q186" s="447"/>
      <c r="R186" s="236" t="str">
        <f>W181</f>
        <v>mm</v>
      </c>
      <c r="S186" s="235"/>
      <c r="T186" s="237" t="s">
        <v>147</v>
      </c>
      <c r="U186" s="237" t="s">
        <v>135</v>
      </c>
      <c r="V186" s="447">
        <f>L186*O186</f>
        <v>2.8867513459481291E-2</v>
      </c>
      <c r="W186" s="447"/>
      <c r="X186" s="447"/>
      <c r="Y186" s="236" t="str">
        <f>W181</f>
        <v>mm</v>
      </c>
      <c r="Z186" s="236"/>
      <c r="AA186" s="150"/>
      <c r="AB186" s="150"/>
      <c r="AC186" s="241"/>
      <c r="AD186" s="237"/>
      <c r="AE186" s="242"/>
      <c r="AF186" s="237"/>
      <c r="AG186" s="237"/>
      <c r="AH186" s="237"/>
      <c r="AI186" s="237"/>
      <c r="AJ186" s="237"/>
      <c r="AK186" s="242"/>
      <c r="AL186" s="237"/>
      <c r="AM186" s="237"/>
      <c r="AN186" s="237"/>
      <c r="AO186" s="242"/>
      <c r="AP186" s="242"/>
      <c r="AQ186" s="242"/>
      <c r="AR186" s="242"/>
      <c r="AS186" s="242"/>
      <c r="AT186" s="242"/>
      <c r="AU186" s="242"/>
      <c r="AV186" s="242"/>
      <c r="AW186" s="242"/>
      <c r="AX186" s="242"/>
      <c r="AY186" s="237"/>
      <c r="AZ186" s="237"/>
      <c r="BA186" s="237"/>
      <c r="BB186" s="237"/>
      <c r="BC186" s="237"/>
      <c r="BD186" s="237"/>
      <c r="BE186" s="237"/>
      <c r="BF186" s="237"/>
      <c r="BG186" s="237"/>
    </row>
    <row r="187" spans="1:60" s="140" customFormat="1" ht="18.75" customHeight="1">
      <c r="B187" s="237"/>
      <c r="C187" s="371" t="s">
        <v>526</v>
      </c>
      <c r="D187" s="371"/>
      <c r="E187" s="371"/>
      <c r="F187" s="371"/>
      <c r="G187" s="371"/>
      <c r="H187" s="242"/>
      <c r="J187" s="242"/>
      <c r="K187" s="242"/>
      <c r="L187" s="242"/>
      <c r="M187" s="242"/>
      <c r="N187" s="242"/>
      <c r="O187" s="242"/>
      <c r="P187" s="242"/>
      <c r="Q187" s="242"/>
      <c r="R187" s="241"/>
      <c r="S187" s="242"/>
      <c r="T187" s="242"/>
      <c r="U187" s="242"/>
      <c r="W187" s="242"/>
      <c r="X187" s="248" t="s">
        <v>166</v>
      </c>
      <c r="Y187" s="242"/>
      <c r="Z187" s="242"/>
      <c r="AA187" s="242"/>
      <c r="AB187" s="242"/>
      <c r="AC187" s="242"/>
      <c r="AD187" s="242"/>
      <c r="AE187" s="237"/>
      <c r="AF187" s="237"/>
      <c r="AG187" s="237"/>
      <c r="AH187" s="237"/>
      <c r="AI187" s="237"/>
      <c r="AJ187" s="237"/>
      <c r="AK187" s="237"/>
      <c r="AL187" s="237"/>
      <c r="AM187" s="237"/>
      <c r="AN187" s="237"/>
      <c r="AO187" s="237"/>
      <c r="AP187" s="237"/>
      <c r="AQ187" s="237"/>
      <c r="AR187" s="237"/>
      <c r="AS187" s="237"/>
      <c r="AT187" s="237"/>
      <c r="AU187" s="237"/>
      <c r="AV187" s="237"/>
      <c r="AW187" s="237"/>
      <c r="AX187" s="237"/>
      <c r="AY187" s="237"/>
      <c r="AZ187" s="237"/>
      <c r="BA187" s="237"/>
      <c r="BB187" s="237"/>
      <c r="BC187" s="237"/>
      <c r="BD187" s="237"/>
      <c r="BE187" s="237"/>
      <c r="BF187" s="237"/>
      <c r="BG187" s="237"/>
    </row>
    <row r="188" spans="1:60" s="140" customFormat="1" ht="18.75" customHeight="1">
      <c r="B188" s="237"/>
      <c r="C188" s="371"/>
      <c r="D188" s="371"/>
      <c r="E188" s="371"/>
      <c r="F188" s="371"/>
      <c r="G188" s="371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1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37"/>
      <c r="AF188" s="242"/>
      <c r="AG188" s="237"/>
      <c r="AH188" s="237"/>
      <c r="AI188" s="237"/>
      <c r="AJ188" s="237"/>
      <c r="AK188" s="237"/>
      <c r="AL188" s="237"/>
      <c r="AM188" s="237"/>
      <c r="AN188" s="237"/>
      <c r="AO188" s="237"/>
      <c r="AP188" s="237"/>
      <c r="AQ188" s="237"/>
      <c r="AR188" s="237"/>
      <c r="AS188" s="237"/>
      <c r="AT188" s="237"/>
      <c r="AU188" s="237"/>
      <c r="AV188" s="237"/>
      <c r="AW188" s="237"/>
      <c r="AX188" s="237"/>
      <c r="AY188" s="237"/>
      <c r="AZ188" s="237"/>
      <c r="BA188" s="237"/>
      <c r="BB188" s="237"/>
      <c r="BC188" s="237"/>
      <c r="BD188" s="237"/>
      <c r="BE188" s="237"/>
      <c r="BF188" s="237"/>
      <c r="BG188" s="237"/>
    </row>
    <row r="189" spans="1:60" s="140" customFormat="1" ht="18.75" customHeight="1">
      <c r="B189" s="237"/>
      <c r="C189" s="242"/>
      <c r="D189" s="242"/>
      <c r="E189" s="242"/>
      <c r="F189" s="242"/>
      <c r="G189" s="237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37"/>
      <c r="AF189" s="242"/>
      <c r="AG189" s="237"/>
      <c r="AH189" s="237"/>
      <c r="AI189" s="237"/>
      <c r="AJ189" s="237"/>
      <c r="AK189" s="237"/>
      <c r="AL189" s="237"/>
      <c r="AM189" s="237"/>
      <c r="AN189" s="237"/>
      <c r="AO189" s="237"/>
      <c r="AP189" s="237"/>
      <c r="AQ189" s="237"/>
      <c r="AR189" s="237"/>
      <c r="AS189" s="237"/>
      <c r="AT189" s="237"/>
      <c r="AU189" s="237"/>
      <c r="AV189" s="237"/>
      <c r="AW189" s="237"/>
      <c r="AX189" s="237"/>
      <c r="AY189" s="237"/>
      <c r="AZ189" s="237"/>
      <c r="BA189" s="237"/>
      <c r="BB189" s="237"/>
      <c r="BC189" s="237"/>
      <c r="BD189" s="237"/>
      <c r="BE189" s="237"/>
      <c r="BF189" s="237"/>
      <c r="BG189" s="237"/>
    </row>
    <row r="190" spans="1:60" s="140" customFormat="1" ht="18.75" customHeight="1">
      <c r="A190" s="57" t="s">
        <v>148</v>
      </c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  <c r="AI190" s="237"/>
      <c r="AJ190" s="237"/>
      <c r="AK190" s="237"/>
      <c r="AL190" s="237"/>
      <c r="AM190" s="237"/>
      <c r="AN190" s="237"/>
      <c r="AO190" s="237"/>
      <c r="AP190" s="237"/>
      <c r="AQ190" s="237"/>
      <c r="AR190" s="237"/>
      <c r="AS190" s="237"/>
      <c r="AT190" s="237"/>
      <c r="AU190" s="237"/>
      <c r="AV190" s="237"/>
      <c r="AW190" s="237"/>
      <c r="AX190" s="237"/>
      <c r="AY190" s="237"/>
      <c r="AZ190" s="237"/>
      <c r="BA190" s="237"/>
      <c r="BB190" s="237"/>
      <c r="BC190" s="237"/>
      <c r="BD190" s="237"/>
      <c r="BE190" s="237"/>
      <c r="BF190" s="237"/>
    </row>
    <row r="191" spans="1:60" s="140" customFormat="1" ht="18.75" customHeight="1">
      <c r="A191" s="237"/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42"/>
      <c r="AF191" s="237"/>
      <c r="AG191" s="237"/>
      <c r="AH191" s="237"/>
      <c r="AI191" s="237"/>
      <c r="AJ191" s="237"/>
      <c r="AK191" s="237"/>
      <c r="AL191" s="237"/>
      <c r="AM191" s="237"/>
      <c r="AN191" s="237"/>
      <c r="AO191" s="237"/>
      <c r="AP191" s="237"/>
      <c r="AQ191" s="237"/>
      <c r="AR191" s="237"/>
      <c r="AS191" s="237"/>
      <c r="AT191" s="237"/>
      <c r="AU191" s="237"/>
      <c r="AV191" s="237"/>
      <c r="AW191" s="237"/>
      <c r="AX191" s="237"/>
      <c r="AY191" s="237"/>
      <c r="AZ191" s="237"/>
      <c r="BA191" s="237"/>
      <c r="BB191" s="237"/>
      <c r="BC191" s="237"/>
      <c r="BD191" s="237"/>
      <c r="BE191" s="237"/>
      <c r="BF191" s="237"/>
    </row>
    <row r="192" spans="1:60" s="58" customFormat="1" ht="18.75" customHeight="1">
      <c r="A192" s="242"/>
      <c r="B192" s="242"/>
      <c r="C192" s="242"/>
      <c r="D192" s="242"/>
      <c r="E192" s="237" t="s">
        <v>135</v>
      </c>
      <c r="F192" s="468">
        <f>AH57</f>
        <v>0</v>
      </c>
      <c r="G192" s="468"/>
      <c r="H192" s="468"/>
      <c r="I192" s="242" t="s">
        <v>122</v>
      </c>
      <c r="J192" s="242"/>
      <c r="K192" s="372" t="s">
        <v>296</v>
      </c>
      <c r="L192" s="372"/>
      <c r="M192" s="469" t="e">
        <f ca="1">AH58</f>
        <v>#N/A</v>
      </c>
      <c r="N192" s="469"/>
      <c r="O192" s="469"/>
      <c r="P192" s="242" t="s">
        <v>122</v>
      </c>
      <c r="Q192" s="242"/>
      <c r="R192" s="372" t="s">
        <v>90</v>
      </c>
      <c r="S192" s="372"/>
      <c r="T192" s="468">
        <f>AH59</f>
        <v>0</v>
      </c>
      <c r="U192" s="468"/>
      <c r="V192" s="468"/>
      <c r="W192" s="242" t="s">
        <v>122</v>
      </c>
      <c r="X192" s="242"/>
      <c r="Y192" s="372" t="s">
        <v>90</v>
      </c>
      <c r="Z192" s="372"/>
      <c r="AA192" s="468" t="e">
        <f>AH60</f>
        <v>#VALUE!</v>
      </c>
      <c r="AB192" s="468"/>
      <c r="AC192" s="468"/>
      <c r="AD192" s="242" t="s">
        <v>122</v>
      </c>
      <c r="AE192" s="242"/>
      <c r="AF192" s="372" t="s">
        <v>90</v>
      </c>
      <c r="AG192" s="372"/>
      <c r="AH192" s="468" t="e">
        <f>AH61</f>
        <v>#VALUE!</v>
      </c>
      <c r="AI192" s="468"/>
      <c r="AJ192" s="468"/>
      <c r="AK192" s="242" t="s">
        <v>122</v>
      </c>
      <c r="AL192" s="242"/>
      <c r="BA192" s="242"/>
      <c r="BB192" s="242"/>
      <c r="BC192" s="242"/>
      <c r="BD192" s="242"/>
      <c r="BE192" s="242"/>
      <c r="BF192" s="242"/>
      <c r="BG192" s="242"/>
      <c r="BH192" s="242"/>
    </row>
    <row r="193" spans="1:60" s="58" customFormat="1" ht="18.75" customHeight="1">
      <c r="A193" s="242"/>
      <c r="B193" s="242"/>
      <c r="C193" s="242"/>
      <c r="D193" s="242"/>
      <c r="E193" s="242"/>
      <c r="F193" s="372" t="s">
        <v>296</v>
      </c>
      <c r="G193" s="372"/>
      <c r="H193" s="468" t="e">
        <f>AH62</f>
        <v>#VALUE!</v>
      </c>
      <c r="I193" s="468"/>
      <c r="J193" s="468"/>
      <c r="K193" s="242" t="s">
        <v>122</v>
      </c>
      <c r="L193" s="242"/>
      <c r="M193" s="372" t="s">
        <v>90</v>
      </c>
      <c r="N193" s="372"/>
      <c r="O193" s="468">
        <f>AH63</f>
        <v>0</v>
      </c>
      <c r="P193" s="468"/>
      <c r="Q193" s="468"/>
      <c r="R193" s="242" t="s">
        <v>122</v>
      </c>
      <c r="S193" s="242"/>
      <c r="T193" s="372" t="s">
        <v>296</v>
      </c>
      <c r="U193" s="372"/>
      <c r="V193" s="468">
        <f>AH64</f>
        <v>2.8867513459481291E-2</v>
      </c>
      <c r="W193" s="468"/>
      <c r="X193" s="468"/>
      <c r="Y193" s="242" t="s">
        <v>122</v>
      </c>
      <c r="Z193" s="242"/>
      <c r="AB193" s="242"/>
      <c r="AC193" s="242"/>
      <c r="AD193" s="62"/>
      <c r="AE193" s="62"/>
      <c r="AF193" s="62"/>
      <c r="AG193" s="242"/>
      <c r="AH193" s="242"/>
      <c r="AI193" s="242"/>
      <c r="AJ193" s="242"/>
      <c r="AK193" s="242"/>
      <c r="AL193" s="242"/>
      <c r="AM193" s="242"/>
      <c r="AN193" s="242"/>
      <c r="AO193" s="242"/>
      <c r="AP193" s="242"/>
      <c r="AQ193" s="242"/>
      <c r="AR193" s="242"/>
      <c r="AS193" s="242"/>
      <c r="AT193" s="242"/>
      <c r="AU193" s="242"/>
      <c r="AV193" s="242"/>
      <c r="AW193" s="242"/>
      <c r="AX193" s="242"/>
      <c r="AY193" s="242"/>
      <c r="AZ193" s="242"/>
      <c r="BA193" s="242"/>
      <c r="BB193" s="242"/>
      <c r="BC193" s="242"/>
      <c r="BD193" s="242"/>
      <c r="BE193" s="242"/>
      <c r="BF193" s="242"/>
      <c r="BG193" s="242"/>
      <c r="BH193" s="242"/>
    </row>
    <row r="194" spans="1:60" s="58" customFormat="1" ht="18.75" customHeight="1">
      <c r="A194" s="242"/>
      <c r="B194" s="242"/>
      <c r="C194" s="242"/>
      <c r="D194" s="242"/>
      <c r="E194" s="237" t="s">
        <v>135</v>
      </c>
      <c r="F194" s="468" t="e">
        <f ca="1">AH65</f>
        <v>#N/A</v>
      </c>
      <c r="G194" s="468"/>
      <c r="H194" s="468"/>
      <c r="I194" s="242" t="s">
        <v>122</v>
      </c>
      <c r="J194" s="242"/>
      <c r="K194" s="242"/>
      <c r="L194" s="242"/>
      <c r="M194" s="152"/>
      <c r="N194" s="152"/>
      <c r="O194" s="152"/>
      <c r="P194" s="15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237"/>
      <c r="AH194" s="242"/>
      <c r="AI194" s="242"/>
      <c r="AJ194" s="242"/>
      <c r="AK194" s="242"/>
      <c r="AL194" s="242"/>
      <c r="AM194" s="242"/>
      <c r="AN194" s="242"/>
      <c r="AO194" s="242"/>
      <c r="AP194" s="242"/>
      <c r="AQ194" s="242"/>
      <c r="AR194" s="242"/>
      <c r="AS194" s="242"/>
      <c r="AT194" s="242"/>
      <c r="AU194" s="242"/>
      <c r="AV194" s="242"/>
      <c r="AW194" s="242"/>
      <c r="AX194" s="242"/>
      <c r="AY194" s="242"/>
      <c r="AZ194" s="242"/>
      <c r="BA194" s="242"/>
      <c r="BB194" s="242"/>
      <c r="BC194" s="242"/>
      <c r="BD194" s="242"/>
      <c r="BE194" s="242"/>
      <c r="BF194" s="242"/>
      <c r="BG194" s="242"/>
      <c r="BH194" s="242"/>
    </row>
    <row r="195" spans="1:60" s="58" customFormat="1" ht="18.75" customHeight="1">
      <c r="A195" s="242"/>
      <c r="B195" s="242"/>
      <c r="C195" s="242"/>
      <c r="D195" s="139"/>
      <c r="E195" s="139"/>
      <c r="F195" s="139"/>
      <c r="G195" s="242"/>
      <c r="H195" s="242"/>
      <c r="I195" s="237"/>
      <c r="J195" s="237"/>
      <c r="K195" s="153"/>
      <c r="L195" s="153"/>
      <c r="M195" s="153"/>
      <c r="N195" s="153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2"/>
      <c r="AB195" s="242"/>
      <c r="AC195" s="242"/>
      <c r="AD195" s="242"/>
      <c r="AE195" s="242"/>
      <c r="AF195" s="242"/>
      <c r="AG195" s="242"/>
      <c r="AH195" s="242"/>
      <c r="AI195" s="242"/>
      <c r="AJ195" s="242"/>
      <c r="AK195" s="242"/>
      <c r="AL195" s="242"/>
      <c r="AM195" s="242"/>
      <c r="AN195" s="242"/>
      <c r="AO195" s="242"/>
      <c r="AP195" s="242"/>
      <c r="AQ195" s="242"/>
      <c r="AR195" s="242"/>
      <c r="AS195" s="242"/>
      <c r="AT195" s="242"/>
      <c r="AU195" s="242"/>
      <c r="AV195" s="242"/>
      <c r="AW195" s="242"/>
      <c r="AX195" s="242"/>
      <c r="AY195" s="242"/>
      <c r="AZ195" s="242"/>
      <c r="BA195" s="242"/>
      <c r="BB195" s="242"/>
      <c r="BC195" s="242"/>
      <c r="BD195" s="242"/>
      <c r="BE195" s="242"/>
      <c r="BF195" s="242"/>
    </row>
    <row r="196" spans="1:60" s="140" customFormat="1" ht="18.75" customHeight="1">
      <c r="A196" s="237"/>
      <c r="B196" s="237"/>
      <c r="C196" s="237"/>
      <c r="D196" s="144" t="s">
        <v>316</v>
      </c>
      <c r="E196" s="237" t="s">
        <v>135</v>
      </c>
      <c r="F196" s="468" t="e">
        <f ca="1">F194</f>
        <v>#N/A</v>
      </c>
      <c r="G196" s="468"/>
      <c r="H196" s="468"/>
      <c r="I196" s="242" t="s">
        <v>122</v>
      </c>
      <c r="J196" s="242"/>
      <c r="K196" s="152"/>
      <c r="L196" s="152"/>
      <c r="M196" s="152"/>
      <c r="N196" s="237"/>
      <c r="O196" s="237"/>
      <c r="P196" s="242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42"/>
      <c r="AF196" s="237"/>
      <c r="AG196" s="237"/>
      <c r="AH196" s="237"/>
      <c r="AI196" s="237"/>
      <c r="AJ196" s="237"/>
      <c r="AK196" s="237"/>
      <c r="AL196" s="237"/>
      <c r="AM196" s="237"/>
      <c r="AN196" s="237"/>
      <c r="AO196" s="237"/>
      <c r="AP196" s="237"/>
      <c r="AQ196" s="237"/>
      <c r="AR196" s="237"/>
      <c r="AS196" s="237"/>
      <c r="AT196" s="237"/>
      <c r="AU196" s="237"/>
      <c r="AV196" s="237"/>
      <c r="AW196" s="237"/>
      <c r="AX196" s="237"/>
      <c r="AY196" s="237"/>
      <c r="AZ196" s="237"/>
      <c r="BA196" s="237"/>
      <c r="BB196" s="237"/>
      <c r="BC196" s="237"/>
      <c r="BD196" s="237"/>
      <c r="BE196" s="237"/>
      <c r="BF196" s="237"/>
    </row>
    <row r="197" spans="1:60" s="242" customFormat="1" ht="18.75" customHeight="1"/>
    <row r="198" spans="1:60" ht="18.75" customHeight="1">
      <c r="A198" s="57" t="s">
        <v>149</v>
      </c>
      <c r="B198" s="248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  <c r="AX198" s="248"/>
      <c r="AY198" s="248"/>
      <c r="AZ198" s="248"/>
      <c r="BA198" s="248"/>
      <c r="BB198" s="248"/>
      <c r="BC198" s="248"/>
      <c r="BD198" s="248"/>
      <c r="BE198" s="248"/>
      <c r="BF198" s="248"/>
    </row>
    <row r="199" spans="1:60" ht="18.75" customHeight="1">
      <c r="A199" s="248"/>
      <c r="B199" s="248"/>
      <c r="C199" s="248"/>
      <c r="D199" s="248"/>
      <c r="E199" s="248"/>
      <c r="F199" s="248"/>
      <c r="G199" s="248"/>
      <c r="H199" s="248"/>
      <c r="I199" s="248"/>
      <c r="J199" s="248"/>
      <c r="K199" s="248"/>
    </row>
    <row r="200" spans="1:60" ht="18.75" customHeight="1">
      <c r="A200" s="248"/>
      <c r="B200" s="248"/>
      <c r="C200" s="248"/>
      <c r="D200" s="248"/>
      <c r="E200" s="248"/>
      <c r="F200" s="248"/>
      <c r="G200" s="248"/>
      <c r="H200" s="248"/>
      <c r="I200" s="248"/>
      <c r="J200" s="248"/>
      <c r="K200" s="248"/>
    </row>
    <row r="201" spans="1:60" ht="18.75" customHeight="1">
      <c r="A201" s="248"/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</row>
    <row r="202" spans="1:60" ht="18.75" customHeight="1">
      <c r="A202" s="248"/>
      <c r="B202" s="248"/>
      <c r="C202" s="248"/>
      <c r="D202" s="372" t="s">
        <v>528</v>
      </c>
      <c r="E202" s="373" t="e">
        <f ca="1">AH65</f>
        <v>#N/A</v>
      </c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  <c r="X202" s="373"/>
      <c r="Y202" s="373"/>
      <c r="Z202" s="373"/>
      <c r="AA202" s="373"/>
      <c r="AB202" s="373"/>
      <c r="AC202" s="373"/>
      <c r="AD202" s="373"/>
      <c r="AE202" s="373"/>
      <c r="AF202" s="373"/>
      <c r="AG202" s="373"/>
      <c r="AH202" s="373"/>
      <c r="AI202" s="373"/>
      <c r="AJ202" s="373"/>
      <c r="AK202" s="373"/>
      <c r="AL202" s="373"/>
      <c r="AM202" s="373"/>
      <c r="AN202" s="373"/>
      <c r="AO202" s="373"/>
      <c r="AP202" s="373"/>
      <c r="AQ202" s="373"/>
      <c r="AS202" s="372" t="s">
        <v>317</v>
      </c>
      <c r="AT202" s="378" t="e">
        <f>AP65</f>
        <v>#VALUE!</v>
      </c>
      <c r="AU202" s="378"/>
      <c r="AV202" s="378"/>
      <c r="AW202" s="378"/>
      <c r="AX202" s="378"/>
      <c r="AY202" s="378"/>
    </row>
    <row r="203" spans="1:60" ht="18.75" customHeight="1">
      <c r="A203" s="248"/>
      <c r="B203" s="248"/>
      <c r="C203" s="248"/>
      <c r="D203" s="372"/>
      <c r="E203" s="248"/>
      <c r="F203" s="470">
        <f>AH57</f>
        <v>0</v>
      </c>
      <c r="G203" s="470"/>
      <c r="H203" s="470"/>
      <c r="I203" s="179"/>
      <c r="J203" s="471" t="s">
        <v>318</v>
      </c>
      <c r="K203" s="470" t="e">
        <f ca="1">AH58</f>
        <v>#N/A</v>
      </c>
      <c r="L203" s="470"/>
      <c r="M203" s="470"/>
      <c r="N203" s="179"/>
      <c r="O203" s="471" t="s">
        <v>318</v>
      </c>
      <c r="P203" s="470">
        <f>AH59</f>
        <v>0</v>
      </c>
      <c r="Q203" s="470"/>
      <c r="R203" s="470"/>
      <c r="S203" s="179"/>
      <c r="T203" s="471" t="s">
        <v>318</v>
      </c>
      <c r="U203" s="470" t="e">
        <f>AH60</f>
        <v>#VALUE!</v>
      </c>
      <c r="V203" s="470"/>
      <c r="W203" s="470"/>
      <c r="X203" s="179"/>
      <c r="Y203" s="471" t="s">
        <v>318</v>
      </c>
      <c r="Z203" s="470" t="e">
        <f>AH61</f>
        <v>#VALUE!</v>
      </c>
      <c r="AA203" s="470"/>
      <c r="AB203" s="470"/>
      <c r="AC203" s="179"/>
      <c r="AD203" s="471" t="s">
        <v>318</v>
      </c>
      <c r="AE203" s="470" t="e">
        <f>AH62</f>
        <v>#VALUE!</v>
      </c>
      <c r="AF203" s="470"/>
      <c r="AG203" s="470"/>
      <c r="AH203" s="179"/>
      <c r="AI203" s="471" t="s">
        <v>318</v>
      </c>
      <c r="AJ203" s="470">
        <f>AH63</f>
        <v>0</v>
      </c>
      <c r="AK203" s="470"/>
      <c r="AL203" s="470"/>
      <c r="AM203" s="179"/>
      <c r="AN203" s="471" t="s">
        <v>318</v>
      </c>
      <c r="AO203" s="470">
        <f>AH64</f>
        <v>2.8867513459481291E-2</v>
      </c>
      <c r="AP203" s="470"/>
      <c r="AQ203" s="470"/>
      <c r="AR203" s="179"/>
      <c r="AS203" s="372"/>
      <c r="AT203" s="378"/>
      <c r="AU203" s="378"/>
      <c r="AV203" s="378"/>
      <c r="AW203" s="378"/>
      <c r="AX203" s="378"/>
      <c r="AY203" s="378"/>
    </row>
    <row r="204" spans="1:60" ht="18.75" customHeight="1">
      <c r="A204" s="248"/>
      <c r="B204" s="248"/>
      <c r="C204" s="248"/>
      <c r="D204" s="248"/>
      <c r="E204" s="248"/>
      <c r="F204" s="417">
        <f>AP57</f>
        <v>4</v>
      </c>
      <c r="G204" s="417"/>
      <c r="H204" s="417"/>
      <c r="I204" s="417"/>
      <c r="J204" s="471"/>
      <c r="K204" s="417" t="str">
        <f>AP58</f>
        <v>∞</v>
      </c>
      <c r="L204" s="417"/>
      <c r="M204" s="417"/>
      <c r="N204" s="417"/>
      <c r="O204" s="471"/>
      <c r="P204" s="417" t="str">
        <f>AP59</f>
        <v>∞</v>
      </c>
      <c r="Q204" s="417"/>
      <c r="R204" s="417"/>
      <c r="S204" s="417"/>
      <c r="T204" s="471"/>
      <c r="U204" s="417">
        <f>AP60</f>
        <v>100</v>
      </c>
      <c r="V204" s="417"/>
      <c r="W204" s="417"/>
      <c r="X204" s="417"/>
      <c r="Y204" s="471"/>
      <c r="Z204" s="417">
        <f>AP61</f>
        <v>12</v>
      </c>
      <c r="AA204" s="417"/>
      <c r="AB204" s="417"/>
      <c r="AC204" s="417"/>
      <c r="AD204" s="471"/>
      <c r="AE204" s="417">
        <f>AP62</f>
        <v>100</v>
      </c>
      <c r="AF204" s="417"/>
      <c r="AG204" s="417"/>
      <c r="AH204" s="417"/>
      <c r="AI204" s="471"/>
      <c r="AJ204" s="417">
        <f>AP63</f>
        <v>12</v>
      </c>
      <c r="AK204" s="417"/>
      <c r="AL204" s="417"/>
      <c r="AM204" s="417"/>
      <c r="AN204" s="471"/>
      <c r="AO204" s="417">
        <f>AP64</f>
        <v>12</v>
      </c>
      <c r="AP204" s="417"/>
      <c r="AQ204" s="417"/>
      <c r="AR204" s="417"/>
    </row>
    <row r="205" spans="1:60" ht="18.75" customHeight="1">
      <c r="A205" s="248"/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</row>
    <row r="206" spans="1:60" ht="18.75" customHeight="1">
      <c r="A206" s="57" t="s">
        <v>319</v>
      </c>
      <c r="B206" s="248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  <c r="AX206" s="248"/>
      <c r="AY206" s="248"/>
      <c r="AZ206" s="248"/>
      <c r="BA206" s="248"/>
      <c r="BB206" s="248"/>
      <c r="BC206" s="248"/>
      <c r="BD206" s="248"/>
    </row>
    <row r="207" spans="1:60" ht="18.75" customHeight="1">
      <c r="A207" s="57"/>
      <c r="B207" s="248" t="s">
        <v>320</v>
      </c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  <c r="AX207" s="248"/>
      <c r="AY207" s="248"/>
      <c r="AZ207" s="248"/>
      <c r="BA207" s="248"/>
      <c r="BB207" s="248"/>
      <c r="BC207" s="248"/>
      <c r="BD207" s="248"/>
    </row>
    <row r="208" spans="1:60" ht="18.75" customHeight="1">
      <c r="A208" s="57"/>
      <c r="B208" s="248"/>
      <c r="C208" s="248" t="s">
        <v>321</v>
      </c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  <c r="AX208" s="248"/>
      <c r="AY208" s="248"/>
      <c r="AZ208" s="248"/>
      <c r="BA208" s="248"/>
      <c r="BB208" s="248"/>
      <c r="BC208" s="248"/>
      <c r="BD208" s="248"/>
    </row>
    <row r="209" spans="1:56" ht="18.75" customHeight="1">
      <c r="A209" s="57"/>
      <c r="B209" s="248"/>
      <c r="C209" s="56" t="s">
        <v>322</v>
      </c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  <c r="AX209" s="248"/>
      <c r="AY209" s="248"/>
      <c r="AZ209" s="248"/>
      <c r="BA209" s="248"/>
      <c r="BB209" s="248"/>
      <c r="BC209" s="248"/>
      <c r="BD209" s="248"/>
    </row>
    <row r="210" spans="1:56" ht="18.75" customHeight="1">
      <c r="A210" s="57"/>
      <c r="B210" s="248"/>
      <c r="C210" s="242" t="s">
        <v>323</v>
      </c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  <c r="AX210" s="248"/>
      <c r="AY210" s="248"/>
      <c r="AZ210" s="248"/>
      <c r="BA210" s="248"/>
      <c r="BB210" s="248"/>
      <c r="BC210" s="248"/>
      <c r="BD210" s="248"/>
    </row>
    <row r="211" spans="1:56" ht="18.75" customHeight="1">
      <c r="A211" s="57"/>
      <c r="B211" s="248"/>
      <c r="D211" s="248"/>
      <c r="E211" s="144"/>
      <c r="F211" s="248"/>
      <c r="G211" s="247"/>
      <c r="H211" s="237"/>
      <c r="I211" s="237"/>
      <c r="J211" s="237"/>
      <c r="R211" s="144"/>
      <c r="S211" s="154"/>
      <c r="T211" s="154"/>
      <c r="U211" s="154"/>
      <c r="V211" s="154"/>
      <c r="W211" s="154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  <c r="AX211" s="248"/>
      <c r="AY211" s="248"/>
      <c r="AZ211" s="248"/>
      <c r="BA211" s="248"/>
      <c r="BB211" s="248"/>
      <c r="BC211" s="248"/>
      <c r="BD211" s="248"/>
    </row>
    <row r="212" spans="1:56" ht="18.75" customHeight="1">
      <c r="A212" s="57"/>
      <c r="B212" s="248" t="s">
        <v>150</v>
      </c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  <c r="AX212" s="248"/>
      <c r="AY212" s="248"/>
      <c r="AZ212" s="248"/>
      <c r="BA212" s="248"/>
      <c r="BB212" s="248"/>
      <c r="BC212" s="248"/>
      <c r="BD212" s="248"/>
    </row>
    <row r="213" spans="1:56" ht="18.75" customHeight="1">
      <c r="A213" s="57"/>
      <c r="B213" s="248"/>
      <c r="C213" s="248" t="s">
        <v>152</v>
      </c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  <c r="AX213" s="248"/>
      <c r="AY213" s="248"/>
      <c r="AZ213" s="248"/>
      <c r="BA213" s="248"/>
      <c r="BB213" s="248"/>
      <c r="BC213" s="248"/>
      <c r="BD213" s="248"/>
    </row>
    <row r="214" spans="1:56" ht="18.75" customHeight="1">
      <c r="B214" s="248"/>
      <c r="C214" s="248" t="s">
        <v>324</v>
      </c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  <c r="AX214" s="248"/>
      <c r="AY214" s="248"/>
      <c r="AZ214" s="248"/>
      <c r="BA214" s="248"/>
      <c r="BB214" s="248"/>
      <c r="BC214" s="248"/>
      <c r="BD214" s="248"/>
    </row>
    <row r="215" spans="1:56" ht="18.75" customHeight="1">
      <c r="A215" s="248"/>
      <c r="B215" s="248"/>
      <c r="C215" s="56" t="s">
        <v>325</v>
      </c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  <c r="AX215" s="248"/>
      <c r="AY215" s="248"/>
      <c r="AZ215" s="248"/>
      <c r="BA215" s="248"/>
      <c r="BB215" s="248"/>
    </row>
    <row r="216" spans="1:56" ht="18.75" customHeight="1">
      <c r="A216" s="248"/>
      <c r="B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  <c r="AX216" s="248"/>
      <c r="AY216" s="248"/>
      <c r="AZ216" s="248"/>
      <c r="BA216" s="248"/>
      <c r="BB216" s="248"/>
    </row>
    <row r="217" spans="1:56" ht="18.75" customHeight="1">
      <c r="A217" s="248"/>
      <c r="B217" s="248"/>
      <c r="C217" s="248"/>
      <c r="D217" s="248"/>
      <c r="E217" s="59"/>
      <c r="F217" s="248"/>
      <c r="G217" s="248"/>
      <c r="H217" s="247" t="s">
        <v>326</v>
      </c>
      <c r="I217" s="372" t="e">
        <f ca="1">Calcu!E56</f>
        <v>#N/A</v>
      </c>
      <c r="J217" s="372"/>
      <c r="K217" s="372"/>
      <c r="L217" s="249" t="s">
        <v>151</v>
      </c>
      <c r="M217" s="472" t="e">
        <f ca="1">AH65</f>
        <v>#N/A</v>
      </c>
      <c r="N217" s="472"/>
      <c r="O217" s="472"/>
      <c r="P217" s="472"/>
      <c r="Q217" s="237" t="s">
        <v>278</v>
      </c>
      <c r="R217" s="472" t="e">
        <f ca="1">I217*M217</f>
        <v>#N/A</v>
      </c>
      <c r="S217" s="472"/>
      <c r="T217" s="472"/>
      <c r="U217" s="472"/>
      <c r="V217" s="237" t="s">
        <v>153</v>
      </c>
      <c r="W217" s="473" t="e">
        <f ca="1">R217</f>
        <v>#N/A</v>
      </c>
      <c r="X217" s="473"/>
      <c r="Y217" s="473"/>
      <c r="Z217" s="473"/>
      <c r="AL217" s="248"/>
      <c r="AM217" s="248"/>
      <c r="AN217" s="248"/>
      <c r="AO217" s="248"/>
      <c r="AP217" s="248"/>
      <c r="AQ217" s="248"/>
      <c r="AR217" s="248"/>
      <c r="AS217" s="248"/>
      <c r="AT217" s="248"/>
    </row>
  </sheetData>
  <mergeCells count="590">
    <mergeCell ref="F194:H194"/>
    <mergeCell ref="F196:H196"/>
    <mergeCell ref="I217:K217"/>
    <mergeCell ref="M217:P217"/>
    <mergeCell ref="R217:U217"/>
    <mergeCell ref="W217:Z217"/>
    <mergeCell ref="Y203:Y204"/>
    <mergeCell ref="Z203:AB203"/>
    <mergeCell ref="AD203:AD204"/>
    <mergeCell ref="AS202:AS203"/>
    <mergeCell ref="AT202:AY203"/>
    <mergeCell ref="F203:H203"/>
    <mergeCell ref="J203:J204"/>
    <mergeCell ref="K203:M203"/>
    <mergeCell ref="O203:O204"/>
    <mergeCell ref="P203:R203"/>
    <mergeCell ref="T203:T204"/>
    <mergeCell ref="U203:W203"/>
    <mergeCell ref="F204:I204"/>
    <mergeCell ref="K204:N204"/>
    <mergeCell ref="P204:S204"/>
    <mergeCell ref="U204:X204"/>
    <mergeCell ref="AN203:AN204"/>
    <mergeCell ref="AO203:AQ203"/>
    <mergeCell ref="Z204:AC204"/>
    <mergeCell ref="AE204:AH204"/>
    <mergeCell ref="AJ204:AM204"/>
    <mergeCell ref="AO204:AR204"/>
    <mergeCell ref="AE203:AG203"/>
    <mergeCell ref="AI203:AI204"/>
    <mergeCell ref="AJ203:AL203"/>
    <mergeCell ref="Y192:Z192"/>
    <mergeCell ref="AA192:AC192"/>
    <mergeCell ref="AF192:AG192"/>
    <mergeCell ref="AH192:AJ192"/>
    <mergeCell ref="F193:G193"/>
    <mergeCell ref="H193:J193"/>
    <mergeCell ref="M193:N193"/>
    <mergeCell ref="O193:Q193"/>
    <mergeCell ref="T193:U193"/>
    <mergeCell ref="V193:X193"/>
    <mergeCell ref="I183:P183"/>
    <mergeCell ref="C184:H185"/>
    <mergeCell ref="N184:O185"/>
    <mergeCell ref="L186:M186"/>
    <mergeCell ref="O186:Q186"/>
    <mergeCell ref="V186:X186"/>
    <mergeCell ref="C187:G188"/>
    <mergeCell ref="F192:H192"/>
    <mergeCell ref="K192:L192"/>
    <mergeCell ref="M192:O192"/>
    <mergeCell ref="R192:S192"/>
    <mergeCell ref="T192:V192"/>
    <mergeCell ref="AJ169:AP170"/>
    <mergeCell ref="L171:N171"/>
    <mergeCell ref="S171:V171"/>
    <mergeCell ref="Y171:AA171"/>
    <mergeCell ref="C172:G173"/>
    <mergeCell ref="I179:M179"/>
    <mergeCell ref="N179:O179"/>
    <mergeCell ref="O180:Q180"/>
    <mergeCell ref="K181:M182"/>
    <mergeCell ref="N181:N182"/>
    <mergeCell ref="O181:P181"/>
    <mergeCell ref="S181:S182"/>
    <mergeCell ref="T181:V182"/>
    <mergeCell ref="W181:X182"/>
    <mergeCell ref="O182:R182"/>
    <mergeCell ref="I168:P168"/>
    <mergeCell ref="C169:H170"/>
    <mergeCell ref="S169:U170"/>
    <mergeCell ref="V169:Y170"/>
    <mergeCell ref="Z169:Z170"/>
    <mergeCell ref="AA169:AC170"/>
    <mergeCell ref="AD169:AE170"/>
    <mergeCell ref="AF169:AF170"/>
    <mergeCell ref="AG169:AI170"/>
    <mergeCell ref="L155:O155"/>
    <mergeCell ref="AA155:AC155"/>
    <mergeCell ref="C156:G157"/>
    <mergeCell ref="Z158:AA159"/>
    <mergeCell ref="I165:M165"/>
    <mergeCell ref="N165:O165"/>
    <mergeCell ref="C166:I167"/>
    <mergeCell ref="J166:L167"/>
    <mergeCell ref="M166:M167"/>
    <mergeCell ref="N166:O166"/>
    <mergeCell ref="R166:R167"/>
    <mergeCell ref="S166:U167"/>
    <mergeCell ref="V166:W167"/>
    <mergeCell ref="AI139:AO140"/>
    <mergeCell ref="L141:N141"/>
    <mergeCell ref="S141:V141"/>
    <mergeCell ref="Y141:AA141"/>
    <mergeCell ref="C142:G143"/>
    <mergeCell ref="H147:J147"/>
    <mergeCell ref="I152:P152"/>
    <mergeCell ref="C153:H154"/>
    <mergeCell ref="S153:T154"/>
    <mergeCell ref="U153:V154"/>
    <mergeCell ref="W153:Y154"/>
    <mergeCell ref="Z153:AA154"/>
    <mergeCell ref="AB153:AB154"/>
    <mergeCell ref="AC153:AF154"/>
    <mergeCell ref="AG153:AM154"/>
    <mergeCell ref="I138:P138"/>
    <mergeCell ref="C139:H140"/>
    <mergeCell ref="R139:T140"/>
    <mergeCell ref="U139:X140"/>
    <mergeCell ref="Y139:Y140"/>
    <mergeCell ref="Z139:AB140"/>
    <mergeCell ref="AC139:AD140"/>
    <mergeCell ref="AE139:AE140"/>
    <mergeCell ref="AF139:AH140"/>
    <mergeCell ref="AA125:AC125"/>
    <mergeCell ref="C126:G127"/>
    <mergeCell ref="AB128:AC129"/>
    <mergeCell ref="I135:M135"/>
    <mergeCell ref="N135:O135"/>
    <mergeCell ref="C136:I137"/>
    <mergeCell ref="J136:L137"/>
    <mergeCell ref="M136:M137"/>
    <mergeCell ref="N136:O136"/>
    <mergeCell ref="R136:R137"/>
    <mergeCell ref="S136:U137"/>
    <mergeCell ref="V136:W137"/>
    <mergeCell ref="L125:O125"/>
    <mergeCell ref="AG117:AL118"/>
    <mergeCell ref="AG120:AK121"/>
    <mergeCell ref="I122:P122"/>
    <mergeCell ref="C123:H124"/>
    <mergeCell ref="R123:S124"/>
    <mergeCell ref="T123:U124"/>
    <mergeCell ref="V123:X124"/>
    <mergeCell ref="Y123:Z124"/>
    <mergeCell ref="AA123:AA124"/>
    <mergeCell ref="AB123:AE124"/>
    <mergeCell ref="AF123:AL124"/>
    <mergeCell ref="H114:J114"/>
    <mergeCell ref="C115:I116"/>
    <mergeCell ref="J115:W116"/>
    <mergeCell ref="J117:Z118"/>
    <mergeCell ref="AA117:AE117"/>
    <mergeCell ref="AF117:AF118"/>
    <mergeCell ref="AB103:AC104"/>
    <mergeCell ref="O104:R104"/>
    <mergeCell ref="T104:W104"/>
    <mergeCell ref="I105:P105"/>
    <mergeCell ref="C106:H107"/>
    <mergeCell ref="N106:O107"/>
    <mergeCell ref="L108:M108"/>
    <mergeCell ref="O108:Q108"/>
    <mergeCell ref="V108:X108"/>
    <mergeCell ref="Y95:Z95"/>
    <mergeCell ref="I101:M101"/>
    <mergeCell ref="N101:O101"/>
    <mergeCell ref="P102:R102"/>
    <mergeCell ref="K103:M104"/>
    <mergeCell ref="N103:N104"/>
    <mergeCell ref="O103:R103"/>
    <mergeCell ref="S103:S104"/>
    <mergeCell ref="T103:U103"/>
    <mergeCell ref="X103:X104"/>
    <mergeCell ref="Y103:AA104"/>
    <mergeCell ref="AO87:AP87"/>
    <mergeCell ref="K90:M91"/>
    <mergeCell ref="N90:N91"/>
    <mergeCell ref="O90:P90"/>
    <mergeCell ref="V90:V91"/>
    <mergeCell ref="W90:Y90"/>
    <mergeCell ref="AH90:AH91"/>
    <mergeCell ref="O91:P91"/>
    <mergeCell ref="Q90:Q91"/>
    <mergeCell ref="R90:U91"/>
    <mergeCell ref="W91:AA91"/>
    <mergeCell ref="AB90:AB91"/>
    <mergeCell ref="AC90:AE91"/>
    <mergeCell ref="AF90:AG91"/>
    <mergeCell ref="I78:P78"/>
    <mergeCell ref="C79:H80"/>
    <mergeCell ref="N79:O80"/>
    <mergeCell ref="L81:M81"/>
    <mergeCell ref="O81:Q81"/>
    <mergeCell ref="R81:S81"/>
    <mergeCell ref="V81:X81"/>
    <mergeCell ref="Y81:Z81"/>
    <mergeCell ref="I86:M86"/>
    <mergeCell ref="N86:O86"/>
    <mergeCell ref="V73:V74"/>
    <mergeCell ref="W73:Y74"/>
    <mergeCell ref="Z73:AA74"/>
    <mergeCell ref="N74:O74"/>
    <mergeCell ref="Q74:U74"/>
    <mergeCell ref="J76:L77"/>
    <mergeCell ref="M76:M77"/>
    <mergeCell ref="N76:O76"/>
    <mergeCell ref="P76:P77"/>
    <mergeCell ref="Q76:S76"/>
    <mergeCell ref="T76:U76"/>
    <mergeCell ref="V76:V77"/>
    <mergeCell ref="W76:Y77"/>
    <mergeCell ref="Z76:AA77"/>
    <mergeCell ref="N77:O77"/>
    <mergeCell ref="Q77:U77"/>
    <mergeCell ref="I71:M71"/>
    <mergeCell ref="Q72:S72"/>
    <mergeCell ref="T72:U72"/>
    <mergeCell ref="J73:L74"/>
    <mergeCell ref="M73:M74"/>
    <mergeCell ref="N73:O73"/>
    <mergeCell ref="P73:P74"/>
    <mergeCell ref="Q73:S73"/>
    <mergeCell ref="T73:U73"/>
    <mergeCell ref="AM64:AO64"/>
    <mergeCell ref="AP64:AS64"/>
    <mergeCell ref="B65:C65"/>
    <mergeCell ref="D65:G65"/>
    <mergeCell ref="H65:L65"/>
    <mergeCell ref="M65:N65"/>
    <mergeCell ref="O65:U65"/>
    <mergeCell ref="V65:Z65"/>
    <mergeCell ref="AA65:AG65"/>
    <mergeCell ref="AH65:AL65"/>
    <mergeCell ref="AM65:AO65"/>
    <mergeCell ref="AP65:AS65"/>
    <mergeCell ref="B64:C64"/>
    <mergeCell ref="D64:G64"/>
    <mergeCell ref="H64:L64"/>
    <mergeCell ref="M64:N64"/>
    <mergeCell ref="O64:R64"/>
    <mergeCell ref="S64:U64"/>
    <mergeCell ref="V64:Z64"/>
    <mergeCell ref="AA64:AG64"/>
    <mergeCell ref="AH64:AL64"/>
    <mergeCell ref="O62:R62"/>
    <mergeCell ref="S62:U62"/>
    <mergeCell ref="V62:Z62"/>
    <mergeCell ref="AA62:AD62"/>
    <mergeCell ref="AE62:AG62"/>
    <mergeCell ref="AH62:AL62"/>
    <mergeCell ref="AM62:AO62"/>
    <mergeCell ref="AP62:AS62"/>
    <mergeCell ref="B63:C63"/>
    <mergeCell ref="D63:G63"/>
    <mergeCell ref="H63:L63"/>
    <mergeCell ref="M63:N63"/>
    <mergeCell ref="O63:R63"/>
    <mergeCell ref="S63:U63"/>
    <mergeCell ref="V63:Z63"/>
    <mergeCell ref="AA63:AD63"/>
    <mergeCell ref="AE63:AG63"/>
    <mergeCell ref="AH63:AL63"/>
    <mergeCell ref="AM63:AO63"/>
    <mergeCell ref="AP63:AS63"/>
    <mergeCell ref="AA59:AG59"/>
    <mergeCell ref="AK30:AO30"/>
    <mergeCell ref="AP30:AT30"/>
    <mergeCell ref="AU30:AY30"/>
    <mergeCell ref="AK27:AO27"/>
    <mergeCell ref="AP27:AT27"/>
    <mergeCell ref="AU27:AY27"/>
    <mergeCell ref="AK28:AO28"/>
    <mergeCell ref="AP28:AT28"/>
    <mergeCell ref="AU28:AY28"/>
    <mergeCell ref="AK29:AO29"/>
    <mergeCell ref="AP29:AT29"/>
    <mergeCell ref="AU29:AY29"/>
    <mergeCell ref="AP58:AS58"/>
    <mergeCell ref="AH57:AL57"/>
    <mergeCell ref="AM57:AO57"/>
    <mergeCell ref="AP57:AS57"/>
    <mergeCell ref="AM59:AO59"/>
    <mergeCell ref="AP59:AS59"/>
    <mergeCell ref="AH59:AL59"/>
    <mergeCell ref="AA27:AE27"/>
    <mergeCell ref="AA58:AG58"/>
    <mergeCell ref="AH58:AL58"/>
    <mergeCell ref="AF30:AJ30"/>
    <mergeCell ref="AK24:AO24"/>
    <mergeCell ref="AP24:AT24"/>
    <mergeCell ref="AU24:AY24"/>
    <mergeCell ref="AK25:AO25"/>
    <mergeCell ref="AP25:AT25"/>
    <mergeCell ref="AU25:AY25"/>
    <mergeCell ref="AK26:AO26"/>
    <mergeCell ref="AP26:AT26"/>
    <mergeCell ref="AU26:AY26"/>
    <mergeCell ref="AK21:AO21"/>
    <mergeCell ref="AP21:AT21"/>
    <mergeCell ref="AU21:AY21"/>
    <mergeCell ref="AK22:AO22"/>
    <mergeCell ref="AP22:AT22"/>
    <mergeCell ref="AU22:AY22"/>
    <mergeCell ref="AK23:AO23"/>
    <mergeCell ref="AP23:AT23"/>
    <mergeCell ref="AU23:AY23"/>
    <mergeCell ref="AK18:AO18"/>
    <mergeCell ref="AP18:AT18"/>
    <mergeCell ref="AU18:AY18"/>
    <mergeCell ref="AK19:AO19"/>
    <mergeCell ref="AP19:AT19"/>
    <mergeCell ref="AU19:AY19"/>
    <mergeCell ref="AK20:AO20"/>
    <mergeCell ref="AP20:AT20"/>
    <mergeCell ref="AU20:AY20"/>
    <mergeCell ref="AK15:AO15"/>
    <mergeCell ref="AP15:AT15"/>
    <mergeCell ref="AU15:AY15"/>
    <mergeCell ref="AK16:AO16"/>
    <mergeCell ref="AP16:AT16"/>
    <mergeCell ref="AU16:AY16"/>
    <mergeCell ref="AK17:AO17"/>
    <mergeCell ref="AP17:AT17"/>
    <mergeCell ref="AU17:AY17"/>
    <mergeCell ref="AK12:AO12"/>
    <mergeCell ref="AP12:AT12"/>
    <mergeCell ref="AU12:AY12"/>
    <mergeCell ref="AK13:AO13"/>
    <mergeCell ref="AP13:AT13"/>
    <mergeCell ref="AU13:AY13"/>
    <mergeCell ref="AK14:AO14"/>
    <mergeCell ref="AP14:AT14"/>
    <mergeCell ref="AU14:AY14"/>
    <mergeCell ref="AK8:AO9"/>
    <mergeCell ref="AP8:AT9"/>
    <mergeCell ref="AU8:AY9"/>
    <mergeCell ref="AK10:AO10"/>
    <mergeCell ref="AP10:AT10"/>
    <mergeCell ref="AU10:AY10"/>
    <mergeCell ref="AK11:AO11"/>
    <mergeCell ref="AP11:AT11"/>
    <mergeCell ref="AU11:AY11"/>
    <mergeCell ref="B25:F25"/>
    <mergeCell ref="G25:K25"/>
    <mergeCell ref="L25:P25"/>
    <mergeCell ref="G29:K29"/>
    <mergeCell ref="L29:P29"/>
    <mergeCell ref="B60:C60"/>
    <mergeCell ref="N71:O71"/>
    <mergeCell ref="B61:C61"/>
    <mergeCell ref="D61:G61"/>
    <mergeCell ref="H61:L61"/>
    <mergeCell ref="B54:C56"/>
    <mergeCell ref="D54:G54"/>
    <mergeCell ref="H54:N54"/>
    <mergeCell ref="O54:U54"/>
    <mergeCell ref="D55:G55"/>
    <mergeCell ref="B62:C62"/>
    <mergeCell ref="D62:G62"/>
    <mergeCell ref="H62:L62"/>
    <mergeCell ref="M62:N62"/>
    <mergeCell ref="B26:F26"/>
    <mergeCell ref="G26:K26"/>
    <mergeCell ref="B57:C57"/>
    <mergeCell ref="H58:L58"/>
    <mergeCell ref="D57:G57"/>
    <mergeCell ref="H57:L57"/>
    <mergeCell ref="B30:F30"/>
    <mergeCell ref="G30:K30"/>
    <mergeCell ref="L30:P30"/>
    <mergeCell ref="B28:F28"/>
    <mergeCell ref="G28:K28"/>
    <mergeCell ref="L28:P28"/>
    <mergeCell ref="C38:E38"/>
    <mergeCell ref="H59:L59"/>
    <mergeCell ref="M59:N59"/>
    <mergeCell ref="B58:C58"/>
    <mergeCell ref="B29:F29"/>
    <mergeCell ref="C35:E35"/>
    <mergeCell ref="O59:R59"/>
    <mergeCell ref="C39:E39"/>
    <mergeCell ref="C45:E45"/>
    <mergeCell ref="O55:U55"/>
    <mergeCell ref="C40:E40"/>
    <mergeCell ref="C41:E41"/>
    <mergeCell ref="C42:E42"/>
    <mergeCell ref="C43:E43"/>
    <mergeCell ref="C44:E44"/>
    <mergeCell ref="D56:G56"/>
    <mergeCell ref="H56:N56"/>
    <mergeCell ref="N4:S4"/>
    <mergeCell ref="T4:Y4"/>
    <mergeCell ref="N5:S5"/>
    <mergeCell ref="T5:Y5"/>
    <mergeCell ref="L26:P26"/>
    <mergeCell ref="Q26:U26"/>
    <mergeCell ref="B27:F27"/>
    <mergeCell ref="G27:K27"/>
    <mergeCell ref="L27:P27"/>
    <mergeCell ref="Q27:U27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V10:Z10"/>
    <mergeCell ref="B8:F9"/>
    <mergeCell ref="O56:U56"/>
    <mergeCell ref="H55:N55"/>
    <mergeCell ref="B10:F10"/>
    <mergeCell ref="AA14:AE14"/>
    <mergeCell ref="B13:F13"/>
    <mergeCell ref="G13:K13"/>
    <mergeCell ref="L13:P13"/>
    <mergeCell ref="Q13:U13"/>
    <mergeCell ref="G9:K9"/>
    <mergeCell ref="L9:P9"/>
    <mergeCell ref="Q9:U9"/>
    <mergeCell ref="B12:F12"/>
    <mergeCell ref="G12:K12"/>
    <mergeCell ref="L12:P12"/>
    <mergeCell ref="Q12:U12"/>
    <mergeCell ref="B11:F11"/>
    <mergeCell ref="G11:K11"/>
    <mergeCell ref="L11:P11"/>
    <mergeCell ref="Q11:U11"/>
    <mergeCell ref="AA11:AE11"/>
    <mergeCell ref="AA10:AE10"/>
    <mergeCell ref="Q25:U25"/>
    <mergeCell ref="V25:Z25"/>
    <mergeCell ref="AA30:AE30"/>
    <mergeCell ref="AA60:AD60"/>
    <mergeCell ref="AE60:AG60"/>
    <mergeCell ref="AM58:AO58"/>
    <mergeCell ref="AA55:AG55"/>
    <mergeCell ref="AA57:AG57"/>
    <mergeCell ref="V58:Z58"/>
    <mergeCell ref="Q29:U29"/>
    <mergeCell ref="G8:AE8"/>
    <mergeCell ref="AA13:AE13"/>
    <mergeCell ref="V9:Z9"/>
    <mergeCell ref="AA9:AE9"/>
    <mergeCell ref="V30:Z30"/>
    <mergeCell ref="Q30:U30"/>
    <mergeCell ref="D58:G58"/>
    <mergeCell ref="V57:Z57"/>
    <mergeCell ref="S58:U58"/>
    <mergeCell ref="C37:E37"/>
    <mergeCell ref="C36:E36"/>
    <mergeCell ref="M58:N58"/>
    <mergeCell ref="O58:R58"/>
    <mergeCell ref="M57:N57"/>
    <mergeCell ref="O57:R57"/>
    <mergeCell ref="V55:Z55"/>
    <mergeCell ref="S57:U57"/>
    <mergeCell ref="AH60:AL60"/>
    <mergeCell ref="AM60:AO60"/>
    <mergeCell ref="M60:N60"/>
    <mergeCell ref="AM61:AO61"/>
    <mergeCell ref="AP61:AS61"/>
    <mergeCell ref="M61:N61"/>
    <mergeCell ref="AA12:AE12"/>
    <mergeCell ref="V11:Z11"/>
    <mergeCell ref="V27:Z27"/>
    <mergeCell ref="AF27:AJ27"/>
    <mergeCell ref="V61:Z61"/>
    <mergeCell ref="AH61:AL61"/>
    <mergeCell ref="AA61:AD61"/>
    <mergeCell ref="AE61:AG61"/>
    <mergeCell ref="AP55:AS55"/>
    <mergeCell ref="AP56:AS56"/>
    <mergeCell ref="AP54:AS54"/>
    <mergeCell ref="V54:Z54"/>
    <mergeCell ref="AA54:AG54"/>
    <mergeCell ref="AH54:AO54"/>
    <mergeCell ref="AH55:AO55"/>
    <mergeCell ref="V56:Z56"/>
    <mergeCell ref="AA56:AG56"/>
    <mergeCell ref="AH56:AO56"/>
    <mergeCell ref="AA29:AE29"/>
    <mergeCell ref="AF29:AJ29"/>
    <mergeCell ref="AF28:AJ28"/>
    <mergeCell ref="V26:Z26"/>
    <mergeCell ref="AA25:AE25"/>
    <mergeCell ref="AF25:AJ25"/>
    <mergeCell ref="V28:Z28"/>
    <mergeCell ref="AA28:AE28"/>
    <mergeCell ref="Q28:U28"/>
    <mergeCell ref="V29:Z29"/>
    <mergeCell ref="AA26:AE26"/>
    <mergeCell ref="AF26:AJ26"/>
    <mergeCell ref="AF8:AJ9"/>
    <mergeCell ref="AF12:AJ12"/>
    <mergeCell ref="AF11:AJ11"/>
    <mergeCell ref="AF10:AJ10"/>
    <mergeCell ref="AF13:AJ13"/>
    <mergeCell ref="AA19:AE19"/>
    <mergeCell ref="AF19:AJ19"/>
    <mergeCell ref="V12:Z12"/>
    <mergeCell ref="B16:F16"/>
    <mergeCell ref="G16:K16"/>
    <mergeCell ref="L16:P16"/>
    <mergeCell ref="Q16:U16"/>
    <mergeCell ref="V13:Z13"/>
    <mergeCell ref="AA17:AE17"/>
    <mergeCell ref="AF17:AJ17"/>
    <mergeCell ref="V16:Z16"/>
    <mergeCell ref="AA16:AE16"/>
    <mergeCell ref="AF16:AJ16"/>
    <mergeCell ref="B15:F15"/>
    <mergeCell ref="G15:K15"/>
    <mergeCell ref="L15:P15"/>
    <mergeCell ref="AF14:AJ14"/>
    <mergeCell ref="Q15:U15"/>
    <mergeCell ref="V15:Z15"/>
    <mergeCell ref="AA15:AE15"/>
    <mergeCell ref="AF15:AJ15"/>
    <mergeCell ref="B18:F18"/>
    <mergeCell ref="G18:K18"/>
    <mergeCell ref="L18:P18"/>
    <mergeCell ref="Q18:U18"/>
    <mergeCell ref="V18:Z18"/>
    <mergeCell ref="AA18:AE18"/>
    <mergeCell ref="AF18:AJ18"/>
    <mergeCell ref="B17:F17"/>
    <mergeCell ref="G17:K17"/>
    <mergeCell ref="L17:P17"/>
    <mergeCell ref="Q17:U17"/>
    <mergeCell ref="V17:Z17"/>
    <mergeCell ref="B20:F20"/>
    <mergeCell ref="G20:K20"/>
    <mergeCell ref="L20:P20"/>
    <mergeCell ref="Q20:U20"/>
    <mergeCell ref="V20:Z20"/>
    <mergeCell ref="AA20:AE20"/>
    <mergeCell ref="AF20:AJ20"/>
    <mergeCell ref="B19:F19"/>
    <mergeCell ref="G19:K19"/>
    <mergeCell ref="L19:P19"/>
    <mergeCell ref="Q19:U19"/>
    <mergeCell ref="V19:Z19"/>
    <mergeCell ref="B21:F21"/>
    <mergeCell ref="G21:K21"/>
    <mergeCell ref="L21:P21"/>
    <mergeCell ref="Q21:U21"/>
    <mergeCell ref="V21:Z21"/>
    <mergeCell ref="AA21:AE21"/>
    <mergeCell ref="AF21:AJ21"/>
    <mergeCell ref="B22:F22"/>
    <mergeCell ref="G22:K22"/>
    <mergeCell ref="L22:P22"/>
    <mergeCell ref="Q22:U22"/>
    <mergeCell ref="V22:Z22"/>
    <mergeCell ref="AA22:AE22"/>
    <mergeCell ref="AF22:AJ22"/>
    <mergeCell ref="B24:F24"/>
    <mergeCell ref="G24:K24"/>
    <mergeCell ref="L24:P24"/>
    <mergeCell ref="Q24:U24"/>
    <mergeCell ref="V24:Z24"/>
    <mergeCell ref="AA24:AE24"/>
    <mergeCell ref="AF24:AJ24"/>
    <mergeCell ref="B23:F23"/>
    <mergeCell ref="G23:K23"/>
    <mergeCell ref="L23:P23"/>
    <mergeCell ref="Q23:U23"/>
    <mergeCell ref="V23:Z23"/>
    <mergeCell ref="AA23:AE23"/>
    <mergeCell ref="AF23:AJ23"/>
    <mergeCell ref="AI90:AK91"/>
    <mergeCell ref="AL90:AM91"/>
    <mergeCell ref="D202:D203"/>
    <mergeCell ref="E202:AQ202"/>
    <mergeCell ref="S59:U59"/>
    <mergeCell ref="V59:Z59"/>
    <mergeCell ref="C109:G110"/>
    <mergeCell ref="I92:P92"/>
    <mergeCell ref="C93:H94"/>
    <mergeCell ref="N93:O94"/>
    <mergeCell ref="L95:M95"/>
    <mergeCell ref="O95:Q95"/>
    <mergeCell ref="R95:S95"/>
    <mergeCell ref="V95:X95"/>
    <mergeCell ref="B59:C59"/>
    <mergeCell ref="D59:G59"/>
    <mergeCell ref="O61:R61"/>
    <mergeCell ref="S61:U61"/>
    <mergeCell ref="AP60:AS60"/>
    <mergeCell ref="D60:G60"/>
    <mergeCell ref="H60:L60"/>
    <mergeCell ref="O60:R60"/>
    <mergeCell ref="S60:U60"/>
    <mergeCell ref="V60:Z6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77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3"/>
    <col min="3" max="3" width="10.77734375" style="123" bestFit="1" customWidth="1"/>
    <col min="4" max="4" width="8.77734375" style="123"/>
    <col min="5" max="21" width="8.77734375" style="122"/>
    <col min="22" max="16384" width="8.77734375" style="121"/>
  </cols>
  <sheetData>
    <row r="1" spans="1:31" ht="15" customHeight="1">
      <c r="A1" s="118" t="s">
        <v>346</v>
      </c>
      <c r="B1" s="119"/>
      <c r="C1" s="119"/>
      <c r="D1" s="119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</row>
    <row r="2" spans="1:31" ht="24">
      <c r="B2" s="269" t="s">
        <v>347</v>
      </c>
      <c r="C2" s="269" t="s">
        <v>348</v>
      </c>
      <c r="D2" s="269" t="s">
        <v>349</v>
      </c>
      <c r="E2" s="269" t="s">
        <v>350</v>
      </c>
      <c r="F2" s="269" t="s">
        <v>191</v>
      </c>
      <c r="G2" s="269" t="s">
        <v>201</v>
      </c>
      <c r="H2" s="269" t="s">
        <v>61</v>
      </c>
      <c r="I2" s="269" t="s">
        <v>351</v>
      </c>
      <c r="J2" s="269" t="s">
        <v>60</v>
      </c>
      <c r="K2" s="269" t="s">
        <v>352</v>
      </c>
      <c r="L2" s="269" t="s">
        <v>223</v>
      </c>
      <c r="M2" s="269" t="s">
        <v>353</v>
      </c>
      <c r="N2" s="269" t="s">
        <v>354</v>
      </c>
      <c r="O2" s="269" t="s">
        <v>355</v>
      </c>
      <c r="P2" s="284" t="s">
        <v>545</v>
      </c>
      <c r="Q2" s="269" t="s">
        <v>217</v>
      </c>
      <c r="R2" s="269" t="s">
        <v>356</v>
      </c>
      <c r="S2" s="269" t="s">
        <v>192</v>
      </c>
      <c r="T2" s="269" t="s">
        <v>357</v>
      </c>
      <c r="U2" s="200" t="s">
        <v>119</v>
      </c>
      <c r="V2" s="200" t="s">
        <v>120</v>
      </c>
    </row>
    <row r="3" spans="1:31" ht="15" customHeight="1">
      <c r="B3" s="176" t="e">
        <f>C3</f>
        <v>#DIV/0!</v>
      </c>
      <c r="C3" s="176" t="e">
        <f>AVERAGE(기본정보!B12:B13)</f>
        <v>#DIV/0!</v>
      </c>
      <c r="D3" s="176">
        <f>11.5*10^-6</f>
        <v>1.15E-5</v>
      </c>
      <c r="E3" s="176">
        <f>11.6*10^-6</f>
        <v>1.1599999999999999E-5</v>
      </c>
      <c r="F3" s="176">
        <f>MIN(C9:C28)</f>
        <v>0</v>
      </c>
      <c r="G3" s="176">
        <f>MAX(C9:C28)</f>
        <v>0</v>
      </c>
      <c r="H3" s="176">
        <f>Length_1!G4</f>
        <v>0</v>
      </c>
      <c r="I3" s="176">
        <f>Length_1!H4</f>
        <v>0</v>
      </c>
      <c r="J3" s="176">
        <f>Length_1!I4</f>
        <v>0</v>
      </c>
      <c r="K3" s="176">
        <f>IF(J3="inch",25.4,1)</f>
        <v>1</v>
      </c>
      <c r="L3" s="176">
        <f>MIN(O9:O28)</f>
        <v>0</v>
      </c>
      <c r="M3" s="176">
        <f>MAX(O9:O28)</f>
        <v>0</v>
      </c>
      <c r="N3" s="176" t="e">
        <f ca="1">OFFSET(Z$8,MATCH(M$3,O$9:O$28,0),0)</f>
        <v>#N/A</v>
      </c>
      <c r="O3" s="176">
        <f>H3*K3</f>
        <v>0</v>
      </c>
      <c r="P3" s="176" t="str">
        <f ca="1">TEXT(O3,OFFSET(P49,MATCH(IFERROR(LEN(O3)-FIND(".",O3),0),O50:O59,0),0))</f>
        <v>0</v>
      </c>
      <c r="Q3" s="176">
        <f>I3*K3</f>
        <v>0</v>
      </c>
      <c r="R3" s="176" t="e">
        <f ca="1">OFFSET(Length_1!C3,MATCH($M3,$O9:$O28,0),0)</f>
        <v>#N/A</v>
      </c>
      <c r="S3" s="176" t="e">
        <f ca="1">OFFSET(Length_1!D3,MATCH($M3,$O9:$O28,0),0)</f>
        <v>#N/A</v>
      </c>
      <c r="T3" s="176" t="e">
        <f ca="1">OFFSET(Length_1!E3,MATCH($M3,$O9:$O28,0),0)</f>
        <v>#N/A</v>
      </c>
      <c r="U3" s="129" t="e">
        <f ca="1">IF(SUM(R45)=0,"","초과")</f>
        <v>#N/A</v>
      </c>
      <c r="V3" s="131" t="str">
        <f>IF(SUM(AD8)=0,"PASS","FAIL")</f>
        <v>PASS</v>
      </c>
    </row>
    <row r="4" spans="1:31" ht="15" customHeight="1">
      <c r="B4" s="119"/>
      <c r="C4" s="119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</row>
    <row r="5" spans="1:31" ht="15" customHeight="1">
      <c r="A5" s="118" t="s">
        <v>358</v>
      </c>
      <c r="C5" s="119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1"/>
      <c r="U5" s="121"/>
      <c r="X5" s="132" t="s">
        <v>359</v>
      </c>
    </row>
    <row r="6" spans="1:31" ht="15" customHeight="1">
      <c r="B6" s="479" t="s">
        <v>224</v>
      </c>
      <c r="C6" s="482" t="s">
        <v>99</v>
      </c>
      <c r="D6" s="482" t="s">
        <v>60</v>
      </c>
      <c r="E6" s="485" t="s">
        <v>527</v>
      </c>
      <c r="F6" s="485"/>
      <c r="G6" s="485"/>
      <c r="H6" s="485"/>
      <c r="I6" s="485"/>
      <c r="J6" s="485"/>
      <c r="K6" s="500" t="s">
        <v>79</v>
      </c>
      <c r="L6" s="269" t="s">
        <v>218</v>
      </c>
      <c r="M6" s="269" t="s">
        <v>169</v>
      </c>
      <c r="N6" s="275" t="s">
        <v>99</v>
      </c>
      <c r="O6" s="269" t="s">
        <v>99</v>
      </c>
      <c r="P6" s="266" t="s">
        <v>193</v>
      </c>
      <c r="Q6" s="269" t="s">
        <v>195</v>
      </c>
      <c r="R6" s="267" t="s">
        <v>198</v>
      </c>
      <c r="S6" s="269" t="s">
        <v>345</v>
      </c>
      <c r="T6" s="269" t="s">
        <v>169</v>
      </c>
      <c r="U6" s="486" t="s">
        <v>225</v>
      </c>
      <c r="V6" s="487"/>
      <c r="W6" s="124"/>
      <c r="X6" s="497" t="s">
        <v>95</v>
      </c>
      <c r="Y6" s="498"/>
      <c r="Z6" s="486" t="s">
        <v>226</v>
      </c>
      <c r="AA6" s="493"/>
      <c r="AB6" s="493"/>
      <c r="AC6" s="493"/>
      <c r="AD6" s="493"/>
      <c r="AE6" s="487"/>
    </row>
    <row r="7" spans="1:31" ht="15" customHeight="1">
      <c r="B7" s="479"/>
      <c r="C7" s="484"/>
      <c r="D7" s="484"/>
      <c r="E7" s="193" t="s">
        <v>91</v>
      </c>
      <c r="F7" s="272" t="s">
        <v>118</v>
      </c>
      <c r="G7" s="193" t="s">
        <v>112</v>
      </c>
      <c r="H7" s="272" t="s">
        <v>113</v>
      </c>
      <c r="I7" s="193" t="s">
        <v>114</v>
      </c>
      <c r="J7" s="272" t="s">
        <v>360</v>
      </c>
      <c r="K7" s="501"/>
      <c r="L7" s="269" t="s">
        <v>361</v>
      </c>
      <c r="M7" s="269" t="s">
        <v>362</v>
      </c>
      <c r="N7" s="275" t="s">
        <v>487</v>
      </c>
      <c r="O7" s="269" t="s">
        <v>363</v>
      </c>
      <c r="P7" s="269" t="s">
        <v>364</v>
      </c>
      <c r="Q7" s="269" t="s">
        <v>365</v>
      </c>
      <c r="R7" s="269" t="s">
        <v>366</v>
      </c>
      <c r="S7" s="269" t="s">
        <v>367</v>
      </c>
      <c r="T7" s="269" t="s">
        <v>368</v>
      </c>
      <c r="U7" s="269" t="s">
        <v>369</v>
      </c>
      <c r="V7" s="269" t="s">
        <v>370</v>
      </c>
      <c r="W7" s="124"/>
      <c r="X7" s="194" t="s">
        <v>371</v>
      </c>
      <c r="Y7" s="194" t="s">
        <v>372</v>
      </c>
      <c r="Z7" s="269" t="s">
        <v>373</v>
      </c>
      <c r="AA7" s="269" t="s">
        <v>374</v>
      </c>
      <c r="AB7" s="269" t="s">
        <v>375</v>
      </c>
      <c r="AC7" s="192" t="s">
        <v>376</v>
      </c>
      <c r="AD7" s="192" t="s">
        <v>377</v>
      </c>
      <c r="AE7" s="192" t="s">
        <v>378</v>
      </c>
    </row>
    <row r="8" spans="1:31" ht="15" customHeight="1">
      <c r="B8" s="479"/>
      <c r="C8" s="483"/>
      <c r="D8" s="483"/>
      <c r="E8" s="272">
        <f>J3</f>
        <v>0</v>
      </c>
      <c r="F8" s="272">
        <f t="shared" ref="F8:J8" si="0">E8</f>
        <v>0</v>
      </c>
      <c r="G8" s="272">
        <f t="shared" si="0"/>
        <v>0</v>
      </c>
      <c r="H8" s="272">
        <f t="shared" si="0"/>
        <v>0</v>
      </c>
      <c r="I8" s="272">
        <f t="shared" si="0"/>
        <v>0</v>
      </c>
      <c r="J8" s="272">
        <f t="shared" si="0"/>
        <v>0</v>
      </c>
      <c r="K8" s="269" t="s">
        <v>379</v>
      </c>
      <c r="L8" s="269" t="s">
        <v>380</v>
      </c>
      <c r="M8" s="269" t="s">
        <v>122</v>
      </c>
      <c r="N8" s="275" t="s">
        <v>219</v>
      </c>
      <c r="O8" s="269" t="s">
        <v>380</v>
      </c>
      <c r="P8" s="268" t="s">
        <v>381</v>
      </c>
      <c r="Q8" s="269" t="s">
        <v>382</v>
      </c>
      <c r="R8" s="268" t="s">
        <v>381</v>
      </c>
      <c r="S8" s="269" t="s">
        <v>382</v>
      </c>
      <c r="T8" s="269" t="s">
        <v>383</v>
      </c>
      <c r="U8" s="269" t="s">
        <v>384</v>
      </c>
      <c r="V8" s="269" t="s">
        <v>379</v>
      </c>
      <c r="W8" s="124"/>
      <c r="X8" s="269" t="s">
        <v>379</v>
      </c>
      <c r="Y8" s="269" t="s">
        <v>384</v>
      </c>
      <c r="Z8" s="269" t="s">
        <v>384</v>
      </c>
      <c r="AA8" s="269" t="s">
        <v>380</v>
      </c>
      <c r="AB8" s="269" t="s">
        <v>383</v>
      </c>
      <c r="AC8" s="269" t="s">
        <v>380</v>
      </c>
      <c r="AD8" s="285">
        <f>IF(TYPE(MATCH("FAIL",AD9:AD28,0))=16,0,1)</f>
        <v>0</v>
      </c>
      <c r="AE8" s="192" t="s">
        <v>380</v>
      </c>
    </row>
    <row r="9" spans="1:31" ht="15" customHeight="1">
      <c r="B9" s="201" t="b">
        <f>IF(TRIM(Length_1!A4)="",FALSE,TRUE)</f>
        <v>0</v>
      </c>
      <c r="C9" s="176" t="str">
        <f>IF($B9=FALSE,"",VALUE(Length_1!A4))</f>
        <v/>
      </c>
      <c r="D9" s="176" t="str">
        <f>IF($B9=FALSE,"",Length_1!B4)</f>
        <v/>
      </c>
      <c r="E9" s="202" t="str">
        <f>IF($B9=FALSE,"",Length_1!M4)</f>
        <v/>
      </c>
      <c r="F9" s="202" t="str">
        <f>IF($B9=FALSE,"",Length_1!N4)</f>
        <v/>
      </c>
      <c r="G9" s="202" t="str">
        <f>IF($B9=FALSE,"",Length_1!O4)</f>
        <v/>
      </c>
      <c r="H9" s="202" t="str">
        <f>IF($B9=FALSE,"",Length_1!P4)</f>
        <v/>
      </c>
      <c r="I9" s="202" t="str">
        <f>IF($B9=FALSE,"",Length_1!Q4)</f>
        <v/>
      </c>
      <c r="J9" s="203" t="str">
        <f>IF($B9=FALSE,"",AVERAGE(E9:I9))</f>
        <v/>
      </c>
      <c r="K9" s="273" t="str">
        <f t="shared" ref="K9:K28" si="1">IF($B9=FALSE,"",STDEV(E9:I9)*K$3)</f>
        <v/>
      </c>
      <c r="L9" s="204" t="str">
        <f>IF(B9=FALSE,"",J9)</f>
        <v/>
      </c>
      <c r="M9" s="205" t="str">
        <f>IF(B9=FALSE,"",Length_1!B27-O9)</f>
        <v/>
      </c>
      <c r="N9" s="206" t="str">
        <f>IF(B9=FALSE,"",C9*K$3)</f>
        <v/>
      </c>
      <c r="O9" s="183" t="str">
        <f t="shared" ref="O9:O28" si="2">IF(B9=FALSE,"",C9*K$3)</f>
        <v/>
      </c>
      <c r="P9" s="176" t="str">
        <f t="shared" ref="P9:P28" si="3">IF($B9=FALSE,"",AVERAGE(D$3:E$3))</f>
        <v/>
      </c>
      <c r="Q9" s="176" t="str">
        <f t="shared" ref="Q9:Q28" si="4">IF($B9=FALSE,"",B$3-C$3)</f>
        <v/>
      </c>
      <c r="R9" s="176" t="str">
        <f t="shared" ref="R9:R28" si="5">IF($B9=FALSE,"",D$3-E$3)</f>
        <v/>
      </c>
      <c r="S9" s="176" t="str">
        <f t="shared" ref="S9:S28" si="6">IF($B9=FALSE,"",AVERAGE(B$3:C$3)-20)</f>
        <v/>
      </c>
      <c r="T9" s="207" t="str">
        <f>IF(B9=FALSE,"",L9+M9-N9-(P9*Q9+R9*S9)*O9)</f>
        <v/>
      </c>
      <c r="U9" s="176" t="str">
        <f>IF($B9=FALSE,"",ROUND(T9,$M$45))</f>
        <v/>
      </c>
      <c r="V9" s="176" t="str">
        <f>IF($B9=FALSE,"",ROUND(O9+U9,$M$45))</f>
        <v/>
      </c>
      <c r="W9" s="124"/>
      <c r="X9" s="176" t="e">
        <f ca="1">IF(Length_1!J4&lt;0,ROUNDUP(Length_1!J4,$M$45),ROUNDDOWN(Length_1!J4,$M$45))</f>
        <v>#N/A</v>
      </c>
      <c r="Y9" s="176" t="e">
        <f ca="1">IF(Length_1!K4&lt;0,ROUNDDOWN(Length_1!K4,$M$45),ROUNDUP(Length_1!K4,$M$45))</f>
        <v>#N/A</v>
      </c>
      <c r="Z9" s="176" t="str">
        <f>TEXT(O9,IF(O9&gt;=1000,"# ##0","0"))</f>
        <v/>
      </c>
      <c r="AA9" s="176" t="e">
        <f t="shared" ref="AA9:AA28" ca="1" si="7">TEXT(V9,IF(V9&gt;=1000,"# ##","")&amp;$P$45)</f>
        <v>#N/A</v>
      </c>
      <c r="AB9" s="176" t="e">
        <f t="shared" ref="AB9:AB28" ca="1" si="8">TEXT(U9,$P$45)</f>
        <v>#N/A</v>
      </c>
      <c r="AC9" s="176" t="e">
        <f t="shared" ref="AC9:AC28" ca="1" si="9">"± "&amp;TEXT(Y9-O9,P$45)</f>
        <v>#N/A</v>
      </c>
      <c r="AD9" s="176" t="str">
        <f>IF($B9=FALSE,"",IF(AND(X9&lt;=V9,V9&lt;=Y9),"PASS","FAIL"))</f>
        <v/>
      </c>
      <c r="AE9" s="176" t="e">
        <f ca="1">S$45</f>
        <v>#N/A</v>
      </c>
    </row>
    <row r="10" spans="1:31" ht="15" customHeight="1">
      <c r="B10" s="201" t="b">
        <f>IF(TRIM(Length_1!A5)="",FALSE,TRUE)</f>
        <v>0</v>
      </c>
      <c r="C10" s="176" t="str">
        <f>IF($B10=FALSE,"",VALUE(Length_1!A5))</f>
        <v/>
      </c>
      <c r="D10" s="176" t="str">
        <f>IF($B10=FALSE,"",Length_1!B5)</f>
        <v/>
      </c>
      <c r="E10" s="202" t="str">
        <f>IF($B10=FALSE,"",Length_1!M5)</f>
        <v/>
      </c>
      <c r="F10" s="202" t="str">
        <f>IF($B10=FALSE,"",Length_1!N5)</f>
        <v/>
      </c>
      <c r="G10" s="202" t="str">
        <f>IF($B10=FALSE,"",Length_1!O5)</f>
        <v/>
      </c>
      <c r="H10" s="202" t="str">
        <f>IF($B10=FALSE,"",Length_1!P5)</f>
        <v/>
      </c>
      <c r="I10" s="202" t="str">
        <f>IF($B10=FALSE,"",Length_1!Q5)</f>
        <v/>
      </c>
      <c r="J10" s="203" t="str">
        <f t="shared" ref="J10:J28" si="10">IF($B10=FALSE,"",AVERAGE(E10:I10))</f>
        <v/>
      </c>
      <c r="K10" s="273" t="str">
        <f t="shared" si="1"/>
        <v/>
      </c>
      <c r="L10" s="204" t="str">
        <f t="shared" ref="L10:L28" si="11">IF(B10=FALSE,"",J10)</f>
        <v/>
      </c>
      <c r="M10" s="205" t="str">
        <f>IF(B10=FALSE,"",Length_1!B28-O10)</f>
        <v/>
      </c>
      <c r="N10" s="206" t="str">
        <f t="shared" ref="N10:N28" si="12">IF(B10=FALSE,"",C10*K$3)</f>
        <v/>
      </c>
      <c r="O10" s="183" t="str">
        <f t="shared" si="2"/>
        <v/>
      </c>
      <c r="P10" s="176" t="str">
        <f t="shared" si="3"/>
        <v/>
      </c>
      <c r="Q10" s="176" t="str">
        <f t="shared" si="4"/>
        <v/>
      </c>
      <c r="R10" s="176" t="str">
        <f t="shared" si="5"/>
        <v/>
      </c>
      <c r="S10" s="176" t="str">
        <f t="shared" si="6"/>
        <v/>
      </c>
      <c r="T10" s="207" t="str">
        <f t="shared" ref="T10:T28" si="13">IF(B10=FALSE,"",L10+M10-N10-(P10*Q10+R10*S10)*O10)</f>
        <v/>
      </c>
      <c r="U10" s="176" t="str">
        <f t="shared" ref="U10:U28" si="14">IF($B10=FALSE,"",ROUND(T10,$M$45))</f>
        <v/>
      </c>
      <c r="V10" s="176" t="str">
        <f t="shared" ref="V10:V28" si="15">IF($B10=FALSE,"",ROUND(O10+U10,$M$45))</f>
        <v/>
      </c>
      <c r="W10" s="124"/>
      <c r="X10" s="176" t="e">
        <f ca="1">IF(Length_1!J5&lt;0,ROUNDUP(Length_1!J5,$M$45),ROUNDDOWN(Length_1!J5,$M$45))</f>
        <v>#N/A</v>
      </c>
      <c r="Y10" s="176" t="e">
        <f ca="1">IF(Length_1!K5&lt;0,ROUNDDOWN(Length_1!K5,$M$45),ROUNDUP(Length_1!K5,$M$45))</f>
        <v>#N/A</v>
      </c>
      <c r="Z10" s="176" t="str">
        <f t="shared" ref="Z10:Z28" si="16">TEXT(O10,IF(O10&gt;=1000,"# ##0","0"))</f>
        <v/>
      </c>
      <c r="AA10" s="176" t="e">
        <f t="shared" ca="1" si="7"/>
        <v>#N/A</v>
      </c>
      <c r="AB10" s="176" t="e">
        <f t="shared" ca="1" si="8"/>
        <v>#N/A</v>
      </c>
      <c r="AC10" s="176" t="e">
        <f t="shared" ca="1" si="9"/>
        <v>#N/A</v>
      </c>
      <c r="AD10" s="176" t="str">
        <f t="shared" ref="AD10:AD28" si="17">IF($B10=FALSE,"",IF(AND(X10&lt;=V10,V10&lt;=Y10),"PASS","FAIL"))</f>
        <v/>
      </c>
      <c r="AE10" s="176" t="e">
        <f t="shared" ref="AE10:AE28" ca="1" si="18">S$45</f>
        <v>#N/A</v>
      </c>
    </row>
    <row r="11" spans="1:31" ht="15" customHeight="1">
      <c r="B11" s="201" t="b">
        <f>IF(TRIM(Length_1!A6)="",FALSE,TRUE)</f>
        <v>0</v>
      </c>
      <c r="C11" s="176" t="str">
        <f>IF($B11=FALSE,"",VALUE(Length_1!A6))</f>
        <v/>
      </c>
      <c r="D11" s="176" t="str">
        <f>IF($B11=FALSE,"",Length_1!B6)</f>
        <v/>
      </c>
      <c r="E11" s="202" t="str">
        <f>IF($B11=FALSE,"",Length_1!M6)</f>
        <v/>
      </c>
      <c r="F11" s="202" t="str">
        <f>IF($B11=FALSE,"",Length_1!N6)</f>
        <v/>
      </c>
      <c r="G11" s="202" t="str">
        <f>IF($B11=FALSE,"",Length_1!O6)</f>
        <v/>
      </c>
      <c r="H11" s="202" t="str">
        <f>IF($B11=FALSE,"",Length_1!P6)</f>
        <v/>
      </c>
      <c r="I11" s="202" t="str">
        <f>IF($B11=FALSE,"",Length_1!Q6)</f>
        <v/>
      </c>
      <c r="J11" s="203" t="str">
        <f t="shared" si="10"/>
        <v/>
      </c>
      <c r="K11" s="273" t="str">
        <f t="shared" si="1"/>
        <v/>
      </c>
      <c r="L11" s="204" t="str">
        <f t="shared" si="11"/>
        <v/>
      </c>
      <c r="M11" s="205" t="str">
        <f>IF(B11=FALSE,"",Length_1!B29-O11)</f>
        <v/>
      </c>
      <c r="N11" s="206" t="str">
        <f t="shared" si="12"/>
        <v/>
      </c>
      <c r="O11" s="183" t="str">
        <f t="shared" si="2"/>
        <v/>
      </c>
      <c r="P11" s="176" t="str">
        <f t="shared" si="3"/>
        <v/>
      </c>
      <c r="Q11" s="176" t="str">
        <f t="shared" si="4"/>
        <v/>
      </c>
      <c r="R11" s="176" t="str">
        <f t="shared" si="5"/>
        <v/>
      </c>
      <c r="S11" s="176" t="str">
        <f t="shared" si="6"/>
        <v/>
      </c>
      <c r="T11" s="207" t="str">
        <f t="shared" si="13"/>
        <v/>
      </c>
      <c r="U11" s="176" t="str">
        <f t="shared" si="14"/>
        <v/>
      </c>
      <c r="V11" s="176" t="str">
        <f t="shared" si="15"/>
        <v/>
      </c>
      <c r="W11" s="124"/>
      <c r="X11" s="176" t="e">
        <f ca="1">IF(Length_1!J6&lt;0,ROUNDUP(Length_1!J6,$M$45),ROUNDDOWN(Length_1!J6,$M$45))</f>
        <v>#N/A</v>
      </c>
      <c r="Y11" s="176" t="e">
        <f ca="1">IF(Length_1!K6&lt;0,ROUNDDOWN(Length_1!K6,$M$45),ROUNDUP(Length_1!K6,$M$45))</f>
        <v>#N/A</v>
      </c>
      <c r="Z11" s="176" t="str">
        <f t="shared" si="16"/>
        <v/>
      </c>
      <c r="AA11" s="176" t="e">
        <f t="shared" ca="1" si="7"/>
        <v>#N/A</v>
      </c>
      <c r="AB11" s="176" t="e">
        <f t="shared" ca="1" si="8"/>
        <v>#N/A</v>
      </c>
      <c r="AC11" s="176" t="e">
        <f t="shared" ca="1" si="9"/>
        <v>#N/A</v>
      </c>
      <c r="AD11" s="176" t="str">
        <f t="shared" si="17"/>
        <v/>
      </c>
      <c r="AE11" s="176" t="e">
        <f t="shared" ca="1" si="18"/>
        <v>#N/A</v>
      </c>
    </row>
    <row r="12" spans="1:31" ht="15" customHeight="1">
      <c r="B12" s="201" t="b">
        <f>IF(TRIM(Length_1!A7)="",FALSE,TRUE)</f>
        <v>0</v>
      </c>
      <c r="C12" s="176" t="str">
        <f>IF($B12=FALSE,"",VALUE(Length_1!A7))</f>
        <v/>
      </c>
      <c r="D12" s="176" t="str">
        <f>IF($B12=FALSE,"",Length_1!B7)</f>
        <v/>
      </c>
      <c r="E12" s="202" t="str">
        <f>IF($B12=FALSE,"",Length_1!M7)</f>
        <v/>
      </c>
      <c r="F12" s="202" t="str">
        <f>IF($B12=FALSE,"",Length_1!N7)</f>
        <v/>
      </c>
      <c r="G12" s="202" t="str">
        <f>IF($B12=FALSE,"",Length_1!O7)</f>
        <v/>
      </c>
      <c r="H12" s="202" t="str">
        <f>IF($B12=FALSE,"",Length_1!P7)</f>
        <v/>
      </c>
      <c r="I12" s="202" t="str">
        <f>IF($B12=FALSE,"",Length_1!Q7)</f>
        <v/>
      </c>
      <c r="J12" s="203" t="str">
        <f t="shared" si="10"/>
        <v/>
      </c>
      <c r="K12" s="273" t="str">
        <f t="shared" si="1"/>
        <v/>
      </c>
      <c r="L12" s="204" t="str">
        <f t="shared" si="11"/>
        <v/>
      </c>
      <c r="M12" s="205" t="str">
        <f>IF(B12=FALSE,"",Length_1!B30-O12)</f>
        <v/>
      </c>
      <c r="N12" s="206" t="str">
        <f t="shared" si="12"/>
        <v/>
      </c>
      <c r="O12" s="183" t="str">
        <f t="shared" si="2"/>
        <v/>
      </c>
      <c r="P12" s="176" t="str">
        <f t="shared" si="3"/>
        <v/>
      </c>
      <c r="Q12" s="176" t="str">
        <f t="shared" si="4"/>
        <v/>
      </c>
      <c r="R12" s="176" t="str">
        <f t="shared" si="5"/>
        <v/>
      </c>
      <c r="S12" s="176" t="str">
        <f t="shared" si="6"/>
        <v/>
      </c>
      <c r="T12" s="207" t="str">
        <f t="shared" si="13"/>
        <v/>
      </c>
      <c r="U12" s="176" t="str">
        <f t="shared" si="14"/>
        <v/>
      </c>
      <c r="V12" s="176" t="str">
        <f t="shared" si="15"/>
        <v/>
      </c>
      <c r="W12" s="124"/>
      <c r="X12" s="176" t="e">
        <f ca="1">IF(Length_1!J7&lt;0,ROUNDUP(Length_1!J7,$M$45),ROUNDDOWN(Length_1!J7,$M$45))</f>
        <v>#N/A</v>
      </c>
      <c r="Y12" s="176" t="e">
        <f ca="1">IF(Length_1!K7&lt;0,ROUNDDOWN(Length_1!K7,$M$45),ROUNDUP(Length_1!K7,$M$45))</f>
        <v>#N/A</v>
      </c>
      <c r="Z12" s="176" t="str">
        <f t="shared" si="16"/>
        <v/>
      </c>
      <c r="AA12" s="176" t="e">
        <f t="shared" ca="1" si="7"/>
        <v>#N/A</v>
      </c>
      <c r="AB12" s="176" t="e">
        <f t="shared" ca="1" si="8"/>
        <v>#N/A</v>
      </c>
      <c r="AC12" s="176" t="e">
        <f t="shared" ca="1" si="9"/>
        <v>#N/A</v>
      </c>
      <c r="AD12" s="176" t="str">
        <f t="shared" si="17"/>
        <v/>
      </c>
      <c r="AE12" s="176" t="e">
        <f t="shared" ca="1" si="18"/>
        <v>#N/A</v>
      </c>
    </row>
    <row r="13" spans="1:31" ht="15" customHeight="1">
      <c r="B13" s="201" t="b">
        <f>IF(TRIM(Length_1!A8)="",FALSE,TRUE)</f>
        <v>0</v>
      </c>
      <c r="C13" s="176" t="str">
        <f>IF($B13=FALSE,"",VALUE(Length_1!A8))</f>
        <v/>
      </c>
      <c r="D13" s="176" t="str">
        <f>IF($B13=FALSE,"",Length_1!B8)</f>
        <v/>
      </c>
      <c r="E13" s="202" t="str">
        <f>IF($B13=FALSE,"",Length_1!M8)</f>
        <v/>
      </c>
      <c r="F13" s="202" t="str">
        <f>IF($B13=FALSE,"",Length_1!N8)</f>
        <v/>
      </c>
      <c r="G13" s="202" t="str">
        <f>IF($B13=FALSE,"",Length_1!O8)</f>
        <v/>
      </c>
      <c r="H13" s="202" t="str">
        <f>IF($B13=FALSE,"",Length_1!P8)</f>
        <v/>
      </c>
      <c r="I13" s="202" t="str">
        <f>IF($B13=FALSE,"",Length_1!Q8)</f>
        <v/>
      </c>
      <c r="J13" s="203" t="str">
        <f t="shared" si="10"/>
        <v/>
      </c>
      <c r="K13" s="273" t="str">
        <f t="shared" si="1"/>
        <v/>
      </c>
      <c r="L13" s="204" t="str">
        <f t="shared" si="11"/>
        <v/>
      </c>
      <c r="M13" s="205" t="str">
        <f>IF(B13=FALSE,"",Length_1!B31-O13)</f>
        <v/>
      </c>
      <c r="N13" s="206" t="str">
        <f t="shared" si="12"/>
        <v/>
      </c>
      <c r="O13" s="183" t="str">
        <f t="shared" si="2"/>
        <v/>
      </c>
      <c r="P13" s="176" t="str">
        <f t="shared" si="3"/>
        <v/>
      </c>
      <c r="Q13" s="176" t="str">
        <f t="shared" si="4"/>
        <v/>
      </c>
      <c r="R13" s="176" t="str">
        <f t="shared" si="5"/>
        <v/>
      </c>
      <c r="S13" s="176" t="str">
        <f t="shared" si="6"/>
        <v/>
      </c>
      <c r="T13" s="207" t="str">
        <f t="shared" si="13"/>
        <v/>
      </c>
      <c r="U13" s="176" t="str">
        <f t="shared" si="14"/>
        <v/>
      </c>
      <c r="V13" s="176" t="str">
        <f t="shared" si="15"/>
        <v/>
      </c>
      <c r="W13" s="124"/>
      <c r="X13" s="176" t="e">
        <f ca="1">IF(Length_1!J8&lt;0,ROUNDUP(Length_1!J8,$M$45),ROUNDDOWN(Length_1!J8,$M$45))</f>
        <v>#N/A</v>
      </c>
      <c r="Y13" s="176" t="e">
        <f ca="1">IF(Length_1!K8&lt;0,ROUNDDOWN(Length_1!K8,$M$45),ROUNDUP(Length_1!K8,$M$45))</f>
        <v>#N/A</v>
      </c>
      <c r="Z13" s="176" t="str">
        <f t="shared" si="16"/>
        <v/>
      </c>
      <c r="AA13" s="176" t="e">
        <f t="shared" ca="1" si="7"/>
        <v>#N/A</v>
      </c>
      <c r="AB13" s="176" t="e">
        <f t="shared" ca="1" si="8"/>
        <v>#N/A</v>
      </c>
      <c r="AC13" s="176" t="e">
        <f t="shared" ca="1" si="9"/>
        <v>#N/A</v>
      </c>
      <c r="AD13" s="176" t="str">
        <f t="shared" si="17"/>
        <v/>
      </c>
      <c r="AE13" s="176" t="e">
        <f t="shared" ca="1" si="18"/>
        <v>#N/A</v>
      </c>
    </row>
    <row r="14" spans="1:31" ht="15" customHeight="1">
      <c r="B14" s="201" t="b">
        <f>IF(TRIM(Length_1!A9)="",FALSE,TRUE)</f>
        <v>0</v>
      </c>
      <c r="C14" s="176" t="str">
        <f>IF($B14=FALSE,"",VALUE(Length_1!A9))</f>
        <v/>
      </c>
      <c r="D14" s="176" t="str">
        <f>IF($B14=FALSE,"",Length_1!B9)</f>
        <v/>
      </c>
      <c r="E14" s="202" t="str">
        <f>IF($B14=FALSE,"",Length_1!M9)</f>
        <v/>
      </c>
      <c r="F14" s="202" t="str">
        <f>IF($B14=FALSE,"",Length_1!N9)</f>
        <v/>
      </c>
      <c r="G14" s="202" t="str">
        <f>IF($B14=FALSE,"",Length_1!O9)</f>
        <v/>
      </c>
      <c r="H14" s="202" t="str">
        <f>IF($B14=FALSE,"",Length_1!P9)</f>
        <v/>
      </c>
      <c r="I14" s="202" t="str">
        <f>IF($B14=FALSE,"",Length_1!Q9)</f>
        <v/>
      </c>
      <c r="J14" s="203" t="str">
        <f t="shared" si="10"/>
        <v/>
      </c>
      <c r="K14" s="273" t="str">
        <f t="shared" si="1"/>
        <v/>
      </c>
      <c r="L14" s="204" t="str">
        <f t="shared" si="11"/>
        <v/>
      </c>
      <c r="M14" s="205" t="str">
        <f>IF(B14=FALSE,"",Length_1!B32-O14)</f>
        <v/>
      </c>
      <c r="N14" s="206" t="str">
        <f t="shared" si="12"/>
        <v/>
      </c>
      <c r="O14" s="183" t="str">
        <f t="shared" si="2"/>
        <v/>
      </c>
      <c r="P14" s="176" t="str">
        <f t="shared" si="3"/>
        <v/>
      </c>
      <c r="Q14" s="176" t="str">
        <f t="shared" si="4"/>
        <v/>
      </c>
      <c r="R14" s="176" t="str">
        <f t="shared" si="5"/>
        <v/>
      </c>
      <c r="S14" s="176" t="str">
        <f t="shared" si="6"/>
        <v/>
      </c>
      <c r="T14" s="207" t="str">
        <f t="shared" si="13"/>
        <v/>
      </c>
      <c r="U14" s="176" t="str">
        <f t="shared" si="14"/>
        <v/>
      </c>
      <c r="V14" s="176" t="str">
        <f t="shared" si="15"/>
        <v/>
      </c>
      <c r="W14" s="124"/>
      <c r="X14" s="176" t="e">
        <f ca="1">IF(Length_1!J9&lt;0,ROUNDUP(Length_1!J9,$M$45),ROUNDDOWN(Length_1!J9,$M$45))</f>
        <v>#N/A</v>
      </c>
      <c r="Y14" s="176" t="e">
        <f ca="1">IF(Length_1!K9&lt;0,ROUNDDOWN(Length_1!K9,$M$45),ROUNDUP(Length_1!K9,$M$45))</f>
        <v>#N/A</v>
      </c>
      <c r="Z14" s="176" t="str">
        <f t="shared" si="16"/>
        <v/>
      </c>
      <c r="AA14" s="176" t="e">
        <f t="shared" ca="1" si="7"/>
        <v>#N/A</v>
      </c>
      <c r="AB14" s="176" t="e">
        <f t="shared" ca="1" si="8"/>
        <v>#N/A</v>
      </c>
      <c r="AC14" s="176" t="e">
        <f t="shared" ca="1" si="9"/>
        <v>#N/A</v>
      </c>
      <c r="AD14" s="176" t="str">
        <f t="shared" si="17"/>
        <v/>
      </c>
      <c r="AE14" s="176" t="e">
        <f t="shared" ca="1" si="18"/>
        <v>#N/A</v>
      </c>
    </row>
    <row r="15" spans="1:31" ht="15" customHeight="1">
      <c r="B15" s="201" t="b">
        <f>IF(TRIM(Length_1!A10)="",FALSE,TRUE)</f>
        <v>0</v>
      </c>
      <c r="C15" s="176" t="str">
        <f>IF($B15=FALSE,"",VALUE(Length_1!A10))</f>
        <v/>
      </c>
      <c r="D15" s="176" t="str">
        <f>IF($B15=FALSE,"",Length_1!B10)</f>
        <v/>
      </c>
      <c r="E15" s="202" t="str">
        <f>IF($B15=FALSE,"",Length_1!M10)</f>
        <v/>
      </c>
      <c r="F15" s="202" t="str">
        <f>IF($B15=FALSE,"",Length_1!N10)</f>
        <v/>
      </c>
      <c r="G15" s="202" t="str">
        <f>IF($B15=FALSE,"",Length_1!O10)</f>
        <v/>
      </c>
      <c r="H15" s="202" t="str">
        <f>IF($B15=FALSE,"",Length_1!P10)</f>
        <v/>
      </c>
      <c r="I15" s="202" t="str">
        <f>IF($B15=FALSE,"",Length_1!Q10)</f>
        <v/>
      </c>
      <c r="J15" s="203" t="str">
        <f t="shared" si="10"/>
        <v/>
      </c>
      <c r="K15" s="273" t="str">
        <f t="shared" si="1"/>
        <v/>
      </c>
      <c r="L15" s="204" t="str">
        <f t="shared" si="11"/>
        <v/>
      </c>
      <c r="M15" s="205" t="str">
        <f>IF(B15=FALSE,"",Length_1!B33-O15)</f>
        <v/>
      </c>
      <c r="N15" s="206" t="str">
        <f t="shared" si="12"/>
        <v/>
      </c>
      <c r="O15" s="183" t="str">
        <f t="shared" si="2"/>
        <v/>
      </c>
      <c r="P15" s="176" t="str">
        <f t="shared" si="3"/>
        <v/>
      </c>
      <c r="Q15" s="176" t="str">
        <f t="shared" si="4"/>
        <v/>
      </c>
      <c r="R15" s="176" t="str">
        <f t="shared" si="5"/>
        <v/>
      </c>
      <c r="S15" s="176" t="str">
        <f t="shared" si="6"/>
        <v/>
      </c>
      <c r="T15" s="207" t="str">
        <f t="shared" si="13"/>
        <v/>
      </c>
      <c r="U15" s="176" t="str">
        <f t="shared" si="14"/>
        <v/>
      </c>
      <c r="V15" s="176" t="str">
        <f t="shared" si="15"/>
        <v/>
      </c>
      <c r="W15" s="124"/>
      <c r="X15" s="176" t="e">
        <f ca="1">IF(Length_1!J10&lt;0,ROUNDUP(Length_1!J10,$M$45),ROUNDDOWN(Length_1!J10,$M$45))</f>
        <v>#N/A</v>
      </c>
      <c r="Y15" s="176" t="e">
        <f ca="1">IF(Length_1!K10&lt;0,ROUNDDOWN(Length_1!K10,$M$45),ROUNDUP(Length_1!K10,$M$45))</f>
        <v>#N/A</v>
      </c>
      <c r="Z15" s="176" t="str">
        <f t="shared" si="16"/>
        <v/>
      </c>
      <c r="AA15" s="176" t="e">
        <f t="shared" ca="1" si="7"/>
        <v>#N/A</v>
      </c>
      <c r="AB15" s="176" t="e">
        <f t="shared" ca="1" si="8"/>
        <v>#N/A</v>
      </c>
      <c r="AC15" s="176" t="e">
        <f t="shared" ca="1" si="9"/>
        <v>#N/A</v>
      </c>
      <c r="AD15" s="176" t="str">
        <f t="shared" si="17"/>
        <v/>
      </c>
      <c r="AE15" s="176" t="e">
        <f t="shared" ca="1" si="18"/>
        <v>#N/A</v>
      </c>
    </row>
    <row r="16" spans="1:31" ht="15" customHeight="1">
      <c r="B16" s="201" t="b">
        <f>IF(TRIM(Length_1!A11)="",FALSE,TRUE)</f>
        <v>0</v>
      </c>
      <c r="C16" s="176" t="str">
        <f>IF($B16=FALSE,"",VALUE(Length_1!A11))</f>
        <v/>
      </c>
      <c r="D16" s="176" t="str">
        <f>IF($B16=FALSE,"",Length_1!B11)</f>
        <v/>
      </c>
      <c r="E16" s="202" t="str">
        <f>IF($B16=FALSE,"",Length_1!M11)</f>
        <v/>
      </c>
      <c r="F16" s="202" t="str">
        <f>IF($B16=FALSE,"",Length_1!N11)</f>
        <v/>
      </c>
      <c r="G16" s="202" t="str">
        <f>IF($B16=FALSE,"",Length_1!O11)</f>
        <v/>
      </c>
      <c r="H16" s="202" t="str">
        <f>IF($B16=FALSE,"",Length_1!P11)</f>
        <v/>
      </c>
      <c r="I16" s="202" t="str">
        <f>IF($B16=FALSE,"",Length_1!Q11)</f>
        <v/>
      </c>
      <c r="J16" s="203" t="str">
        <f t="shared" si="10"/>
        <v/>
      </c>
      <c r="K16" s="273" t="str">
        <f t="shared" si="1"/>
        <v/>
      </c>
      <c r="L16" s="204" t="str">
        <f t="shared" si="11"/>
        <v/>
      </c>
      <c r="M16" s="205" t="str">
        <f>IF(B16=FALSE,"",Length_1!B34-O16)</f>
        <v/>
      </c>
      <c r="N16" s="206" t="str">
        <f t="shared" si="12"/>
        <v/>
      </c>
      <c r="O16" s="183" t="str">
        <f t="shared" si="2"/>
        <v/>
      </c>
      <c r="P16" s="176" t="str">
        <f t="shared" si="3"/>
        <v/>
      </c>
      <c r="Q16" s="176" t="str">
        <f t="shared" si="4"/>
        <v/>
      </c>
      <c r="R16" s="176" t="str">
        <f t="shared" si="5"/>
        <v/>
      </c>
      <c r="S16" s="176" t="str">
        <f t="shared" si="6"/>
        <v/>
      </c>
      <c r="T16" s="207" t="str">
        <f t="shared" si="13"/>
        <v/>
      </c>
      <c r="U16" s="176" t="str">
        <f t="shared" si="14"/>
        <v/>
      </c>
      <c r="V16" s="176" t="str">
        <f t="shared" si="15"/>
        <v/>
      </c>
      <c r="W16" s="124"/>
      <c r="X16" s="176" t="e">
        <f ca="1">IF(Length_1!J11&lt;0,ROUNDUP(Length_1!J11,$M$45),ROUNDDOWN(Length_1!J11,$M$45))</f>
        <v>#N/A</v>
      </c>
      <c r="Y16" s="176" t="e">
        <f ca="1">IF(Length_1!K11&lt;0,ROUNDDOWN(Length_1!K11,$M$45),ROUNDUP(Length_1!K11,$M$45))</f>
        <v>#N/A</v>
      </c>
      <c r="Z16" s="176" t="str">
        <f t="shared" si="16"/>
        <v/>
      </c>
      <c r="AA16" s="176" t="e">
        <f t="shared" ca="1" si="7"/>
        <v>#N/A</v>
      </c>
      <c r="AB16" s="176" t="e">
        <f t="shared" ca="1" si="8"/>
        <v>#N/A</v>
      </c>
      <c r="AC16" s="176" t="e">
        <f t="shared" ca="1" si="9"/>
        <v>#N/A</v>
      </c>
      <c r="AD16" s="176" t="str">
        <f t="shared" si="17"/>
        <v/>
      </c>
      <c r="AE16" s="176" t="e">
        <f t="shared" ca="1" si="18"/>
        <v>#N/A</v>
      </c>
    </row>
    <row r="17" spans="1:31" ht="15" customHeight="1">
      <c r="B17" s="201" t="b">
        <f>IF(TRIM(Length_1!A12)="",FALSE,TRUE)</f>
        <v>0</v>
      </c>
      <c r="C17" s="176" t="str">
        <f>IF($B17=FALSE,"",VALUE(Length_1!A12))</f>
        <v/>
      </c>
      <c r="D17" s="176" t="str">
        <f>IF($B17=FALSE,"",Length_1!B12)</f>
        <v/>
      </c>
      <c r="E17" s="202" t="str">
        <f>IF($B17=FALSE,"",Length_1!M12)</f>
        <v/>
      </c>
      <c r="F17" s="202" t="str">
        <f>IF($B17=FALSE,"",Length_1!N12)</f>
        <v/>
      </c>
      <c r="G17" s="202" t="str">
        <f>IF($B17=FALSE,"",Length_1!O12)</f>
        <v/>
      </c>
      <c r="H17" s="202" t="str">
        <f>IF($B17=FALSE,"",Length_1!P12)</f>
        <v/>
      </c>
      <c r="I17" s="202" t="str">
        <f>IF($B17=FALSE,"",Length_1!Q12)</f>
        <v/>
      </c>
      <c r="J17" s="203" t="str">
        <f t="shared" si="10"/>
        <v/>
      </c>
      <c r="K17" s="273" t="str">
        <f t="shared" si="1"/>
        <v/>
      </c>
      <c r="L17" s="204" t="str">
        <f t="shared" si="11"/>
        <v/>
      </c>
      <c r="M17" s="205" t="str">
        <f>IF(B17=FALSE,"",Length_1!B35-O17)</f>
        <v/>
      </c>
      <c r="N17" s="206" t="str">
        <f t="shared" si="12"/>
        <v/>
      </c>
      <c r="O17" s="183" t="str">
        <f t="shared" si="2"/>
        <v/>
      </c>
      <c r="P17" s="176" t="str">
        <f t="shared" si="3"/>
        <v/>
      </c>
      <c r="Q17" s="176" t="str">
        <f t="shared" si="4"/>
        <v/>
      </c>
      <c r="R17" s="176" t="str">
        <f t="shared" si="5"/>
        <v/>
      </c>
      <c r="S17" s="176" t="str">
        <f t="shared" si="6"/>
        <v/>
      </c>
      <c r="T17" s="207" t="str">
        <f t="shared" si="13"/>
        <v/>
      </c>
      <c r="U17" s="176" t="str">
        <f t="shared" si="14"/>
        <v/>
      </c>
      <c r="V17" s="176" t="str">
        <f t="shared" si="15"/>
        <v/>
      </c>
      <c r="W17" s="124"/>
      <c r="X17" s="176" t="e">
        <f ca="1">IF(Length_1!J12&lt;0,ROUNDUP(Length_1!J12,$M$45),ROUNDDOWN(Length_1!J12,$M$45))</f>
        <v>#N/A</v>
      </c>
      <c r="Y17" s="176" t="e">
        <f ca="1">IF(Length_1!K12&lt;0,ROUNDDOWN(Length_1!K12,$M$45),ROUNDUP(Length_1!K12,$M$45))</f>
        <v>#N/A</v>
      </c>
      <c r="Z17" s="176" t="str">
        <f t="shared" si="16"/>
        <v/>
      </c>
      <c r="AA17" s="176" t="e">
        <f t="shared" ca="1" si="7"/>
        <v>#N/A</v>
      </c>
      <c r="AB17" s="176" t="e">
        <f t="shared" ca="1" si="8"/>
        <v>#N/A</v>
      </c>
      <c r="AC17" s="176" t="e">
        <f t="shared" ca="1" si="9"/>
        <v>#N/A</v>
      </c>
      <c r="AD17" s="176" t="str">
        <f t="shared" si="17"/>
        <v/>
      </c>
      <c r="AE17" s="176" t="e">
        <f t="shared" ca="1" si="18"/>
        <v>#N/A</v>
      </c>
    </row>
    <row r="18" spans="1:31" ht="15" customHeight="1">
      <c r="B18" s="201" t="b">
        <f>IF(TRIM(Length_1!A13)="",FALSE,TRUE)</f>
        <v>0</v>
      </c>
      <c r="C18" s="176" t="str">
        <f>IF($B18=FALSE,"",VALUE(Length_1!A13))</f>
        <v/>
      </c>
      <c r="D18" s="176" t="str">
        <f>IF($B18=FALSE,"",Length_1!B13)</f>
        <v/>
      </c>
      <c r="E18" s="202" t="str">
        <f>IF($B18=FALSE,"",Length_1!M13)</f>
        <v/>
      </c>
      <c r="F18" s="202" t="str">
        <f>IF($B18=FALSE,"",Length_1!N13)</f>
        <v/>
      </c>
      <c r="G18" s="202" t="str">
        <f>IF($B18=FALSE,"",Length_1!O13)</f>
        <v/>
      </c>
      <c r="H18" s="202" t="str">
        <f>IF($B18=FALSE,"",Length_1!P13)</f>
        <v/>
      </c>
      <c r="I18" s="202" t="str">
        <f>IF($B18=FALSE,"",Length_1!Q13)</f>
        <v/>
      </c>
      <c r="J18" s="203" t="str">
        <f t="shared" si="10"/>
        <v/>
      </c>
      <c r="K18" s="273" t="str">
        <f t="shared" si="1"/>
        <v/>
      </c>
      <c r="L18" s="204" t="str">
        <f t="shared" si="11"/>
        <v/>
      </c>
      <c r="M18" s="205" t="str">
        <f>IF(B18=FALSE,"",Length_1!B36-O18)</f>
        <v/>
      </c>
      <c r="N18" s="206" t="str">
        <f t="shared" si="12"/>
        <v/>
      </c>
      <c r="O18" s="183" t="str">
        <f t="shared" si="2"/>
        <v/>
      </c>
      <c r="P18" s="176" t="str">
        <f t="shared" si="3"/>
        <v/>
      </c>
      <c r="Q18" s="176" t="str">
        <f t="shared" si="4"/>
        <v/>
      </c>
      <c r="R18" s="176" t="str">
        <f t="shared" si="5"/>
        <v/>
      </c>
      <c r="S18" s="176" t="str">
        <f t="shared" si="6"/>
        <v/>
      </c>
      <c r="T18" s="207" t="str">
        <f t="shared" si="13"/>
        <v/>
      </c>
      <c r="U18" s="176" t="str">
        <f t="shared" si="14"/>
        <v/>
      </c>
      <c r="V18" s="176" t="str">
        <f t="shared" si="15"/>
        <v/>
      </c>
      <c r="W18" s="124"/>
      <c r="X18" s="176" t="e">
        <f ca="1">IF(Length_1!J13&lt;0,ROUNDUP(Length_1!J13,$M$45),ROUNDDOWN(Length_1!J13,$M$45))</f>
        <v>#N/A</v>
      </c>
      <c r="Y18" s="176" t="e">
        <f ca="1">IF(Length_1!K13&lt;0,ROUNDDOWN(Length_1!K13,$M$45),ROUNDUP(Length_1!K13,$M$45))</f>
        <v>#N/A</v>
      </c>
      <c r="Z18" s="176" t="str">
        <f t="shared" si="16"/>
        <v/>
      </c>
      <c r="AA18" s="176" t="e">
        <f t="shared" ca="1" si="7"/>
        <v>#N/A</v>
      </c>
      <c r="AB18" s="176" t="e">
        <f t="shared" ca="1" si="8"/>
        <v>#N/A</v>
      </c>
      <c r="AC18" s="176" t="e">
        <f t="shared" ca="1" si="9"/>
        <v>#N/A</v>
      </c>
      <c r="AD18" s="176" t="str">
        <f t="shared" si="17"/>
        <v/>
      </c>
      <c r="AE18" s="176" t="e">
        <f t="shared" ca="1" si="18"/>
        <v>#N/A</v>
      </c>
    </row>
    <row r="19" spans="1:31" ht="15" customHeight="1">
      <c r="B19" s="201" t="b">
        <f>IF(TRIM(Length_1!A14)="",FALSE,TRUE)</f>
        <v>0</v>
      </c>
      <c r="C19" s="176" t="str">
        <f>IF($B19=FALSE,"",VALUE(Length_1!A14))</f>
        <v/>
      </c>
      <c r="D19" s="176" t="str">
        <f>IF($B19=FALSE,"",Length_1!B14)</f>
        <v/>
      </c>
      <c r="E19" s="202" t="str">
        <f>IF($B19=FALSE,"",Length_1!M14)</f>
        <v/>
      </c>
      <c r="F19" s="202" t="str">
        <f>IF($B19=FALSE,"",Length_1!N14)</f>
        <v/>
      </c>
      <c r="G19" s="202" t="str">
        <f>IF($B19=FALSE,"",Length_1!O14)</f>
        <v/>
      </c>
      <c r="H19" s="202" t="str">
        <f>IF($B19=FALSE,"",Length_1!P14)</f>
        <v/>
      </c>
      <c r="I19" s="202" t="str">
        <f>IF($B19=FALSE,"",Length_1!Q14)</f>
        <v/>
      </c>
      <c r="J19" s="203" t="str">
        <f t="shared" si="10"/>
        <v/>
      </c>
      <c r="K19" s="273" t="str">
        <f t="shared" si="1"/>
        <v/>
      </c>
      <c r="L19" s="204" t="str">
        <f t="shared" si="11"/>
        <v/>
      </c>
      <c r="M19" s="205" t="str">
        <f>IF(B19=FALSE,"",Length_1!B37-O19)</f>
        <v/>
      </c>
      <c r="N19" s="206" t="str">
        <f t="shared" si="12"/>
        <v/>
      </c>
      <c r="O19" s="183" t="str">
        <f t="shared" si="2"/>
        <v/>
      </c>
      <c r="P19" s="176" t="str">
        <f t="shared" si="3"/>
        <v/>
      </c>
      <c r="Q19" s="176" t="str">
        <f t="shared" si="4"/>
        <v/>
      </c>
      <c r="R19" s="176" t="str">
        <f t="shared" si="5"/>
        <v/>
      </c>
      <c r="S19" s="176" t="str">
        <f t="shared" si="6"/>
        <v/>
      </c>
      <c r="T19" s="207" t="str">
        <f t="shared" si="13"/>
        <v/>
      </c>
      <c r="U19" s="176" t="str">
        <f t="shared" si="14"/>
        <v/>
      </c>
      <c r="V19" s="176" t="str">
        <f t="shared" si="15"/>
        <v/>
      </c>
      <c r="W19" s="124"/>
      <c r="X19" s="176" t="e">
        <f ca="1">IF(Length_1!J14&lt;0,ROUNDUP(Length_1!J14,$M$45),ROUNDDOWN(Length_1!J14,$M$45))</f>
        <v>#N/A</v>
      </c>
      <c r="Y19" s="176" t="e">
        <f ca="1">IF(Length_1!K14&lt;0,ROUNDDOWN(Length_1!K14,$M$45),ROUNDUP(Length_1!K14,$M$45))</f>
        <v>#N/A</v>
      </c>
      <c r="Z19" s="176" t="str">
        <f t="shared" si="16"/>
        <v/>
      </c>
      <c r="AA19" s="176" t="e">
        <f t="shared" ca="1" si="7"/>
        <v>#N/A</v>
      </c>
      <c r="AB19" s="176" t="e">
        <f t="shared" ca="1" si="8"/>
        <v>#N/A</v>
      </c>
      <c r="AC19" s="176" t="e">
        <f t="shared" ca="1" si="9"/>
        <v>#N/A</v>
      </c>
      <c r="AD19" s="176" t="str">
        <f t="shared" si="17"/>
        <v/>
      </c>
      <c r="AE19" s="176" t="e">
        <f t="shared" ca="1" si="18"/>
        <v>#N/A</v>
      </c>
    </row>
    <row r="20" spans="1:31" ht="15" customHeight="1">
      <c r="B20" s="201" t="b">
        <f>IF(TRIM(Length_1!A15)="",FALSE,TRUE)</f>
        <v>0</v>
      </c>
      <c r="C20" s="176" t="str">
        <f>IF($B20=FALSE,"",VALUE(Length_1!A15))</f>
        <v/>
      </c>
      <c r="D20" s="176" t="str">
        <f>IF($B20=FALSE,"",Length_1!B15)</f>
        <v/>
      </c>
      <c r="E20" s="202" t="str">
        <f>IF($B20=FALSE,"",Length_1!M15)</f>
        <v/>
      </c>
      <c r="F20" s="202" t="str">
        <f>IF($B20=FALSE,"",Length_1!N15)</f>
        <v/>
      </c>
      <c r="G20" s="202" t="str">
        <f>IF($B20=FALSE,"",Length_1!O15)</f>
        <v/>
      </c>
      <c r="H20" s="202" t="str">
        <f>IF($B20=FALSE,"",Length_1!P15)</f>
        <v/>
      </c>
      <c r="I20" s="202" t="str">
        <f>IF($B20=FALSE,"",Length_1!Q15)</f>
        <v/>
      </c>
      <c r="J20" s="203" t="str">
        <f t="shared" si="10"/>
        <v/>
      </c>
      <c r="K20" s="273" t="str">
        <f t="shared" si="1"/>
        <v/>
      </c>
      <c r="L20" s="204" t="str">
        <f t="shared" si="11"/>
        <v/>
      </c>
      <c r="M20" s="205" t="str">
        <f>IF(B20=FALSE,"",Length_1!B38-O20)</f>
        <v/>
      </c>
      <c r="N20" s="206" t="str">
        <f t="shared" si="12"/>
        <v/>
      </c>
      <c r="O20" s="183" t="str">
        <f t="shared" si="2"/>
        <v/>
      </c>
      <c r="P20" s="176" t="str">
        <f t="shared" si="3"/>
        <v/>
      </c>
      <c r="Q20" s="176" t="str">
        <f t="shared" si="4"/>
        <v/>
      </c>
      <c r="R20" s="176" t="str">
        <f t="shared" si="5"/>
        <v/>
      </c>
      <c r="S20" s="176" t="str">
        <f t="shared" si="6"/>
        <v/>
      </c>
      <c r="T20" s="207" t="str">
        <f t="shared" si="13"/>
        <v/>
      </c>
      <c r="U20" s="176" t="str">
        <f t="shared" si="14"/>
        <v/>
      </c>
      <c r="V20" s="176" t="str">
        <f t="shared" si="15"/>
        <v/>
      </c>
      <c r="W20" s="124"/>
      <c r="X20" s="176" t="e">
        <f ca="1">IF(Length_1!J15&lt;0,ROUNDUP(Length_1!J15,$M$45),ROUNDDOWN(Length_1!J15,$M$45))</f>
        <v>#N/A</v>
      </c>
      <c r="Y20" s="176" t="e">
        <f ca="1">IF(Length_1!K15&lt;0,ROUNDDOWN(Length_1!K15,$M$45),ROUNDUP(Length_1!K15,$M$45))</f>
        <v>#N/A</v>
      </c>
      <c r="Z20" s="176" t="str">
        <f t="shared" si="16"/>
        <v/>
      </c>
      <c r="AA20" s="176" t="e">
        <f t="shared" ca="1" si="7"/>
        <v>#N/A</v>
      </c>
      <c r="AB20" s="176" t="e">
        <f t="shared" ca="1" si="8"/>
        <v>#N/A</v>
      </c>
      <c r="AC20" s="176" t="e">
        <f t="shared" ca="1" si="9"/>
        <v>#N/A</v>
      </c>
      <c r="AD20" s="176" t="str">
        <f t="shared" si="17"/>
        <v/>
      </c>
      <c r="AE20" s="176" t="e">
        <f t="shared" ca="1" si="18"/>
        <v>#N/A</v>
      </c>
    </row>
    <row r="21" spans="1:31" ht="15" customHeight="1">
      <c r="B21" s="201" t="b">
        <f>IF(TRIM(Length_1!A16)="",FALSE,TRUE)</f>
        <v>0</v>
      </c>
      <c r="C21" s="176" t="str">
        <f>IF($B21=FALSE,"",VALUE(Length_1!A16))</f>
        <v/>
      </c>
      <c r="D21" s="176" t="str">
        <f>IF($B21=FALSE,"",Length_1!B16)</f>
        <v/>
      </c>
      <c r="E21" s="202" t="str">
        <f>IF($B21=FALSE,"",Length_1!M16)</f>
        <v/>
      </c>
      <c r="F21" s="202" t="str">
        <f>IF($B21=FALSE,"",Length_1!N16)</f>
        <v/>
      </c>
      <c r="G21" s="202" t="str">
        <f>IF($B21=FALSE,"",Length_1!O16)</f>
        <v/>
      </c>
      <c r="H21" s="202" t="str">
        <f>IF($B21=FALSE,"",Length_1!P16)</f>
        <v/>
      </c>
      <c r="I21" s="202" t="str">
        <f>IF($B21=FALSE,"",Length_1!Q16)</f>
        <v/>
      </c>
      <c r="J21" s="203" t="str">
        <f t="shared" si="10"/>
        <v/>
      </c>
      <c r="K21" s="273" t="str">
        <f t="shared" si="1"/>
        <v/>
      </c>
      <c r="L21" s="204" t="str">
        <f t="shared" si="11"/>
        <v/>
      </c>
      <c r="M21" s="205" t="str">
        <f>IF(B21=FALSE,"",Length_1!B39-O21)</f>
        <v/>
      </c>
      <c r="N21" s="206" t="str">
        <f t="shared" si="12"/>
        <v/>
      </c>
      <c r="O21" s="183" t="str">
        <f t="shared" si="2"/>
        <v/>
      </c>
      <c r="P21" s="176" t="str">
        <f t="shared" si="3"/>
        <v/>
      </c>
      <c r="Q21" s="176" t="str">
        <f t="shared" si="4"/>
        <v/>
      </c>
      <c r="R21" s="176" t="str">
        <f t="shared" si="5"/>
        <v/>
      </c>
      <c r="S21" s="176" t="str">
        <f t="shared" si="6"/>
        <v/>
      </c>
      <c r="T21" s="207" t="str">
        <f t="shared" si="13"/>
        <v/>
      </c>
      <c r="U21" s="176" t="str">
        <f t="shared" si="14"/>
        <v/>
      </c>
      <c r="V21" s="176" t="str">
        <f t="shared" si="15"/>
        <v/>
      </c>
      <c r="W21" s="124"/>
      <c r="X21" s="176" t="e">
        <f ca="1">IF(Length_1!J16&lt;0,ROUNDUP(Length_1!J16,$M$45),ROUNDDOWN(Length_1!J16,$M$45))</f>
        <v>#N/A</v>
      </c>
      <c r="Y21" s="176" t="e">
        <f ca="1">IF(Length_1!K16&lt;0,ROUNDDOWN(Length_1!K16,$M$45),ROUNDUP(Length_1!K16,$M$45))</f>
        <v>#N/A</v>
      </c>
      <c r="Z21" s="176" t="str">
        <f t="shared" si="16"/>
        <v/>
      </c>
      <c r="AA21" s="176" t="e">
        <f t="shared" ca="1" si="7"/>
        <v>#N/A</v>
      </c>
      <c r="AB21" s="176" t="e">
        <f t="shared" ca="1" si="8"/>
        <v>#N/A</v>
      </c>
      <c r="AC21" s="176" t="e">
        <f t="shared" ca="1" si="9"/>
        <v>#N/A</v>
      </c>
      <c r="AD21" s="176" t="str">
        <f t="shared" si="17"/>
        <v/>
      </c>
      <c r="AE21" s="176" t="e">
        <f t="shared" ca="1" si="18"/>
        <v>#N/A</v>
      </c>
    </row>
    <row r="22" spans="1:31" ht="15" customHeight="1">
      <c r="B22" s="201" t="b">
        <f>IF(TRIM(Length_1!A17)="",FALSE,TRUE)</f>
        <v>0</v>
      </c>
      <c r="C22" s="176" t="str">
        <f>IF($B22=FALSE,"",VALUE(Length_1!A17))</f>
        <v/>
      </c>
      <c r="D22" s="176" t="str">
        <f>IF($B22=FALSE,"",Length_1!B17)</f>
        <v/>
      </c>
      <c r="E22" s="202" t="str">
        <f>IF($B22=FALSE,"",Length_1!M17)</f>
        <v/>
      </c>
      <c r="F22" s="202" t="str">
        <f>IF($B22=FALSE,"",Length_1!N17)</f>
        <v/>
      </c>
      <c r="G22" s="202" t="str">
        <f>IF($B22=FALSE,"",Length_1!O17)</f>
        <v/>
      </c>
      <c r="H22" s="202" t="str">
        <f>IF($B22=FALSE,"",Length_1!P17)</f>
        <v/>
      </c>
      <c r="I22" s="202" t="str">
        <f>IF($B22=FALSE,"",Length_1!Q17)</f>
        <v/>
      </c>
      <c r="J22" s="203" t="str">
        <f t="shared" si="10"/>
        <v/>
      </c>
      <c r="K22" s="273" t="str">
        <f t="shared" si="1"/>
        <v/>
      </c>
      <c r="L22" s="204" t="str">
        <f t="shared" si="11"/>
        <v/>
      </c>
      <c r="M22" s="205" t="str">
        <f>IF(B22=FALSE,"",Length_1!B40-O22)</f>
        <v/>
      </c>
      <c r="N22" s="206" t="str">
        <f t="shared" si="12"/>
        <v/>
      </c>
      <c r="O22" s="183" t="str">
        <f t="shared" si="2"/>
        <v/>
      </c>
      <c r="P22" s="176" t="str">
        <f t="shared" si="3"/>
        <v/>
      </c>
      <c r="Q22" s="176" t="str">
        <f t="shared" si="4"/>
        <v/>
      </c>
      <c r="R22" s="176" t="str">
        <f t="shared" si="5"/>
        <v/>
      </c>
      <c r="S22" s="176" t="str">
        <f t="shared" si="6"/>
        <v/>
      </c>
      <c r="T22" s="207" t="str">
        <f t="shared" si="13"/>
        <v/>
      </c>
      <c r="U22" s="176" t="str">
        <f t="shared" si="14"/>
        <v/>
      </c>
      <c r="V22" s="176" t="str">
        <f t="shared" si="15"/>
        <v/>
      </c>
      <c r="W22" s="124"/>
      <c r="X22" s="176" t="e">
        <f ca="1">IF(Length_1!J17&lt;0,ROUNDUP(Length_1!J17,$M$45),ROUNDDOWN(Length_1!J17,$M$45))</f>
        <v>#N/A</v>
      </c>
      <c r="Y22" s="176" t="e">
        <f ca="1">IF(Length_1!K17&lt;0,ROUNDDOWN(Length_1!K17,$M$45),ROUNDUP(Length_1!K17,$M$45))</f>
        <v>#N/A</v>
      </c>
      <c r="Z22" s="176" t="str">
        <f t="shared" si="16"/>
        <v/>
      </c>
      <c r="AA22" s="176" t="e">
        <f t="shared" ca="1" si="7"/>
        <v>#N/A</v>
      </c>
      <c r="AB22" s="176" t="e">
        <f t="shared" ca="1" si="8"/>
        <v>#N/A</v>
      </c>
      <c r="AC22" s="176" t="e">
        <f t="shared" ca="1" si="9"/>
        <v>#N/A</v>
      </c>
      <c r="AD22" s="176" t="str">
        <f t="shared" si="17"/>
        <v/>
      </c>
      <c r="AE22" s="176" t="e">
        <f t="shared" ca="1" si="18"/>
        <v>#N/A</v>
      </c>
    </row>
    <row r="23" spans="1:31" ht="15" customHeight="1">
      <c r="B23" s="201" t="b">
        <f>IF(TRIM(Length_1!A18)="",FALSE,TRUE)</f>
        <v>0</v>
      </c>
      <c r="C23" s="176" t="str">
        <f>IF($B23=FALSE,"",VALUE(Length_1!A18))</f>
        <v/>
      </c>
      <c r="D23" s="176" t="str">
        <f>IF($B23=FALSE,"",Length_1!B18)</f>
        <v/>
      </c>
      <c r="E23" s="202" t="str">
        <f>IF($B23=FALSE,"",Length_1!M18)</f>
        <v/>
      </c>
      <c r="F23" s="202" t="str">
        <f>IF($B23=FALSE,"",Length_1!N18)</f>
        <v/>
      </c>
      <c r="G23" s="202" t="str">
        <f>IF($B23=FALSE,"",Length_1!O18)</f>
        <v/>
      </c>
      <c r="H23" s="202" t="str">
        <f>IF($B23=FALSE,"",Length_1!P18)</f>
        <v/>
      </c>
      <c r="I23" s="202" t="str">
        <f>IF($B23=FALSE,"",Length_1!Q18)</f>
        <v/>
      </c>
      <c r="J23" s="203" t="str">
        <f t="shared" si="10"/>
        <v/>
      </c>
      <c r="K23" s="273" t="str">
        <f t="shared" si="1"/>
        <v/>
      </c>
      <c r="L23" s="204" t="str">
        <f t="shared" si="11"/>
        <v/>
      </c>
      <c r="M23" s="205" t="str">
        <f>IF(B23=FALSE,"",Length_1!B41-O23)</f>
        <v/>
      </c>
      <c r="N23" s="206" t="str">
        <f t="shared" si="12"/>
        <v/>
      </c>
      <c r="O23" s="183" t="str">
        <f t="shared" si="2"/>
        <v/>
      </c>
      <c r="P23" s="176" t="str">
        <f t="shared" si="3"/>
        <v/>
      </c>
      <c r="Q23" s="176" t="str">
        <f t="shared" si="4"/>
        <v/>
      </c>
      <c r="R23" s="176" t="str">
        <f t="shared" si="5"/>
        <v/>
      </c>
      <c r="S23" s="176" t="str">
        <f t="shared" si="6"/>
        <v/>
      </c>
      <c r="T23" s="207" t="str">
        <f t="shared" si="13"/>
        <v/>
      </c>
      <c r="U23" s="176" t="str">
        <f t="shared" si="14"/>
        <v/>
      </c>
      <c r="V23" s="176" t="str">
        <f t="shared" si="15"/>
        <v/>
      </c>
      <c r="W23" s="124"/>
      <c r="X23" s="176" t="e">
        <f ca="1">IF(Length_1!J18&lt;0,ROUNDUP(Length_1!J18,$M$45),ROUNDDOWN(Length_1!J18,$M$45))</f>
        <v>#N/A</v>
      </c>
      <c r="Y23" s="176" t="e">
        <f ca="1">IF(Length_1!K18&lt;0,ROUNDDOWN(Length_1!K18,$M$45),ROUNDUP(Length_1!K18,$M$45))</f>
        <v>#N/A</v>
      </c>
      <c r="Z23" s="176" t="str">
        <f t="shared" si="16"/>
        <v/>
      </c>
      <c r="AA23" s="176" t="e">
        <f t="shared" ca="1" si="7"/>
        <v>#N/A</v>
      </c>
      <c r="AB23" s="176" t="e">
        <f t="shared" ca="1" si="8"/>
        <v>#N/A</v>
      </c>
      <c r="AC23" s="176" t="e">
        <f t="shared" ca="1" si="9"/>
        <v>#N/A</v>
      </c>
      <c r="AD23" s="176" t="str">
        <f t="shared" si="17"/>
        <v/>
      </c>
      <c r="AE23" s="176" t="e">
        <f t="shared" ca="1" si="18"/>
        <v>#N/A</v>
      </c>
    </row>
    <row r="24" spans="1:31" ht="15" customHeight="1">
      <c r="B24" s="201" t="b">
        <f>IF(TRIM(Length_1!A19)="",FALSE,TRUE)</f>
        <v>0</v>
      </c>
      <c r="C24" s="176" t="str">
        <f>IF($B24=FALSE,"",VALUE(Length_1!A19))</f>
        <v/>
      </c>
      <c r="D24" s="176" t="str">
        <f>IF($B24=FALSE,"",Length_1!B19)</f>
        <v/>
      </c>
      <c r="E24" s="202" t="str">
        <f>IF($B24=FALSE,"",Length_1!M19)</f>
        <v/>
      </c>
      <c r="F24" s="202" t="str">
        <f>IF($B24=FALSE,"",Length_1!N19)</f>
        <v/>
      </c>
      <c r="G24" s="202" t="str">
        <f>IF($B24=FALSE,"",Length_1!O19)</f>
        <v/>
      </c>
      <c r="H24" s="202" t="str">
        <f>IF($B24=FALSE,"",Length_1!P19)</f>
        <v/>
      </c>
      <c r="I24" s="202" t="str">
        <f>IF($B24=FALSE,"",Length_1!Q19)</f>
        <v/>
      </c>
      <c r="J24" s="203" t="str">
        <f t="shared" si="10"/>
        <v/>
      </c>
      <c r="K24" s="273" t="str">
        <f t="shared" si="1"/>
        <v/>
      </c>
      <c r="L24" s="204" t="str">
        <f t="shared" si="11"/>
        <v/>
      </c>
      <c r="M24" s="205" t="str">
        <f>IF(B24=FALSE,"",Length_1!B42-O24)</f>
        <v/>
      </c>
      <c r="N24" s="206" t="str">
        <f t="shared" si="12"/>
        <v/>
      </c>
      <c r="O24" s="183" t="str">
        <f t="shared" si="2"/>
        <v/>
      </c>
      <c r="P24" s="176" t="str">
        <f t="shared" si="3"/>
        <v/>
      </c>
      <c r="Q24" s="176" t="str">
        <f t="shared" si="4"/>
        <v/>
      </c>
      <c r="R24" s="176" t="str">
        <f t="shared" si="5"/>
        <v/>
      </c>
      <c r="S24" s="176" t="str">
        <f t="shared" si="6"/>
        <v/>
      </c>
      <c r="T24" s="207" t="str">
        <f t="shared" si="13"/>
        <v/>
      </c>
      <c r="U24" s="176" t="str">
        <f t="shared" si="14"/>
        <v/>
      </c>
      <c r="V24" s="176" t="str">
        <f t="shared" si="15"/>
        <v/>
      </c>
      <c r="W24" s="124"/>
      <c r="X24" s="176" t="e">
        <f ca="1">IF(Length_1!J19&lt;0,ROUNDUP(Length_1!J19,$M$45),ROUNDDOWN(Length_1!J19,$M$45))</f>
        <v>#N/A</v>
      </c>
      <c r="Y24" s="176" t="e">
        <f ca="1">IF(Length_1!K19&lt;0,ROUNDDOWN(Length_1!K19,$M$45),ROUNDUP(Length_1!K19,$M$45))</f>
        <v>#N/A</v>
      </c>
      <c r="Z24" s="176" t="str">
        <f t="shared" si="16"/>
        <v/>
      </c>
      <c r="AA24" s="176" t="e">
        <f t="shared" ca="1" si="7"/>
        <v>#N/A</v>
      </c>
      <c r="AB24" s="176" t="e">
        <f t="shared" ca="1" si="8"/>
        <v>#N/A</v>
      </c>
      <c r="AC24" s="176" t="e">
        <f t="shared" ca="1" si="9"/>
        <v>#N/A</v>
      </c>
      <c r="AD24" s="176" t="str">
        <f t="shared" si="17"/>
        <v/>
      </c>
      <c r="AE24" s="176" t="e">
        <f t="shared" ca="1" si="18"/>
        <v>#N/A</v>
      </c>
    </row>
    <row r="25" spans="1:31" ht="15" customHeight="1">
      <c r="B25" s="201" t="b">
        <f>IF(TRIM(Length_1!A20)="",FALSE,TRUE)</f>
        <v>0</v>
      </c>
      <c r="C25" s="176" t="str">
        <f>IF($B25=FALSE,"",VALUE(Length_1!A20))</f>
        <v/>
      </c>
      <c r="D25" s="176" t="str">
        <f>IF($B25=FALSE,"",Length_1!B20)</f>
        <v/>
      </c>
      <c r="E25" s="202" t="str">
        <f>IF($B25=FALSE,"",Length_1!M20)</f>
        <v/>
      </c>
      <c r="F25" s="202" t="str">
        <f>IF($B25=FALSE,"",Length_1!N20)</f>
        <v/>
      </c>
      <c r="G25" s="202" t="str">
        <f>IF($B25=FALSE,"",Length_1!O20)</f>
        <v/>
      </c>
      <c r="H25" s="202" t="str">
        <f>IF($B25=FALSE,"",Length_1!P20)</f>
        <v/>
      </c>
      <c r="I25" s="202" t="str">
        <f>IF($B25=FALSE,"",Length_1!Q20)</f>
        <v/>
      </c>
      <c r="J25" s="203" t="str">
        <f t="shared" si="10"/>
        <v/>
      </c>
      <c r="K25" s="273" t="str">
        <f t="shared" si="1"/>
        <v/>
      </c>
      <c r="L25" s="204" t="str">
        <f t="shared" si="11"/>
        <v/>
      </c>
      <c r="M25" s="205" t="str">
        <f>IF(B25=FALSE,"",Length_1!B43-O25)</f>
        <v/>
      </c>
      <c r="N25" s="206" t="str">
        <f t="shared" si="12"/>
        <v/>
      </c>
      <c r="O25" s="183" t="str">
        <f t="shared" si="2"/>
        <v/>
      </c>
      <c r="P25" s="176" t="str">
        <f t="shared" si="3"/>
        <v/>
      </c>
      <c r="Q25" s="176" t="str">
        <f t="shared" si="4"/>
        <v/>
      </c>
      <c r="R25" s="176" t="str">
        <f t="shared" si="5"/>
        <v/>
      </c>
      <c r="S25" s="176" t="str">
        <f t="shared" si="6"/>
        <v/>
      </c>
      <c r="T25" s="207" t="str">
        <f t="shared" si="13"/>
        <v/>
      </c>
      <c r="U25" s="176" t="str">
        <f t="shared" si="14"/>
        <v/>
      </c>
      <c r="V25" s="176" t="str">
        <f t="shared" si="15"/>
        <v/>
      </c>
      <c r="W25" s="124"/>
      <c r="X25" s="176" t="e">
        <f ca="1">IF(Length_1!J20&lt;0,ROUNDUP(Length_1!J20,$M$45),ROUNDDOWN(Length_1!J20,$M$45))</f>
        <v>#N/A</v>
      </c>
      <c r="Y25" s="176" t="e">
        <f ca="1">IF(Length_1!K20&lt;0,ROUNDDOWN(Length_1!K20,$M$45),ROUNDUP(Length_1!K20,$M$45))</f>
        <v>#N/A</v>
      </c>
      <c r="Z25" s="176" t="str">
        <f t="shared" si="16"/>
        <v/>
      </c>
      <c r="AA25" s="176" t="e">
        <f t="shared" ca="1" si="7"/>
        <v>#N/A</v>
      </c>
      <c r="AB25" s="176" t="e">
        <f t="shared" ca="1" si="8"/>
        <v>#N/A</v>
      </c>
      <c r="AC25" s="176" t="e">
        <f t="shared" ca="1" si="9"/>
        <v>#N/A</v>
      </c>
      <c r="AD25" s="176" t="str">
        <f t="shared" si="17"/>
        <v/>
      </c>
      <c r="AE25" s="176" t="e">
        <f t="shared" ca="1" si="18"/>
        <v>#N/A</v>
      </c>
    </row>
    <row r="26" spans="1:31" ht="15" customHeight="1">
      <c r="B26" s="201" t="b">
        <f>IF(TRIM(Length_1!A21)="",FALSE,TRUE)</f>
        <v>0</v>
      </c>
      <c r="C26" s="176" t="str">
        <f>IF($B26=FALSE,"",VALUE(Length_1!A21))</f>
        <v/>
      </c>
      <c r="D26" s="176" t="str">
        <f>IF($B26=FALSE,"",Length_1!B21)</f>
        <v/>
      </c>
      <c r="E26" s="202" t="str">
        <f>IF($B26=FALSE,"",Length_1!M21)</f>
        <v/>
      </c>
      <c r="F26" s="202" t="str">
        <f>IF($B26=FALSE,"",Length_1!N21)</f>
        <v/>
      </c>
      <c r="G26" s="202" t="str">
        <f>IF($B26=FALSE,"",Length_1!O21)</f>
        <v/>
      </c>
      <c r="H26" s="202" t="str">
        <f>IF($B26=FALSE,"",Length_1!P21)</f>
        <v/>
      </c>
      <c r="I26" s="202" t="str">
        <f>IF($B26=FALSE,"",Length_1!Q21)</f>
        <v/>
      </c>
      <c r="J26" s="203" t="str">
        <f t="shared" si="10"/>
        <v/>
      </c>
      <c r="K26" s="273" t="str">
        <f t="shared" si="1"/>
        <v/>
      </c>
      <c r="L26" s="204" t="str">
        <f t="shared" si="11"/>
        <v/>
      </c>
      <c r="M26" s="205" t="str">
        <f>IF(B26=FALSE,"",Length_1!B44-O26)</f>
        <v/>
      </c>
      <c r="N26" s="206" t="str">
        <f t="shared" si="12"/>
        <v/>
      </c>
      <c r="O26" s="183" t="str">
        <f t="shared" si="2"/>
        <v/>
      </c>
      <c r="P26" s="176" t="str">
        <f t="shared" si="3"/>
        <v/>
      </c>
      <c r="Q26" s="176" t="str">
        <f t="shared" si="4"/>
        <v/>
      </c>
      <c r="R26" s="176" t="str">
        <f t="shared" si="5"/>
        <v/>
      </c>
      <c r="S26" s="176" t="str">
        <f t="shared" si="6"/>
        <v/>
      </c>
      <c r="T26" s="207" t="str">
        <f t="shared" si="13"/>
        <v/>
      </c>
      <c r="U26" s="176" t="str">
        <f t="shared" si="14"/>
        <v/>
      </c>
      <c r="V26" s="176" t="str">
        <f t="shared" si="15"/>
        <v/>
      </c>
      <c r="W26" s="124"/>
      <c r="X26" s="176" t="e">
        <f ca="1">IF(Length_1!J21&lt;0,ROUNDUP(Length_1!J21,$M$45),ROUNDDOWN(Length_1!J21,$M$45))</f>
        <v>#N/A</v>
      </c>
      <c r="Y26" s="176" t="e">
        <f ca="1">IF(Length_1!K21&lt;0,ROUNDDOWN(Length_1!K21,$M$45),ROUNDUP(Length_1!K21,$M$45))</f>
        <v>#N/A</v>
      </c>
      <c r="Z26" s="176" t="str">
        <f t="shared" si="16"/>
        <v/>
      </c>
      <c r="AA26" s="176" t="e">
        <f t="shared" ca="1" si="7"/>
        <v>#N/A</v>
      </c>
      <c r="AB26" s="176" t="e">
        <f t="shared" ca="1" si="8"/>
        <v>#N/A</v>
      </c>
      <c r="AC26" s="176" t="e">
        <f t="shared" ca="1" si="9"/>
        <v>#N/A</v>
      </c>
      <c r="AD26" s="176" t="str">
        <f t="shared" si="17"/>
        <v/>
      </c>
      <c r="AE26" s="176" t="e">
        <f t="shared" ca="1" si="18"/>
        <v>#N/A</v>
      </c>
    </row>
    <row r="27" spans="1:31" ht="15" customHeight="1">
      <c r="B27" s="201" t="b">
        <f>IF(TRIM(Length_1!A22)="",FALSE,TRUE)</f>
        <v>0</v>
      </c>
      <c r="C27" s="176" t="str">
        <f>IF($B27=FALSE,"",VALUE(Length_1!A22))</f>
        <v/>
      </c>
      <c r="D27" s="176" t="str">
        <f>IF($B27=FALSE,"",Length_1!B22)</f>
        <v/>
      </c>
      <c r="E27" s="202" t="str">
        <f>IF($B27=FALSE,"",Length_1!M22)</f>
        <v/>
      </c>
      <c r="F27" s="202" t="str">
        <f>IF($B27=FALSE,"",Length_1!N22)</f>
        <v/>
      </c>
      <c r="G27" s="202" t="str">
        <f>IF($B27=FALSE,"",Length_1!O22)</f>
        <v/>
      </c>
      <c r="H27" s="202" t="str">
        <f>IF($B27=FALSE,"",Length_1!P22)</f>
        <v/>
      </c>
      <c r="I27" s="202" t="str">
        <f>IF($B27=FALSE,"",Length_1!Q22)</f>
        <v/>
      </c>
      <c r="J27" s="203" t="str">
        <f t="shared" si="10"/>
        <v/>
      </c>
      <c r="K27" s="273" t="str">
        <f t="shared" si="1"/>
        <v/>
      </c>
      <c r="L27" s="204" t="str">
        <f t="shared" si="11"/>
        <v/>
      </c>
      <c r="M27" s="205" t="str">
        <f>IF(B27=FALSE,"",Length_1!B45-O27)</f>
        <v/>
      </c>
      <c r="N27" s="206" t="str">
        <f t="shared" si="12"/>
        <v/>
      </c>
      <c r="O27" s="183" t="str">
        <f t="shared" si="2"/>
        <v/>
      </c>
      <c r="P27" s="176" t="str">
        <f t="shared" si="3"/>
        <v/>
      </c>
      <c r="Q27" s="176" t="str">
        <f t="shared" si="4"/>
        <v/>
      </c>
      <c r="R27" s="176" t="str">
        <f t="shared" si="5"/>
        <v/>
      </c>
      <c r="S27" s="176" t="str">
        <f t="shared" si="6"/>
        <v/>
      </c>
      <c r="T27" s="207" t="str">
        <f t="shared" si="13"/>
        <v/>
      </c>
      <c r="U27" s="176" t="str">
        <f t="shared" si="14"/>
        <v/>
      </c>
      <c r="V27" s="176" t="str">
        <f t="shared" si="15"/>
        <v/>
      </c>
      <c r="W27" s="124"/>
      <c r="X27" s="176" t="e">
        <f ca="1">IF(Length_1!J22&lt;0,ROUNDUP(Length_1!J22,$M$45),ROUNDDOWN(Length_1!J22,$M$45))</f>
        <v>#N/A</v>
      </c>
      <c r="Y27" s="176" t="e">
        <f ca="1">IF(Length_1!K22&lt;0,ROUNDDOWN(Length_1!K22,$M$45),ROUNDUP(Length_1!K22,$M$45))</f>
        <v>#N/A</v>
      </c>
      <c r="Z27" s="176" t="str">
        <f t="shared" si="16"/>
        <v/>
      </c>
      <c r="AA27" s="176" t="e">
        <f t="shared" ca="1" si="7"/>
        <v>#N/A</v>
      </c>
      <c r="AB27" s="176" t="e">
        <f t="shared" ca="1" si="8"/>
        <v>#N/A</v>
      </c>
      <c r="AC27" s="176" t="e">
        <f t="shared" ca="1" si="9"/>
        <v>#N/A</v>
      </c>
      <c r="AD27" s="176" t="str">
        <f t="shared" si="17"/>
        <v/>
      </c>
      <c r="AE27" s="176" t="e">
        <f t="shared" ca="1" si="18"/>
        <v>#N/A</v>
      </c>
    </row>
    <row r="28" spans="1:31" ht="15" customHeight="1">
      <c r="B28" s="201" t="b">
        <f>IF(TRIM(Length_1!A23)="",FALSE,TRUE)</f>
        <v>0</v>
      </c>
      <c r="C28" s="176" t="str">
        <f>IF($B28=FALSE,"",VALUE(Length_1!A23))</f>
        <v/>
      </c>
      <c r="D28" s="176" t="str">
        <f>IF($B28=FALSE,"",Length_1!B23)</f>
        <v/>
      </c>
      <c r="E28" s="202" t="str">
        <f>IF($B28=FALSE,"",Length_1!M23)</f>
        <v/>
      </c>
      <c r="F28" s="202" t="str">
        <f>IF($B28=FALSE,"",Length_1!N23)</f>
        <v/>
      </c>
      <c r="G28" s="202" t="str">
        <f>IF($B28=FALSE,"",Length_1!O23)</f>
        <v/>
      </c>
      <c r="H28" s="202" t="str">
        <f>IF($B28=FALSE,"",Length_1!P23)</f>
        <v/>
      </c>
      <c r="I28" s="202" t="str">
        <f>IF($B28=FALSE,"",Length_1!Q23)</f>
        <v/>
      </c>
      <c r="J28" s="203" t="str">
        <f t="shared" si="10"/>
        <v/>
      </c>
      <c r="K28" s="273" t="str">
        <f t="shared" si="1"/>
        <v/>
      </c>
      <c r="L28" s="204" t="str">
        <f t="shared" si="11"/>
        <v/>
      </c>
      <c r="M28" s="205" t="str">
        <f>IF(B28=FALSE,"",Length_1!B46-O28)</f>
        <v/>
      </c>
      <c r="N28" s="206" t="str">
        <f t="shared" si="12"/>
        <v/>
      </c>
      <c r="O28" s="183" t="str">
        <f t="shared" si="2"/>
        <v/>
      </c>
      <c r="P28" s="176" t="str">
        <f t="shared" si="3"/>
        <v/>
      </c>
      <c r="Q28" s="176" t="str">
        <f t="shared" si="4"/>
        <v/>
      </c>
      <c r="R28" s="176" t="str">
        <f t="shared" si="5"/>
        <v/>
      </c>
      <c r="S28" s="176" t="str">
        <f t="shared" si="6"/>
        <v/>
      </c>
      <c r="T28" s="207" t="str">
        <f t="shared" si="13"/>
        <v/>
      </c>
      <c r="U28" s="176" t="str">
        <f t="shared" si="14"/>
        <v/>
      </c>
      <c r="V28" s="176" t="str">
        <f t="shared" si="15"/>
        <v/>
      </c>
      <c r="W28" s="124"/>
      <c r="X28" s="176" t="e">
        <f ca="1">IF(Length_1!J23&lt;0,ROUNDUP(Length_1!J23,$M$45),ROUNDDOWN(Length_1!J23,$M$45))</f>
        <v>#N/A</v>
      </c>
      <c r="Y28" s="176" t="e">
        <f ca="1">IF(Length_1!K23&lt;0,ROUNDDOWN(Length_1!K23,$M$45),ROUNDUP(Length_1!K23,$M$45))</f>
        <v>#N/A</v>
      </c>
      <c r="Z28" s="176" t="str">
        <f t="shared" si="16"/>
        <v/>
      </c>
      <c r="AA28" s="176" t="e">
        <f t="shared" ca="1" si="7"/>
        <v>#N/A</v>
      </c>
      <c r="AB28" s="176" t="e">
        <f t="shared" ca="1" si="8"/>
        <v>#N/A</v>
      </c>
      <c r="AC28" s="176" t="e">
        <f t="shared" ca="1" si="9"/>
        <v>#N/A</v>
      </c>
      <c r="AD28" s="176" t="str">
        <f t="shared" si="17"/>
        <v/>
      </c>
      <c r="AE28" s="176" t="e">
        <f t="shared" ca="1" si="18"/>
        <v>#N/A</v>
      </c>
    </row>
    <row r="29" spans="1:31" ht="15" customHeight="1">
      <c r="N29" s="120"/>
      <c r="O29" s="120"/>
      <c r="P29" s="120"/>
      <c r="Q29" s="120"/>
      <c r="R29" s="120"/>
      <c r="S29" s="120"/>
      <c r="T29" s="120"/>
      <c r="X29" s="120"/>
    </row>
    <row r="30" spans="1:31" ht="15" customHeight="1">
      <c r="A30" s="118" t="s">
        <v>385</v>
      </c>
      <c r="C30" s="119"/>
      <c r="D30" s="119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</row>
    <row r="31" spans="1:31" ht="15" customHeight="1">
      <c r="A31" s="118"/>
      <c r="B31" s="480"/>
      <c r="C31" s="480" t="s">
        <v>386</v>
      </c>
      <c r="D31" s="482" t="s">
        <v>387</v>
      </c>
      <c r="E31" s="480" t="s">
        <v>388</v>
      </c>
      <c r="F31" s="480" t="s">
        <v>389</v>
      </c>
      <c r="G31" s="486">
        <v>1</v>
      </c>
      <c r="H31" s="493"/>
      <c r="I31" s="493"/>
      <c r="J31" s="493"/>
      <c r="K31" s="487"/>
      <c r="L31" s="269">
        <v>2</v>
      </c>
      <c r="M31" s="486">
        <v>3</v>
      </c>
      <c r="N31" s="493"/>
      <c r="O31" s="493"/>
      <c r="P31" s="487"/>
      <c r="Q31" s="486">
        <v>4</v>
      </c>
      <c r="R31" s="487"/>
      <c r="S31" s="269">
        <v>5</v>
      </c>
      <c r="T31" s="480" t="s">
        <v>392</v>
      </c>
      <c r="U31" s="486" t="s">
        <v>536</v>
      </c>
      <c r="V31" s="487"/>
      <c r="W31" s="124"/>
    </row>
    <row r="32" spans="1:31" ht="15" customHeight="1">
      <c r="A32" s="118"/>
      <c r="B32" s="481"/>
      <c r="C32" s="481"/>
      <c r="D32" s="483"/>
      <c r="E32" s="481"/>
      <c r="F32" s="481"/>
      <c r="G32" s="269" t="s">
        <v>394</v>
      </c>
      <c r="H32" s="269" t="s">
        <v>395</v>
      </c>
      <c r="I32" s="269" t="s">
        <v>396</v>
      </c>
      <c r="J32" s="486" t="s">
        <v>397</v>
      </c>
      <c r="K32" s="487"/>
      <c r="L32" s="269" t="s">
        <v>398</v>
      </c>
      <c r="M32" s="486" t="s">
        <v>394</v>
      </c>
      <c r="N32" s="487"/>
      <c r="O32" s="486" t="s">
        <v>399</v>
      </c>
      <c r="P32" s="487"/>
      <c r="Q32" s="486" t="s">
        <v>400</v>
      </c>
      <c r="R32" s="487"/>
      <c r="S32" s="269" t="s">
        <v>401</v>
      </c>
      <c r="T32" s="499"/>
      <c r="U32" s="281" t="s">
        <v>537</v>
      </c>
      <c r="V32" s="281" t="s">
        <v>538</v>
      </c>
      <c r="W32" s="124"/>
    </row>
    <row r="33" spans="2:25" ht="15" customHeight="1">
      <c r="B33" s="269" t="s">
        <v>404</v>
      </c>
      <c r="C33" s="208" t="s">
        <v>405</v>
      </c>
      <c r="D33" s="209" t="s">
        <v>406</v>
      </c>
      <c r="E33" s="273" t="e">
        <f ca="1">OFFSET(L$8,MATCH(M$3,O$9:O$28,0),0)</f>
        <v>#N/A</v>
      </c>
      <c r="F33" s="210" t="s">
        <v>407</v>
      </c>
      <c r="G33" s="178">
        <f>IF(MAX(K9:K28)=0,O3,MAX(K9:K28))</f>
        <v>0</v>
      </c>
      <c r="H33" s="176">
        <f>IF(MAX(K9:K28)=0,2,1)</f>
        <v>2</v>
      </c>
      <c r="I33" s="214">
        <f>IF(MAX(K9:K28)=0,3,5)</f>
        <v>3</v>
      </c>
      <c r="J33" s="211">
        <f>G33/H33/SQRT(I33)</f>
        <v>0</v>
      </c>
      <c r="K33" s="178" t="s">
        <v>407</v>
      </c>
      <c r="L33" s="212" t="s">
        <v>408</v>
      </c>
      <c r="M33" s="176"/>
      <c r="N33" s="176"/>
      <c r="O33" s="205">
        <v>1</v>
      </c>
      <c r="P33" s="176"/>
      <c r="Q33" s="213">
        <f>ABS(J33*O33)</f>
        <v>0</v>
      </c>
      <c r="R33" s="178" t="s">
        <v>407</v>
      </c>
      <c r="S33" s="176">
        <v>4</v>
      </c>
      <c r="T33" s="219">
        <f t="shared" ref="T33:T40" si="19">IF(S33="∞",0,Q33^4/S33)</f>
        <v>0</v>
      </c>
      <c r="U33" s="213" t="str">
        <f>IF(OR(L33="직사각형",L33="삼각형"),Q33,"")</f>
        <v/>
      </c>
      <c r="V33" s="213">
        <f>IF(OR(L33="직사각형",L33="삼각형"),"",Q33)</f>
        <v>0</v>
      </c>
      <c r="W33" s="124"/>
    </row>
    <row r="34" spans="2:25" ht="15" customHeight="1">
      <c r="B34" s="269" t="s">
        <v>409</v>
      </c>
      <c r="C34" s="208" t="s">
        <v>410</v>
      </c>
      <c r="D34" s="209" t="s">
        <v>411</v>
      </c>
      <c r="E34" s="176" t="e">
        <f ca="1">OFFSET(M$8,MATCH(M$3,O$9:O$28,0),0)</f>
        <v>#N/A</v>
      </c>
      <c r="F34" s="210" t="s">
        <v>407</v>
      </c>
      <c r="G34" s="176">
        <f>Length_1!T50</f>
        <v>0</v>
      </c>
      <c r="H34" s="176">
        <f>Length_1!R50</f>
        <v>0</v>
      </c>
      <c r="I34" s="176" t="e">
        <f ca="1">OFFSET(Length_1!E26,MATCH(M3,Length_1!B27:B46,0),2)</f>
        <v>#N/A</v>
      </c>
      <c r="J34" s="224" t="e">
        <f ca="1">G34/I34+H34</f>
        <v>#N/A</v>
      </c>
      <c r="K34" s="178" t="s">
        <v>407</v>
      </c>
      <c r="L34" s="212" t="s">
        <v>412</v>
      </c>
      <c r="M34" s="176"/>
      <c r="N34" s="176"/>
      <c r="O34" s="205">
        <v>1</v>
      </c>
      <c r="P34" s="176"/>
      <c r="Q34" s="213" t="e">
        <f t="shared" ref="Q34:Q39" ca="1" si="20">ABS(J34*O34)</f>
        <v>#N/A</v>
      </c>
      <c r="R34" s="178" t="s">
        <v>383</v>
      </c>
      <c r="S34" s="176" t="s">
        <v>413</v>
      </c>
      <c r="T34" s="219">
        <f t="shared" si="19"/>
        <v>0</v>
      </c>
      <c r="U34" s="213" t="str">
        <f t="shared" ref="U34:U40" si="21">IF(OR(L34="직사각형",L34="삼각형"),Q34,"")</f>
        <v/>
      </c>
      <c r="V34" s="213" t="e">
        <f t="shared" ref="V34:V40" ca="1" si="22">IF(OR(L34="직사각형",L34="삼각형"),"",Q34)</f>
        <v>#N/A</v>
      </c>
      <c r="W34" s="124"/>
    </row>
    <row r="35" spans="2:25" ht="15" customHeight="1">
      <c r="B35" s="269" t="s">
        <v>414</v>
      </c>
      <c r="C35" s="208" t="s">
        <v>415</v>
      </c>
      <c r="D35" s="209" t="s">
        <v>488</v>
      </c>
      <c r="E35" s="273" t="e">
        <f ca="1">OFFSET(N$8,MATCH(M$3,O$9:O$28,0),0)</f>
        <v>#N/A</v>
      </c>
      <c r="F35" s="210" t="s">
        <v>407</v>
      </c>
      <c r="G35" s="176">
        <f>O3</f>
        <v>0</v>
      </c>
      <c r="H35" s="176">
        <v>2</v>
      </c>
      <c r="I35" s="214">
        <v>3</v>
      </c>
      <c r="J35" s="225">
        <f>G35/H35/SQRT(I35)</f>
        <v>0</v>
      </c>
      <c r="K35" s="178" t="s">
        <v>407</v>
      </c>
      <c r="L35" s="212" t="s">
        <v>416</v>
      </c>
      <c r="M35" s="176"/>
      <c r="N35" s="176"/>
      <c r="O35" s="205">
        <v>-1</v>
      </c>
      <c r="P35" s="176"/>
      <c r="Q35" s="213">
        <f t="shared" si="20"/>
        <v>0</v>
      </c>
      <c r="R35" s="178" t="s">
        <v>383</v>
      </c>
      <c r="S35" s="176" t="s">
        <v>417</v>
      </c>
      <c r="T35" s="219">
        <f t="shared" si="19"/>
        <v>0</v>
      </c>
      <c r="U35" s="213">
        <f t="shared" si="21"/>
        <v>0</v>
      </c>
      <c r="V35" s="213" t="str">
        <f t="shared" si="22"/>
        <v/>
      </c>
      <c r="W35" s="124"/>
    </row>
    <row r="36" spans="2:25" ht="15" customHeight="1">
      <c r="B36" s="269" t="s">
        <v>418</v>
      </c>
      <c r="C36" s="208" t="s">
        <v>419</v>
      </c>
      <c r="D36" s="209" t="s">
        <v>194</v>
      </c>
      <c r="E36" s="277" t="str">
        <f>P9</f>
        <v/>
      </c>
      <c r="F36" s="210" t="s">
        <v>420</v>
      </c>
      <c r="G36" s="215">
        <f>1*10^-6</f>
        <v>9.9999999999999995E-7</v>
      </c>
      <c r="H36" s="177">
        <v>1</v>
      </c>
      <c r="I36" s="214">
        <v>3</v>
      </c>
      <c r="J36" s="216">
        <f>SQRT((G36/SQRT(I36)/2)^2+(G36/SQRT(I36)/2)^2)</f>
        <v>4.0824829046386305E-7</v>
      </c>
      <c r="K36" s="210" t="s">
        <v>381</v>
      </c>
      <c r="L36" s="212" t="s">
        <v>421</v>
      </c>
      <c r="M36" s="178" t="e">
        <f>-G37</f>
        <v>#VALUE!</v>
      </c>
      <c r="N36" s="176">
        <f>$M$3</f>
        <v>0</v>
      </c>
      <c r="O36" s="205" t="e">
        <f>M36*N36</f>
        <v>#VALUE!</v>
      </c>
      <c r="P36" s="176" t="s">
        <v>422</v>
      </c>
      <c r="Q36" s="213" t="e">
        <f t="shared" si="20"/>
        <v>#VALUE!</v>
      </c>
      <c r="R36" s="178" t="s">
        <v>380</v>
      </c>
      <c r="S36" s="176">
        <v>100</v>
      </c>
      <c r="T36" s="219" t="e">
        <f t="shared" si="19"/>
        <v>#VALUE!</v>
      </c>
      <c r="U36" s="213" t="e">
        <f t="shared" si="21"/>
        <v>#VALUE!</v>
      </c>
      <c r="V36" s="213" t="str">
        <f t="shared" si="22"/>
        <v/>
      </c>
      <c r="W36" s="124"/>
    </row>
    <row r="37" spans="2:25" ht="15" customHeight="1">
      <c r="B37" s="269" t="s">
        <v>423</v>
      </c>
      <c r="C37" s="208" t="s">
        <v>424</v>
      </c>
      <c r="D37" s="209" t="s">
        <v>196</v>
      </c>
      <c r="E37" s="178" t="str">
        <f>Q9</f>
        <v/>
      </c>
      <c r="F37" s="210" t="s">
        <v>425</v>
      </c>
      <c r="G37" s="178" t="e">
        <f>MAX(ABS(E37),1)</f>
        <v>#VALUE!</v>
      </c>
      <c r="H37" s="177">
        <v>1</v>
      </c>
      <c r="I37" s="214">
        <v>3</v>
      </c>
      <c r="J37" s="211" t="e">
        <f>G37/SQRT(I37)</f>
        <v>#VALUE!</v>
      </c>
      <c r="K37" s="210" t="s">
        <v>426</v>
      </c>
      <c r="L37" s="212" t="s">
        <v>390</v>
      </c>
      <c r="M37" s="215" t="e">
        <f>-E36</f>
        <v>#VALUE!</v>
      </c>
      <c r="N37" s="176">
        <f t="shared" ref="N37:N39" si="23">$M$3</f>
        <v>0</v>
      </c>
      <c r="O37" s="230" t="e">
        <f>M37*N37</f>
        <v>#VALUE!</v>
      </c>
      <c r="P37" s="176" t="s">
        <v>427</v>
      </c>
      <c r="Q37" s="213" t="e">
        <f t="shared" si="20"/>
        <v>#VALUE!</v>
      </c>
      <c r="R37" s="178" t="s">
        <v>407</v>
      </c>
      <c r="S37" s="176">
        <v>12</v>
      </c>
      <c r="T37" s="219" t="e">
        <f t="shared" si="19"/>
        <v>#VALUE!</v>
      </c>
      <c r="U37" s="213" t="e">
        <f t="shared" si="21"/>
        <v>#VALUE!</v>
      </c>
      <c r="V37" s="213" t="str">
        <f t="shared" si="22"/>
        <v/>
      </c>
      <c r="W37" s="124"/>
    </row>
    <row r="38" spans="2:25" ht="15" customHeight="1">
      <c r="B38" s="269" t="s">
        <v>428</v>
      </c>
      <c r="C38" s="208" t="s">
        <v>429</v>
      </c>
      <c r="D38" s="209" t="s">
        <v>199</v>
      </c>
      <c r="E38" s="215" t="str">
        <f>R9</f>
        <v/>
      </c>
      <c r="F38" s="210" t="s">
        <v>430</v>
      </c>
      <c r="G38" s="215">
        <f>1*10^-6</f>
        <v>9.9999999999999995E-7</v>
      </c>
      <c r="H38" s="177">
        <v>1</v>
      </c>
      <c r="I38" s="214">
        <v>3</v>
      </c>
      <c r="J38" s="216">
        <f>SQRT((G38/SQRT(I38))^2+(G38/SQRT(I38))^2)</f>
        <v>8.1649658092772609E-7</v>
      </c>
      <c r="K38" s="210" t="s">
        <v>430</v>
      </c>
      <c r="L38" s="212" t="s">
        <v>431</v>
      </c>
      <c r="M38" s="178" t="e">
        <f>-E39</f>
        <v>#VALUE!</v>
      </c>
      <c r="N38" s="176">
        <f t="shared" si="23"/>
        <v>0</v>
      </c>
      <c r="O38" s="205" t="e">
        <f>M38*N38</f>
        <v>#VALUE!</v>
      </c>
      <c r="P38" s="176" t="s">
        <v>432</v>
      </c>
      <c r="Q38" s="213" t="e">
        <f t="shared" si="20"/>
        <v>#VALUE!</v>
      </c>
      <c r="R38" s="178" t="s">
        <v>383</v>
      </c>
      <c r="S38" s="176">
        <v>100</v>
      </c>
      <c r="T38" s="219" t="e">
        <f t="shared" si="19"/>
        <v>#VALUE!</v>
      </c>
      <c r="U38" s="213" t="e">
        <f t="shared" si="21"/>
        <v>#VALUE!</v>
      </c>
      <c r="V38" s="213" t="str">
        <f t="shared" si="22"/>
        <v/>
      </c>
      <c r="W38" s="124"/>
    </row>
    <row r="39" spans="2:25" ht="15" customHeight="1">
      <c r="B39" s="269" t="s">
        <v>433</v>
      </c>
      <c r="C39" s="208" t="s">
        <v>115</v>
      </c>
      <c r="D39" s="209" t="s">
        <v>116</v>
      </c>
      <c r="E39" s="178" t="str">
        <f>S9</f>
        <v/>
      </c>
      <c r="F39" s="210" t="s">
        <v>425</v>
      </c>
      <c r="G39" s="178">
        <v>1</v>
      </c>
      <c r="H39" s="177">
        <v>1</v>
      </c>
      <c r="I39" s="214">
        <v>3</v>
      </c>
      <c r="J39" s="211">
        <f>G39/SQRT(I39)</f>
        <v>0.57735026918962584</v>
      </c>
      <c r="K39" s="210" t="s">
        <v>426</v>
      </c>
      <c r="L39" s="212" t="s">
        <v>434</v>
      </c>
      <c r="M39" s="217">
        <f>-G38</f>
        <v>-9.9999999999999995E-7</v>
      </c>
      <c r="N39" s="176">
        <f t="shared" si="23"/>
        <v>0</v>
      </c>
      <c r="O39" s="216">
        <f>M39*N39</f>
        <v>0</v>
      </c>
      <c r="P39" s="176" t="s">
        <v>435</v>
      </c>
      <c r="Q39" s="213">
        <f t="shared" si="20"/>
        <v>0</v>
      </c>
      <c r="R39" s="178" t="s">
        <v>407</v>
      </c>
      <c r="S39" s="176">
        <v>12</v>
      </c>
      <c r="T39" s="219">
        <f t="shared" si="19"/>
        <v>0</v>
      </c>
      <c r="U39" s="213">
        <f t="shared" si="21"/>
        <v>0</v>
      </c>
      <c r="V39" s="213" t="str">
        <f t="shared" si="22"/>
        <v/>
      </c>
      <c r="W39" s="124"/>
    </row>
    <row r="40" spans="2:25" ht="15" customHeight="1">
      <c r="B40" s="269" t="s">
        <v>436</v>
      </c>
      <c r="C40" s="208" t="s">
        <v>437</v>
      </c>
      <c r="D40" s="209" t="s">
        <v>438</v>
      </c>
      <c r="E40" s="176">
        <v>0</v>
      </c>
      <c r="F40" s="210" t="s">
        <v>407</v>
      </c>
      <c r="G40" s="176">
        <v>0.1</v>
      </c>
      <c r="H40" s="176">
        <v>2</v>
      </c>
      <c r="I40" s="214">
        <v>3</v>
      </c>
      <c r="J40" s="224">
        <f>G40/H40/SQRT(I40)</f>
        <v>2.8867513459481291E-2</v>
      </c>
      <c r="K40" s="178" t="s">
        <v>407</v>
      </c>
      <c r="L40" s="212" t="s">
        <v>390</v>
      </c>
      <c r="M40" s="217"/>
      <c r="N40" s="176"/>
      <c r="O40" s="205">
        <v>1</v>
      </c>
      <c r="P40" s="176"/>
      <c r="Q40" s="213">
        <f>ABS(J40*O40)</f>
        <v>2.8867513459481291E-2</v>
      </c>
      <c r="R40" s="178" t="s">
        <v>383</v>
      </c>
      <c r="S40" s="176">
        <v>12</v>
      </c>
      <c r="T40" s="219">
        <f t="shared" si="19"/>
        <v>5.7870370370370391E-8</v>
      </c>
      <c r="U40" s="213">
        <f t="shared" si="21"/>
        <v>2.8867513459481291E-2</v>
      </c>
      <c r="V40" s="213" t="str">
        <f t="shared" si="22"/>
        <v/>
      </c>
      <c r="W40" s="124"/>
    </row>
    <row r="41" spans="2:25" ht="15" customHeight="1">
      <c r="B41" s="269" t="s">
        <v>439</v>
      </c>
      <c r="C41" s="208" t="s">
        <v>440</v>
      </c>
      <c r="D41" s="209" t="s">
        <v>441</v>
      </c>
      <c r="E41" s="176" t="e">
        <f ca="1">E33+E34-E35-(E36*E37+E38*E39)*E35</f>
        <v>#N/A</v>
      </c>
      <c r="F41" s="210" t="s">
        <v>383</v>
      </c>
      <c r="G41" s="494"/>
      <c r="H41" s="495"/>
      <c r="I41" s="495"/>
      <c r="J41" s="495"/>
      <c r="K41" s="495"/>
      <c r="L41" s="495"/>
      <c r="M41" s="495"/>
      <c r="N41" s="495"/>
      <c r="O41" s="495"/>
      <c r="P41" s="496"/>
      <c r="Q41" s="218" t="e">
        <f ca="1">SQRT(SUMSQ(Q33:Q40))</f>
        <v>#N/A</v>
      </c>
      <c r="R41" s="178" t="s">
        <v>407</v>
      </c>
      <c r="S41" s="183" t="e">
        <f>IF(T41=0,"∞",ROUNDDOWN(Q41^4/T41,0))</f>
        <v>#VALUE!</v>
      </c>
      <c r="T41" s="282" t="e">
        <f>SUM(T33:T40)</f>
        <v>#VALUE!</v>
      </c>
      <c r="U41" s="261" t="e">
        <f>SQRT(SUMSQ(U33:U40))</f>
        <v>#VALUE!</v>
      </c>
      <c r="V41" s="261" t="e">
        <f ca="1">SQRT(SUMSQ(V33:V40))</f>
        <v>#N/A</v>
      </c>
      <c r="Y41" s="122"/>
    </row>
    <row r="42" spans="2:25" ht="15" customHeight="1">
      <c r="T42" s="124"/>
      <c r="U42" s="124"/>
    </row>
    <row r="43" spans="2:25" ht="15" customHeight="1">
      <c r="B43" s="272"/>
      <c r="C43" s="486" t="s">
        <v>445</v>
      </c>
      <c r="D43" s="493"/>
      <c r="E43" s="493"/>
      <c r="F43" s="493"/>
      <c r="G43" s="487"/>
      <c r="H43" s="269" t="s">
        <v>446</v>
      </c>
      <c r="I43" s="269" t="s">
        <v>447</v>
      </c>
      <c r="J43" s="486" t="s">
        <v>530</v>
      </c>
      <c r="K43" s="493"/>
      <c r="L43" s="493"/>
      <c r="M43" s="487"/>
      <c r="N43" s="278" t="s">
        <v>531</v>
      </c>
      <c r="O43" s="486" t="s">
        <v>532</v>
      </c>
      <c r="P43" s="493"/>
      <c r="Q43" s="487"/>
      <c r="R43" s="480" t="s">
        <v>529</v>
      </c>
      <c r="S43" s="486" t="s">
        <v>542</v>
      </c>
      <c r="T43" s="487"/>
      <c r="U43" s="121"/>
    </row>
    <row r="44" spans="2:25" ht="15" customHeight="1">
      <c r="B44" s="272"/>
      <c r="C44" s="272">
        <v>1</v>
      </c>
      <c r="D44" s="272">
        <v>2</v>
      </c>
      <c r="E44" s="272" t="s">
        <v>449</v>
      </c>
      <c r="F44" s="272" t="s">
        <v>389</v>
      </c>
      <c r="G44" s="272" t="s">
        <v>450</v>
      </c>
      <c r="H44" s="272" t="s">
        <v>407</v>
      </c>
      <c r="I44" s="272" t="s">
        <v>407</v>
      </c>
      <c r="J44" s="278" t="s">
        <v>533</v>
      </c>
      <c r="K44" s="278" t="s">
        <v>452</v>
      </c>
      <c r="L44" s="278" t="s">
        <v>75</v>
      </c>
      <c r="M44" s="278" t="s">
        <v>446</v>
      </c>
      <c r="N44" s="279"/>
      <c r="O44" s="278" t="s">
        <v>451</v>
      </c>
      <c r="P44" s="278" t="s">
        <v>452</v>
      </c>
      <c r="Q44" s="278" t="s">
        <v>534</v>
      </c>
      <c r="R44" s="481"/>
      <c r="S44" s="283" t="s">
        <v>543</v>
      </c>
      <c r="T44" s="283" t="s">
        <v>544</v>
      </c>
      <c r="U44" s="121"/>
    </row>
    <row r="45" spans="2:25" ht="15" customHeight="1">
      <c r="B45" s="272" t="s">
        <v>456</v>
      </c>
      <c r="C45" s="126" t="e">
        <f ca="1">E56*Q41</f>
        <v>#N/A</v>
      </c>
      <c r="D45" s="126"/>
      <c r="E45" s="126"/>
      <c r="F45" s="128" t="str">
        <f>R41</f>
        <v>mm</v>
      </c>
      <c r="G45" s="133" t="e">
        <f ca="1">C45</f>
        <v>#N/A</v>
      </c>
      <c r="H45" s="133" t="e">
        <f ca="1">MAX(G45:G46)</f>
        <v>#N/A</v>
      </c>
      <c r="I45" s="165">
        <f>Q3</f>
        <v>0</v>
      </c>
      <c r="J45" s="125" t="e">
        <f ca="1">IF(H45&lt;0.00001,6,IF(H45&lt;0.0001,5,IF(H45&lt;0.001,4,IF(H45&lt;0.01,3,IF(H45&lt;0.1,2,IF(H45&lt;1,1,IF(H45&lt;10,0,IF(H45&lt;100,-1,-2))))))))+K46</f>
        <v>#N/A</v>
      </c>
      <c r="K45" s="125" t="e">
        <f ca="1">IF(AND(H44="μm",I44="mm"),J45+3,J45)</f>
        <v>#N/A</v>
      </c>
      <c r="L45" s="176">
        <f>IFERROR(LEN(I45)-FIND(".",I45),0)</f>
        <v>0</v>
      </c>
      <c r="M45" s="219" t="e">
        <f ca="1">IF(M46=TRUE,MIN(K45:L45),K45)</f>
        <v>#N/A</v>
      </c>
      <c r="N45" s="165" t="e">
        <f ca="1">ABS((H45-ROUND(H45,M45))/H45*100)</f>
        <v>#N/A</v>
      </c>
      <c r="O45" s="121"/>
      <c r="P45" s="176" t="e">
        <f ca="1">OFFSET(P49,MATCH(M45,O50:O59,0),0)</f>
        <v>#N/A</v>
      </c>
      <c r="Q45" s="176" t="str">
        <f ca="1">OFFSET(P49,MATCH(L45,O50:O59,0),0)</f>
        <v>0</v>
      </c>
      <c r="R45" s="129" t="e">
        <f ca="1">IF(H45=G45,0,1)</f>
        <v>#N/A</v>
      </c>
      <c r="S45" s="135" t="e">
        <f ca="1">TEXT(IF(N45&gt;5,ROUNDUP(H45,M45),ROUND(H45,M45)),P45)</f>
        <v>#N/A</v>
      </c>
      <c r="T45" s="135" t="e">
        <f ca="1">S45&amp;" "&amp;H44</f>
        <v>#N/A</v>
      </c>
      <c r="U45" s="121"/>
    </row>
    <row r="46" spans="2:25" ht="15" customHeight="1">
      <c r="B46" s="272" t="s">
        <v>458</v>
      </c>
      <c r="C46" s="127" t="e">
        <f ca="1">$R$3</f>
        <v>#N/A</v>
      </c>
      <c r="D46" s="128" t="e">
        <f ca="1">$S$3</f>
        <v>#N/A</v>
      </c>
      <c r="E46" s="125">
        <f>M3/1000</f>
        <v>0</v>
      </c>
      <c r="F46" s="128" t="e">
        <f ca="1">$T$3</f>
        <v>#N/A</v>
      </c>
      <c r="G46" s="134" t="e">
        <f ca="1">SQRT(SUMSQ(C46,D46*E46))</f>
        <v>#N/A</v>
      </c>
      <c r="J46" s="269" t="s">
        <v>459</v>
      </c>
      <c r="K46" s="176">
        <f>IF(O46=TRUE,1,기본정보!$A$47)</f>
        <v>1</v>
      </c>
      <c r="L46" s="269" t="s">
        <v>460</v>
      </c>
      <c r="M46" s="176" t="b">
        <f>IF(O46=TRUE,FALSE,기본정보!$A$52)</f>
        <v>0</v>
      </c>
      <c r="N46" s="269" t="s">
        <v>461</v>
      </c>
      <c r="O46" s="176" t="b">
        <f>기본정보!$A$46=0</f>
        <v>1</v>
      </c>
      <c r="P46" s="124"/>
      <c r="Q46" s="121"/>
      <c r="R46" s="121"/>
      <c r="S46" s="121"/>
      <c r="T46" s="121"/>
      <c r="U46" s="121"/>
    </row>
    <row r="47" spans="2:25" ht="15" customHeight="1">
      <c r="B47" s="122"/>
      <c r="C47" s="122"/>
      <c r="D47" s="122"/>
      <c r="O47" s="124"/>
      <c r="P47" s="124"/>
      <c r="Q47" s="121"/>
      <c r="R47" s="121"/>
      <c r="S47" s="121"/>
      <c r="T47" s="121"/>
      <c r="U47" s="121"/>
    </row>
    <row r="48" spans="2:25" ht="15" customHeight="1">
      <c r="B48" s="130" t="s">
        <v>442</v>
      </c>
      <c r="C48" s="122"/>
      <c r="D48" s="122"/>
      <c r="I48" s="208" t="s">
        <v>53</v>
      </c>
      <c r="J48" s="208" t="s">
        <v>462</v>
      </c>
      <c r="L48" s="124"/>
      <c r="M48" s="124"/>
      <c r="N48" s="121"/>
      <c r="O48" s="270" t="s">
        <v>463</v>
      </c>
      <c r="P48" s="270" t="s">
        <v>464</v>
      </c>
      <c r="Q48" s="121"/>
      <c r="R48" s="121"/>
      <c r="S48" s="121"/>
      <c r="T48" s="121"/>
      <c r="U48" s="121"/>
    </row>
    <row r="49" spans="2:28" ht="15" customHeight="1">
      <c r="B49" s="488" t="s">
        <v>393</v>
      </c>
      <c r="C49" s="489"/>
      <c r="D49" s="480" t="s">
        <v>539</v>
      </c>
      <c r="E49" s="281" t="s">
        <v>540</v>
      </c>
      <c r="F49" s="281" t="s">
        <v>391</v>
      </c>
      <c r="G49" s="281" t="s">
        <v>541</v>
      </c>
      <c r="I49" s="208"/>
      <c r="J49" s="208">
        <v>95.45</v>
      </c>
      <c r="L49" s="124"/>
      <c r="M49" s="124"/>
      <c r="N49" s="121"/>
      <c r="O49" s="271" t="s">
        <v>465</v>
      </c>
      <c r="P49" s="271" t="s">
        <v>466</v>
      </c>
      <c r="Q49" s="121"/>
      <c r="R49" s="121"/>
      <c r="S49" s="121"/>
      <c r="T49" s="121"/>
      <c r="U49" s="121"/>
    </row>
    <row r="50" spans="2:28" ht="15" customHeight="1">
      <c r="B50" s="272" t="s">
        <v>402</v>
      </c>
      <c r="C50" s="276" t="s">
        <v>403</v>
      </c>
      <c r="D50" s="481"/>
      <c r="E50" s="280" t="e">
        <f>U41</f>
        <v>#VALUE!</v>
      </c>
      <c r="F50" s="280" t="e">
        <f ca="1">V41</f>
        <v>#N/A</v>
      </c>
      <c r="G50" s="260" t="e">
        <f ca="1">F50/E50</f>
        <v>#N/A</v>
      </c>
      <c r="I50" s="176">
        <v>1</v>
      </c>
      <c r="J50" s="176">
        <v>13.97</v>
      </c>
      <c r="L50" s="124"/>
      <c r="M50" s="124"/>
      <c r="N50" s="121"/>
      <c r="O50" s="220">
        <v>0</v>
      </c>
      <c r="P50" s="221" t="s">
        <v>467</v>
      </c>
      <c r="Q50" s="121"/>
      <c r="R50" s="121"/>
      <c r="S50" s="121"/>
      <c r="T50" s="121"/>
      <c r="U50" s="121"/>
    </row>
    <row r="51" spans="2:28" ht="15" customHeight="1">
      <c r="B51" s="176">
        <v>1</v>
      </c>
      <c r="C51" s="213">
        <f>IFERROR(LARGE(U33:U40,B51),0)</f>
        <v>0</v>
      </c>
      <c r="D51" s="269" t="s">
        <v>444</v>
      </c>
      <c r="E51" s="490" t="e">
        <f ca="1">SQRT(SUMSQ(C53:C58,V33:V40))</f>
        <v>#N/A</v>
      </c>
      <c r="F51" s="490"/>
      <c r="G51" s="491" t="e">
        <f ca="1">E51/SQRT(SUMSQ(E52,F52))</f>
        <v>#N/A</v>
      </c>
      <c r="H51" s="123"/>
      <c r="I51" s="176">
        <v>2</v>
      </c>
      <c r="J51" s="176">
        <v>4.53</v>
      </c>
      <c r="L51" s="124"/>
      <c r="N51" s="121"/>
      <c r="O51" s="220">
        <v>1</v>
      </c>
      <c r="P51" s="221" t="s">
        <v>468</v>
      </c>
      <c r="Q51" s="121"/>
      <c r="R51" s="121"/>
      <c r="S51" s="121"/>
      <c r="T51" s="121"/>
      <c r="U51" s="121"/>
    </row>
    <row r="52" spans="2:28" ht="15" customHeight="1">
      <c r="B52" s="176">
        <v>2</v>
      </c>
      <c r="C52" s="213">
        <f>IFERROR(LARGE(U33:U40,B52),0)</f>
        <v>0</v>
      </c>
      <c r="D52" s="269" t="s">
        <v>448</v>
      </c>
      <c r="E52" s="273">
        <f>C51</f>
        <v>0</v>
      </c>
      <c r="F52" s="273">
        <f>C52</f>
        <v>0</v>
      </c>
      <c r="G52" s="492"/>
      <c r="H52" s="123"/>
      <c r="I52" s="176">
        <v>3</v>
      </c>
      <c r="J52" s="176">
        <v>3.31</v>
      </c>
      <c r="L52" s="124"/>
      <c r="N52" s="121"/>
      <c r="O52" s="220">
        <v>2</v>
      </c>
      <c r="P52" s="221" t="s">
        <v>469</v>
      </c>
      <c r="Q52" s="121"/>
      <c r="R52" s="121"/>
      <c r="S52" s="121"/>
      <c r="T52" s="121"/>
      <c r="U52" s="121"/>
    </row>
    <row r="53" spans="2:28" ht="15" customHeight="1">
      <c r="B53" s="176">
        <v>3</v>
      </c>
      <c r="C53" s="218">
        <f>IFERROR(LARGE(U33:U40,B53),0)</f>
        <v>0</v>
      </c>
      <c r="D53" s="480" t="s">
        <v>443</v>
      </c>
      <c r="E53" s="175" t="s">
        <v>453</v>
      </c>
      <c r="F53" s="175" t="s">
        <v>454</v>
      </c>
      <c r="G53" s="175" t="s">
        <v>455</v>
      </c>
      <c r="H53" s="123"/>
      <c r="I53" s="176">
        <v>4</v>
      </c>
      <c r="J53" s="176">
        <v>2.87</v>
      </c>
      <c r="L53" s="124"/>
      <c r="N53" s="121"/>
      <c r="O53" s="220">
        <v>3</v>
      </c>
      <c r="P53" s="221" t="s">
        <v>470</v>
      </c>
      <c r="Q53" s="121"/>
      <c r="R53" s="121"/>
      <c r="S53" s="121"/>
      <c r="T53" s="121"/>
      <c r="U53" s="121"/>
    </row>
    <row r="54" spans="2:28" ht="15" customHeight="1">
      <c r="B54" s="176">
        <v>4</v>
      </c>
      <c r="C54" s="218">
        <f>IFERROR(LARGE(U33:U40,B54),0)</f>
        <v>0</v>
      </c>
      <c r="D54" s="481"/>
      <c r="E54" s="176">
        <f ca="1">OFFSET(G32,MATCH(E52,U33:U40,0),0)/IF(OFFSET(H32,MATCH(E52,U33:U40,0),0)="",1,OFFSET(H32,MATCH(E52,U33:U40,0),0))</f>
        <v>0</v>
      </c>
      <c r="F54" s="176">
        <f ca="1">OFFSET(G32,MATCH(F52,U33:U40,0),0)/IF(OFFSET(H32,MATCH(F52,U33:U40,0),0)="",1,OFFSET(H32,MATCH(F52,U33:U40,0),0))</f>
        <v>0</v>
      </c>
      <c r="G54" s="273" t="e">
        <f ca="1">ABS(E54-F54)/(E54+F54)</f>
        <v>#DIV/0!</v>
      </c>
      <c r="I54" s="176">
        <v>5</v>
      </c>
      <c r="J54" s="176">
        <v>2.65</v>
      </c>
      <c r="N54" s="121"/>
      <c r="O54" s="220">
        <v>4</v>
      </c>
      <c r="P54" s="221" t="s">
        <v>471</v>
      </c>
      <c r="Q54" s="121"/>
      <c r="R54" s="121"/>
      <c r="S54" s="121"/>
      <c r="T54" s="121"/>
      <c r="U54" s="121"/>
    </row>
    <row r="55" spans="2:28" ht="15" customHeight="1">
      <c r="B55" s="176">
        <v>5</v>
      </c>
      <c r="C55" s="218">
        <f>IFERROR(LARGE(U33:U40,B55),0)</f>
        <v>0</v>
      </c>
      <c r="D55" s="269" t="s">
        <v>398</v>
      </c>
      <c r="E55" s="164" t="e">
        <f ca="1">IF(AND(G50&lt;0.3,G51&lt;0.3),"사다리꼴","정규")</f>
        <v>#N/A</v>
      </c>
      <c r="I55" s="176">
        <v>6</v>
      </c>
      <c r="J55" s="176">
        <v>2.52</v>
      </c>
      <c r="N55" s="121"/>
      <c r="O55" s="220">
        <v>5</v>
      </c>
      <c r="P55" s="221" t="s">
        <v>472</v>
      </c>
      <c r="Q55" s="121"/>
      <c r="R55" s="121"/>
      <c r="S55" s="121"/>
      <c r="T55" s="121"/>
      <c r="U55" s="121"/>
    </row>
    <row r="56" spans="2:28" ht="15" customHeight="1">
      <c r="B56" s="176">
        <v>6</v>
      </c>
      <c r="C56" s="218">
        <f>IFERROR(LARGE(U33:U40,B56),0)</f>
        <v>0</v>
      </c>
      <c r="D56" s="269" t="s">
        <v>457</v>
      </c>
      <c r="E56" s="176" t="e">
        <f ca="1">IF(E55="정규",IF(OR(S41="∞",S41&gt;=10),2,OFFSET(J49,MATCH(S41,I50:I59,0),0)),ROUND((1-SQRT((1-0.95)*(1-G54^2)))/SQRT((1+G54^2)/6),2))</f>
        <v>#N/A</v>
      </c>
      <c r="I56" s="176">
        <v>7</v>
      </c>
      <c r="J56" s="176">
        <v>2.4300000000000002</v>
      </c>
      <c r="N56" s="121"/>
      <c r="O56" s="220">
        <v>6</v>
      </c>
      <c r="P56" s="221" t="s">
        <v>473</v>
      </c>
      <c r="Q56" s="121"/>
      <c r="R56" s="121"/>
      <c r="S56" s="121"/>
      <c r="T56" s="121"/>
      <c r="U56" s="121"/>
    </row>
    <row r="57" spans="2:28" ht="15" customHeight="1">
      <c r="B57" s="176">
        <v>7</v>
      </c>
      <c r="C57" s="218">
        <f>IFERROR(LARGE(U33:U40,B57),0)</f>
        <v>0</v>
      </c>
      <c r="D57" s="122"/>
      <c r="I57" s="176">
        <v>8</v>
      </c>
      <c r="J57" s="176">
        <v>2.37</v>
      </c>
      <c r="N57" s="121"/>
      <c r="O57" s="220">
        <v>7</v>
      </c>
      <c r="P57" s="221" t="s">
        <v>474</v>
      </c>
      <c r="Q57" s="121"/>
      <c r="R57" s="121"/>
      <c r="S57" s="121"/>
      <c r="T57" s="121"/>
      <c r="U57" s="121"/>
    </row>
    <row r="58" spans="2:28" ht="15" customHeight="1">
      <c r="B58" s="176">
        <v>8</v>
      </c>
      <c r="C58" s="218">
        <f>IFERROR(LARGE(U33:U40,B58),0)</f>
        <v>0</v>
      </c>
      <c r="D58" s="122"/>
      <c r="I58" s="176">
        <v>9</v>
      </c>
      <c r="J58" s="176">
        <v>2.3199999999999998</v>
      </c>
      <c r="N58" s="121"/>
      <c r="O58" s="220">
        <v>8</v>
      </c>
      <c r="P58" s="221" t="s">
        <v>475</v>
      </c>
      <c r="Q58" s="121"/>
      <c r="R58" s="121"/>
      <c r="S58" s="121"/>
      <c r="T58" s="121"/>
      <c r="U58" s="121"/>
    </row>
    <row r="59" spans="2:28" ht="15" customHeight="1">
      <c r="B59" s="122"/>
      <c r="C59" s="122"/>
      <c r="D59" s="122"/>
      <c r="I59" s="176" t="s">
        <v>54</v>
      </c>
      <c r="J59" s="176">
        <v>2</v>
      </c>
      <c r="N59" s="121"/>
      <c r="O59" s="220">
        <v>9</v>
      </c>
      <c r="P59" s="221" t="s">
        <v>476</v>
      </c>
      <c r="Q59" s="121"/>
      <c r="R59" s="121"/>
      <c r="S59" s="121"/>
      <c r="T59" s="121"/>
      <c r="U59" s="121"/>
    </row>
    <row r="60" spans="2:28" ht="15" customHeight="1">
      <c r="B60" s="122"/>
      <c r="C60" s="122"/>
      <c r="D60" s="122"/>
      <c r="N60" s="121"/>
      <c r="O60" s="121"/>
      <c r="P60" s="121"/>
      <c r="Q60" s="121"/>
      <c r="R60" s="121"/>
      <c r="S60" s="121"/>
      <c r="T60" s="121"/>
      <c r="U60" s="121"/>
    </row>
    <row r="61" spans="2:28" ht="18" customHeight="1">
      <c r="B61" s="155" t="s">
        <v>477</v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Z61" s="122"/>
      <c r="AA61" s="122"/>
      <c r="AB61" s="122"/>
    </row>
    <row r="62" spans="2:28" ht="18" customHeight="1">
      <c r="B62" s="156"/>
      <c r="C62" s="474" t="s">
        <v>478</v>
      </c>
      <c r="D62" s="475"/>
      <c r="E62" s="116" t="s">
        <v>479</v>
      </c>
      <c r="F62" s="116" t="s">
        <v>480</v>
      </c>
      <c r="G62" s="116" t="s">
        <v>481</v>
      </c>
      <c r="H62" s="156"/>
      <c r="I62" s="116"/>
      <c r="J62" s="116" t="s">
        <v>480</v>
      </c>
      <c r="K62" s="116"/>
      <c r="L62" s="116"/>
      <c r="M62" s="166" t="s">
        <v>482</v>
      </c>
      <c r="N62" s="116" t="s">
        <v>480</v>
      </c>
      <c r="O62" s="166" t="s">
        <v>481</v>
      </c>
      <c r="P62" s="116"/>
      <c r="Q62" s="116" t="s">
        <v>483</v>
      </c>
      <c r="R62" s="116" t="s">
        <v>484</v>
      </c>
      <c r="Z62" s="122"/>
      <c r="AA62" s="122"/>
      <c r="AB62" s="122"/>
    </row>
    <row r="63" spans="2:28" ht="18" customHeight="1">
      <c r="B63" s="156"/>
      <c r="C63" s="157"/>
      <c r="D63" s="158"/>
      <c r="E63" s="166"/>
      <c r="F63" s="167">
        <v>12200</v>
      </c>
      <c r="G63" s="222"/>
      <c r="H63" s="156"/>
      <c r="I63" s="116"/>
      <c r="J63" s="171">
        <f>F63</f>
        <v>12200</v>
      </c>
      <c r="K63" s="116"/>
      <c r="L63" s="116"/>
      <c r="M63" s="116" t="b">
        <f>J3="inch"</f>
        <v>0</v>
      </c>
      <c r="N63" s="167">
        <f>J63*IF(M63=TRUE,1.8,1)</f>
        <v>12200</v>
      </c>
      <c r="O63" s="169">
        <f>N63*(L63*G66)</f>
        <v>0</v>
      </c>
      <c r="P63" s="170"/>
      <c r="Q63" s="170">
        <f>SUM(N63:P63)</f>
        <v>12200</v>
      </c>
      <c r="R63" s="476">
        <f>IF(J63="실비",J63,SUM(Q63:Q65))</f>
        <v>12200</v>
      </c>
      <c r="Z63" s="122"/>
      <c r="AA63" s="122"/>
      <c r="AB63" s="122"/>
    </row>
    <row r="64" spans="2:28" ht="18" customHeight="1">
      <c r="B64" s="156"/>
      <c r="C64" s="157"/>
      <c r="D64" s="158"/>
      <c r="E64" s="166"/>
      <c r="F64" s="167"/>
      <c r="G64" s="226"/>
      <c r="H64" s="156"/>
      <c r="I64" s="116"/>
      <c r="J64" s="168"/>
      <c r="K64" s="116"/>
      <c r="L64" s="116"/>
      <c r="M64" s="116"/>
      <c r="N64" s="167"/>
      <c r="O64" s="169"/>
      <c r="P64" s="170"/>
      <c r="Q64" s="170"/>
      <c r="R64" s="477"/>
      <c r="Z64" s="122"/>
      <c r="AA64" s="122"/>
      <c r="AB64" s="122"/>
    </row>
    <row r="65" spans="2:28" ht="18" customHeight="1">
      <c r="B65" s="156"/>
      <c r="C65" s="157"/>
      <c r="D65" s="158"/>
      <c r="E65" s="166"/>
      <c r="F65" s="167"/>
      <c r="G65" s="227"/>
      <c r="H65" s="156"/>
      <c r="I65" s="116"/>
      <c r="J65" s="116"/>
      <c r="K65" s="116"/>
      <c r="L65" s="116"/>
      <c r="M65" s="116"/>
      <c r="N65" s="167"/>
      <c r="O65" s="171"/>
      <c r="P65" s="170"/>
      <c r="Q65" s="170"/>
      <c r="R65" s="478"/>
      <c r="Z65" s="122"/>
      <c r="AA65" s="122"/>
      <c r="AB65" s="122"/>
    </row>
    <row r="66" spans="2:28" ht="18" customHeight="1">
      <c r="B66" s="156"/>
      <c r="C66" s="157"/>
      <c r="D66" s="158"/>
      <c r="E66" s="166"/>
      <c r="F66" s="167"/>
      <c r="G66" s="228"/>
      <c r="H66" s="156"/>
      <c r="I66" s="156"/>
      <c r="J66" s="156"/>
      <c r="K66" s="156"/>
      <c r="L66" s="156"/>
      <c r="M66" s="156"/>
      <c r="N66" s="156"/>
      <c r="O66" s="159"/>
      <c r="P66" s="156"/>
      <c r="Q66" s="156"/>
      <c r="R66" s="156"/>
      <c r="Z66" s="122"/>
      <c r="AA66" s="122"/>
      <c r="AB66" s="122"/>
    </row>
    <row r="67" spans="2:28" ht="18" customHeight="1">
      <c r="B67" s="156"/>
      <c r="C67" s="157"/>
      <c r="D67" s="158"/>
      <c r="E67" s="166"/>
      <c r="F67" s="167"/>
      <c r="G67" s="229"/>
      <c r="H67" s="156"/>
      <c r="I67" s="160" t="s">
        <v>485</v>
      </c>
      <c r="J67" s="156"/>
      <c r="K67" s="156"/>
      <c r="L67" s="156"/>
      <c r="M67" s="156"/>
      <c r="N67" s="156"/>
      <c r="O67" s="156"/>
      <c r="P67" s="156"/>
      <c r="Q67" s="156"/>
      <c r="R67" s="156"/>
      <c r="Z67" s="122"/>
      <c r="AA67" s="122"/>
      <c r="AB67" s="122"/>
    </row>
    <row r="68" spans="2:28" ht="18" customHeight="1">
      <c r="B68" s="156"/>
      <c r="C68" s="157"/>
      <c r="D68" s="158"/>
      <c r="E68" s="166"/>
      <c r="F68" s="167"/>
      <c r="G68" s="227"/>
      <c r="H68" s="156"/>
      <c r="I68" s="161"/>
      <c r="M68" s="156"/>
      <c r="N68" s="156"/>
      <c r="O68" s="156"/>
      <c r="P68" s="156"/>
      <c r="Q68" s="156"/>
      <c r="R68" s="156"/>
      <c r="Z68" s="122"/>
      <c r="AA68" s="122"/>
      <c r="AB68" s="122"/>
    </row>
    <row r="69" spans="2:28" ht="18" customHeight="1">
      <c r="B69" s="156"/>
      <c r="C69" s="157"/>
      <c r="D69" s="162"/>
      <c r="E69" s="116"/>
      <c r="F69" s="116"/>
      <c r="G69" s="223"/>
      <c r="H69" s="156"/>
      <c r="I69" s="161"/>
      <c r="M69" s="156"/>
      <c r="N69" s="156"/>
      <c r="O69" s="156"/>
      <c r="P69" s="156"/>
      <c r="Q69" s="156"/>
      <c r="R69" s="156"/>
      <c r="Z69" s="122"/>
      <c r="AA69" s="122"/>
      <c r="AB69" s="122"/>
    </row>
    <row r="70" spans="2:28" ht="18" customHeight="1">
      <c r="B70" s="72"/>
      <c r="C70" s="72"/>
      <c r="D70" s="72"/>
      <c r="E70" s="72"/>
      <c r="F70" s="72"/>
      <c r="G70" s="72"/>
      <c r="H70" s="72"/>
      <c r="M70" s="72"/>
      <c r="N70" s="72"/>
      <c r="O70" s="72"/>
      <c r="P70" s="156"/>
      <c r="Q70" s="156"/>
      <c r="R70" s="156"/>
      <c r="Z70" s="122"/>
      <c r="AA70" s="122"/>
      <c r="AB70" s="122"/>
    </row>
    <row r="71" spans="2:28" ht="18" customHeight="1">
      <c r="B71" s="122"/>
      <c r="C71" s="122"/>
      <c r="D71" s="122"/>
      <c r="I71" s="161"/>
      <c r="J71" s="156"/>
      <c r="K71" s="156"/>
      <c r="L71" s="156"/>
      <c r="P71" s="121"/>
      <c r="Q71" s="121"/>
      <c r="R71" s="121"/>
      <c r="Z71" s="122"/>
      <c r="AA71" s="122"/>
      <c r="AB71" s="122"/>
    </row>
    <row r="72" spans="2:28" ht="18" customHeight="1">
      <c r="B72" s="122"/>
      <c r="C72" s="122"/>
      <c r="D72" s="122"/>
      <c r="I72" s="161"/>
      <c r="J72" s="156"/>
      <c r="K72" s="156"/>
      <c r="L72" s="156"/>
      <c r="P72" s="121"/>
      <c r="Q72" s="121"/>
      <c r="R72" s="121"/>
      <c r="V72" s="122"/>
      <c r="Z72" s="122"/>
      <c r="AA72" s="122"/>
      <c r="AB72" s="122"/>
    </row>
    <row r="73" spans="2:28" ht="18" customHeight="1">
      <c r="B73" s="122"/>
      <c r="C73" s="122"/>
      <c r="D73" s="122"/>
      <c r="J73" s="72"/>
      <c r="K73" s="72"/>
      <c r="L73" s="72"/>
      <c r="P73" s="121"/>
      <c r="Q73" s="121"/>
      <c r="R73" s="121"/>
      <c r="V73" s="122"/>
      <c r="Z73" s="122"/>
      <c r="AA73" s="122"/>
      <c r="AB73" s="122"/>
    </row>
    <row r="74" spans="2:28" ht="18" customHeight="1">
      <c r="B74" s="122"/>
      <c r="C74" s="122"/>
      <c r="D74" s="122"/>
      <c r="I74" s="161"/>
      <c r="J74" s="124"/>
      <c r="K74" s="124"/>
      <c r="P74" s="121"/>
      <c r="Q74" s="121"/>
      <c r="R74" s="121"/>
      <c r="Z74" s="122"/>
      <c r="AA74" s="122"/>
      <c r="AB74" s="122"/>
    </row>
    <row r="75" spans="2:28" ht="18" customHeight="1">
      <c r="B75" s="122"/>
      <c r="C75" s="122"/>
      <c r="D75" s="122"/>
      <c r="I75" s="161"/>
      <c r="J75" s="124"/>
      <c r="K75" s="124"/>
      <c r="P75" s="121"/>
      <c r="Q75" s="121"/>
      <c r="R75" s="121"/>
      <c r="Z75" s="122"/>
      <c r="AA75" s="122"/>
      <c r="AB75" s="122"/>
    </row>
    <row r="76" spans="2:28" ht="18" customHeight="1">
      <c r="B76" s="122"/>
      <c r="C76" s="122"/>
      <c r="D76" s="122"/>
      <c r="J76" s="124"/>
      <c r="K76" s="124"/>
      <c r="P76" s="121"/>
      <c r="Q76" s="121"/>
      <c r="R76" s="121"/>
      <c r="W76" s="122"/>
      <c r="X76" s="122"/>
      <c r="Y76" s="122"/>
      <c r="Z76" s="122"/>
      <c r="AA76" s="122"/>
      <c r="AB76" s="122"/>
    </row>
    <row r="77" spans="2:28" ht="18" customHeight="1">
      <c r="B77" s="122"/>
      <c r="C77" s="122"/>
      <c r="D77" s="122"/>
      <c r="P77" s="121"/>
      <c r="Q77" s="121"/>
      <c r="R77" s="121"/>
      <c r="W77" s="122"/>
      <c r="X77" s="122"/>
      <c r="Y77" s="122"/>
      <c r="Z77" s="122"/>
      <c r="AA77" s="122"/>
      <c r="AB77" s="122"/>
    </row>
  </sheetData>
  <mergeCells count="35">
    <mergeCell ref="Z6:AE6"/>
    <mergeCell ref="G41:P41"/>
    <mergeCell ref="U6:V6"/>
    <mergeCell ref="X6:Y6"/>
    <mergeCell ref="M31:P31"/>
    <mergeCell ref="Q31:R31"/>
    <mergeCell ref="T31:T32"/>
    <mergeCell ref="K6:K7"/>
    <mergeCell ref="B49:C49"/>
    <mergeCell ref="U31:V31"/>
    <mergeCell ref="D49:D50"/>
    <mergeCell ref="E51:F51"/>
    <mergeCell ref="G51:G52"/>
    <mergeCell ref="C43:G43"/>
    <mergeCell ref="G31:K31"/>
    <mergeCell ref="R43:R44"/>
    <mergeCell ref="J43:M43"/>
    <mergeCell ref="O43:Q43"/>
    <mergeCell ref="S43:T43"/>
    <mergeCell ref="C62:D62"/>
    <mergeCell ref="R63:R65"/>
    <mergeCell ref="B6:B8"/>
    <mergeCell ref="B31:B32"/>
    <mergeCell ref="C31:C32"/>
    <mergeCell ref="D31:D32"/>
    <mergeCell ref="E31:E32"/>
    <mergeCell ref="C6:C8"/>
    <mergeCell ref="D6:D8"/>
    <mergeCell ref="E6:J6"/>
    <mergeCell ref="F31:F32"/>
    <mergeCell ref="J32:K32"/>
    <mergeCell ref="M32:N32"/>
    <mergeCell ref="O32:P32"/>
    <mergeCell ref="Q32:R32"/>
    <mergeCell ref="D53:D5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Length_1_STD2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2020-11-02T06:46:32Z</cp:lastPrinted>
  <dcterms:created xsi:type="dcterms:W3CDTF">2004-11-10T00:11:43Z</dcterms:created>
  <dcterms:modified xsi:type="dcterms:W3CDTF">2021-09-03T01:21:57Z</dcterms:modified>
</cp:coreProperties>
</file>