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3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5_R1" sheetId="14" r:id="rId11"/>
    <sheet name="Length_5_R2" sheetId="37" r:id="rId12"/>
    <sheet name="Length_5_R5" sheetId="40" r:id="rId13"/>
  </sheets>
  <definedNames>
    <definedName name="_xlnm._FilterDatabase" localSheetId="0" hidden="1">기본정보!#REF!</definedName>
    <definedName name="B_Tag" localSheetId="2">'교정결과-E'!$C$70:$H$70</definedName>
    <definedName name="B_Tag" localSheetId="3">'교정결과-HY'!$B$80:$Q$80</definedName>
    <definedName name="B_Tag">교정결과!$C$69:$H$69</definedName>
    <definedName name="B_Tag_2" localSheetId="4">판정결과!$E$77:$I$77</definedName>
    <definedName name="B_Tag_3" localSheetId="5">부록!$B$11:$K$11</definedName>
    <definedName name="Length_5_R1_CMC">Length_5_R1!$C$4:$E$23</definedName>
    <definedName name="Length_5_R1_Condition">Length_5_R1!$A$4:$B$23</definedName>
    <definedName name="Length_5_R1_Resolution">Length_5_R1!$F$4:$I$23</definedName>
    <definedName name="Length_5_R1_Result">Length_5_R1!$M$4:$Q$23</definedName>
    <definedName name="Length_5_R1_Spec">Length_5_R1!$J$4:$L$23</definedName>
    <definedName name="Length_5_R1_STD1">Length_5_R1!$A$27</definedName>
    <definedName name="Length_5_R2_CMC" localSheetId="11">Length_5_R2!$C$4:$E$23</definedName>
    <definedName name="Length_5_R2_Condition" localSheetId="11">Length_5_R2!$A$4:$B$23</definedName>
    <definedName name="Length_5_R2_Resolution" localSheetId="11">Length_5_R2!$F$4:$I$23</definedName>
    <definedName name="Length_5_R2_Result" localSheetId="11">Length_5_R2!$M$4:$Q$23</definedName>
    <definedName name="Length_5_R2_Spec" localSheetId="11">Length_5_R2!$J$4:$L$23</definedName>
    <definedName name="Length_5_R2_STD1" localSheetId="11">Length_5_R2!$A$27</definedName>
    <definedName name="Length_5_R5_CMC" localSheetId="12">Length_5_R5!$C$4:$E$23</definedName>
    <definedName name="Length_5_R5_Condition" localSheetId="12">Length_5_R5!$A$4:$B$23</definedName>
    <definedName name="Length_5_R5_Resolution" localSheetId="12">Length_5_R5!$F$4:$I$23</definedName>
    <definedName name="Length_5_R5_Result" localSheetId="12">Length_5_R5!$M$4:$Q$23</definedName>
    <definedName name="Length_5_R5_Spec" localSheetId="12">Length_5_R5!$J$4:$L$23</definedName>
    <definedName name="Length_5_R5_STD1" localSheetId="12">Length_5_R5!$A$27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A68" i="11" l="1"/>
  <c r="N4" i="21" l="1"/>
  <c r="C10" i="11" l="1"/>
  <c r="E10" i="33"/>
  <c r="C10" i="24"/>
  <c r="Q169" i="21"/>
  <c r="Q108" i="21"/>
  <c r="Q47" i="21"/>
  <c r="H320" i="23" l="1"/>
  <c r="T157" i="21" l="1"/>
  <c r="T162" i="21"/>
  <c r="T163" i="21"/>
  <c r="T96" i="21"/>
  <c r="T101" i="21"/>
  <c r="T102" i="21"/>
  <c r="T35" i="21"/>
  <c r="T40" i="21"/>
  <c r="T41" i="21"/>
  <c r="O169" i="21" l="1"/>
  <c r="M169" i="21" s="1"/>
  <c r="K169" i="21" l="1"/>
  <c r="O108" i="21"/>
  <c r="M108" i="21" s="1"/>
  <c r="O47" i="21"/>
  <c r="M47" i="21" s="1"/>
  <c r="K108" i="21" l="1"/>
  <c r="K47" i="21"/>
  <c r="B156" i="23" l="1"/>
  <c r="Y90" i="23" l="1"/>
  <c r="R90" i="23"/>
  <c r="Q172" i="23" l="1"/>
  <c r="BC320" i="23" l="1"/>
  <c r="BC321" i="23"/>
  <c r="AU336" i="23" s="1"/>
  <c r="AW321" i="23"/>
  <c r="AW320" i="23"/>
  <c r="AG321" i="23"/>
  <c r="AG320" i="23"/>
  <c r="AB320" i="23"/>
  <c r="AB321" i="23"/>
  <c r="V320" i="23"/>
  <c r="V321" i="23"/>
  <c r="M320" i="23"/>
  <c r="M321" i="23"/>
  <c r="H321" i="23"/>
  <c r="BC255" i="23"/>
  <c r="BC256" i="23"/>
  <c r="AU271" i="23" s="1"/>
  <c r="AW256" i="23"/>
  <c r="AW255" i="23"/>
  <c r="AG256" i="23"/>
  <c r="AG255" i="23"/>
  <c r="AB255" i="23"/>
  <c r="AB256" i="23"/>
  <c r="V255" i="23"/>
  <c r="V256" i="23"/>
  <c r="M255" i="23"/>
  <c r="M256" i="23"/>
  <c r="H255" i="23"/>
  <c r="H256" i="23"/>
  <c r="X176" i="23" l="1"/>
  <c r="R181" i="23" s="1"/>
  <c r="Y181" i="23" s="1"/>
  <c r="BC64" i="23"/>
  <c r="AU196" i="23" s="1"/>
  <c r="BC63" i="23"/>
  <c r="AW64" i="23"/>
  <c r="AW63" i="23"/>
  <c r="AG64" i="23"/>
  <c r="N179" i="23" s="1"/>
  <c r="AG63" i="23"/>
  <c r="AB64" i="23"/>
  <c r="I178" i="23" s="1"/>
  <c r="AB63" i="23"/>
  <c r="V64" i="23"/>
  <c r="V63" i="23"/>
  <c r="M64" i="23"/>
  <c r="M63" i="23"/>
  <c r="H64" i="23"/>
  <c r="H63" i="23"/>
  <c r="G44" i="23"/>
  <c r="Z163" i="21"/>
  <c r="Z162" i="21"/>
  <c r="Z102" i="21"/>
  <c r="Z101" i="21"/>
  <c r="X40" i="21"/>
  <c r="X34" i="21"/>
  <c r="C126" i="21" l="1"/>
  <c r="B126" i="21" s="1"/>
  <c r="F126" i="21"/>
  <c r="G126" i="21"/>
  <c r="H126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Y156" i="21"/>
  <c r="X156" i="21"/>
  <c r="Y157" i="21"/>
  <c r="H158" i="21"/>
  <c r="L158" i="21" s="1"/>
  <c r="Z158" i="21"/>
  <c r="H159" i="21"/>
  <c r="Z159" i="21"/>
  <c r="H160" i="21"/>
  <c r="L160" i="21" s="1"/>
  <c r="Z160" i="21"/>
  <c r="H161" i="21"/>
  <c r="L161" i="21" s="1"/>
  <c r="Z161" i="21"/>
  <c r="F168" i="21"/>
  <c r="C65" i="21"/>
  <c r="B65" i="21" s="1"/>
  <c r="F65" i="21"/>
  <c r="G65" i="21"/>
  <c r="H65" i="21"/>
  <c r="L187" i="21" s="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Y95" i="21"/>
  <c r="X95" i="21"/>
  <c r="Y96" i="21"/>
  <c r="H97" i="21"/>
  <c r="L97" i="21" s="1"/>
  <c r="Z97" i="21"/>
  <c r="H98" i="21"/>
  <c r="L98" i="21" s="1"/>
  <c r="Z98" i="21"/>
  <c r="H99" i="21"/>
  <c r="L99" i="21" s="1"/>
  <c r="Z99" i="21"/>
  <c r="H100" i="21"/>
  <c r="L100" i="21" s="1"/>
  <c r="Z100" i="21"/>
  <c r="F107" i="21"/>
  <c r="F90" i="21" l="1"/>
  <c r="V90" i="21"/>
  <c r="AE90" i="21"/>
  <c r="W90" i="21"/>
  <c r="P82" i="21"/>
  <c r="V82" i="21"/>
  <c r="AE82" i="21"/>
  <c r="W82" i="21"/>
  <c r="L74" i="21"/>
  <c r="V74" i="21"/>
  <c r="AE74" i="21"/>
  <c r="W74" i="21"/>
  <c r="V151" i="21"/>
  <c r="AE151" i="21"/>
  <c r="W151" i="21"/>
  <c r="J147" i="21"/>
  <c r="V147" i="21"/>
  <c r="AE147" i="21"/>
  <c r="W147" i="21"/>
  <c r="T139" i="21"/>
  <c r="V139" i="21"/>
  <c r="AE139" i="21"/>
  <c r="W139" i="21"/>
  <c r="V135" i="21"/>
  <c r="AE135" i="21"/>
  <c r="W135" i="21"/>
  <c r="D89" i="21"/>
  <c r="V89" i="21"/>
  <c r="W89" i="21"/>
  <c r="AE89" i="21"/>
  <c r="O81" i="21"/>
  <c r="W81" i="21"/>
  <c r="AE81" i="21"/>
  <c r="V81" i="21"/>
  <c r="O73" i="21"/>
  <c r="V73" i="21"/>
  <c r="W73" i="21"/>
  <c r="AE73" i="21"/>
  <c r="L150" i="21"/>
  <c r="V150" i="21"/>
  <c r="W150" i="21"/>
  <c r="AE150" i="21"/>
  <c r="D146" i="21"/>
  <c r="V146" i="21"/>
  <c r="W146" i="21"/>
  <c r="AE146" i="21"/>
  <c r="W142" i="21"/>
  <c r="AE142" i="21"/>
  <c r="V142" i="21"/>
  <c r="AE138" i="21"/>
  <c r="V138" i="21"/>
  <c r="W138" i="21"/>
  <c r="AE134" i="21"/>
  <c r="V134" i="21"/>
  <c r="W134" i="21"/>
  <c r="F88" i="21"/>
  <c r="V88" i="21"/>
  <c r="AE88" i="21"/>
  <c r="W88" i="21"/>
  <c r="F84" i="21"/>
  <c r="V84" i="21"/>
  <c r="W84" i="21"/>
  <c r="AE84" i="21"/>
  <c r="N80" i="21"/>
  <c r="V80" i="21"/>
  <c r="AE80" i="21"/>
  <c r="W80" i="21"/>
  <c r="V76" i="21"/>
  <c r="W76" i="21"/>
  <c r="AE76" i="21"/>
  <c r="R72" i="21"/>
  <c r="V72" i="21"/>
  <c r="AE72" i="21"/>
  <c r="W72" i="21"/>
  <c r="V149" i="21"/>
  <c r="AE149" i="21"/>
  <c r="W149" i="21"/>
  <c r="V145" i="21"/>
  <c r="AE145" i="21"/>
  <c r="W145" i="21"/>
  <c r="V141" i="21"/>
  <c r="W141" i="21"/>
  <c r="AE141" i="21"/>
  <c r="V137" i="21"/>
  <c r="AE137" i="21"/>
  <c r="W137" i="21"/>
  <c r="V133" i="21"/>
  <c r="W133" i="21"/>
  <c r="AE133" i="21"/>
  <c r="I86" i="21"/>
  <c r="V86" i="21"/>
  <c r="AE86" i="21"/>
  <c r="W86" i="21"/>
  <c r="F78" i="21"/>
  <c r="V78" i="21"/>
  <c r="AE78" i="21"/>
  <c r="W78" i="21"/>
  <c r="V143" i="21"/>
  <c r="AE143" i="21"/>
  <c r="W143" i="21"/>
  <c r="J85" i="21"/>
  <c r="V85" i="21"/>
  <c r="W85" i="21"/>
  <c r="AE85" i="21"/>
  <c r="R77" i="21"/>
  <c r="W77" i="21"/>
  <c r="AE77" i="21"/>
  <c r="V77" i="21"/>
  <c r="R87" i="21"/>
  <c r="V87" i="21"/>
  <c r="W87" i="21"/>
  <c r="AE87" i="21"/>
  <c r="G83" i="21"/>
  <c r="AE83" i="21"/>
  <c r="V83" i="21"/>
  <c r="W83" i="21"/>
  <c r="J79" i="21"/>
  <c r="V79" i="21"/>
  <c r="W79" i="21"/>
  <c r="AE79" i="21"/>
  <c r="V75" i="21"/>
  <c r="AE75" i="21"/>
  <c r="W75" i="21"/>
  <c r="E71" i="21"/>
  <c r="W71" i="21"/>
  <c r="V71" i="21"/>
  <c r="AE71" i="21"/>
  <c r="AE148" i="21"/>
  <c r="V148" i="21"/>
  <c r="W148" i="21"/>
  <c r="V144" i="21"/>
  <c r="W144" i="21"/>
  <c r="AE144" i="21"/>
  <c r="K140" i="21"/>
  <c r="AE140" i="21"/>
  <c r="V140" i="21"/>
  <c r="W140" i="21"/>
  <c r="V136" i="21"/>
  <c r="W136" i="21"/>
  <c r="AE136" i="21"/>
  <c r="I132" i="21"/>
  <c r="AE132" i="21"/>
  <c r="W132" i="21"/>
  <c r="V132" i="21"/>
  <c r="N146" i="21"/>
  <c r="O158" i="21"/>
  <c r="Q158" i="21" s="1"/>
  <c r="S158" i="21" s="1"/>
  <c r="L159" i="21"/>
  <c r="I126" i="21"/>
  <c r="L190" i="21"/>
  <c r="L146" i="21"/>
  <c r="T146" i="21"/>
  <c r="G146" i="21"/>
  <c r="S140" i="21"/>
  <c r="O146" i="21"/>
  <c r="R132" i="21"/>
  <c r="C148" i="21"/>
  <c r="E146" i="21"/>
  <c r="E142" i="21"/>
  <c r="M140" i="21"/>
  <c r="D136" i="21"/>
  <c r="Q132" i="21"/>
  <c r="E159" i="21" s="1"/>
  <c r="E150" i="21"/>
  <c r="S146" i="21"/>
  <c r="H146" i="21"/>
  <c r="R145" i="21"/>
  <c r="C141" i="21"/>
  <c r="F139" i="21"/>
  <c r="D134" i="21"/>
  <c r="E151" i="21"/>
  <c r="M143" i="21"/>
  <c r="D140" i="21"/>
  <c r="D137" i="21"/>
  <c r="E135" i="21"/>
  <c r="T151" i="21"/>
  <c r="F149" i="21"/>
  <c r="D147" i="21"/>
  <c r="G144" i="21"/>
  <c r="C140" i="21"/>
  <c r="C138" i="21"/>
  <c r="J135" i="21"/>
  <c r="R133" i="21"/>
  <c r="E132" i="21"/>
  <c r="R151" i="21"/>
  <c r="N139" i="21"/>
  <c r="J87" i="21"/>
  <c r="R73" i="21"/>
  <c r="J151" i="21"/>
  <c r="G150" i="21"/>
  <c r="R146" i="21"/>
  <c r="J146" i="21"/>
  <c r="C146" i="21"/>
  <c r="L139" i="21"/>
  <c r="R138" i="21"/>
  <c r="M136" i="21"/>
  <c r="F135" i="21"/>
  <c r="R134" i="21"/>
  <c r="F134" i="21"/>
  <c r="C132" i="21"/>
  <c r="K134" i="21"/>
  <c r="S134" i="21"/>
  <c r="J134" i="21"/>
  <c r="U79" i="21"/>
  <c r="D151" i="21"/>
  <c r="R147" i="21"/>
  <c r="D139" i="21"/>
  <c r="F138" i="21"/>
  <c r="N134" i="21"/>
  <c r="C134" i="21"/>
  <c r="R148" i="21"/>
  <c r="O147" i="21"/>
  <c r="G147" i="21"/>
  <c r="J148" i="21"/>
  <c r="F147" i="21"/>
  <c r="I140" i="21"/>
  <c r="R81" i="21"/>
  <c r="L151" i="21"/>
  <c r="F148" i="21"/>
  <c r="S147" i="21"/>
  <c r="K147" i="21"/>
  <c r="C147" i="21"/>
  <c r="P146" i="21"/>
  <c r="K146" i="21"/>
  <c r="F146" i="21"/>
  <c r="H143" i="21"/>
  <c r="Q140" i="21"/>
  <c r="F140" i="21"/>
  <c r="J138" i="21"/>
  <c r="R135" i="21"/>
  <c r="O134" i="21"/>
  <c r="G134" i="21"/>
  <c r="K132" i="21"/>
  <c r="N147" i="21"/>
  <c r="R140" i="21"/>
  <c r="N138" i="21"/>
  <c r="M144" i="21"/>
  <c r="L142" i="21"/>
  <c r="T137" i="21"/>
  <c r="J137" i="21"/>
  <c r="O144" i="21"/>
  <c r="P89" i="21"/>
  <c r="P151" i="21"/>
  <c r="H151" i="21"/>
  <c r="U147" i="21"/>
  <c r="Q147" i="21"/>
  <c r="M147" i="21"/>
  <c r="I147" i="21"/>
  <c r="E147" i="21"/>
  <c r="I144" i="21"/>
  <c r="R143" i="21"/>
  <c r="H142" i="21"/>
  <c r="O141" i="21"/>
  <c r="R139" i="21"/>
  <c r="J139" i="21"/>
  <c r="R137" i="21"/>
  <c r="F137" i="21"/>
  <c r="U136" i="21"/>
  <c r="J136" i="21"/>
  <c r="P142" i="21"/>
  <c r="L137" i="21"/>
  <c r="O82" i="21"/>
  <c r="R80" i="21"/>
  <c r="N151" i="21"/>
  <c r="F151" i="21"/>
  <c r="R150" i="21"/>
  <c r="J149" i="21"/>
  <c r="N148" i="21"/>
  <c r="T147" i="21"/>
  <c r="P147" i="21"/>
  <c r="L147" i="21"/>
  <c r="H147" i="21"/>
  <c r="S144" i="21"/>
  <c r="E144" i="21"/>
  <c r="T142" i="21"/>
  <c r="D142" i="21"/>
  <c r="H141" i="21"/>
  <c r="U140" i="21"/>
  <c r="N140" i="21"/>
  <c r="G140" i="21"/>
  <c r="P139" i="21"/>
  <c r="H139" i="21"/>
  <c r="N137" i="21"/>
  <c r="R136" i="21"/>
  <c r="G136" i="21"/>
  <c r="U134" i="21"/>
  <c r="Q134" i="21"/>
  <c r="M134" i="21"/>
  <c r="I134" i="21"/>
  <c r="E134" i="21"/>
  <c r="N132" i="21"/>
  <c r="G132" i="21"/>
  <c r="E131" i="21"/>
  <c r="F131" i="21" s="1"/>
  <c r="G131" i="21" s="1"/>
  <c r="H131" i="21" s="1"/>
  <c r="I131" i="21" s="1"/>
  <c r="J131" i="21" s="1"/>
  <c r="O136" i="21"/>
  <c r="E136" i="21"/>
  <c r="N135" i="21"/>
  <c r="T134" i="21"/>
  <c r="P134" i="21"/>
  <c r="L134" i="21"/>
  <c r="H134" i="21"/>
  <c r="J133" i="21"/>
  <c r="S132" i="21"/>
  <c r="E161" i="21" s="1"/>
  <c r="O160" i="21" s="1"/>
  <c r="Q160" i="21" s="1"/>
  <c r="S160" i="21" s="1"/>
  <c r="M132" i="21"/>
  <c r="F132" i="21"/>
  <c r="R85" i="21"/>
  <c r="J73" i="21"/>
  <c r="Q86" i="21"/>
  <c r="M85" i="21"/>
  <c r="E79" i="21"/>
  <c r="G73" i="21"/>
  <c r="R71" i="21"/>
  <c r="U85" i="21"/>
  <c r="E85" i="21"/>
  <c r="R78" i="21"/>
  <c r="U89" i="21"/>
  <c r="N89" i="21"/>
  <c r="H89" i="21"/>
  <c r="U84" i="21"/>
  <c r="M84" i="21"/>
  <c r="N83" i="21"/>
  <c r="M79" i="21"/>
  <c r="P78" i="21"/>
  <c r="P71" i="21"/>
  <c r="K71" i="21"/>
  <c r="F71" i="21"/>
  <c r="S151" i="21"/>
  <c r="O151" i="21"/>
  <c r="K151" i="21"/>
  <c r="G151" i="21"/>
  <c r="C151" i="21"/>
  <c r="P150" i="21"/>
  <c r="K150" i="21"/>
  <c r="F150" i="21"/>
  <c r="R149" i="21"/>
  <c r="U148" i="21"/>
  <c r="M148" i="21"/>
  <c r="E148" i="21"/>
  <c r="R144" i="21"/>
  <c r="J144" i="21"/>
  <c r="C144" i="21"/>
  <c r="S142" i="21"/>
  <c r="O142" i="21"/>
  <c r="K142" i="21"/>
  <c r="G142" i="21"/>
  <c r="C142" i="21"/>
  <c r="T141" i="21"/>
  <c r="N141" i="21"/>
  <c r="G141" i="21"/>
  <c r="U138" i="21"/>
  <c r="Q138" i="21"/>
  <c r="M138" i="21"/>
  <c r="I138" i="21"/>
  <c r="E138" i="21"/>
  <c r="S136" i="21"/>
  <c r="N136" i="21"/>
  <c r="I136" i="21"/>
  <c r="C136" i="21"/>
  <c r="T135" i="21"/>
  <c r="L135" i="21"/>
  <c r="D135" i="21"/>
  <c r="F133" i="21"/>
  <c r="U132" i="21"/>
  <c r="O132" i="21"/>
  <c r="J132" i="21"/>
  <c r="O84" i="21"/>
  <c r="O83" i="21"/>
  <c r="L71" i="21"/>
  <c r="G71" i="21"/>
  <c r="M89" i="21"/>
  <c r="P88" i="21"/>
  <c r="T84" i="21"/>
  <c r="J71" i="21"/>
  <c r="T150" i="21"/>
  <c r="O150" i="21"/>
  <c r="J150" i="21"/>
  <c r="D150" i="21"/>
  <c r="L141" i="21"/>
  <c r="T138" i="21"/>
  <c r="P138" i="21"/>
  <c r="L138" i="21"/>
  <c r="H138" i="21"/>
  <c r="D138" i="21"/>
  <c r="I89" i="21"/>
  <c r="T89" i="21"/>
  <c r="E89" i="21"/>
  <c r="H84" i="21"/>
  <c r="H83" i="21"/>
  <c r="T71" i="21"/>
  <c r="O71" i="21"/>
  <c r="D71" i="21"/>
  <c r="R142" i="21"/>
  <c r="N142" i="21"/>
  <c r="J142" i="21"/>
  <c r="F142" i="21"/>
  <c r="S141" i="21"/>
  <c r="D141" i="21"/>
  <c r="R89" i="21"/>
  <c r="J89" i="21"/>
  <c r="J88" i="21"/>
  <c r="P84" i="21"/>
  <c r="R83" i="21"/>
  <c r="S71" i="21"/>
  <c r="E100" i="21" s="1"/>
  <c r="O99" i="21" s="1"/>
  <c r="Q99" i="21" s="1"/>
  <c r="S99" i="21" s="1"/>
  <c r="N71" i="21"/>
  <c r="H71" i="21"/>
  <c r="C71" i="21"/>
  <c r="U151" i="21"/>
  <c r="Q151" i="21"/>
  <c r="M151" i="21"/>
  <c r="I151" i="21"/>
  <c r="S150" i="21"/>
  <c r="N150" i="21"/>
  <c r="H150" i="21"/>
  <c r="C150" i="21"/>
  <c r="Q148" i="21"/>
  <c r="I148" i="21"/>
  <c r="U144" i="21"/>
  <c r="N144" i="21"/>
  <c r="U142" i="21"/>
  <c r="Q142" i="21"/>
  <c r="M142" i="21"/>
  <c r="I142" i="21"/>
  <c r="R141" i="21"/>
  <c r="J141" i="21"/>
  <c r="O140" i="21"/>
  <c r="J140" i="21"/>
  <c r="E140" i="21"/>
  <c r="S138" i="21"/>
  <c r="O138" i="21"/>
  <c r="K138" i="21"/>
  <c r="G138" i="21"/>
  <c r="Q136" i="21"/>
  <c r="K136" i="21"/>
  <c r="F136" i="21"/>
  <c r="P135" i="21"/>
  <c r="H135" i="21"/>
  <c r="D132" i="21"/>
  <c r="A41" i="24"/>
  <c r="A40" i="11"/>
  <c r="G75" i="21"/>
  <c r="J75" i="21"/>
  <c r="N86" i="21"/>
  <c r="C83" i="21"/>
  <c r="L83" i="21"/>
  <c r="S83" i="21"/>
  <c r="K78" i="21"/>
  <c r="C77" i="21"/>
  <c r="K77" i="21"/>
  <c r="L85" i="21"/>
  <c r="T83" i="21"/>
  <c r="J83" i="21"/>
  <c r="R79" i="21"/>
  <c r="P74" i="21"/>
  <c r="E86" i="21"/>
  <c r="J86" i="21"/>
  <c r="R86" i="21"/>
  <c r="F86" i="21"/>
  <c r="C78" i="21"/>
  <c r="H78" i="21"/>
  <c r="S78" i="21"/>
  <c r="R75" i="21"/>
  <c r="F74" i="21"/>
  <c r="C145" i="21"/>
  <c r="G145" i="21"/>
  <c r="K145" i="21"/>
  <c r="O145" i="21"/>
  <c r="S145" i="21"/>
  <c r="D145" i="21"/>
  <c r="H145" i="21"/>
  <c r="L145" i="21"/>
  <c r="P145" i="21"/>
  <c r="T145" i="21"/>
  <c r="E145" i="21"/>
  <c r="I145" i="21"/>
  <c r="M145" i="21"/>
  <c r="Q145" i="21"/>
  <c r="U145" i="21"/>
  <c r="N145" i="21"/>
  <c r="C143" i="21"/>
  <c r="G143" i="21"/>
  <c r="K143" i="21"/>
  <c r="O143" i="21"/>
  <c r="S143" i="21"/>
  <c r="D143" i="21"/>
  <c r="I143" i="21"/>
  <c r="N143" i="21"/>
  <c r="T143" i="21"/>
  <c r="E143" i="21"/>
  <c r="J143" i="21"/>
  <c r="P143" i="21"/>
  <c r="U143" i="21"/>
  <c r="F143" i="21"/>
  <c r="L143" i="21"/>
  <c r="Q143" i="21"/>
  <c r="C149" i="21"/>
  <c r="G149" i="21"/>
  <c r="K149" i="21"/>
  <c r="O149" i="21"/>
  <c r="S149" i="21"/>
  <c r="D149" i="21"/>
  <c r="H149" i="21"/>
  <c r="L149" i="21"/>
  <c r="P149" i="21"/>
  <c r="T149" i="21"/>
  <c r="E149" i="21"/>
  <c r="I149" i="21"/>
  <c r="M149" i="21"/>
  <c r="Q149" i="21"/>
  <c r="U149" i="21"/>
  <c r="J145" i="21"/>
  <c r="N149" i="21"/>
  <c r="F145" i="21"/>
  <c r="T148" i="21"/>
  <c r="P148" i="21"/>
  <c r="L148" i="21"/>
  <c r="H148" i="21"/>
  <c r="D148" i="21"/>
  <c r="D144" i="21"/>
  <c r="H144" i="21"/>
  <c r="L144" i="21"/>
  <c r="P144" i="21"/>
  <c r="T144" i="21"/>
  <c r="E141" i="21"/>
  <c r="I141" i="21"/>
  <c r="M141" i="21"/>
  <c r="Q141" i="21"/>
  <c r="U141" i="21"/>
  <c r="C137" i="21"/>
  <c r="G137" i="21"/>
  <c r="K137" i="21"/>
  <c r="O137" i="21"/>
  <c r="S137" i="21"/>
  <c r="E137" i="21"/>
  <c r="I137" i="21"/>
  <c r="M137" i="21"/>
  <c r="Q137" i="21"/>
  <c r="U137" i="21"/>
  <c r="C133" i="21"/>
  <c r="G133" i="21"/>
  <c r="K133" i="21"/>
  <c r="O133" i="21"/>
  <c r="S133" i="21"/>
  <c r="D133" i="21"/>
  <c r="H133" i="21"/>
  <c r="L133" i="21"/>
  <c r="P133" i="21"/>
  <c r="T133" i="21"/>
  <c r="E133" i="21"/>
  <c r="I133" i="21"/>
  <c r="M133" i="21"/>
  <c r="Q133" i="21"/>
  <c r="U133" i="21"/>
  <c r="U150" i="21"/>
  <c r="Q150" i="21"/>
  <c r="M150" i="21"/>
  <c r="I150" i="21"/>
  <c r="S148" i="21"/>
  <c r="O148" i="21"/>
  <c r="K148" i="21"/>
  <c r="G148" i="21"/>
  <c r="U146" i="21"/>
  <c r="Q146" i="21"/>
  <c r="M146" i="21"/>
  <c r="I146" i="21"/>
  <c r="Q144" i="21"/>
  <c r="K144" i="21"/>
  <c r="F144" i="21"/>
  <c r="P141" i="21"/>
  <c r="K141" i="21"/>
  <c r="F141" i="21"/>
  <c r="E139" i="21"/>
  <c r="I139" i="21"/>
  <c r="M139" i="21"/>
  <c r="Q139" i="21"/>
  <c r="U139" i="21"/>
  <c r="C139" i="21"/>
  <c r="G139" i="21"/>
  <c r="K139" i="21"/>
  <c r="O139" i="21"/>
  <c r="S139" i="21"/>
  <c r="P137" i="21"/>
  <c r="H137" i="21"/>
  <c r="N133" i="21"/>
  <c r="T140" i="21"/>
  <c r="P140" i="21"/>
  <c r="L140" i="21"/>
  <c r="H140" i="21"/>
  <c r="T136" i="21"/>
  <c r="P136" i="21"/>
  <c r="L136" i="21"/>
  <c r="H136" i="21"/>
  <c r="S135" i="21"/>
  <c r="O135" i="21"/>
  <c r="K135" i="21"/>
  <c r="G135" i="21"/>
  <c r="C135" i="21"/>
  <c r="T132" i="21"/>
  <c r="P132" i="21"/>
  <c r="L132" i="21"/>
  <c r="H132" i="21"/>
  <c r="U135" i="21"/>
  <c r="Q135" i="21"/>
  <c r="M135" i="21"/>
  <c r="I135" i="21"/>
  <c r="C79" i="21"/>
  <c r="G79" i="21"/>
  <c r="K79" i="21"/>
  <c r="O79" i="21"/>
  <c r="S79" i="21"/>
  <c r="D79" i="21"/>
  <c r="H79" i="21"/>
  <c r="L79" i="21"/>
  <c r="P79" i="21"/>
  <c r="T79" i="21"/>
  <c r="E74" i="21"/>
  <c r="C74" i="21"/>
  <c r="H74" i="21"/>
  <c r="N74" i="21"/>
  <c r="S74" i="21"/>
  <c r="D74" i="21"/>
  <c r="J74" i="21"/>
  <c r="O74" i="21"/>
  <c r="T74" i="21"/>
  <c r="F72" i="21"/>
  <c r="J72" i="21"/>
  <c r="N72" i="21"/>
  <c r="T88" i="21"/>
  <c r="L88" i="21"/>
  <c r="D84" i="21"/>
  <c r="E84" i="21"/>
  <c r="L84" i="21"/>
  <c r="Q84" i="21"/>
  <c r="Q79" i="21"/>
  <c r="I79" i="21"/>
  <c r="E88" i="21"/>
  <c r="C88" i="21"/>
  <c r="H88" i="21"/>
  <c r="N88" i="21"/>
  <c r="S88" i="21"/>
  <c r="I65" i="21"/>
  <c r="E70" i="21"/>
  <c r="F70" i="21" s="1"/>
  <c r="G70" i="21" s="1"/>
  <c r="H70" i="21" s="1"/>
  <c r="I70" i="21" s="1"/>
  <c r="J70" i="21" s="1"/>
  <c r="O88" i="21"/>
  <c r="G88" i="21"/>
  <c r="D82" i="21"/>
  <c r="G82" i="21"/>
  <c r="J82" i="21"/>
  <c r="K74" i="21"/>
  <c r="C89" i="21"/>
  <c r="F89" i="21"/>
  <c r="L89" i="21"/>
  <c r="Q89" i="21"/>
  <c r="R88" i="21"/>
  <c r="K88" i="21"/>
  <c r="D88" i="21"/>
  <c r="F85" i="21"/>
  <c r="Q85" i="21"/>
  <c r="S84" i="21"/>
  <c r="J84" i="21"/>
  <c r="D83" i="21"/>
  <c r="F83" i="21"/>
  <c r="K83" i="21"/>
  <c r="P83" i="21"/>
  <c r="N79" i="21"/>
  <c r="F79" i="21"/>
  <c r="R74" i="21"/>
  <c r="G74" i="21"/>
  <c r="D73" i="21"/>
  <c r="C73" i="21"/>
  <c r="K73" i="21"/>
  <c r="S73" i="21"/>
  <c r="F73" i="21"/>
  <c r="N73" i="21"/>
  <c r="L78" i="21"/>
  <c r="E78" i="21"/>
  <c r="D78" i="21"/>
  <c r="J78" i="21"/>
  <c r="O78" i="21"/>
  <c r="T78" i="21"/>
  <c r="J77" i="21"/>
  <c r="O75" i="21"/>
  <c r="E80" i="21"/>
  <c r="F80" i="21"/>
  <c r="Q80" i="21"/>
  <c r="D75" i="21"/>
  <c r="H75" i="21"/>
  <c r="L75" i="21"/>
  <c r="P75" i="21"/>
  <c r="T75" i="21"/>
  <c r="E75" i="21"/>
  <c r="I75" i="21"/>
  <c r="M75" i="21"/>
  <c r="Q75" i="21"/>
  <c r="U75" i="21"/>
  <c r="C85" i="21"/>
  <c r="D85" i="21"/>
  <c r="I85" i="21"/>
  <c r="N85" i="21"/>
  <c r="T85" i="21"/>
  <c r="T82" i="21"/>
  <c r="L82" i="21"/>
  <c r="F82" i="21"/>
  <c r="U88" i="21"/>
  <c r="Q88" i="21"/>
  <c r="M88" i="21"/>
  <c r="I88" i="21"/>
  <c r="P85" i="21"/>
  <c r="H85" i="21"/>
  <c r="E83" i="21"/>
  <c r="I83" i="21"/>
  <c r="M83" i="21"/>
  <c r="Q83" i="21"/>
  <c r="U83" i="21"/>
  <c r="R82" i="21"/>
  <c r="K82" i="21"/>
  <c r="G81" i="21"/>
  <c r="J81" i="21"/>
  <c r="J80" i="21"/>
  <c r="N78" i="21"/>
  <c r="G78" i="21"/>
  <c r="S77" i="21"/>
  <c r="N75" i="21"/>
  <c r="F75" i="21"/>
  <c r="E82" i="21"/>
  <c r="C82" i="21"/>
  <c r="H82" i="21"/>
  <c r="N82" i="21"/>
  <c r="S82" i="21"/>
  <c r="I80" i="21"/>
  <c r="D77" i="21"/>
  <c r="F77" i="21"/>
  <c r="N77" i="21"/>
  <c r="G77" i="21"/>
  <c r="O77" i="21"/>
  <c r="S75" i="21"/>
  <c r="K75" i="21"/>
  <c r="C75" i="21"/>
  <c r="U71" i="21"/>
  <c r="Q71" i="21"/>
  <c r="E98" i="21" s="1"/>
  <c r="M71" i="21"/>
  <c r="I71" i="21"/>
  <c r="R90" i="21"/>
  <c r="J90" i="21"/>
  <c r="D87" i="21"/>
  <c r="H87" i="21"/>
  <c r="L87" i="21"/>
  <c r="P87" i="21"/>
  <c r="T87" i="21"/>
  <c r="E87" i="21"/>
  <c r="I87" i="21"/>
  <c r="M87" i="21"/>
  <c r="Q87" i="21"/>
  <c r="U87" i="21"/>
  <c r="C76" i="21"/>
  <c r="G76" i="21"/>
  <c r="K76" i="21"/>
  <c r="O76" i="21"/>
  <c r="S76" i="21"/>
  <c r="D76" i="21"/>
  <c r="H76" i="21"/>
  <c r="L76" i="21"/>
  <c r="P76" i="21"/>
  <c r="T76" i="21"/>
  <c r="E76" i="21"/>
  <c r="I76" i="21"/>
  <c r="M76" i="21"/>
  <c r="Q76" i="21"/>
  <c r="U76" i="21"/>
  <c r="F76" i="21"/>
  <c r="J76" i="21"/>
  <c r="Q90" i="21"/>
  <c r="I90" i="21"/>
  <c r="O87" i="21"/>
  <c r="G87" i="21"/>
  <c r="O97" i="21"/>
  <c r="Q97" i="21" s="1"/>
  <c r="S97" i="21" s="1"/>
  <c r="N90" i="21"/>
  <c r="N87" i="21"/>
  <c r="F87" i="21"/>
  <c r="U86" i="21"/>
  <c r="M86" i="21"/>
  <c r="R76" i="21"/>
  <c r="C90" i="21"/>
  <c r="G90" i="21"/>
  <c r="K90" i="21"/>
  <c r="O90" i="21"/>
  <c r="S90" i="21"/>
  <c r="D90" i="21"/>
  <c r="H90" i="21"/>
  <c r="L90" i="21"/>
  <c r="P90" i="21"/>
  <c r="T90" i="21"/>
  <c r="U90" i="21"/>
  <c r="M90" i="21"/>
  <c r="E90" i="21"/>
  <c r="S87" i="21"/>
  <c r="K87" i="21"/>
  <c r="C87" i="21"/>
  <c r="C86" i="21"/>
  <c r="G86" i="21"/>
  <c r="K86" i="21"/>
  <c r="O86" i="21"/>
  <c r="S86" i="21"/>
  <c r="D86" i="21"/>
  <c r="H86" i="21"/>
  <c r="L86" i="21"/>
  <c r="P86" i="21"/>
  <c r="T86" i="21"/>
  <c r="D81" i="21"/>
  <c r="H81" i="21"/>
  <c r="L81" i="21"/>
  <c r="P81" i="21"/>
  <c r="T81" i="21"/>
  <c r="E81" i="21"/>
  <c r="I81" i="21"/>
  <c r="M81" i="21"/>
  <c r="Q81" i="21"/>
  <c r="U81" i="21"/>
  <c r="C81" i="21"/>
  <c r="K81" i="21"/>
  <c r="S81" i="21"/>
  <c r="F81" i="21"/>
  <c r="N81" i="21"/>
  <c r="N76" i="21"/>
  <c r="S89" i="21"/>
  <c r="O89" i="21"/>
  <c r="K89" i="21"/>
  <c r="G89" i="21"/>
  <c r="S85" i="21"/>
  <c r="O85" i="21"/>
  <c r="K85" i="21"/>
  <c r="G85" i="21"/>
  <c r="R84" i="21"/>
  <c r="N84" i="21"/>
  <c r="I84" i="21"/>
  <c r="U80" i="21"/>
  <c r="M80" i="21"/>
  <c r="C84" i="21"/>
  <c r="G84" i="21"/>
  <c r="K84" i="21"/>
  <c r="C80" i="21"/>
  <c r="G80" i="21"/>
  <c r="K80" i="21"/>
  <c r="O80" i="21"/>
  <c r="S80" i="21"/>
  <c r="D80" i="21"/>
  <c r="H80" i="21"/>
  <c r="L80" i="21"/>
  <c r="P80" i="21"/>
  <c r="T80" i="21"/>
  <c r="C72" i="21"/>
  <c r="G72" i="21"/>
  <c r="K72" i="21"/>
  <c r="O72" i="21"/>
  <c r="S72" i="21"/>
  <c r="D72" i="21"/>
  <c r="H72" i="21"/>
  <c r="L72" i="21"/>
  <c r="P72" i="21"/>
  <c r="T72" i="21"/>
  <c r="E72" i="21"/>
  <c r="I72" i="21"/>
  <c r="M72" i="21"/>
  <c r="Q72" i="21"/>
  <c r="U72" i="21"/>
  <c r="U77" i="21"/>
  <c r="Q77" i="21"/>
  <c r="M77" i="21"/>
  <c r="I77" i="21"/>
  <c r="E77" i="21"/>
  <c r="U73" i="21"/>
  <c r="Q73" i="21"/>
  <c r="M73" i="21"/>
  <c r="I73" i="21"/>
  <c r="E73" i="21"/>
  <c r="U82" i="21"/>
  <c r="Q82" i="21"/>
  <c r="M82" i="21"/>
  <c r="I82" i="21"/>
  <c r="U78" i="21"/>
  <c r="Q78" i="21"/>
  <c r="M78" i="21"/>
  <c r="I78" i="21"/>
  <c r="T77" i="21"/>
  <c r="P77" i="21"/>
  <c r="L77" i="21"/>
  <c r="H77" i="21"/>
  <c r="U74" i="21"/>
  <c r="Q74" i="21"/>
  <c r="M74" i="21"/>
  <c r="I74" i="21"/>
  <c r="T73" i="21"/>
  <c r="P73" i="21"/>
  <c r="L73" i="21"/>
  <c r="H73" i="21"/>
  <c r="A59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A73" i="33"/>
  <c r="A74" i="33"/>
  <c r="A75" i="33"/>
  <c r="A76" i="33"/>
  <c r="A77" i="33"/>
  <c r="A78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64" i="24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E70" i="21" l="1"/>
  <c r="AE131" i="21"/>
  <c r="T160" i="21"/>
  <c r="T97" i="21"/>
  <c r="T158" i="21"/>
  <c r="M126" i="21"/>
  <c r="M65" i="21"/>
  <c r="T99" i="21"/>
  <c r="N126" i="21"/>
  <c r="I168" i="21" s="1"/>
  <c r="A65" i="11"/>
  <c r="A66" i="11" s="1"/>
  <c r="A67" i="11" s="1"/>
  <c r="A41" i="11"/>
  <c r="A42" i="11" s="1"/>
  <c r="D126" i="21"/>
  <c r="A42" i="24"/>
  <c r="A43" i="24" s="1"/>
  <c r="A65" i="24"/>
  <c r="A36" i="33"/>
  <c r="A57" i="33"/>
  <c r="A79" i="33"/>
  <c r="A58" i="33"/>
  <c r="I157" i="21"/>
  <c r="E126" i="21"/>
  <c r="J126" i="21"/>
  <c r="K126" i="21"/>
  <c r="N65" i="21"/>
  <c r="H101" i="21" s="1"/>
  <c r="K101" i="21" s="1"/>
  <c r="S101" i="21" s="1"/>
  <c r="I96" i="21"/>
  <c r="J65" i="21"/>
  <c r="K65" i="21"/>
  <c r="D65" i="21"/>
  <c r="E65" i="2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H157" i="21" l="1"/>
  <c r="L168" i="21"/>
  <c r="Z147" i="21" s="1"/>
  <c r="H162" i="21"/>
  <c r="K162" i="21" s="1"/>
  <c r="S162" i="21" s="1"/>
  <c r="AP320" i="23" s="1"/>
  <c r="AB328" i="23" s="1"/>
  <c r="Y148" i="21"/>
  <c r="Y147" i="21"/>
  <c r="Y146" i="21"/>
  <c r="Z145" i="21"/>
  <c r="Y137" i="21"/>
  <c r="W158" i="21"/>
  <c r="V335" i="23" s="1"/>
  <c r="H102" i="21"/>
  <c r="K102" i="21" s="1"/>
  <c r="S102" i="21" s="1"/>
  <c r="W102" i="21" s="1"/>
  <c r="W101" i="21"/>
  <c r="X101" i="21" s="1"/>
  <c r="W99" i="21"/>
  <c r="AF270" i="23" s="1"/>
  <c r="Y144" i="21"/>
  <c r="Z143" i="21"/>
  <c r="Z135" i="21"/>
  <c r="Y135" i="21"/>
  <c r="W160" i="21"/>
  <c r="Y134" i="21"/>
  <c r="Z142" i="21"/>
  <c r="Z133" i="21"/>
  <c r="W97" i="21"/>
  <c r="K157" i="21"/>
  <c r="S157" i="21" s="1"/>
  <c r="W157" i="21" s="1"/>
  <c r="AP255" i="23"/>
  <c r="O255" i="23"/>
  <c r="I190" i="21"/>
  <c r="H163" i="21"/>
  <c r="K163" i="21" s="1"/>
  <c r="S163" i="21" s="1"/>
  <c r="W163" i="21" s="1"/>
  <c r="H96" i="21"/>
  <c r="K96" i="21" s="1"/>
  <c r="S96" i="21" s="1"/>
  <c r="W96" i="21" s="1"/>
  <c r="I107" i="21"/>
  <c r="L107" i="21" s="1"/>
  <c r="Q107" i="21" s="1"/>
  <c r="A43" i="11"/>
  <c r="A44" i="11" s="1"/>
  <c r="R113" i="21"/>
  <c r="I187" i="21"/>
  <c r="A66" i="24"/>
  <c r="A67" i="24" s="1"/>
  <c r="A69" i="24" s="1"/>
  <c r="O126" i="21"/>
  <c r="C169" i="21" s="1"/>
  <c r="L126" i="21"/>
  <c r="P126" i="21"/>
  <c r="D169" i="21" s="1"/>
  <c r="E156" i="21"/>
  <c r="E157" i="21"/>
  <c r="E158" i="21"/>
  <c r="O159" i="21" s="1"/>
  <c r="Q159" i="21" s="1"/>
  <c r="E160" i="21"/>
  <c r="O161" i="21" s="1"/>
  <c r="Q161" i="21" s="1"/>
  <c r="Q126" i="21"/>
  <c r="F169" i="21" s="1"/>
  <c r="E168" i="21"/>
  <c r="E169" i="21"/>
  <c r="J156" i="21"/>
  <c r="G156" i="21"/>
  <c r="H156" i="21"/>
  <c r="I156" i="21"/>
  <c r="O65" i="21"/>
  <c r="C108" i="21" s="1"/>
  <c r="L65" i="21"/>
  <c r="P65" i="21"/>
  <c r="D108" i="21" s="1"/>
  <c r="E97" i="21"/>
  <c r="O98" i="21" s="1"/>
  <c r="Q98" i="21" s="1"/>
  <c r="T98" i="21" s="1"/>
  <c r="W98" i="21" s="1"/>
  <c r="E99" i="21"/>
  <c r="O100" i="21" s="1"/>
  <c r="Q100" i="21" s="1"/>
  <c r="T100" i="21" s="1"/>
  <c r="W100" i="21" s="1"/>
  <c r="E107" i="21"/>
  <c r="E108" i="21"/>
  <c r="E96" i="21"/>
  <c r="Q65" i="21"/>
  <c r="F108" i="21" s="1"/>
  <c r="E95" i="21"/>
  <c r="H95" i="21"/>
  <c r="I95" i="21"/>
  <c r="J95" i="21"/>
  <c r="G95" i="21"/>
  <c r="V270" i="23"/>
  <c r="A53" i="30"/>
  <c r="A54" i="30" s="1"/>
  <c r="A55" i="30" s="1"/>
  <c r="A56" i="30" s="1"/>
  <c r="A29" i="30"/>
  <c r="A30" i="30" s="1"/>
  <c r="A31" i="30" s="1"/>
  <c r="A32" i="30" s="1"/>
  <c r="A57" i="30"/>
  <c r="A58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A73" i="30"/>
  <c r="A74" i="30"/>
  <c r="A75" i="30"/>
  <c r="A76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Q8" i="3"/>
  <c r="R8" i="3"/>
  <c r="S8" i="3"/>
  <c r="Q14" i="3" s="1"/>
  <c r="R14" i="3" s="1"/>
  <c r="S14" i="3" s="1"/>
  <c r="T14" i="3" s="1"/>
  <c r="U14" i="3" s="1"/>
  <c r="V14" i="3" s="1"/>
  <c r="R12" i="3"/>
  <c r="Q15" i="3"/>
  <c r="R15" i="3"/>
  <c r="S15" i="3"/>
  <c r="T15" i="3"/>
  <c r="U15" i="3"/>
  <c r="V15" i="3"/>
  <c r="Q16" i="3"/>
  <c r="R16" i="3"/>
  <c r="S16" i="3"/>
  <c r="T16" i="3"/>
  <c r="U16" i="3"/>
  <c r="V16" i="3"/>
  <c r="Q17" i="3"/>
  <c r="R17" i="3"/>
  <c r="S17" i="3"/>
  <c r="T17" i="3"/>
  <c r="U17" i="3"/>
  <c r="V17" i="3"/>
  <c r="Q18" i="3"/>
  <c r="R18" i="3"/>
  <c r="S18" i="3"/>
  <c r="T18" i="3"/>
  <c r="U18" i="3"/>
  <c r="V18" i="3"/>
  <c r="Q19" i="3"/>
  <c r="R19" i="3"/>
  <c r="S19" i="3"/>
  <c r="T19" i="3"/>
  <c r="U19" i="3"/>
  <c r="V19" i="3"/>
  <c r="Q20" i="3"/>
  <c r="R20" i="3"/>
  <c r="S20" i="3"/>
  <c r="T20" i="3"/>
  <c r="U20" i="3"/>
  <c r="V20" i="3"/>
  <c r="Q21" i="3"/>
  <c r="R21" i="3"/>
  <c r="S21" i="3"/>
  <c r="T21" i="3"/>
  <c r="U21" i="3"/>
  <c r="V21" i="3"/>
  <c r="Q22" i="3"/>
  <c r="R22" i="3"/>
  <c r="S22" i="3"/>
  <c r="T22" i="3"/>
  <c r="U22" i="3"/>
  <c r="V22" i="3"/>
  <c r="Q23" i="3"/>
  <c r="R23" i="3"/>
  <c r="S23" i="3"/>
  <c r="T23" i="3"/>
  <c r="U23" i="3"/>
  <c r="V23" i="3"/>
  <c r="Q24" i="3"/>
  <c r="R24" i="3"/>
  <c r="S24" i="3"/>
  <c r="T24" i="3"/>
  <c r="U24" i="3"/>
  <c r="V24" i="3"/>
  <c r="Q25" i="3"/>
  <c r="R25" i="3"/>
  <c r="S25" i="3"/>
  <c r="T25" i="3"/>
  <c r="U25" i="3"/>
  <c r="V25" i="3"/>
  <c r="Q26" i="3"/>
  <c r="R26" i="3"/>
  <c r="S26" i="3"/>
  <c r="T26" i="3"/>
  <c r="U26" i="3"/>
  <c r="V26" i="3"/>
  <c r="Q27" i="3"/>
  <c r="R27" i="3"/>
  <c r="S27" i="3"/>
  <c r="T27" i="3"/>
  <c r="U27" i="3"/>
  <c r="V27" i="3"/>
  <c r="Q28" i="3"/>
  <c r="R28" i="3"/>
  <c r="S28" i="3"/>
  <c r="T28" i="3"/>
  <c r="U28" i="3"/>
  <c r="V28" i="3"/>
  <c r="Q29" i="3"/>
  <c r="R29" i="3"/>
  <c r="S29" i="3"/>
  <c r="T29" i="3"/>
  <c r="U29" i="3"/>
  <c r="V29" i="3"/>
  <c r="Q30" i="3"/>
  <c r="R30" i="3"/>
  <c r="S30" i="3"/>
  <c r="T30" i="3"/>
  <c r="U30" i="3"/>
  <c r="V30" i="3"/>
  <c r="Q31" i="3"/>
  <c r="R31" i="3"/>
  <c r="S31" i="3"/>
  <c r="T31" i="3"/>
  <c r="U31" i="3"/>
  <c r="V31" i="3"/>
  <c r="Q32" i="3"/>
  <c r="R32" i="3"/>
  <c r="S32" i="3"/>
  <c r="T32" i="3"/>
  <c r="U32" i="3"/>
  <c r="V32" i="3"/>
  <c r="Q33" i="3"/>
  <c r="R33" i="3"/>
  <c r="S33" i="3"/>
  <c r="T33" i="3"/>
  <c r="U33" i="3"/>
  <c r="V33" i="3"/>
  <c r="Q34" i="3"/>
  <c r="R34" i="3"/>
  <c r="S34" i="3"/>
  <c r="T34" i="3"/>
  <c r="U34" i="3"/>
  <c r="V34" i="3"/>
  <c r="J8" i="3"/>
  <c r="K8" i="3"/>
  <c r="L8" i="3"/>
  <c r="J14" i="3" s="1"/>
  <c r="K14" i="3" s="1"/>
  <c r="L14" i="3" s="1"/>
  <c r="M14" i="3" s="1"/>
  <c r="N14" i="3" s="1"/>
  <c r="O14" i="3" s="1"/>
  <c r="K12" i="3"/>
  <c r="J15" i="3"/>
  <c r="K15" i="3"/>
  <c r="L15" i="3"/>
  <c r="M15" i="3"/>
  <c r="N15" i="3"/>
  <c r="O15" i="3"/>
  <c r="J16" i="3"/>
  <c r="K16" i="3"/>
  <c r="L16" i="3"/>
  <c r="M16" i="3"/>
  <c r="N16" i="3"/>
  <c r="O16" i="3"/>
  <c r="J17" i="3"/>
  <c r="K17" i="3"/>
  <c r="L17" i="3"/>
  <c r="M17" i="3"/>
  <c r="N17" i="3"/>
  <c r="O17" i="3"/>
  <c r="J18" i="3"/>
  <c r="K18" i="3"/>
  <c r="L18" i="3"/>
  <c r="M18" i="3"/>
  <c r="N18" i="3"/>
  <c r="O18" i="3"/>
  <c r="J19" i="3"/>
  <c r="K19" i="3"/>
  <c r="L19" i="3"/>
  <c r="M19" i="3"/>
  <c r="N19" i="3"/>
  <c r="O19" i="3"/>
  <c r="J20" i="3"/>
  <c r="K20" i="3"/>
  <c r="L20" i="3"/>
  <c r="M20" i="3"/>
  <c r="N20" i="3"/>
  <c r="O20" i="3"/>
  <c r="J21" i="3"/>
  <c r="K21" i="3"/>
  <c r="L21" i="3"/>
  <c r="M21" i="3"/>
  <c r="N21" i="3"/>
  <c r="O21" i="3"/>
  <c r="J22" i="3"/>
  <c r="K22" i="3"/>
  <c r="L22" i="3"/>
  <c r="M22" i="3"/>
  <c r="N22" i="3"/>
  <c r="O22" i="3"/>
  <c r="J23" i="3"/>
  <c r="K23" i="3"/>
  <c r="L23" i="3"/>
  <c r="M23" i="3"/>
  <c r="N23" i="3"/>
  <c r="O23" i="3"/>
  <c r="J24" i="3"/>
  <c r="K24" i="3"/>
  <c r="L24" i="3"/>
  <c r="M24" i="3"/>
  <c r="N24" i="3"/>
  <c r="O24" i="3"/>
  <c r="J25" i="3"/>
  <c r="K25" i="3"/>
  <c r="L25" i="3"/>
  <c r="M25" i="3"/>
  <c r="N25" i="3"/>
  <c r="O25" i="3"/>
  <c r="J26" i="3"/>
  <c r="K26" i="3"/>
  <c r="L26" i="3"/>
  <c r="M26" i="3"/>
  <c r="N26" i="3"/>
  <c r="O26" i="3"/>
  <c r="J27" i="3"/>
  <c r="K27" i="3"/>
  <c r="L27" i="3"/>
  <c r="M27" i="3"/>
  <c r="N27" i="3"/>
  <c r="O27" i="3"/>
  <c r="J28" i="3"/>
  <c r="K28" i="3"/>
  <c r="L28" i="3"/>
  <c r="M28" i="3"/>
  <c r="N28" i="3"/>
  <c r="O28" i="3"/>
  <c r="J29" i="3"/>
  <c r="K29" i="3"/>
  <c r="L29" i="3"/>
  <c r="M29" i="3"/>
  <c r="N29" i="3"/>
  <c r="O29" i="3"/>
  <c r="J30" i="3"/>
  <c r="K30" i="3"/>
  <c r="L30" i="3"/>
  <c r="M30" i="3"/>
  <c r="N30" i="3"/>
  <c r="O30" i="3"/>
  <c r="J31" i="3"/>
  <c r="K31" i="3"/>
  <c r="L31" i="3"/>
  <c r="M31" i="3"/>
  <c r="N31" i="3"/>
  <c r="O31" i="3"/>
  <c r="J32" i="3"/>
  <c r="K32" i="3"/>
  <c r="L32" i="3"/>
  <c r="M32" i="3"/>
  <c r="N32" i="3"/>
  <c r="O32" i="3"/>
  <c r="J33" i="3"/>
  <c r="K33" i="3"/>
  <c r="L33" i="3"/>
  <c r="M33" i="3"/>
  <c r="N33" i="3"/>
  <c r="O33" i="3"/>
  <c r="J34" i="3"/>
  <c r="K34" i="3"/>
  <c r="L34" i="3"/>
  <c r="M34" i="3"/>
  <c r="N34" i="3"/>
  <c r="O34" i="3"/>
  <c r="B283" i="23"/>
  <c r="H283" i="23"/>
  <c r="G286" i="23"/>
  <c r="G288" i="23"/>
  <c r="L288" i="23" s="1"/>
  <c r="Q288" i="23" s="1"/>
  <c r="V288" i="23" s="1"/>
  <c r="AA288" i="23" s="1"/>
  <c r="B289" i="23"/>
  <c r="G289" i="23"/>
  <c r="L289" i="23"/>
  <c r="Q289" i="23"/>
  <c r="V289" i="23"/>
  <c r="AA289" i="23"/>
  <c r="AF289" i="23"/>
  <c r="AK289" i="23"/>
  <c r="B290" i="23"/>
  <c r="G290" i="23"/>
  <c r="L290" i="23"/>
  <c r="Q290" i="23"/>
  <c r="V290" i="23"/>
  <c r="AA290" i="23"/>
  <c r="AF290" i="23"/>
  <c r="AK290" i="23"/>
  <c r="B291" i="23"/>
  <c r="G291" i="23"/>
  <c r="L291" i="23"/>
  <c r="Q291" i="23"/>
  <c r="V291" i="23"/>
  <c r="AA291" i="23"/>
  <c r="AF291" i="23"/>
  <c r="AK291" i="23"/>
  <c r="B292" i="23"/>
  <c r="G292" i="23"/>
  <c r="L292" i="23"/>
  <c r="Q292" i="23"/>
  <c r="V292" i="23"/>
  <c r="AA292" i="23"/>
  <c r="AF292" i="23"/>
  <c r="AK292" i="23"/>
  <c r="B293" i="23"/>
  <c r="G293" i="23"/>
  <c r="L293" i="23"/>
  <c r="Q293" i="23"/>
  <c r="V293" i="23"/>
  <c r="AA293" i="23"/>
  <c r="AF293" i="23"/>
  <c r="AK293" i="23"/>
  <c r="B294" i="23"/>
  <c r="G294" i="23"/>
  <c r="L294" i="23"/>
  <c r="Q294" i="23"/>
  <c r="V294" i="23"/>
  <c r="AA294" i="23"/>
  <c r="AF294" i="23"/>
  <c r="AK294" i="23"/>
  <c r="B295" i="23"/>
  <c r="G295" i="23"/>
  <c r="L295" i="23"/>
  <c r="Q295" i="23"/>
  <c r="V295" i="23"/>
  <c r="AA295" i="23"/>
  <c r="AF295" i="23"/>
  <c r="AK295" i="23"/>
  <c r="B296" i="23"/>
  <c r="G296" i="23"/>
  <c r="L296" i="23"/>
  <c r="Q296" i="23"/>
  <c r="V296" i="23"/>
  <c r="AA296" i="23"/>
  <c r="AF296" i="23"/>
  <c r="AK296" i="23"/>
  <c r="B297" i="23"/>
  <c r="G297" i="23"/>
  <c r="L297" i="23"/>
  <c r="Q297" i="23"/>
  <c r="V297" i="23"/>
  <c r="AA297" i="23"/>
  <c r="AF297" i="23"/>
  <c r="AK297" i="23"/>
  <c r="B298" i="23"/>
  <c r="G298" i="23"/>
  <c r="L298" i="23"/>
  <c r="Q298" i="23"/>
  <c r="V298" i="23"/>
  <c r="AA298" i="23"/>
  <c r="AF298" i="23"/>
  <c r="AK298" i="23"/>
  <c r="B299" i="23"/>
  <c r="G299" i="23"/>
  <c r="L299" i="23"/>
  <c r="Q299" i="23"/>
  <c r="V299" i="23"/>
  <c r="AA299" i="23"/>
  <c r="AF299" i="23"/>
  <c r="AK299" i="23"/>
  <c r="B300" i="23"/>
  <c r="G300" i="23"/>
  <c r="L300" i="23"/>
  <c r="Q300" i="23"/>
  <c r="V300" i="23"/>
  <c r="AA300" i="23"/>
  <c r="AF300" i="23"/>
  <c r="AK300" i="23"/>
  <c r="B301" i="23"/>
  <c r="G301" i="23"/>
  <c r="L301" i="23"/>
  <c r="Q301" i="23"/>
  <c r="V301" i="23"/>
  <c r="AA301" i="23"/>
  <c r="AF301" i="23"/>
  <c r="AK301" i="23"/>
  <c r="B302" i="23"/>
  <c r="G302" i="23"/>
  <c r="L302" i="23"/>
  <c r="Q302" i="23"/>
  <c r="V302" i="23"/>
  <c r="AA302" i="23"/>
  <c r="AF302" i="23"/>
  <c r="AK302" i="23"/>
  <c r="B303" i="23"/>
  <c r="G303" i="23"/>
  <c r="L303" i="23"/>
  <c r="Q303" i="23"/>
  <c r="V303" i="23"/>
  <c r="AA303" i="23"/>
  <c r="AF303" i="23"/>
  <c r="AK303" i="23"/>
  <c r="B304" i="23"/>
  <c r="G304" i="23"/>
  <c r="L304" i="23"/>
  <c r="Q304" i="23"/>
  <c r="V304" i="23"/>
  <c r="AA304" i="23"/>
  <c r="AF304" i="23"/>
  <c r="AK304" i="23"/>
  <c r="B305" i="23"/>
  <c r="G305" i="23"/>
  <c r="L305" i="23"/>
  <c r="Q305" i="23"/>
  <c r="V305" i="23"/>
  <c r="AA305" i="23"/>
  <c r="AF305" i="23"/>
  <c r="AK305" i="23"/>
  <c r="B306" i="23"/>
  <c r="G306" i="23"/>
  <c r="L306" i="23"/>
  <c r="Q306" i="23"/>
  <c r="V306" i="23"/>
  <c r="AA306" i="23"/>
  <c r="AF306" i="23"/>
  <c r="AK306" i="23"/>
  <c r="B307" i="23"/>
  <c r="G307" i="23"/>
  <c r="L307" i="23"/>
  <c r="Q307" i="23"/>
  <c r="V307" i="23"/>
  <c r="AA307" i="23"/>
  <c r="AF307" i="23"/>
  <c r="AK307" i="23"/>
  <c r="B308" i="23"/>
  <c r="G308" i="23"/>
  <c r="L308" i="23"/>
  <c r="Q308" i="23"/>
  <c r="V308" i="23"/>
  <c r="AA308" i="23"/>
  <c r="AF308" i="23"/>
  <c r="AK308" i="23"/>
  <c r="M314" i="23"/>
  <c r="Z314" i="23"/>
  <c r="AB314" i="23"/>
  <c r="AG314" i="23"/>
  <c r="BA314" i="23"/>
  <c r="BC314" i="23"/>
  <c r="L336" i="23" s="1"/>
  <c r="M315" i="23"/>
  <c r="V315" i="23"/>
  <c r="AB315" i="23"/>
  <c r="AG315" i="23"/>
  <c r="AW315" i="23"/>
  <c r="BC315" i="23"/>
  <c r="Q336" i="23" s="1"/>
  <c r="M316" i="23"/>
  <c r="O316" i="23"/>
  <c r="X316" i="23"/>
  <c r="AB316" i="23"/>
  <c r="AG316" i="23"/>
  <c r="AP316" i="23"/>
  <c r="AC327" i="23" s="1"/>
  <c r="BC316" i="23"/>
  <c r="V336" i="23" s="1"/>
  <c r="H317" i="23"/>
  <c r="M317" i="23"/>
  <c r="O317" i="23"/>
  <c r="V317" i="23"/>
  <c r="AB317" i="23"/>
  <c r="BC317" i="23"/>
  <c r="AA336" i="23" s="1"/>
  <c r="M318" i="23"/>
  <c r="O318" i="23"/>
  <c r="X318" i="23"/>
  <c r="AB318" i="23"/>
  <c r="AG318" i="23"/>
  <c r="AP318" i="23"/>
  <c r="H328" i="23" s="1"/>
  <c r="BC318" i="23"/>
  <c r="AF336" i="23" s="1"/>
  <c r="H319" i="23"/>
  <c r="M319" i="23"/>
  <c r="O319" i="23"/>
  <c r="V319" i="23"/>
  <c r="AB319" i="23"/>
  <c r="BC319" i="23"/>
  <c r="AK336" i="23" s="1"/>
  <c r="AP336" i="23"/>
  <c r="M322" i="23"/>
  <c r="BA322" i="23"/>
  <c r="Q331" i="23" s="1"/>
  <c r="X339" i="23" s="1"/>
  <c r="AL339" i="23" s="1"/>
  <c r="AZ339" i="23" s="1"/>
  <c r="B218" i="23"/>
  <c r="H218" i="23"/>
  <c r="G221" i="23"/>
  <c r="G223" i="23"/>
  <c r="L223" i="23" s="1"/>
  <c r="Q223" i="23" s="1"/>
  <c r="V223" i="23" s="1"/>
  <c r="AA223" i="23" s="1"/>
  <c r="B224" i="23"/>
  <c r="G224" i="23"/>
  <c r="L224" i="23"/>
  <c r="Q224" i="23"/>
  <c r="V224" i="23"/>
  <c r="AA224" i="23"/>
  <c r="AF224" i="23"/>
  <c r="AK224" i="23"/>
  <c r="B225" i="23"/>
  <c r="G225" i="23"/>
  <c r="L225" i="23"/>
  <c r="Q225" i="23"/>
  <c r="V225" i="23"/>
  <c r="AA225" i="23"/>
  <c r="AF225" i="23"/>
  <c r="AK225" i="23"/>
  <c r="B226" i="23"/>
  <c r="G226" i="23"/>
  <c r="L226" i="23"/>
  <c r="Q226" i="23"/>
  <c r="V226" i="23"/>
  <c r="AA226" i="23"/>
  <c r="AF226" i="23"/>
  <c r="AK226" i="23"/>
  <c r="B227" i="23"/>
  <c r="G227" i="23"/>
  <c r="L227" i="23"/>
  <c r="Q227" i="23"/>
  <c r="V227" i="23"/>
  <c r="AA227" i="23"/>
  <c r="AF227" i="23"/>
  <c r="AK227" i="23"/>
  <c r="B228" i="23"/>
  <c r="G228" i="23"/>
  <c r="L228" i="23"/>
  <c r="Q228" i="23"/>
  <c r="V228" i="23"/>
  <c r="AA228" i="23"/>
  <c r="AF228" i="23"/>
  <c r="AK228" i="23"/>
  <c r="B229" i="23"/>
  <c r="G229" i="23"/>
  <c r="L229" i="23"/>
  <c r="Q229" i="23"/>
  <c r="V229" i="23"/>
  <c r="AA229" i="23"/>
  <c r="AF229" i="23"/>
  <c r="AK229" i="23"/>
  <c r="B230" i="23"/>
  <c r="G230" i="23"/>
  <c r="L230" i="23"/>
  <c r="Q230" i="23"/>
  <c r="V230" i="23"/>
  <c r="AA230" i="23"/>
  <c r="AF230" i="23"/>
  <c r="AK230" i="23"/>
  <c r="B231" i="23"/>
  <c r="G231" i="23"/>
  <c r="L231" i="23"/>
  <c r="Q231" i="23"/>
  <c r="V231" i="23"/>
  <c r="AA231" i="23"/>
  <c r="AF231" i="23"/>
  <c r="AK231" i="23"/>
  <c r="B232" i="23"/>
  <c r="G232" i="23"/>
  <c r="L232" i="23"/>
  <c r="Q232" i="23"/>
  <c r="V232" i="23"/>
  <c r="AA232" i="23"/>
  <c r="AF232" i="23"/>
  <c r="AK232" i="23"/>
  <c r="B233" i="23"/>
  <c r="G233" i="23"/>
  <c r="L233" i="23"/>
  <c r="Q233" i="23"/>
  <c r="V233" i="23"/>
  <c r="AA233" i="23"/>
  <c r="AF233" i="23"/>
  <c r="AK233" i="23"/>
  <c r="B234" i="23"/>
  <c r="G234" i="23"/>
  <c r="L234" i="23"/>
  <c r="Q234" i="23"/>
  <c r="V234" i="23"/>
  <c r="AA234" i="23"/>
  <c r="AF234" i="23"/>
  <c r="AK234" i="23"/>
  <c r="B235" i="23"/>
  <c r="G235" i="23"/>
  <c r="L235" i="23"/>
  <c r="Q235" i="23"/>
  <c r="V235" i="23"/>
  <c r="AA235" i="23"/>
  <c r="AF235" i="23"/>
  <c r="AK235" i="23"/>
  <c r="B236" i="23"/>
  <c r="G236" i="23"/>
  <c r="L236" i="23"/>
  <c r="Q236" i="23"/>
  <c r="V236" i="23"/>
  <c r="AA236" i="23"/>
  <c r="AF236" i="23"/>
  <c r="AK236" i="23"/>
  <c r="B237" i="23"/>
  <c r="G237" i="23"/>
  <c r="L237" i="23"/>
  <c r="Q237" i="23"/>
  <c r="V237" i="23"/>
  <c r="AA237" i="23"/>
  <c r="AF237" i="23"/>
  <c r="AK237" i="23"/>
  <c r="B238" i="23"/>
  <c r="G238" i="23"/>
  <c r="L238" i="23"/>
  <c r="Q238" i="23"/>
  <c r="V238" i="23"/>
  <c r="AA238" i="23"/>
  <c r="AF238" i="23"/>
  <c r="AK238" i="23"/>
  <c r="B239" i="23"/>
  <c r="G239" i="23"/>
  <c r="L239" i="23"/>
  <c r="Q239" i="23"/>
  <c r="V239" i="23"/>
  <c r="AA239" i="23"/>
  <c r="AF239" i="23"/>
  <c r="AK239" i="23"/>
  <c r="B240" i="23"/>
  <c r="G240" i="23"/>
  <c r="L240" i="23"/>
  <c r="Q240" i="23"/>
  <c r="V240" i="23"/>
  <c r="AA240" i="23"/>
  <c r="AF240" i="23"/>
  <c r="AK240" i="23"/>
  <c r="B241" i="23"/>
  <c r="G241" i="23"/>
  <c r="L241" i="23"/>
  <c r="Q241" i="23"/>
  <c r="V241" i="23"/>
  <c r="AA241" i="23"/>
  <c r="AF241" i="23"/>
  <c r="AK241" i="23"/>
  <c r="B242" i="23"/>
  <c r="G242" i="23"/>
  <c r="L242" i="23"/>
  <c r="Q242" i="23"/>
  <c r="V242" i="23"/>
  <c r="AA242" i="23"/>
  <c r="AF242" i="23"/>
  <c r="AK242" i="23"/>
  <c r="B243" i="23"/>
  <c r="G243" i="23"/>
  <c r="L243" i="23"/>
  <c r="Q243" i="23"/>
  <c r="V243" i="23"/>
  <c r="AA243" i="23"/>
  <c r="AF243" i="23"/>
  <c r="AK243" i="23"/>
  <c r="M249" i="23"/>
  <c r="Z249" i="23"/>
  <c r="AB249" i="23"/>
  <c r="AG249" i="23"/>
  <c r="BA249" i="23"/>
  <c r="BC249" i="23"/>
  <c r="L271" i="23" s="1"/>
  <c r="M250" i="23"/>
  <c r="V250" i="23"/>
  <c r="AB250" i="23"/>
  <c r="AG250" i="23"/>
  <c r="AW250" i="23"/>
  <c r="BC250" i="23"/>
  <c r="Q271" i="23" s="1"/>
  <c r="M251" i="23"/>
  <c r="O251" i="23"/>
  <c r="X251" i="23"/>
  <c r="AB251" i="23"/>
  <c r="AG251" i="23"/>
  <c r="AP251" i="23"/>
  <c r="AC262" i="23" s="1"/>
  <c r="BC251" i="23"/>
  <c r="V271" i="23" s="1"/>
  <c r="H252" i="23"/>
  <c r="M252" i="23"/>
  <c r="O252" i="23"/>
  <c r="V252" i="23"/>
  <c r="AB252" i="23"/>
  <c r="BC252" i="23"/>
  <c r="AA271" i="23" s="1"/>
  <c r="M253" i="23"/>
  <c r="O253" i="23"/>
  <c r="X253" i="23"/>
  <c r="AB253" i="23"/>
  <c r="AG253" i="23"/>
  <c r="AP253" i="23"/>
  <c r="H263" i="23" s="1"/>
  <c r="BC253" i="23"/>
  <c r="AF271" i="23" s="1"/>
  <c r="H254" i="23"/>
  <c r="M254" i="23"/>
  <c r="O254" i="23"/>
  <c r="V254" i="23"/>
  <c r="AB254" i="23"/>
  <c r="BC254" i="23"/>
  <c r="AK271" i="23" s="1"/>
  <c r="AP271" i="23"/>
  <c r="M257" i="23"/>
  <c r="BA257" i="23"/>
  <c r="Q266" i="23" s="1"/>
  <c r="X274" i="23" s="1"/>
  <c r="AL274" i="23" s="1"/>
  <c r="AZ274" i="23" s="1"/>
  <c r="W162" i="21" l="1"/>
  <c r="O315" i="23"/>
  <c r="Y149" i="21"/>
  <c r="Y136" i="21"/>
  <c r="Z137" i="21"/>
  <c r="Z150" i="21"/>
  <c r="L74" i="33"/>
  <c r="O256" i="23"/>
  <c r="Y138" i="21"/>
  <c r="O320" i="23"/>
  <c r="Q168" i="21"/>
  <c r="Y132" i="21"/>
  <c r="Z141" i="21"/>
  <c r="Y142" i="21"/>
  <c r="Y143" i="21"/>
  <c r="Z151" i="21"/>
  <c r="Z132" i="21"/>
  <c r="Y145" i="21"/>
  <c r="Z136" i="21"/>
  <c r="Z138" i="21"/>
  <c r="Z139" i="21"/>
  <c r="Z140" i="21"/>
  <c r="Y133" i="21"/>
  <c r="L60" i="33" s="1"/>
  <c r="Y141" i="21"/>
  <c r="Z149" i="21"/>
  <c r="Y150" i="21"/>
  <c r="Y151" i="21"/>
  <c r="Z144" i="21"/>
  <c r="Z134" i="21"/>
  <c r="Z146" i="21"/>
  <c r="L73" i="33" s="1"/>
  <c r="Y139" i="21"/>
  <c r="Y140" i="21"/>
  <c r="Z148" i="21"/>
  <c r="Z84" i="21"/>
  <c r="Z76" i="21"/>
  <c r="Y77" i="21"/>
  <c r="Y86" i="21"/>
  <c r="Y78" i="21"/>
  <c r="Y87" i="21"/>
  <c r="Z87" i="21"/>
  <c r="Z79" i="21"/>
  <c r="Z71" i="21"/>
  <c r="Y73" i="21"/>
  <c r="Y79" i="21"/>
  <c r="Z90" i="21"/>
  <c r="Z82" i="21"/>
  <c r="Z74" i="21"/>
  <c r="Y71" i="21"/>
  <c r="Y84" i="21"/>
  <c r="Y76" i="21"/>
  <c r="Y81" i="21"/>
  <c r="Z85" i="21"/>
  <c r="Z77" i="21"/>
  <c r="Y89" i="21"/>
  <c r="Z81" i="21"/>
  <c r="Z88" i="21"/>
  <c r="Z80" i="21"/>
  <c r="Z72" i="21"/>
  <c r="Y90" i="21"/>
  <c r="Y82" i="21"/>
  <c r="Y74" i="21"/>
  <c r="Y75" i="21"/>
  <c r="Z83" i="21"/>
  <c r="Z75" i="21"/>
  <c r="Y83" i="21"/>
  <c r="Z86" i="21"/>
  <c r="Z78" i="21"/>
  <c r="Y85" i="21"/>
  <c r="Y88" i="21"/>
  <c r="Y80" i="21"/>
  <c r="Y72" i="21"/>
  <c r="Z89" i="21"/>
  <c r="Z73" i="21"/>
  <c r="T161" i="21"/>
  <c r="W161" i="21" s="1"/>
  <c r="S161" i="21"/>
  <c r="S159" i="21"/>
  <c r="T159" i="21"/>
  <c r="S98" i="21"/>
  <c r="Y98" i="21"/>
  <c r="S100" i="21"/>
  <c r="AP315" i="23"/>
  <c r="V327" i="23" s="1"/>
  <c r="AP256" i="23"/>
  <c r="AJ263" i="23" s="1"/>
  <c r="O321" i="23"/>
  <c r="L61" i="33"/>
  <c r="AP270" i="23"/>
  <c r="L64" i="33"/>
  <c r="G169" i="21"/>
  <c r="L70" i="33"/>
  <c r="L69" i="33"/>
  <c r="A44" i="24"/>
  <c r="AB263" i="23"/>
  <c r="H72" i="30"/>
  <c r="H68" i="30"/>
  <c r="K156" i="21"/>
  <c r="S156" i="21" s="1"/>
  <c r="S164" i="21" s="1"/>
  <c r="L156" i="21"/>
  <c r="T156" i="21" s="1"/>
  <c r="W156" i="21" s="1"/>
  <c r="Y160" i="21"/>
  <c r="X160" i="21"/>
  <c r="AF335" i="23"/>
  <c r="Y158" i="21"/>
  <c r="X158" i="21"/>
  <c r="E164" i="21"/>
  <c r="E103" i="21"/>
  <c r="K95" i="21"/>
  <c r="X99" i="21"/>
  <c r="Y99" i="21"/>
  <c r="G108" i="21"/>
  <c r="X97" i="21"/>
  <c r="Y97" i="21"/>
  <c r="L95" i="21"/>
  <c r="T95" i="21" s="1"/>
  <c r="Z96" i="21"/>
  <c r="X96" i="21"/>
  <c r="Q270" i="23"/>
  <c r="AP250" i="23"/>
  <c r="V262" i="23" s="1"/>
  <c r="O250" i="23"/>
  <c r="K186" i="21"/>
  <c r="K187" i="21" s="1"/>
  <c r="L72" i="33" l="1"/>
  <c r="H70" i="30"/>
  <c r="H76" i="30"/>
  <c r="L76" i="33"/>
  <c r="H74" i="30"/>
  <c r="Z156" i="21"/>
  <c r="Z164" i="21" s="1"/>
  <c r="F173" i="21" s="1"/>
  <c r="W164" i="21"/>
  <c r="W159" i="21"/>
  <c r="Y159" i="21" s="1"/>
  <c r="Y162" i="21"/>
  <c r="X161" i="21"/>
  <c r="Y161" i="21"/>
  <c r="Y101" i="21"/>
  <c r="Y100" i="21"/>
  <c r="X100" i="21"/>
  <c r="X98" i="21"/>
  <c r="X103" i="21" s="1"/>
  <c r="V103" i="21" s="1"/>
  <c r="S95" i="21"/>
  <c r="S103" i="21" s="1"/>
  <c r="X157" i="21"/>
  <c r="Z157" i="21"/>
  <c r="Q335" i="23"/>
  <c r="AP321" i="23"/>
  <c r="AJ328" i="23" s="1"/>
  <c r="AU270" i="23"/>
  <c r="X102" i="21"/>
  <c r="Y102" i="21"/>
  <c r="C120" i="21"/>
  <c r="H59" i="30"/>
  <c r="H62" i="30"/>
  <c r="H67" i="30"/>
  <c r="L63" i="33"/>
  <c r="H61" i="30"/>
  <c r="H58" i="30"/>
  <c r="H71" i="30"/>
  <c r="L75" i="33"/>
  <c r="H73" i="30"/>
  <c r="L68" i="33"/>
  <c r="H66" i="30"/>
  <c r="L78" i="33"/>
  <c r="L71" i="33"/>
  <c r="H69" i="30"/>
  <c r="H37" i="30"/>
  <c r="H38" i="30"/>
  <c r="T164" i="21"/>
  <c r="L67" i="33"/>
  <c r="H65" i="30"/>
  <c r="L65" i="33"/>
  <c r="H63" i="30"/>
  <c r="L77" i="33"/>
  <c r="H75" i="30"/>
  <c r="L62" i="33"/>
  <c r="H60" i="30"/>
  <c r="L59" i="33"/>
  <c r="H57" i="30"/>
  <c r="L66" i="33"/>
  <c r="H64" i="30"/>
  <c r="L52" i="33"/>
  <c r="L40" i="33"/>
  <c r="H34" i="30"/>
  <c r="H49" i="30"/>
  <c r="L37" i="33"/>
  <c r="W95" i="21"/>
  <c r="T103" i="21"/>
  <c r="Y103" i="21"/>
  <c r="E112" i="21" s="1"/>
  <c r="C113" i="21"/>
  <c r="E114" i="21" s="1"/>
  <c r="E116" i="21" s="1"/>
  <c r="C116" i="21"/>
  <c r="C117" i="21"/>
  <c r="C114" i="21"/>
  <c r="F114" i="21" s="1"/>
  <c r="F116" i="21" s="1"/>
  <c r="C119" i="21"/>
  <c r="C118" i="21"/>
  <c r="C115" i="21"/>
  <c r="M187" i="21"/>
  <c r="C157" i="23"/>
  <c r="H33" i="30" l="1"/>
  <c r="X159" i="21"/>
  <c r="X164" i="21" s="1"/>
  <c r="V164" i="21" s="1"/>
  <c r="C176" i="21"/>
  <c r="C181" i="21"/>
  <c r="C180" i="21"/>
  <c r="C174" i="21"/>
  <c r="E175" i="21" s="1"/>
  <c r="E177" i="21" s="1"/>
  <c r="C177" i="21"/>
  <c r="C179" i="21"/>
  <c r="Y164" i="21"/>
  <c r="E173" i="21" s="1"/>
  <c r="G173" i="21" s="1"/>
  <c r="C178" i="21"/>
  <c r="C175" i="21"/>
  <c r="F175" i="21" s="1"/>
  <c r="F177" i="21" s="1"/>
  <c r="Z95" i="21"/>
  <c r="Z103" i="21" s="1"/>
  <c r="W103" i="21"/>
  <c r="G116" i="21"/>
  <c r="L38" i="33"/>
  <c r="H36" i="30"/>
  <c r="L41" i="33"/>
  <c r="X162" i="21"/>
  <c r="AP335" i="23"/>
  <c r="AU335" i="23"/>
  <c r="X163" i="21"/>
  <c r="Y163" i="21"/>
  <c r="H48" i="30"/>
  <c r="L42" i="33"/>
  <c r="L53" i="33"/>
  <c r="L48" i="33"/>
  <c r="H44" i="30"/>
  <c r="L43" i="33"/>
  <c r="H39" i="30"/>
  <c r="L50" i="33"/>
  <c r="H46" i="30"/>
  <c r="L44" i="33"/>
  <c r="H40" i="30"/>
  <c r="L39" i="33"/>
  <c r="H35" i="30"/>
  <c r="L49" i="33"/>
  <c r="H45" i="30"/>
  <c r="L55" i="33"/>
  <c r="H51" i="30"/>
  <c r="L51" i="33"/>
  <c r="H47" i="30"/>
  <c r="L56" i="33"/>
  <c r="H52" i="30"/>
  <c r="L45" i="33"/>
  <c r="H41" i="30"/>
  <c r="L54" i="33"/>
  <c r="H50" i="30"/>
  <c r="L46" i="33"/>
  <c r="H42" i="30"/>
  <c r="L47" i="33"/>
  <c r="H43" i="30"/>
  <c r="E174" i="21" l="1"/>
  <c r="G174" i="21" s="1"/>
  <c r="E178" i="21" s="1"/>
  <c r="E179" i="21" s="1"/>
  <c r="G177" i="21"/>
  <c r="E113" i="21"/>
  <c r="G113" i="21" s="1"/>
  <c r="F112" i="21"/>
  <c r="G112" i="21" s="1"/>
  <c r="T249" i="23"/>
  <c r="O249" i="23"/>
  <c r="H249" i="23"/>
  <c r="H250" i="23"/>
  <c r="H251" i="23"/>
  <c r="H253" i="23"/>
  <c r="H316" i="23"/>
  <c r="H315" i="23"/>
  <c r="H314" i="23"/>
  <c r="H318" i="23"/>
  <c r="E117" i="21" l="1"/>
  <c r="E118" i="21" s="1"/>
  <c r="A39" i="24" s="1"/>
  <c r="A68" i="24"/>
  <c r="C168" i="21"/>
  <c r="AG319" i="23"/>
  <c r="AG317" i="23"/>
  <c r="AG252" i="23"/>
  <c r="AU249" i="23"/>
  <c r="M262" i="23" s="1"/>
  <c r="AG254" i="23"/>
  <c r="AP249" i="23"/>
  <c r="F262" i="23" s="1"/>
  <c r="H257" i="23"/>
  <c r="H322" i="23"/>
  <c r="T314" i="23"/>
  <c r="O314" i="23"/>
  <c r="K190" i="21"/>
  <c r="M190" i="21" s="1"/>
  <c r="C107" i="21" l="1"/>
  <c r="D107" i="21"/>
  <c r="G107" i="21" s="1"/>
  <c r="D168" i="21"/>
  <c r="G168" i="21" s="1"/>
  <c r="AP314" i="23"/>
  <c r="F327" i="23" s="1"/>
  <c r="AP317" i="23"/>
  <c r="AM327" i="23" s="1"/>
  <c r="AU314" i="23"/>
  <c r="M327" i="23" s="1"/>
  <c r="AP319" i="23"/>
  <c r="R328" i="23" s="1"/>
  <c r="AP257" i="23"/>
  <c r="F264" i="23" s="1"/>
  <c r="F266" i="23" s="1"/>
  <c r="M274" i="23" s="1"/>
  <c r="AU257" i="23"/>
  <c r="M264" i="23" s="1"/>
  <c r="K266" i="23" s="1"/>
  <c r="R274" i="23" s="1"/>
  <c r="L270" i="23"/>
  <c r="AP254" i="23"/>
  <c r="R263" i="23" s="1"/>
  <c r="AP252" i="23"/>
  <c r="AM262" i="23" s="1"/>
  <c r="J190" i="21"/>
  <c r="N190" i="21" s="1"/>
  <c r="P190" i="21" s="1"/>
  <c r="H37" i="21"/>
  <c r="L37" i="21" s="1"/>
  <c r="H107" i="21" l="1"/>
  <c r="U107" i="21" s="1"/>
  <c r="U108" i="21" s="1"/>
  <c r="H168" i="21"/>
  <c r="R168" i="21" s="1"/>
  <c r="AU322" i="23"/>
  <c r="M329" i="23" s="1"/>
  <c r="K331" i="23" s="1"/>
  <c r="R339" i="23" s="1"/>
  <c r="AK335" i="23"/>
  <c r="AA335" i="23"/>
  <c r="AP322" i="23"/>
  <c r="F329" i="23" s="1"/>
  <c r="F331" i="23" s="1"/>
  <c r="M339" i="23" s="1"/>
  <c r="AA270" i="23"/>
  <c r="L269" i="23"/>
  <c r="AK270" i="23"/>
  <c r="J187" i="21"/>
  <c r="N187" i="21" s="1"/>
  <c r="P187" i="21" s="1"/>
  <c r="R107" i="21" l="1"/>
  <c r="H108" i="21"/>
  <c r="K107" i="21" s="1"/>
  <c r="T107" i="21" s="1"/>
  <c r="J168" i="21"/>
  <c r="U168" i="21"/>
  <c r="U169" i="21" s="1"/>
  <c r="J107" i="21"/>
  <c r="M107" i="21" s="1"/>
  <c r="H169" i="21"/>
  <c r="T113" i="21"/>
  <c r="L335" i="23"/>
  <c r="L334" i="23"/>
  <c r="BC322" i="23"/>
  <c r="AZ334" i="23" s="1"/>
  <c r="BC257" i="23"/>
  <c r="AZ269" i="23" s="1"/>
  <c r="E9" i="33"/>
  <c r="E8" i="33"/>
  <c r="E7" i="33"/>
  <c r="E6" i="33"/>
  <c r="A4" i="33"/>
  <c r="M168" i="21" l="1"/>
  <c r="O168" i="21" s="1"/>
  <c r="K168" i="21"/>
  <c r="T168" i="21" s="1"/>
  <c r="T169" i="21" s="1"/>
  <c r="T108" i="21"/>
  <c r="S113" i="21"/>
  <c r="O107" i="21"/>
  <c r="P107" i="21"/>
  <c r="N107" i="21"/>
  <c r="E66" i="11"/>
  <c r="F66" i="24"/>
  <c r="Z36" i="21"/>
  <c r="Z37" i="21"/>
  <c r="Z38" i="21"/>
  <c r="Z39" i="21"/>
  <c r="Z41" i="21"/>
  <c r="P168" i="21" l="1"/>
  <c r="AD143" i="21" s="1"/>
  <c r="N168" i="21"/>
  <c r="S168" i="21" s="1"/>
  <c r="D66" i="11"/>
  <c r="E66" i="24"/>
  <c r="AD134" i="21"/>
  <c r="AD89" i="21"/>
  <c r="AC83" i="21"/>
  <c r="AA79" i="21"/>
  <c r="AC73" i="21"/>
  <c r="AA74" i="21"/>
  <c r="AB76" i="21"/>
  <c r="AB84" i="21"/>
  <c r="AC75" i="21"/>
  <c r="AA83" i="21"/>
  <c r="AA86" i="21"/>
  <c r="AC86" i="21"/>
  <c r="AB87" i="21"/>
  <c r="AA78" i="21"/>
  <c r="AA75" i="21"/>
  <c r="AA73" i="21"/>
  <c r="AB89" i="21"/>
  <c r="AD77" i="21"/>
  <c r="AD72" i="21"/>
  <c r="AD83" i="21"/>
  <c r="AD76" i="21"/>
  <c r="AD85" i="21"/>
  <c r="AC74" i="21"/>
  <c r="AB79" i="21"/>
  <c r="AC85" i="21"/>
  <c r="AB90" i="21"/>
  <c r="AC71" i="21"/>
  <c r="AC87" i="21"/>
  <c r="AD71" i="21"/>
  <c r="AD86" i="21"/>
  <c r="AD82" i="21"/>
  <c r="AD90" i="21"/>
  <c r="AA85" i="21"/>
  <c r="AB71" i="21"/>
  <c r="AA76" i="21"/>
  <c r="AB83" i="21"/>
  <c r="AD78" i="21"/>
  <c r="AD74" i="21"/>
  <c r="AD79" i="21"/>
  <c r="AC78" i="21"/>
  <c r="AA89" i="21"/>
  <c r="AC84" i="21"/>
  <c r="AA71" i="21"/>
  <c r="AC72" i="21"/>
  <c r="AB75" i="21"/>
  <c r="AB88" i="21"/>
  <c r="AA82" i="21"/>
  <c r="AB80" i="21"/>
  <c r="AC90" i="21"/>
  <c r="AA72" i="21"/>
  <c r="AB78" i="21"/>
  <c r="AC76" i="21"/>
  <c r="AA87" i="21"/>
  <c r="AB85" i="21"/>
  <c r="AD80" i="21"/>
  <c r="AD87" i="21"/>
  <c r="AD81" i="21"/>
  <c r="AD88" i="21"/>
  <c r="AC82" i="21"/>
  <c r="AB73" i="21"/>
  <c r="AC77" i="21"/>
  <c r="AA81" i="21"/>
  <c r="AB74" i="21"/>
  <c r="AA80" i="21"/>
  <c r="AC80" i="21"/>
  <c r="AA90" i="21"/>
  <c r="AA88" i="21"/>
  <c r="AD75" i="21"/>
  <c r="AD84" i="21"/>
  <c r="AB77" i="21"/>
  <c r="AC88" i="21"/>
  <c r="AB86" i="21"/>
  <c r="AB81" i="21"/>
  <c r="AC89" i="21"/>
  <c r="AB82" i="21"/>
  <c r="AC79" i="21"/>
  <c r="AC81" i="21"/>
  <c r="AA77" i="21"/>
  <c r="AA84" i="21"/>
  <c r="AB72" i="21"/>
  <c r="AD73" i="21"/>
  <c r="S107" i="21"/>
  <c r="G57" i="33"/>
  <c r="H38" i="21"/>
  <c r="L38" i="21" s="1"/>
  <c r="H36" i="21"/>
  <c r="L36" i="21" s="1"/>
  <c r="Y35" i="21"/>
  <c r="Y34" i="21"/>
  <c r="AB148" i="21" l="1"/>
  <c r="K75" i="33" s="1"/>
  <c r="AD135" i="21"/>
  <c r="H62" i="33" s="1"/>
  <c r="AD147" i="21"/>
  <c r="H74" i="33" s="1"/>
  <c r="AA132" i="21"/>
  <c r="E57" i="30" s="1"/>
  <c r="AB142" i="21"/>
  <c r="D55" i="11" s="1"/>
  <c r="AC147" i="21"/>
  <c r="J74" i="33" s="1"/>
  <c r="AB146" i="21"/>
  <c r="D59" i="24" s="1"/>
  <c r="AA145" i="21"/>
  <c r="E70" i="30" s="1"/>
  <c r="AB150" i="21"/>
  <c r="D63" i="11" s="1"/>
  <c r="AD149" i="21"/>
  <c r="H76" i="33" s="1"/>
  <c r="AA149" i="21"/>
  <c r="E74" i="30" s="1"/>
  <c r="AA150" i="21"/>
  <c r="E75" i="30" s="1"/>
  <c r="AD139" i="21"/>
  <c r="H66" i="33" s="1"/>
  <c r="AD142" i="21"/>
  <c r="G67" i="30" s="1"/>
  <c r="AB140" i="21"/>
  <c r="D53" i="24" s="1"/>
  <c r="AC144" i="21"/>
  <c r="J71" i="33" s="1"/>
  <c r="AD136" i="21"/>
  <c r="H63" i="33" s="1"/>
  <c r="AC139" i="21"/>
  <c r="F64" i="30" s="1"/>
  <c r="AC146" i="21"/>
  <c r="F71" i="30" s="1"/>
  <c r="AD144" i="21"/>
  <c r="G69" i="30" s="1"/>
  <c r="AD146" i="21"/>
  <c r="G71" i="30" s="1"/>
  <c r="AC145" i="21"/>
  <c r="J72" i="33" s="1"/>
  <c r="AA134" i="21"/>
  <c r="E59" i="30" s="1"/>
  <c r="AB135" i="21"/>
  <c r="D48" i="11" s="1"/>
  <c r="AB141" i="21"/>
  <c r="D54" i="11" s="1"/>
  <c r="AC141" i="21"/>
  <c r="F66" i="30" s="1"/>
  <c r="AB151" i="21"/>
  <c r="D64" i="11" s="1"/>
  <c r="AC134" i="21"/>
  <c r="J61" i="33" s="1"/>
  <c r="AD151" i="21"/>
  <c r="H78" i="33" s="1"/>
  <c r="AC149" i="21"/>
  <c r="F74" i="30" s="1"/>
  <c r="AC142" i="21"/>
  <c r="F67" i="30" s="1"/>
  <c r="AD148" i="21"/>
  <c r="H75" i="33" s="1"/>
  <c r="AB143" i="21"/>
  <c r="K70" i="33" s="1"/>
  <c r="AB145" i="21"/>
  <c r="D58" i="24" s="1"/>
  <c r="AB132" i="21"/>
  <c r="D45" i="11" s="1"/>
  <c r="AD150" i="21"/>
  <c r="H77" i="33" s="1"/>
  <c r="AB144" i="21"/>
  <c r="D57" i="24" s="1"/>
  <c r="AD137" i="21"/>
  <c r="H64" i="33" s="1"/>
  <c r="AB149" i="21"/>
  <c r="D62" i="11" s="1"/>
  <c r="AA141" i="21"/>
  <c r="C54" i="24" s="1"/>
  <c r="AB147" i="21"/>
  <c r="D60" i="24" s="1"/>
  <c r="AC135" i="21"/>
  <c r="F60" i="30" s="1"/>
  <c r="AA144" i="21"/>
  <c r="C57" i="11" s="1"/>
  <c r="AB137" i="21"/>
  <c r="D50" i="11" s="1"/>
  <c r="AA142" i="21"/>
  <c r="F69" i="33" s="1"/>
  <c r="AD133" i="21"/>
  <c r="H60" i="33" s="1"/>
  <c r="AA143" i="21"/>
  <c r="C56" i="24" s="1"/>
  <c r="AA136" i="21"/>
  <c r="C49" i="11" s="1"/>
  <c r="AC151" i="21"/>
  <c r="J78" i="33" s="1"/>
  <c r="AC132" i="21"/>
  <c r="J59" i="33" s="1"/>
  <c r="AC140" i="21"/>
  <c r="J67" i="33" s="1"/>
  <c r="AD141" i="21"/>
  <c r="H68" i="33" s="1"/>
  <c r="AB136" i="21"/>
  <c r="K63" i="33" s="1"/>
  <c r="AB133" i="21"/>
  <c r="D46" i="11" s="1"/>
  <c r="AC133" i="21"/>
  <c r="F58" i="30" s="1"/>
  <c r="AA138" i="21"/>
  <c r="C51" i="24" s="1"/>
  <c r="AA140" i="21"/>
  <c r="F67" i="33" s="1"/>
  <c r="AB138" i="21"/>
  <c r="D51" i="11" s="1"/>
  <c r="AA135" i="21"/>
  <c r="F62" i="33" s="1"/>
  <c r="AD138" i="21"/>
  <c r="H65" i="33" s="1"/>
  <c r="AA133" i="21"/>
  <c r="C46" i="11" s="1"/>
  <c r="AC138" i="21"/>
  <c r="J65" i="33" s="1"/>
  <c r="AA147" i="21"/>
  <c r="F74" i="33" s="1"/>
  <c r="AA139" i="21"/>
  <c r="C52" i="24" s="1"/>
  <c r="AD132" i="21"/>
  <c r="H59" i="33" s="1"/>
  <c r="AC143" i="21"/>
  <c r="J70" i="33" s="1"/>
  <c r="AA137" i="21"/>
  <c r="F64" i="33" s="1"/>
  <c r="AA146" i="21"/>
  <c r="F73" i="33" s="1"/>
  <c r="AD140" i="21"/>
  <c r="H67" i="33" s="1"/>
  <c r="AA148" i="21"/>
  <c r="C61" i="24" s="1"/>
  <c r="AC137" i="21"/>
  <c r="J64" i="33" s="1"/>
  <c r="AC150" i="21"/>
  <c r="F75" i="30" s="1"/>
  <c r="AB139" i="21"/>
  <c r="D52" i="11" s="1"/>
  <c r="AD145" i="21"/>
  <c r="H72" i="33" s="1"/>
  <c r="AC148" i="21"/>
  <c r="J75" i="33" s="1"/>
  <c r="AC136" i="21"/>
  <c r="J63" i="33" s="1"/>
  <c r="AB134" i="21"/>
  <c r="K61" i="33" s="1"/>
  <c r="AA151" i="21"/>
  <c r="F78" i="33" s="1"/>
  <c r="AF137" i="21"/>
  <c r="AF149" i="21"/>
  <c r="AF146" i="21"/>
  <c r="AF143" i="21"/>
  <c r="AF133" i="21"/>
  <c r="AF140" i="21"/>
  <c r="AF136" i="21"/>
  <c r="AF139" i="21"/>
  <c r="AF142" i="21"/>
  <c r="AF145" i="21"/>
  <c r="AF132" i="21"/>
  <c r="AF148" i="21"/>
  <c r="AF151" i="21"/>
  <c r="AF135" i="21"/>
  <c r="AF138" i="21"/>
  <c r="AF141" i="21"/>
  <c r="AF144" i="21"/>
  <c r="AF147" i="21"/>
  <c r="AF150" i="21"/>
  <c r="AF134" i="21"/>
  <c r="AF71" i="21"/>
  <c r="AF72" i="21"/>
  <c r="AF76" i="21"/>
  <c r="AF80" i="21"/>
  <c r="AF84" i="21"/>
  <c r="AF88" i="21"/>
  <c r="AF78" i="21"/>
  <c r="AF86" i="21"/>
  <c r="AF75" i="21"/>
  <c r="AF83" i="21"/>
  <c r="AF73" i="21"/>
  <c r="AF77" i="21"/>
  <c r="AF81" i="21"/>
  <c r="AF85" i="21"/>
  <c r="AF89" i="21"/>
  <c r="AF74" i="21"/>
  <c r="AF82" i="21"/>
  <c r="AF90" i="21"/>
  <c r="AF79" i="21"/>
  <c r="AF87" i="21"/>
  <c r="H70" i="33"/>
  <c r="G68" i="30"/>
  <c r="D63" i="24"/>
  <c r="H61" i="33"/>
  <c r="G59" i="30"/>
  <c r="J47" i="33"/>
  <c r="F43" i="30"/>
  <c r="H47" i="33"/>
  <c r="G43" i="30"/>
  <c r="J56" i="33"/>
  <c r="F52" i="30"/>
  <c r="G20" i="24"/>
  <c r="K41" i="33"/>
  <c r="G20" i="11"/>
  <c r="H42" i="33"/>
  <c r="G38" i="30"/>
  <c r="G32" i="24"/>
  <c r="K53" i="33"/>
  <c r="G32" i="11"/>
  <c r="J41" i="33"/>
  <c r="F37" i="30"/>
  <c r="G17" i="24"/>
  <c r="K38" i="33"/>
  <c r="G17" i="11"/>
  <c r="J45" i="33"/>
  <c r="F41" i="30"/>
  <c r="G31" i="24"/>
  <c r="K52" i="33"/>
  <c r="G31" i="11"/>
  <c r="H41" i="33"/>
  <c r="G37" i="30"/>
  <c r="F46" i="33"/>
  <c r="E42" i="30"/>
  <c r="F25" i="11"/>
  <c r="F25" i="24"/>
  <c r="G18" i="24"/>
  <c r="K39" i="33"/>
  <c r="G18" i="11"/>
  <c r="H53" i="33"/>
  <c r="G49" i="30"/>
  <c r="J42" i="33"/>
  <c r="F38" i="30"/>
  <c r="G25" i="24"/>
  <c r="K46" i="33"/>
  <c r="G25" i="11"/>
  <c r="J38" i="33"/>
  <c r="F34" i="30"/>
  <c r="J44" i="33"/>
  <c r="F40" i="30"/>
  <c r="G28" i="24"/>
  <c r="K49" i="33"/>
  <c r="G28" i="11"/>
  <c r="H56" i="33"/>
  <c r="G52" i="30"/>
  <c r="J53" i="33"/>
  <c r="F49" i="30"/>
  <c r="G24" i="24"/>
  <c r="K45" i="33"/>
  <c r="G24" i="11"/>
  <c r="H49" i="33"/>
  <c r="G45" i="30"/>
  <c r="F39" i="33"/>
  <c r="F18" i="11"/>
  <c r="F18" i="24"/>
  <c r="E35" i="30"/>
  <c r="J52" i="33"/>
  <c r="F48" i="30"/>
  <c r="G29" i="24"/>
  <c r="K50" i="33"/>
  <c r="G29" i="11"/>
  <c r="F45" i="33"/>
  <c r="F24" i="24"/>
  <c r="F24" i="11"/>
  <c r="E41" i="30"/>
  <c r="H39" i="33"/>
  <c r="G35" i="30"/>
  <c r="G26" i="24"/>
  <c r="K47" i="33"/>
  <c r="G26" i="11"/>
  <c r="J43" i="33"/>
  <c r="F39" i="30"/>
  <c r="H44" i="33"/>
  <c r="G40" i="30"/>
  <c r="H37" i="33"/>
  <c r="G33" i="30"/>
  <c r="G34" i="24"/>
  <c r="K55" i="33"/>
  <c r="G34" i="11"/>
  <c r="J39" i="33"/>
  <c r="F35" i="30"/>
  <c r="F50" i="33"/>
  <c r="F29" i="11"/>
  <c r="E46" i="30"/>
  <c r="F29" i="24"/>
  <c r="G27" i="24"/>
  <c r="K48" i="33"/>
  <c r="G27" i="11"/>
  <c r="J54" i="33"/>
  <c r="F50" i="30"/>
  <c r="F54" i="33"/>
  <c r="F33" i="24"/>
  <c r="E50" i="30"/>
  <c r="F33" i="11"/>
  <c r="G19" i="24"/>
  <c r="K40" i="33"/>
  <c r="G19" i="11"/>
  <c r="J48" i="33"/>
  <c r="F44" i="30"/>
  <c r="H46" i="33"/>
  <c r="G42" i="30"/>
  <c r="G23" i="24"/>
  <c r="K44" i="33"/>
  <c r="G23" i="11"/>
  <c r="F48" i="33"/>
  <c r="F27" i="24"/>
  <c r="E44" i="30"/>
  <c r="F27" i="11"/>
  <c r="F37" i="33"/>
  <c r="F16" i="24"/>
  <c r="F16" i="11"/>
  <c r="E33" i="30"/>
  <c r="H45" i="33"/>
  <c r="G41" i="30"/>
  <c r="F42" i="33"/>
  <c r="E38" i="30"/>
  <c r="F21" i="24"/>
  <c r="F21" i="11"/>
  <c r="H48" i="33"/>
  <c r="G44" i="30"/>
  <c r="J37" i="33"/>
  <c r="F33" i="30"/>
  <c r="J40" i="33"/>
  <c r="F36" i="30"/>
  <c r="H38" i="33"/>
  <c r="G34" i="30"/>
  <c r="F41" i="33"/>
  <c r="F20" i="11"/>
  <c r="F20" i="24"/>
  <c r="E37" i="30"/>
  <c r="F52" i="33"/>
  <c r="F31" i="24"/>
  <c r="F31" i="11"/>
  <c r="E48" i="30"/>
  <c r="G21" i="24"/>
  <c r="K42" i="33"/>
  <c r="G21" i="11"/>
  <c r="J49" i="33"/>
  <c r="F45" i="30"/>
  <c r="H50" i="33"/>
  <c r="G46" i="30"/>
  <c r="J46" i="33"/>
  <c r="F42" i="30"/>
  <c r="F53" i="33"/>
  <c r="F32" i="24"/>
  <c r="E49" i="30"/>
  <c r="F32" i="11"/>
  <c r="F55" i="33"/>
  <c r="F34" i="11"/>
  <c r="F34" i="24"/>
  <c r="E51" i="30"/>
  <c r="F51" i="33"/>
  <c r="F30" i="11"/>
  <c r="E47" i="30"/>
  <c r="F30" i="24"/>
  <c r="J51" i="33"/>
  <c r="F47" i="30"/>
  <c r="F43" i="33"/>
  <c r="F22" i="24"/>
  <c r="F22" i="11"/>
  <c r="E39" i="30"/>
  <c r="J55" i="33"/>
  <c r="F51" i="30"/>
  <c r="G22" i="24"/>
  <c r="K43" i="33"/>
  <c r="G22" i="11"/>
  <c r="F56" i="33"/>
  <c r="F35" i="11"/>
  <c r="F35" i="24"/>
  <c r="E52" i="30"/>
  <c r="F47" i="33"/>
  <c r="E43" i="30"/>
  <c r="F26" i="11"/>
  <c r="F26" i="24"/>
  <c r="H54" i="33"/>
  <c r="G50" i="30"/>
  <c r="G30" i="24"/>
  <c r="K51" i="33"/>
  <c r="G30" i="11"/>
  <c r="F38" i="33"/>
  <c r="F17" i="24"/>
  <c r="E34" i="30"/>
  <c r="F17" i="11"/>
  <c r="G33" i="24"/>
  <c r="K54" i="33"/>
  <c r="G33" i="11"/>
  <c r="J50" i="33"/>
  <c r="F46" i="30"/>
  <c r="H40" i="33"/>
  <c r="G36" i="30"/>
  <c r="G16" i="24"/>
  <c r="K37" i="33"/>
  <c r="G16" i="11"/>
  <c r="H52" i="33"/>
  <c r="G48" i="30"/>
  <c r="G35" i="24"/>
  <c r="K56" i="33"/>
  <c r="G35" i="11"/>
  <c r="H51" i="33"/>
  <c r="G47" i="30"/>
  <c r="H43" i="33"/>
  <c r="G39" i="30"/>
  <c r="F44" i="33"/>
  <c r="E40" i="30"/>
  <c r="F23" i="24"/>
  <c r="F23" i="11"/>
  <c r="F49" i="33"/>
  <c r="E45" i="30"/>
  <c r="F28" i="24"/>
  <c r="F28" i="11"/>
  <c r="F40" i="33"/>
  <c r="E36" i="30"/>
  <c r="F19" i="11"/>
  <c r="F19" i="24"/>
  <c r="H55" i="33"/>
  <c r="G51" i="30"/>
  <c r="G79" i="33"/>
  <c r="H57" i="33"/>
  <c r="BA65" i="23"/>
  <c r="Q191" i="23" s="1"/>
  <c r="X209" i="23" s="1"/>
  <c r="AL209" i="23" s="1"/>
  <c r="AZ209" i="23" s="1"/>
  <c r="M65" i="23"/>
  <c r="AP196" i="23"/>
  <c r="N163" i="23"/>
  <c r="I162" i="23"/>
  <c r="BC62" i="23"/>
  <c r="AK196" i="23" s="1"/>
  <c r="AB62" i="23"/>
  <c r="I149" i="23" s="1"/>
  <c r="V62" i="23"/>
  <c r="M62" i="23"/>
  <c r="BC61" i="23"/>
  <c r="AF196" i="23" s="1"/>
  <c r="AB61" i="23"/>
  <c r="I133" i="23" s="1"/>
  <c r="X61" i="23"/>
  <c r="M61" i="23"/>
  <c r="BC60" i="23"/>
  <c r="AA196" i="23" s="1"/>
  <c r="AB60" i="23"/>
  <c r="I119" i="23" s="1"/>
  <c r="V60" i="23"/>
  <c r="M60" i="23"/>
  <c r="BC59" i="23"/>
  <c r="V196" i="23" s="1"/>
  <c r="AB59" i="23"/>
  <c r="X59" i="23"/>
  <c r="M59" i="23"/>
  <c r="BC58" i="23"/>
  <c r="Q196" i="23" s="1"/>
  <c r="AW58" i="23"/>
  <c r="AG58" i="23"/>
  <c r="N88" i="23" s="1"/>
  <c r="AB58" i="23"/>
  <c r="I87" i="23" s="1"/>
  <c r="V58" i="23"/>
  <c r="M58" i="23"/>
  <c r="N83" i="23" s="1"/>
  <c r="BC57" i="23"/>
  <c r="L196" i="23" s="1"/>
  <c r="BA57" i="23"/>
  <c r="Z77" i="23" s="1"/>
  <c r="AO77" i="23" s="1"/>
  <c r="AG57" i="23"/>
  <c r="N75" i="23" s="1"/>
  <c r="L77" i="23" s="1"/>
  <c r="AB57" i="23"/>
  <c r="I74" i="23" s="1"/>
  <c r="Z57" i="23"/>
  <c r="M57" i="23"/>
  <c r="N69" i="23" s="1"/>
  <c r="AB160" i="23"/>
  <c r="R165" i="23" s="1"/>
  <c r="Y165" i="23" s="1"/>
  <c r="V147" i="23"/>
  <c r="V117" i="23"/>
  <c r="AA85" i="23"/>
  <c r="U85" i="23"/>
  <c r="B80" i="23"/>
  <c r="G43" i="23"/>
  <c r="G37" i="23"/>
  <c r="G35" i="23"/>
  <c r="G10" i="23"/>
  <c r="L10" i="23" s="1"/>
  <c r="Q10" i="23" s="1"/>
  <c r="V10" i="23" s="1"/>
  <c r="AA10" i="23" s="1"/>
  <c r="G8" i="23"/>
  <c r="G61" i="30" l="1"/>
  <c r="G60" i="30"/>
  <c r="G76" i="30"/>
  <c r="D55" i="24"/>
  <c r="D61" i="11"/>
  <c r="K73" i="33"/>
  <c r="D59" i="11"/>
  <c r="G74" i="30"/>
  <c r="J76" i="33"/>
  <c r="D61" i="24"/>
  <c r="H73" i="33"/>
  <c r="K77" i="33"/>
  <c r="D58" i="11"/>
  <c r="K69" i="33"/>
  <c r="G64" i="30"/>
  <c r="D54" i="24"/>
  <c r="J60" i="33"/>
  <c r="C45" i="11"/>
  <c r="G72" i="30"/>
  <c r="D45" i="24"/>
  <c r="K68" i="33"/>
  <c r="C45" i="24"/>
  <c r="F59" i="33"/>
  <c r="H71" i="33"/>
  <c r="C58" i="11"/>
  <c r="H69" i="33"/>
  <c r="J66" i="33"/>
  <c r="F72" i="30"/>
  <c r="J68" i="33"/>
  <c r="G62" i="30"/>
  <c r="K72" i="33"/>
  <c r="C63" i="24"/>
  <c r="F59" i="30"/>
  <c r="D48" i="24"/>
  <c r="G75" i="30"/>
  <c r="F77" i="33"/>
  <c r="F69" i="30"/>
  <c r="C58" i="24"/>
  <c r="K62" i="33"/>
  <c r="C63" i="11"/>
  <c r="F72" i="33"/>
  <c r="F76" i="33"/>
  <c r="J73" i="33"/>
  <c r="K67" i="33"/>
  <c r="F65" i="30"/>
  <c r="C47" i="24"/>
  <c r="D64" i="24"/>
  <c r="C62" i="11"/>
  <c r="F70" i="30"/>
  <c r="C57" i="24"/>
  <c r="K78" i="33"/>
  <c r="K59" i="33"/>
  <c r="C47" i="11"/>
  <c r="J69" i="33"/>
  <c r="C62" i="24"/>
  <c r="E68" i="30"/>
  <c r="F61" i="33"/>
  <c r="D53" i="11"/>
  <c r="F71" i="33"/>
  <c r="K64" i="33"/>
  <c r="C54" i="11"/>
  <c r="G73" i="30"/>
  <c r="E66" i="30"/>
  <c r="E71" i="30"/>
  <c r="K71" i="33"/>
  <c r="D56" i="24"/>
  <c r="K74" i="33"/>
  <c r="D60" i="11"/>
  <c r="D57" i="11"/>
  <c r="D56" i="11"/>
  <c r="F75" i="33"/>
  <c r="F65" i="33"/>
  <c r="F68" i="33"/>
  <c r="C52" i="11"/>
  <c r="C56" i="11"/>
  <c r="J62" i="33"/>
  <c r="D46" i="24"/>
  <c r="K76" i="33"/>
  <c r="K65" i="33"/>
  <c r="F63" i="30"/>
  <c r="K60" i="33"/>
  <c r="G70" i="30"/>
  <c r="F68" i="30"/>
  <c r="F57" i="30"/>
  <c r="G58" i="30"/>
  <c r="C61" i="11"/>
  <c r="D51" i="24"/>
  <c r="F70" i="33"/>
  <c r="E69" i="30"/>
  <c r="D62" i="24"/>
  <c r="E58" i="30"/>
  <c r="F76" i="30"/>
  <c r="J77" i="33"/>
  <c r="C59" i="11"/>
  <c r="F66" i="33"/>
  <c r="G63" i="30"/>
  <c r="E61" i="30"/>
  <c r="C55" i="24"/>
  <c r="D49" i="24"/>
  <c r="F63" i="33"/>
  <c r="D50" i="24"/>
  <c r="C51" i="11"/>
  <c r="K66" i="33"/>
  <c r="C59" i="24"/>
  <c r="E64" i="30"/>
  <c r="G66" i="30"/>
  <c r="C49" i="24"/>
  <c r="C55" i="11"/>
  <c r="E63" i="30"/>
  <c r="F61" i="30"/>
  <c r="D49" i="11"/>
  <c r="C53" i="11"/>
  <c r="E67" i="30"/>
  <c r="G65" i="30"/>
  <c r="F73" i="30"/>
  <c r="F62" i="30"/>
  <c r="C48" i="11"/>
  <c r="C50" i="11"/>
  <c r="C60" i="24"/>
  <c r="E60" i="30"/>
  <c r="E62" i="30"/>
  <c r="E72" i="30"/>
  <c r="G57" i="30"/>
  <c r="C46" i="24"/>
  <c r="E65" i="30"/>
  <c r="D47" i="24"/>
  <c r="D52" i="24"/>
  <c r="F60" i="33"/>
  <c r="C53" i="24"/>
  <c r="D47" i="11"/>
  <c r="E73" i="30"/>
  <c r="C50" i="24"/>
  <c r="C60" i="11"/>
  <c r="C48" i="24"/>
  <c r="C64" i="24"/>
  <c r="E76" i="30"/>
  <c r="C64" i="11"/>
  <c r="I103" i="23"/>
  <c r="D67" i="11"/>
  <c r="C68" i="24"/>
  <c r="E67" i="24"/>
  <c r="H79" i="33"/>
  <c r="AF274" i="23"/>
  <c r="AS274" i="23" s="1"/>
  <c r="AA274" i="23"/>
  <c r="AO274" i="23" s="1"/>
  <c r="I274" i="23"/>
  <c r="H39" i="21"/>
  <c r="L39" i="21" s="1"/>
  <c r="N117" i="23"/>
  <c r="S117" i="23" s="1"/>
  <c r="U122" i="23" s="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H4" i="21"/>
  <c r="L186" i="21" s="1"/>
  <c r="G4" i="21"/>
  <c r="F4" i="21"/>
  <c r="C4" i="21"/>
  <c r="B4" i="21" s="1"/>
  <c r="F46" i="21"/>
  <c r="O61" i="23"/>
  <c r="O59" i="23"/>
  <c r="AE15" i="21" l="1"/>
  <c r="W15" i="21"/>
  <c r="V15" i="21"/>
  <c r="AE17" i="21"/>
  <c r="W17" i="21"/>
  <c r="V17" i="21"/>
  <c r="AE21" i="21"/>
  <c r="W21" i="21"/>
  <c r="V21" i="21"/>
  <c r="AE25" i="21"/>
  <c r="W25" i="21"/>
  <c r="V25" i="21"/>
  <c r="AE29" i="21"/>
  <c r="V29" i="21"/>
  <c r="W29" i="21"/>
  <c r="AE11" i="21"/>
  <c r="W11" i="21"/>
  <c r="V11" i="21"/>
  <c r="AE23" i="21"/>
  <c r="W23" i="21"/>
  <c r="V23" i="21"/>
  <c r="V13" i="21"/>
  <c r="AE13" i="21"/>
  <c r="W13" i="21"/>
  <c r="W10" i="21"/>
  <c r="V10" i="21"/>
  <c r="AE10" i="21"/>
  <c r="AE14" i="21"/>
  <c r="W14" i="21"/>
  <c r="V14" i="21"/>
  <c r="AE18" i="21"/>
  <c r="W18" i="21"/>
  <c r="V18" i="21"/>
  <c r="AE22" i="21"/>
  <c r="W22" i="21"/>
  <c r="V22" i="21"/>
  <c r="V26" i="21"/>
  <c r="AE26" i="21"/>
  <c r="W26" i="21"/>
  <c r="AE27" i="21"/>
  <c r="W27" i="21"/>
  <c r="V27" i="21"/>
  <c r="AE19" i="21"/>
  <c r="W19" i="21"/>
  <c r="V19" i="21"/>
  <c r="AE12" i="21"/>
  <c r="W12" i="21"/>
  <c r="V12" i="21"/>
  <c r="AE16" i="21"/>
  <c r="W16" i="21"/>
  <c r="V16" i="21"/>
  <c r="AE20" i="21"/>
  <c r="W20" i="21"/>
  <c r="V20" i="21"/>
  <c r="AE24" i="21"/>
  <c r="W24" i="21"/>
  <c r="V24" i="21"/>
  <c r="AE28" i="21"/>
  <c r="W28" i="21"/>
  <c r="V28" i="21"/>
  <c r="A12" i="11"/>
  <c r="A13" i="11" s="1"/>
  <c r="A12" i="24"/>
  <c r="A13" i="24" s="1"/>
  <c r="A18" i="24"/>
  <c r="A18" i="11"/>
  <c r="A30" i="24"/>
  <c r="A30" i="11"/>
  <c r="A23" i="24"/>
  <c r="A23" i="11"/>
  <c r="A27" i="24"/>
  <c r="A27" i="11"/>
  <c r="A31" i="24"/>
  <c r="A31" i="11"/>
  <c r="A35" i="24"/>
  <c r="A35" i="11"/>
  <c r="A26" i="24"/>
  <c r="A26" i="11"/>
  <c r="A19" i="24"/>
  <c r="A19" i="11"/>
  <c r="A16" i="24"/>
  <c r="A16" i="11"/>
  <c r="A6" i="30"/>
  <c r="A7" i="30" s="1"/>
  <c r="A8" i="30" s="1"/>
  <c r="A20" i="24"/>
  <c r="A20" i="11"/>
  <c r="A24" i="24"/>
  <c r="A24" i="11"/>
  <c r="A28" i="24"/>
  <c r="A28" i="11"/>
  <c r="A32" i="24"/>
  <c r="A32" i="11"/>
  <c r="A22" i="24"/>
  <c r="A22" i="11"/>
  <c r="A34" i="24"/>
  <c r="A34" i="11"/>
  <c r="A17" i="24"/>
  <c r="A17" i="11"/>
  <c r="A21" i="24"/>
  <c r="A21" i="11"/>
  <c r="A25" i="24"/>
  <c r="A25" i="11"/>
  <c r="A29" i="24"/>
  <c r="A29" i="11"/>
  <c r="A33" i="24"/>
  <c r="A33" i="11"/>
  <c r="AA339" i="23"/>
  <c r="AO339" i="23" s="1"/>
  <c r="F67" i="24"/>
  <c r="E67" i="11"/>
  <c r="AF339" i="23"/>
  <c r="AS339" i="23" s="1"/>
  <c r="I339" i="23"/>
  <c r="Q47" i="33"/>
  <c r="I4" i="21"/>
  <c r="N147" i="23"/>
  <c r="C144" i="23" s="1"/>
  <c r="N11" i="21"/>
  <c r="O11" i="21"/>
  <c r="N19" i="21"/>
  <c r="O19" i="21"/>
  <c r="N23" i="21"/>
  <c r="O23" i="21"/>
  <c r="N13" i="21"/>
  <c r="O13" i="21"/>
  <c r="N17" i="21"/>
  <c r="O17" i="21"/>
  <c r="N21" i="21"/>
  <c r="O21" i="21"/>
  <c r="N25" i="21"/>
  <c r="O25" i="21"/>
  <c r="N29" i="21"/>
  <c r="O29" i="21"/>
  <c r="N15" i="21"/>
  <c r="O15" i="21"/>
  <c r="N27" i="21"/>
  <c r="O27" i="21"/>
  <c r="N10" i="21"/>
  <c r="O10" i="21"/>
  <c r="N14" i="21"/>
  <c r="O14" i="21"/>
  <c r="N18" i="21"/>
  <c r="O18" i="21"/>
  <c r="N22" i="21"/>
  <c r="O22" i="21"/>
  <c r="N26" i="21"/>
  <c r="O26" i="21"/>
  <c r="N12" i="21"/>
  <c r="O12" i="21"/>
  <c r="N16" i="21"/>
  <c r="O16" i="21"/>
  <c r="N20" i="21"/>
  <c r="O20" i="21"/>
  <c r="N24" i="21"/>
  <c r="O24" i="21"/>
  <c r="N28" i="21"/>
  <c r="O28" i="21"/>
  <c r="U29" i="21"/>
  <c r="A25" i="33"/>
  <c r="A29" i="33"/>
  <c r="A32" i="33"/>
  <c r="A17" i="33"/>
  <c r="A21" i="33"/>
  <c r="A33" i="33"/>
  <c r="A16" i="33"/>
  <c r="A20" i="33"/>
  <c r="A24" i="33"/>
  <c r="A28" i="33"/>
  <c r="A15" i="33"/>
  <c r="A35" i="33" s="1"/>
  <c r="A19" i="33"/>
  <c r="A23" i="33"/>
  <c r="A27" i="33"/>
  <c r="A31" i="33"/>
  <c r="A18" i="33"/>
  <c r="A22" i="33"/>
  <c r="A26" i="33"/>
  <c r="A30" i="33"/>
  <c r="A34" i="33"/>
  <c r="Q19" i="21"/>
  <c r="D14" i="21"/>
  <c r="H14" i="21"/>
  <c r="D18" i="3"/>
  <c r="G18" i="3"/>
  <c r="C18" i="3"/>
  <c r="F18" i="3"/>
  <c r="E18" i="3"/>
  <c r="E15" i="21"/>
  <c r="F20" i="3"/>
  <c r="E20" i="3"/>
  <c r="D20" i="3"/>
  <c r="G20" i="3"/>
  <c r="C20" i="3"/>
  <c r="E21" i="21"/>
  <c r="D26" i="3"/>
  <c r="G26" i="3"/>
  <c r="C26" i="3"/>
  <c r="F26" i="3"/>
  <c r="E26" i="3"/>
  <c r="G27" i="21"/>
  <c r="F32" i="3"/>
  <c r="D32" i="3"/>
  <c r="E32" i="3"/>
  <c r="G32" i="3"/>
  <c r="C32" i="3"/>
  <c r="U27" i="21"/>
  <c r="E17" i="3"/>
  <c r="G17" i="3"/>
  <c r="D17" i="3"/>
  <c r="C17" i="3"/>
  <c r="F17" i="3"/>
  <c r="E18" i="21"/>
  <c r="G23" i="3"/>
  <c r="C23" i="3"/>
  <c r="F23" i="3"/>
  <c r="E23" i="3"/>
  <c r="D23" i="3"/>
  <c r="F24" i="3"/>
  <c r="D24" i="3"/>
  <c r="E24" i="3"/>
  <c r="G24" i="3"/>
  <c r="C24" i="3"/>
  <c r="E25" i="3"/>
  <c r="G25" i="3"/>
  <c r="D25" i="3"/>
  <c r="C25" i="3"/>
  <c r="F25" i="3"/>
  <c r="D21" i="21"/>
  <c r="G27" i="3"/>
  <c r="C27" i="3"/>
  <c r="E27" i="3"/>
  <c r="F27" i="3"/>
  <c r="D27" i="3"/>
  <c r="F28" i="3"/>
  <c r="E28" i="3"/>
  <c r="D28" i="3"/>
  <c r="C28" i="3"/>
  <c r="G28" i="3"/>
  <c r="L24" i="21"/>
  <c r="E29" i="3"/>
  <c r="C29" i="3"/>
  <c r="D29" i="3"/>
  <c r="G29" i="3"/>
  <c r="F29" i="3"/>
  <c r="G31" i="3"/>
  <c r="C31" i="3"/>
  <c r="F31" i="3"/>
  <c r="E31" i="3"/>
  <c r="D31" i="3"/>
  <c r="Q15" i="21"/>
  <c r="F16" i="3"/>
  <c r="D16" i="3"/>
  <c r="E16" i="3"/>
  <c r="G16" i="3"/>
  <c r="C16" i="3"/>
  <c r="D22" i="3"/>
  <c r="F22" i="3"/>
  <c r="G22" i="3"/>
  <c r="C22" i="3"/>
  <c r="E22" i="3"/>
  <c r="H18" i="21"/>
  <c r="I19" i="21"/>
  <c r="M21" i="21"/>
  <c r="I22" i="21"/>
  <c r="I23" i="21"/>
  <c r="E24" i="21"/>
  <c r="D30" i="3"/>
  <c r="F30" i="3"/>
  <c r="G30" i="3"/>
  <c r="C30" i="3"/>
  <c r="E30" i="3"/>
  <c r="D34" i="3"/>
  <c r="G34" i="3"/>
  <c r="C34" i="3"/>
  <c r="F34" i="3"/>
  <c r="E34" i="3"/>
  <c r="Q24" i="21"/>
  <c r="I10" i="21"/>
  <c r="G15" i="3"/>
  <c r="C15" i="3"/>
  <c r="F15" i="3"/>
  <c r="E15" i="3"/>
  <c r="D15" i="3"/>
  <c r="G19" i="3"/>
  <c r="C19" i="3"/>
  <c r="E19" i="3"/>
  <c r="F19" i="3"/>
  <c r="D19" i="3"/>
  <c r="E21" i="3"/>
  <c r="C21" i="3"/>
  <c r="D21" i="3"/>
  <c r="G21" i="3"/>
  <c r="F21" i="3"/>
  <c r="F24" i="21"/>
  <c r="F28" i="21"/>
  <c r="E33" i="3"/>
  <c r="G33" i="3"/>
  <c r="D33" i="3"/>
  <c r="C33" i="3"/>
  <c r="F33" i="3"/>
  <c r="D18" i="21"/>
  <c r="M25" i="21"/>
  <c r="C26" i="21"/>
  <c r="E27" i="21"/>
  <c r="F29" i="21"/>
  <c r="Q27" i="21"/>
  <c r="H10" i="21"/>
  <c r="Q18" i="23"/>
  <c r="L18" i="23"/>
  <c r="AA18" i="23"/>
  <c r="G18" i="23"/>
  <c r="V18" i="23"/>
  <c r="M14" i="21"/>
  <c r="Q15" i="23"/>
  <c r="AA15" i="23"/>
  <c r="L15" i="23"/>
  <c r="V15" i="23"/>
  <c r="G15" i="23"/>
  <c r="L16" i="21"/>
  <c r="Q17" i="23"/>
  <c r="AA17" i="23"/>
  <c r="L17" i="23"/>
  <c r="V17" i="23"/>
  <c r="G17" i="23"/>
  <c r="E25" i="21"/>
  <c r="Q26" i="23"/>
  <c r="L26" i="23"/>
  <c r="G26" i="23"/>
  <c r="AA26" i="23"/>
  <c r="V26" i="23"/>
  <c r="H26" i="21"/>
  <c r="Q27" i="23"/>
  <c r="L27" i="23"/>
  <c r="G27" i="23"/>
  <c r="AA27" i="23"/>
  <c r="V27" i="23"/>
  <c r="I28" i="21"/>
  <c r="Q29" i="23"/>
  <c r="L29" i="23"/>
  <c r="G29" i="23"/>
  <c r="AA29" i="23"/>
  <c r="V29" i="23"/>
  <c r="M29" i="21"/>
  <c r="Q30" i="23"/>
  <c r="L30" i="23"/>
  <c r="G30" i="23"/>
  <c r="AA30" i="23"/>
  <c r="V30" i="23"/>
  <c r="V12" i="23"/>
  <c r="Q12" i="23"/>
  <c r="L12" i="23"/>
  <c r="AA12" i="23"/>
  <c r="G12" i="23"/>
  <c r="Q16" i="23"/>
  <c r="L16" i="23"/>
  <c r="AA16" i="23"/>
  <c r="G16" i="23"/>
  <c r="V16" i="23"/>
  <c r="M186" i="21"/>
  <c r="B5" i="23"/>
  <c r="V14" i="23"/>
  <c r="L14" i="23"/>
  <c r="Q14" i="23"/>
  <c r="G14" i="23"/>
  <c r="AA14" i="23"/>
  <c r="I15" i="21"/>
  <c r="Q20" i="23"/>
  <c r="L20" i="23"/>
  <c r="G20" i="23"/>
  <c r="AA20" i="23"/>
  <c r="V20" i="23"/>
  <c r="L21" i="21"/>
  <c r="Q22" i="23"/>
  <c r="L22" i="23"/>
  <c r="G22" i="23"/>
  <c r="AA22" i="23"/>
  <c r="V22" i="23"/>
  <c r="H21" i="21"/>
  <c r="Q28" i="23"/>
  <c r="L28" i="23"/>
  <c r="G28" i="23"/>
  <c r="AA28" i="23"/>
  <c r="V28" i="23"/>
  <c r="V11" i="23"/>
  <c r="Q11" i="23"/>
  <c r="L11" i="23"/>
  <c r="G11" i="23"/>
  <c r="AA11" i="23"/>
  <c r="V13" i="23"/>
  <c r="Q13" i="23"/>
  <c r="L13" i="23"/>
  <c r="G13" i="23"/>
  <c r="AA13" i="23"/>
  <c r="E14" i="21"/>
  <c r="M18" i="21"/>
  <c r="Q19" i="23"/>
  <c r="L19" i="23"/>
  <c r="G19" i="23"/>
  <c r="AA19" i="23"/>
  <c r="V19" i="23"/>
  <c r="E19" i="21"/>
  <c r="Q21" i="23"/>
  <c r="L21" i="23"/>
  <c r="G21" i="23"/>
  <c r="AA21" i="23"/>
  <c r="V21" i="23"/>
  <c r="C21" i="21"/>
  <c r="I21" i="21"/>
  <c r="Q23" i="23"/>
  <c r="L23" i="23"/>
  <c r="G23" i="23"/>
  <c r="AA23" i="23"/>
  <c r="V23" i="23"/>
  <c r="Q24" i="23"/>
  <c r="L24" i="23"/>
  <c r="G24" i="23"/>
  <c r="AA24" i="23"/>
  <c r="V24" i="23"/>
  <c r="Q25" i="23"/>
  <c r="L25" i="23"/>
  <c r="G25" i="23"/>
  <c r="AA25" i="23"/>
  <c r="V25" i="23"/>
  <c r="G26" i="21"/>
  <c r="D27" i="21"/>
  <c r="G29" i="21"/>
  <c r="L13" i="21"/>
  <c r="M13" i="21"/>
  <c r="D13" i="21"/>
  <c r="H17" i="21"/>
  <c r="I11" i="21"/>
  <c r="C13" i="21"/>
  <c r="C17" i="21"/>
  <c r="I17" i="21"/>
  <c r="M22" i="21"/>
  <c r="D22" i="21"/>
  <c r="M10" i="21"/>
  <c r="E10" i="21"/>
  <c r="E11" i="21"/>
  <c r="E13" i="21"/>
  <c r="D17" i="21"/>
  <c r="E22" i="21"/>
  <c r="F25" i="21"/>
  <c r="L27" i="21"/>
  <c r="H27" i="21"/>
  <c r="C27" i="21"/>
  <c r="I27" i="21"/>
  <c r="H13" i="21"/>
  <c r="L17" i="21"/>
  <c r="M17" i="21"/>
  <c r="E17" i="21"/>
  <c r="M4" i="21"/>
  <c r="D10" i="21"/>
  <c r="G13" i="21"/>
  <c r="G17" i="21"/>
  <c r="H22" i="21"/>
  <c r="L23" i="21"/>
  <c r="E23" i="21"/>
  <c r="L25" i="21"/>
  <c r="L26" i="21"/>
  <c r="D26" i="21"/>
  <c r="M26" i="21"/>
  <c r="M27" i="21"/>
  <c r="C29" i="21"/>
  <c r="Q29" i="21"/>
  <c r="I14" i="21"/>
  <c r="I18" i="21"/>
  <c r="G21" i="21"/>
  <c r="I12" i="21"/>
  <c r="E12" i="21"/>
  <c r="H12" i="21"/>
  <c r="D12" i="21"/>
  <c r="Q12" i="21"/>
  <c r="M12" i="21"/>
  <c r="G12" i="21"/>
  <c r="C12" i="21"/>
  <c r="F12" i="21"/>
  <c r="I20" i="21"/>
  <c r="E20" i="21"/>
  <c r="H20" i="21"/>
  <c r="D20" i="21"/>
  <c r="M20" i="21"/>
  <c r="G20" i="21"/>
  <c r="C20" i="21"/>
  <c r="L12" i="21"/>
  <c r="I16" i="21"/>
  <c r="E16" i="21"/>
  <c r="H16" i="21"/>
  <c r="D16" i="21"/>
  <c r="M16" i="21"/>
  <c r="G16" i="21"/>
  <c r="C16" i="21"/>
  <c r="Q16" i="21"/>
  <c r="F20" i="21"/>
  <c r="F16" i="21"/>
  <c r="L20" i="21"/>
  <c r="F11" i="21"/>
  <c r="L11" i="21"/>
  <c r="F15" i="21"/>
  <c r="L15" i="21"/>
  <c r="F19" i="21"/>
  <c r="L19" i="21"/>
  <c r="F23" i="21"/>
  <c r="M23" i="21"/>
  <c r="F10" i="21"/>
  <c r="L10" i="21"/>
  <c r="C11" i="21"/>
  <c r="G11" i="21"/>
  <c r="M11" i="21"/>
  <c r="I13" i="21"/>
  <c r="F14" i="21"/>
  <c r="L14" i="21"/>
  <c r="C15" i="21"/>
  <c r="G15" i="21"/>
  <c r="M15" i="21"/>
  <c r="F18" i="21"/>
  <c r="L18" i="21"/>
  <c r="C19" i="21"/>
  <c r="G19" i="21"/>
  <c r="M19" i="21"/>
  <c r="F22" i="21"/>
  <c r="L22" i="21"/>
  <c r="C23" i="21"/>
  <c r="G23" i="21"/>
  <c r="M24" i="21"/>
  <c r="G24" i="21"/>
  <c r="C24" i="21"/>
  <c r="H24" i="21"/>
  <c r="H25" i="21"/>
  <c r="D25" i="21"/>
  <c r="G25" i="21"/>
  <c r="H28" i="21"/>
  <c r="D28" i="21"/>
  <c r="M28" i="21"/>
  <c r="G28" i="21"/>
  <c r="C28" i="21"/>
  <c r="L28" i="21"/>
  <c r="C10" i="21"/>
  <c r="G10" i="21"/>
  <c r="D11" i="21"/>
  <c r="H11" i="21"/>
  <c r="F13" i="21"/>
  <c r="C14" i="21"/>
  <c r="G14" i="21"/>
  <c r="D15" i="21"/>
  <c r="H15" i="21"/>
  <c r="F17" i="21"/>
  <c r="C18" i="21"/>
  <c r="G18" i="21"/>
  <c r="D19" i="21"/>
  <c r="H19" i="21"/>
  <c r="F21" i="21"/>
  <c r="C22" i="21"/>
  <c r="G22" i="21"/>
  <c r="D23" i="21"/>
  <c r="H23" i="21"/>
  <c r="D24" i="21"/>
  <c r="I24" i="21"/>
  <c r="C25" i="21"/>
  <c r="I25" i="21"/>
  <c r="E28" i="21"/>
  <c r="I29" i="21"/>
  <c r="E29" i="21"/>
  <c r="H29" i="21"/>
  <c r="D29" i="21"/>
  <c r="L29" i="21"/>
  <c r="E26" i="21"/>
  <c r="I26" i="21"/>
  <c r="F27" i="21"/>
  <c r="F26" i="21"/>
  <c r="J13" i="21"/>
  <c r="Q14" i="21"/>
  <c r="S17" i="21"/>
  <c r="T17" i="21"/>
  <c r="T28" i="21"/>
  <c r="P28" i="21"/>
  <c r="S28" i="21"/>
  <c r="K28" i="21"/>
  <c r="Q28" i="21"/>
  <c r="U28" i="21"/>
  <c r="E9" i="21"/>
  <c r="F9" i="21" s="1"/>
  <c r="G9" i="21" s="1"/>
  <c r="H9" i="21" s="1"/>
  <c r="I9" i="21" s="1"/>
  <c r="J9" i="21" s="1"/>
  <c r="Q10" i="21"/>
  <c r="E37" i="21" s="1"/>
  <c r="Q11" i="21"/>
  <c r="R12" i="21"/>
  <c r="T14" i="21"/>
  <c r="K14" i="21"/>
  <c r="S14" i="21"/>
  <c r="R14" i="21"/>
  <c r="J14" i="21"/>
  <c r="R16" i="21"/>
  <c r="K17" i="21"/>
  <c r="T18" i="21"/>
  <c r="K18" i="21"/>
  <c r="S18" i="21"/>
  <c r="R18" i="21"/>
  <c r="J18" i="21"/>
  <c r="J22" i="21"/>
  <c r="Q23" i="21"/>
  <c r="T23" i="21"/>
  <c r="P23" i="21"/>
  <c r="U23" i="21"/>
  <c r="S23" i="21"/>
  <c r="K23" i="21"/>
  <c r="R23" i="21"/>
  <c r="J24" i="21"/>
  <c r="J28" i="21"/>
  <c r="R13" i="21"/>
  <c r="J17" i="21"/>
  <c r="Q18" i="21"/>
  <c r="Q22" i="21"/>
  <c r="T22" i="21"/>
  <c r="P22" i="21"/>
  <c r="U22" i="21"/>
  <c r="S22" i="21"/>
  <c r="K22" i="21"/>
  <c r="Q26" i="21"/>
  <c r="S10" i="21"/>
  <c r="E39" i="21" s="1"/>
  <c r="P10" i="21"/>
  <c r="K10" i="21"/>
  <c r="T15" i="21"/>
  <c r="K15" i="21"/>
  <c r="S15" i="21"/>
  <c r="R15" i="21"/>
  <c r="J15" i="21"/>
  <c r="R17" i="21"/>
  <c r="P19" i="21"/>
  <c r="S19" i="21"/>
  <c r="R19" i="21"/>
  <c r="J19" i="21"/>
  <c r="T19" i="21"/>
  <c r="Q20" i="21"/>
  <c r="K20" i="21"/>
  <c r="S20" i="21"/>
  <c r="P20" i="21"/>
  <c r="T20" i="21"/>
  <c r="R20" i="21"/>
  <c r="R28" i="21"/>
  <c r="S11" i="21"/>
  <c r="P11" i="21"/>
  <c r="J11" i="21"/>
  <c r="T11" i="21"/>
  <c r="R11" i="21"/>
  <c r="T13" i="21"/>
  <c r="P13" i="21"/>
  <c r="S13" i="21"/>
  <c r="K13" i="21"/>
  <c r="K11" i="21"/>
  <c r="U11" i="21"/>
  <c r="K12" i="21"/>
  <c r="S12" i="21"/>
  <c r="T12" i="21"/>
  <c r="J12" i="21"/>
  <c r="Q13" i="21"/>
  <c r="U13" i="21" s="1"/>
  <c r="T16" i="21"/>
  <c r="K16" i="21"/>
  <c r="S16" i="21"/>
  <c r="J16" i="21"/>
  <c r="Q17" i="21"/>
  <c r="Q21" i="21"/>
  <c r="J21" i="21"/>
  <c r="K21" i="21"/>
  <c r="S21" i="21"/>
  <c r="P21" i="21"/>
  <c r="T21" i="21"/>
  <c r="R21" i="21"/>
  <c r="R22" i="21"/>
  <c r="S24" i="21"/>
  <c r="P24" i="21"/>
  <c r="K24" i="21"/>
  <c r="T24" i="21"/>
  <c r="U24" i="21"/>
  <c r="R24" i="21"/>
  <c r="J25" i="21"/>
  <c r="T29" i="21"/>
  <c r="P29" i="21"/>
  <c r="S29" i="21"/>
  <c r="K29" i="21"/>
  <c r="J29" i="21"/>
  <c r="R29" i="21"/>
  <c r="K25" i="21"/>
  <c r="Q25" i="21"/>
  <c r="P26" i="21"/>
  <c r="S26" i="21"/>
  <c r="R26" i="21"/>
  <c r="J26" i="21"/>
  <c r="T26" i="21"/>
  <c r="S25" i="21"/>
  <c r="R25" i="21"/>
  <c r="T25" i="21"/>
  <c r="T27" i="21"/>
  <c r="P27" i="21"/>
  <c r="S27" i="21"/>
  <c r="K27" i="21"/>
  <c r="J27" i="21"/>
  <c r="R27" i="21"/>
  <c r="O36" i="21"/>
  <c r="Q36" i="21" s="1"/>
  <c r="S36" i="21" l="1"/>
  <c r="T36" i="21"/>
  <c r="A36" i="24"/>
  <c r="A37" i="24" s="1"/>
  <c r="A38" i="24" s="1"/>
  <c r="A40" i="24" s="1"/>
  <c r="A36" i="11"/>
  <c r="A37" i="11" s="1"/>
  <c r="A38" i="11" s="1"/>
  <c r="A39" i="11" s="1"/>
  <c r="Q60" i="33"/>
  <c r="Q56" i="33"/>
  <c r="Q51" i="33"/>
  <c r="Q54" i="33"/>
  <c r="Q42" i="33"/>
  <c r="Q53" i="33"/>
  <c r="Q49" i="33"/>
  <c r="Q39" i="33"/>
  <c r="Q37" i="33"/>
  <c r="Q38" i="33"/>
  <c r="Q46" i="33"/>
  <c r="Q48" i="33"/>
  <c r="Q44" i="33"/>
  <c r="Q55" i="33"/>
  <c r="Q52" i="33"/>
  <c r="Q43" i="33"/>
  <c r="Q40" i="33"/>
  <c r="Q50" i="33"/>
  <c r="Q45" i="33"/>
  <c r="Q41" i="33"/>
  <c r="H5" i="23"/>
  <c r="O4" i="21"/>
  <c r="H40" i="21" s="1"/>
  <c r="K40" i="21" s="1"/>
  <c r="S40" i="21" s="1"/>
  <c r="S147" i="23"/>
  <c r="T152" i="23" s="1"/>
  <c r="B26" i="23"/>
  <c r="B30" i="23"/>
  <c r="B13" i="23"/>
  <c r="AK11" i="23"/>
  <c r="AK24" i="23"/>
  <c r="AK18" i="23"/>
  <c r="AF12" i="23"/>
  <c r="AF15" i="23"/>
  <c r="AF26" i="23"/>
  <c r="AK26" i="23"/>
  <c r="B25" i="23"/>
  <c r="B17" i="23"/>
  <c r="AK14" i="23"/>
  <c r="B20" i="23"/>
  <c r="AK15" i="23"/>
  <c r="H60" i="23"/>
  <c r="H116" i="23" s="1"/>
  <c r="AF20" i="23"/>
  <c r="AF24" i="23"/>
  <c r="AF14" i="23"/>
  <c r="AK12" i="23"/>
  <c r="AK23" i="23"/>
  <c r="AF22" i="23"/>
  <c r="AK25" i="23"/>
  <c r="AK22" i="23"/>
  <c r="AK13" i="23"/>
  <c r="B12" i="23"/>
  <c r="AK16" i="23"/>
  <c r="AK19" i="23"/>
  <c r="B15" i="23"/>
  <c r="AK29" i="23"/>
  <c r="B29" i="23"/>
  <c r="AF16" i="23"/>
  <c r="AF28" i="23"/>
  <c r="AF23" i="23"/>
  <c r="AF19" i="23"/>
  <c r="AF30" i="23"/>
  <c r="AK30" i="23"/>
  <c r="AK17" i="23"/>
  <c r="B14" i="23"/>
  <c r="B21" i="23"/>
  <c r="B23" i="23"/>
  <c r="B24" i="23"/>
  <c r="AF25" i="23"/>
  <c r="AF11" i="23"/>
  <c r="O60" i="23"/>
  <c r="AK28" i="23"/>
  <c r="B28" i="23"/>
  <c r="B27" i="23"/>
  <c r="B22" i="23"/>
  <c r="AK21" i="23"/>
  <c r="B16" i="23"/>
  <c r="B19" i="23"/>
  <c r="B18" i="23"/>
  <c r="AF29" i="23"/>
  <c r="AF17" i="23"/>
  <c r="AF21" i="23"/>
  <c r="AF13" i="23"/>
  <c r="AF27" i="23"/>
  <c r="AF18" i="23"/>
  <c r="O62" i="23"/>
  <c r="O38" i="21"/>
  <c r="Q38" i="21" s="1"/>
  <c r="H62" i="23"/>
  <c r="AG59" i="23"/>
  <c r="L90" i="23" s="1"/>
  <c r="U21" i="21"/>
  <c r="U20" i="21"/>
  <c r="K26" i="21"/>
  <c r="P12" i="21"/>
  <c r="K19" i="21"/>
  <c r="T10" i="21"/>
  <c r="E4" i="21"/>
  <c r="H34" i="21" s="1"/>
  <c r="D4" i="21"/>
  <c r="J23" i="21"/>
  <c r="U18" i="21"/>
  <c r="P17" i="21"/>
  <c r="U17" i="21" s="1"/>
  <c r="P25" i="21"/>
  <c r="U25" i="21" s="1"/>
  <c r="U12" i="21"/>
  <c r="P16" i="21"/>
  <c r="U16" i="21" s="1"/>
  <c r="P15" i="21"/>
  <c r="U15" i="21" s="1"/>
  <c r="R10" i="21"/>
  <c r="P18" i="21"/>
  <c r="P14" i="21"/>
  <c r="U14" i="21" s="1"/>
  <c r="U10" i="21"/>
  <c r="U26" i="21"/>
  <c r="J20" i="21"/>
  <c r="U19" i="21"/>
  <c r="J10" i="21"/>
  <c r="S38" i="21" l="1"/>
  <c r="T38" i="21"/>
  <c r="O63" i="23"/>
  <c r="I46" i="21"/>
  <c r="L46" i="21" s="1"/>
  <c r="Q46" i="21" s="1"/>
  <c r="Q65" i="33"/>
  <c r="Q75" i="33"/>
  <c r="Q64" i="33"/>
  <c r="Q62" i="33"/>
  <c r="Q66" i="33"/>
  <c r="Q61" i="33"/>
  <c r="Q59" i="33"/>
  <c r="Q78" i="33"/>
  <c r="Q74" i="33"/>
  <c r="Q73" i="33"/>
  <c r="Q68" i="33"/>
  <c r="Q72" i="33"/>
  <c r="Q71" i="33"/>
  <c r="Q69" i="33"/>
  <c r="Q63" i="33"/>
  <c r="Q70" i="33"/>
  <c r="Q77" i="33"/>
  <c r="Q67" i="33"/>
  <c r="Q76" i="33"/>
  <c r="R104" i="23"/>
  <c r="AA104" i="23" s="1"/>
  <c r="L106" i="23" s="1"/>
  <c r="AA106" i="23" s="1"/>
  <c r="B11" i="23"/>
  <c r="AP59" i="23"/>
  <c r="AC187" i="23" s="1"/>
  <c r="AK27" i="23"/>
  <c r="G34" i="21"/>
  <c r="Y70" i="23" s="1"/>
  <c r="I34" i="21"/>
  <c r="AB70" i="23" s="1"/>
  <c r="J34" i="21"/>
  <c r="S134" i="23"/>
  <c r="AB134" i="23" s="1"/>
  <c r="L136" i="23" s="1"/>
  <c r="AB136" i="23" s="1"/>
  <c r="H146" i="23"/>
  <c r="I35" i="21"/>
  <c r="AK20" i="23"/>
  <c r="AG61" i="23"/>
  <c r="H35" i="21"/>
  <c r="J4" i="21"/>
  <c r="K4" i="21"/>
  <c r="W36" i="21" s="1"/>
  <c r="C12" i="3"/>
  <c r="W38" i="21" l="1"/>
  <c r="X38" i="21" s="1"/>
  <c r="W40" i="21"/>
  <c r="K35" i="21"/>
  <c r="S35" i="21" s="1"/>
  <c r="W35" i="21" s="1"/>
  <c r="Y17" i="21"/>
  <c r="Y25" i="21"/>
  <c r="Z24" i="21"/>
  <c r="Z15" i="21"/>
  <c r="Z23" i="21"/>
  <c r="Z12" i="21"/>
  <c r="Y12" i="21"/>
  <c r="Y20" i="21"/>
  <c r="Y28" i="21"/>
  <c r="Z28" i="21"/>
  <c r="Y23" i="21"/>
  <c r="Y18" i="21"/>
  <c r="L23" i="33" s="1"/>
  <c r="Y11" i="21"/>
  <c r="Y19" i="21"/>
  <c r="Y27" i="21"/>
  <c r="Y10" i="21"/>
  <c r="Z17" i="21"/>
  <c r="Z25" i="21"/>
  <c r="Z18" i="21"/>
  <c r="Y14" i="21"/>
  <c r="Y22" i="21"/>
  <c r="Z10" i="21"/>
  <c r="Y15" i="21"/>
  <c r="Z13" i="21"/>
  <c r="Z29" i="21"/>
  <c r="Y26" i="21"/>
  <c r="Y13" i="21"/>
  <c r="Y21" i="21"/>
  <c r="Y29" i="21"/>
  <c r="Z11" i="21"/>
  <c r="Z19" i="21"/>
  <c r="Z27" i="21"/>
  <c r="Z20" i="21"/>
  <c r="Y16" i="21"/>
  <c r="Y24" i="21"/>
  <c r="Z14" i="21"/>
  <c r="Z16" i="21"/>
  <c r="Z21" i="21"/>
  <c r="Z26" i="21"/>
  <c r="Z22" i="21"/>
  <c r="L22" i="33"/>
  <c r="H41" i="21"/>
  <c r="AC172" i="23"/>
  <c r="S173" i="23" s="1"/>
  <c r="AP63" i="23"/>
  <c r="I186" i="21"/>
  <c r="J186" i="21" s="1"/>
  <c r="N186" i="21" s="1"/>
  <c r="P186" i="21" s="1"/>
  <c r="Q186" i="21" s="1"/>
  <c r="A48" i="13" s="1"/>
  <c r="R112" i="21"/>
  <c r="U113" i="21" s="1"/>
  <c r="A14" i="24"/>
  <c r="A15" i="24" s="1"/>
  <c r="A14" i="11"/>
  <c r="A15" i="11" s="1"/>
  <c r="Q84" i="23"/>
  <c r="R85" i="23" s="1"/>
  <c r="X85" i="23" s="1"/>
  <c r="O90" i="23" s="1"/>
  <c r="V90" i="23" s="1"/>
  <c r="AP61" i="23"/>
  <c r="H188" i="23" s="1"/>
  <c r="L34" i="21"/>
  <c r="K34" i="21"/>
  <c r="L4" i="21"/>
  <c r="P4" i="21"/>
  <c r="C47" i="21" s="1"/>
  <c r="R4" i="21"/>
  <c r="F47" i="21" s="1"/>
  <c r="Q4" i="21"/>
  <c r="D47" i="21" s="1"/>
  <c r="E46" i="21"/>
  <c r="E38" i="21"/>
  <c r="E35" i="21"/>
  <c r="E47" i="21"/>
  <c r="E36" i="21"/>
  <c r="E34" i="21"/>
  <c r="X36" i="21"/>
  <c r="L21" i="33" l="1"/>
  <c r="L20" i="33"/>
  <c r="L16" i="33"/>
  <c r="L28" i="33"/>
  <c r="L30" i="33"/>
  <c r="L32" i="33"/>
  <c r="L25" i="33"/>
  <c r="L26" i="33"/>
  <c r="L19" i="33"/>
  <c r="L18" i="33"/>
  <c r="L24" i="33"/>
  <c r="T160" i="23"/>
  <c r="P159" i="23" s="1"/>
  <c r="K41" i="21"/>
  <c r="S41" i="21" s="1"/>
  <c r="W41" i="21" s="1"/>
  <c r="L29" i="33"/>
  <c r="L17" i="33"/>
  <c r="L27" i="33"/>
  <c r="L31" i="33"/>
  <c r="L33" i="33"/>
  <c r="L34" i="33"/>
  <c r="Y40" i="21"/>
  <c r="AP195" i="23"/>
  <c r="R175" i="23"/>
  <c r="O176" i="23" s="1"/>
  <c r="U176" i="23" s="1"/>
  <c r="O181" i="23" s="1"/>
  <c r="V181" i="23" s="1"/>
  <c r="Y38" i="21"/>
  <c r="X35" i="21"/>
  <c r="T57" i="23"/>
  <c r="H58" i="23"/>
  <c r="H57" i="23"/>
  <c r="S34" i="21"/>
  <c r="O57" i="23"/>
  <c r="T34" i="21"/>
  <c r="W34" i="21" s="1"/>
  <c r="W42" i="21" s="1"/>
  <c r="O58" i="23"/>
  <c r="V195" i="23"/>
  <c r="Y36" i="21"/>
  <c r="AF195" i="23"/>
  <c r="AB188" i="23"/>
  <c r="P73" i="23"/>
  <c r="O39" i="21"/>
  <c r="H61" i="23"/>
  <c r="O37" i="21"/>
  <c r="H59" i="23"/>
  <c r="E42" i="21"/>
  <c r="G47" i="21"/>
  <c r="L15" i="33" l="1"/>
  <c r="AE9" i="21"/>
  <c r="U4" i="21" s="1"/>
  <c r="Y160" i="23"/>
  <c r="O165" i="23" s="1"/>
  <c r="V165" i="23" s="1"/>
  <c r="AP58" i="23"/>
  <c r="V187" i="23" s="1"/>
  <c r="O64" i="23"/>
  <c r="S42" i="21"/>
  <c r="Z35" i="21"/>
  <c r="AP57" i="23"/>
  <c r="AU57" i="23"/>
  <c r="H65" i="23"/>
  <c r="L195" i="23"/>
  <c r="Z34" i="21"/>
  <c r="Q37" i="21"/>
  <c r="Q39" i="21"/>
  <c r="Q195" i="23"/>
  <c r="A28" i="30"/>
  <c r="A14" i="30"/>
  <c r="S39" i="21" l="1"/>
  <c r="T39" i="21"/>
  <c r="W39" i="21" s="1"/>
  <c r="S37" i="21"/>
  <c r="T37" i="21"/>
  <c r="W37" i="21" s="1"/>
  <c r="AP64" i="23"/>
  <c r="AJ188" i="23" s="1"/>
  <c r="AP65" i="23"/>
  <c r="AG60" i="23"/>
  <c r="Z42" i="21"/>
  <c r="AG62" i="23"/>
  <c r="A13" i="30"/>
  <c r="A21" i="30"/>
  <c r="A19" i="30"/>
  <c r="A27" i="30"/>
  <c r="A17" i="30"/>
  <c r="A25" i="30"/>
  <c r="A15" i="30"/>
  <c r="A23" i="30"/>
  <c r="A10" i="30"/>
  <c r="A12" i="30"/>
  <c r="A9" i="30"/>
  <c r="A11" i="30"/>
  <c r="A16" i="30"/>
  <c r="A18" i="30"/>
  <c r="A20" i="30"/>
  <c r="A22" i="30"/>
  <c r="A24" i="30"/>
  <c r="A26" i="30"/>
  <c r="F51" i="21" l="1"/>
  <c r="X41" i="21"/>
  <c r="AU195" i="23"/>
  <c r="Y41" i="21"/>
  <c r="X39" i="21"/>
  <c r="AP62" i="23"/>
  <c r="T42" i="21"/>
  <c r="AP60" i="23"/>
  <c r="X37" i="21"/>
  <c r="X42" i="21" l="1"/>
  <c r="V42" i="21" s="1"/>
  <c r="Y39" i="21"/>
  <c r="AK195" i="23"/>
  <c r="Y37" i="21"/>
  <c r="C59" i="21" s="1"/>
  <c r="AU65" i="23"/>
  <c r="AA195" i="23"/>
  <c r="C58" i="21" l="1"/>
  <c r="L194" i="23"/>
  <c r="C52" i="21"/>
  <c r="E53" i="21" s="1"/>
  <c r="E55" i="21" s="1"/>
  <c r="C55" i="21"/>
  <c r="C54" i="21"/>
  <c r="C57" i="21"/>
  <c r="C56" i="21"/>
  <c r="C53" i="21"/>
  <c r="F53" i="21" s="1"/>
  <c r="F55" i="21" s="1"/>
  <c r="Y42" i="21"/>
  <c r="BC65" i="23"/>
  <c r="E52" i="21" l="1"/>
  <c r="G52" i="21" s="1"/>
  <c r="G55" i="21"/>
  <c r="E51" i="21"/>
  <c r="G51" i="21" s="1"/>
  <c r="C8" i="3"/>
  <c r="E56" i="21" l="1"/>
  <c r="E57" i="21" s="1"/>
  <c r="B25" i="3"/>
  <c r="B16" i="3"/>
  <c r="B32" i="3"/>
  <c r="B23" i="3"/>
  <c r="B27" i="3"/>
  <c r="B31" i="3"/>
  <c r="B21" i="3"/>
  <c r="B29" i="3"/>
  <c r="B33" i="3"/>
  <c r="B20" i="3"/>
  <c r="B24" i="3"/>
  <c r="B28" i="3"/>
  <c r="B22" i="3"/>
  <c r="B26" i="3"/>
  <c r="B30" i="3"/>
  <c r="B17" i="3"/>
  <c r="B19" i="3"/>
  <c r="D8" i="3"/>
  <c r="B18" i="3"/>
  <c r="B34" i="3"/>
  <c r="G35" i="33" l="1"/>
  <c r="H35" i="33"/>
  <c r="D46" i="21"/>
  <c r="C46" i="21"/>
  <c r="I209" i="23"/>
  <c r="B15" i="3"/>
  <c r="AA209" i="23" l="1"/>
  <c r="AF209" i="23"/>
  <c r="G46" i="21"/>
  <c r="B8" i="3"/>
  <c r="H46" i="21" l="1"/>
  <c r="R46" i="21" s="1"/>
  <c r="C9" i="25"/>
  <c r="C8" i="25"/>
  <c r="C7" i="25"/>
  <c r="C6" i="25"/>
  <c r="J46" i="21" l="1"/>
  <c r="M46" i="21" s="1"/>
  <c r="U46" i="21"/>
  <c r="H47" i="21"/>
  <c r="H17" i="30"/>
  <c r="H23" i="30"/>
  <c r="H9" i="30"/>
  <c r="H16" i="30"/>
  <c r="H20" i="30"/>
  <c r="H26" i="30"/>
  <c r="H10" i="30"/>
  <c r="H11" i="30"/>
  <c r="H13" i="30"/>
  <c r="H25" i="30"/>
  <c r="H19" i="30"/>
  <c r="H28" i="30"/>
  <c r="H14" i="30"/>
  <c r="H15" i="30"/>
  <c r="H22" i="30"/>
  <c r="H27" i="30"/>
  <c r="H21" i="30"/>
  <c r="H12" i="30"/>
  <c r="H18" i="30"/>
  <c r="H24" i="30"/>
  <c r="T4" i="21" l="1"/>
  <c r="C43" i="13" s="1"/>
  <c r="O46" i="21"/>
  <c r="P46" i="21"/>
  <c r="N46" i="21"/>
  <c r="K46" i="21"/>
  <c r="T46" i="21" s="1"/>
  <c r="T47" i="21" s="1"/>
  <c r="T112" i="21"/>
  <c r="U112" i="21" s="1"/>
  <c r="V113" i="21" s="1"/>
  <c r="Z113" i="21" s="1"/>
  <c r="U47" i="21"/>
  <c r="C9" i="24"/>
  <c r="C8" i="24"/>
  <c r="C7" i="24"/>
  <c r="C6" i="24"/>
  <c r="A4" i="24"/>
  <c r="H4" i="3"/>
  <c r="E4" i="3"/>
  <c r="C4" i="3"/>
  <c r="H3" i="3"/>
  <c r="E3" i="3"/>
  <c r="C3" i="3"/>
  <c r="S46" i="21" l="1"/>
  <c r="AF10" i="21" s="1"/>
  <c r="AC25" i="21"/>
  <c r="AA28" i="21"/>
  <c r="AD18" i="21"/>
  <c r="AB19" i="21"/>
  <c r="AB17" i="21"/>
  <c r="AD13" i="21"/>
  <c r="AB16" i="21"/>
  <c r="AB24" i="21"/>
  <c r="AA18" i="21"/>
  <c r="AC17" i="21"/>
  <c r="AD29" i="21"/>
  <c r="AC13" i="21"/>
  <c r="AB11" i="21"/>
  <c r="AB27" i="21"/>
  <c r="AC19" i="21"/>
  <c r="AD19" i="21"/>
  <c r="AD10" i="21"/>
  <c r="AA14" i="21"/>
  <c r="AC21" i="21"/>
  <c r="AB26" i="21"/>
  <c r="AC22" i="21"/>
  <c r="AA24" i="21"/>
  <c r="AA17" i="21"/>
  <c r="AB28" i="21"/>
  <c r="AB14" i="21"/>
  <c r="AD12" i="21"/>
  <c r="AD27" i="21"/>
  <c r="AA15" i="21"/>
  <c r="AB12" i="21"/>
  <c r="AD14" i="21"/>
  <c r="AA12" i="21"/>
  <c r="AB22" i="21"/>
  <c r="AD23" i="21"/>
  <c r="AB20" i="21"/>
  <c r="AA26" i="21"/>
  <c r="AB25" i="21"/>
  <c r="AC26" i="21"/>
  <c r="AC28" i="21"/>
  <c r="AB18" i="21"/>
  <c r="AC23" i="21"/>
  <c r="AD28" i="21"/>
  <c r="AB21" i="21"/>
  <c r="AA19" i="21"/>
  <c r="AD21" i="21"/>
  <c r="AD20" i="21"/>
  <c r="AC14" i="21"/>
  <c r="AA25" i="21"/>
  <c r="AA23" i="21"/>
  <c r="AA10" i="21"/>
  <c r="AC18" i="21"/>
  <c r="AB10" i="21"/>
  <c r="AD24" i="21"/>
  <c r="AC11" i="21"/>
  <c r="AC27" i="21"/>
  <c r="AC20" i="21"/>
  <c r="AC15" i="21"/>
  <c r="AD16" i="21"/>
  <c r="AA29" i="21"/>
  <c r="AB23" i="21"/>
  <c r="AA21" i="21"/>
  <c r="AC24" i="21"/>
  <c r="AA20" i="21"/>
  <c r="AB29" i="21"/>
  <c r="AB13" i="21"/>
  <c r="AC12" i="21"/>
  <c r="AD26" i="21"/>
  <c r="AD22" i="21"/>
  <c r="AB15" i="21"/>
  <c r="AC16" i="21"/>
  <c r="AD25" i="21"/>
  <c r="AA16" i="21"/>
  <c r="AA22" i="21"/>
  <c r="AA13" i="21"/>
  <c r="AA11" i="21"/>
  <c r="AD11" i="21"/>
  <c r="AC29" i="21"/>
  <c r="AC10" i="21"/>
  <c r="AD17" i="21"/>
  <c r="AD15" i="21"/>
  <c r="AA27" i="21"/>
  <c r="Y113" i="21"/>
  <c r="S112" i="21"/>
  <c r="E37" i="11"/>
  <c r="X113" i="21"/>
  <c r="F38" i="24" s="1"/>
  <c r="W113" i="21"/>
  <c r="C39" i="24" s="1"/>
  <c r="F37" i="24"/>
  <c r="C9" i="11"/>
  <c r="C8" i="11"/>
  <c r="C7" i="11"/>
  <c r="C6" i="11"/>
  <c r="AF19" i="21" l="1"/>
  <c r="Q24" i="33" s="1"/>
  <c r="AF26" i="21"/>
  <c r="Q31" i="33" s="1"/>
  <c r="AF29" i="21"/>
  <c r="Q34" i="33" s="1"/>
  <c r="AF28" i="21"/>
  <c r="Q33" i="33" s="1"/>
  <c r="AF15" i="21"/>
  <c r="Q20" i="33" s="1"/>
  <c r="AF22" i="21"/>
  <c r="Q27" i="33" s="1"/>
  <c r="AF25" i="21"/>
  <c r="Q30" i="33" s="1"/>
  <c r="AF20" i="21"/>
  <c r="Q25" i="33" s="1"/>
  <c r="AF27" i="21"/>
  <c r="Q32" i="33" s="1"/>
  <c r="AF11" i="21"/>
  <c r="Q16" i="33" s="1"/>
  <c r="AF18" i="21"/>
  <c r="Q23" i="33" s="1"/>
  <c r="AF21" i="21"/>
  <c r="Q26" i="33" s="1"/>
  <c r="AF16" i="21"/>
  <c r="Q21" i="33" s="1"/>
  <c r="AF23" i="21"/>
  <c r="Q28" i="33" s="1"/>
  <c r="AF13" i="21"/>
  <c r="Q18" i="33" s="1"/>
  <c r="AF14" i="21"/>
  <c r="Q19" i="33" s="1"/>
  <c r="AF17" i="21"/>
  <c r="Q22" i="33" s="1"/>
  <c r="AF12" i="21"/>
  <c r="Q17" i="33" s="1"/>
  <c r="AF24" i="21"/>
  <c r="Q29" i="33" s="1"/>
  <c r="J34" i="33"/>
  <c r="F28" i="30"/>
  <c r="D21" i="11"/>
  <c r="K20" i="33"/>
  <c r="D21" i="24"/>
  <c r="C27" i="24"/>
  <c r="C27" i="11"/>
  <c r="F26" i="33"/>
  <c r="E20" i="30"/>
  <c r="J20" i="33"/>
  <c r="F14" i="30"/>
  <c r="H26" i="33"/>
  <c r="G20" i="30"/>
  <c r="D31" i="11"/>
  <c r="K30" i="33"/>
  <c r="D31" i="24"/>
  <c r="F20" i="33"/>
  <c r="C21" i="24"/>
  <c r="C21" i="11"/>
  <c r="E14" i="30"/>
  <c r="H24" i="33"/>
  <c r="G18" i="30"/>
  <c r="D30" i="11"/>
  <c r="K29" i="33"/>
  <c r="D30" i="24"/>
  <c r="H16" i="33"/>
  <c r="G10" i="30"/>
  <c r="C22" i="24"/>
  <c r="F21" i="33"/>
  <c r="C22" i="11"/>
  <c r="E15" i="30"/>
  <c r="D35" i="11"/>
  <c r="D35" i="24"/>
  <c r="K34" i="33"/>
  <c r="J25" i="33"/>
  <c r="F19" i="30"/>
  <c r="K15" i="33"/>
  <c r="D16" i="11"/>
  <c r="D16" i="24"/>
  <c r="C25" i="11"/>
  <c r="C25" i="24"/>
  <c r="F24" i="33"/>
  <c r="E18" i="30"/>
  <c r="F31" i="33"/>
  <c r="C32" i="24"/>
  <c r="C32" i="11"/>
  <c r="E25" i="30"/>
  <c r="H32" i="33"/>
  <c r="G26" i="30"/>
  <c r="C23" i="11"/>
  <c r="C23" i="24"/>
  <c r="F22" i="33"/>
  <c r="E16" i="30"/>
  <c r="J26" i="33"/>
  <c r="F20" i="30"/>
  <c r="J24" i="33"/>
  <c r="F18" i="30"/>
  <c r="H34" i="33"/>
  <c r="G28" i="30"/>
  <c r="D22" i="11"/>
  <c r="K21" i="33"/>
  <c r="D22" i="24"/>
  <c r="H22" i="33"/>
  <c r="G16" i="30"/>
  <c r="F16" i="33"/>
  <c r="C17" i="24"/>
  <c r="C17" i="11"/>
  <c r="E10" i="30"/>
  <c r="H30" i="33"/>
  <c r="G24" i="30"/>
  <c r="H31" i="33"/>
  <c r="G25" i="30"/>
  <c r="C26" i="24"/>
  <c r="C26" i="11"/>
  <c r="F25" i="33"/>
  <c r="E19" i="30"/>
  <c r="C35" i="11"/>
  <c r="F34" i="33"/>
  <c r="C35" i="24"/>
  <c r="E28" i="30"/>
  <c r="J32" i="33"/>
  <c r="F26" i="30"/>
  <c r="J23" i="33"/>
  <c r="F17" i="30"/>
  <c r="J19" i="33"/>
  <c r="F13" i="30"/>
  <c r="D27" i="11"/>
  <c r="D27" i="24"/>
  <c r="K26" i="33"/>
  <c r="J33" i="33"/>
  <c r="F27" i="30"/>
  <c r="D26" i="11"/>
  <c r="D26" i="24"/>
  <c r="K25" i="33"/>
  <c r="H19" i="33"/>
  <c r="G13" i="30"/>
  <c r="H17" i="33"/>
  <c r="G11" i="30"/>
  <c r="C30" i="11"/>
  <c r="F29" i="33"/>
  <c r="C30" i="24"/>
  <c r="E23" i="30"/>
  <c r="C20" i="24"/>
  <c r="C20" i="11"/>
  <c r="F19" i="33"/>
  <c r="E13" i="30"/>
  <c r="D33" i="11"/>
  <c r="K32" i="33"/>
  <c r="D33" i="24"/>
  <c r="J22" i="33"/>
  <c r="F16" i="30"/>
  <c r="H18" i="33"/>
  <c r="G12" i="30"/>
  <c r="F33" i="33"/>
  <c r="C34" i="11"/>
  <c r="C34" i="24"/>
  <c r="E27" i="30"/>
  <c r="C33" i="24"/>
  <c r="F32" i="33"/>
  <c r="C33" i="11"/>
  <c r="E26" i="30"/>
  <c r="C28" i="11"/>
  <c r="C28" i="24"/>
  <c r="F27" i="33"/>
  <c r="E21" i="30"/>
  <c r="D19" i="11"/>
  <c r="K18" i="33"/>
  <c r="D19" i="24"/>
  <c r="H29" i="33"/>
  <c r="G23" i="30"/>
  <c r="F28" i="33"/>
  <c r="C29" i="24"/>
  <c r="C29" i="11"/>
  <c r="E22" i="30"/>
  <c r="J28" i="33"/>
  <c r="F22" i="30"/>
  <c r="D28" i="11"/>
  <c r="D28" i="24"/>
  <c r="K27" i="33"/>
  <c r="D34" i="11"/>
  <c r="D34" i="24"/>
  <c r="K33" i="33"/>
  <c r="D32" i="11"/>
  <c r="D32" i="24"/>
  <c r="K31" i="33"/>
  <c r="J18" i="33"/>
  <c r="F12" i="30"/>
  <c r="D25" i="11"/>
  <c r="K24" i="33"/>
  <c r="D25" i="24"/>
  <c r="H20" i="33"/>
  <c r="G14" i="30"/>
  <c r="H27" i="33"/>
  <c r="G21" i="30"/>
  <c r="D29" i="11"/>
  <c r="K28" i="33"/>
  <c r="D29" i="24"/>
  <c r="C31" i="11"/>
  <c r="F30" i="33"/>
  <c r="C31" i="24"/>
  <c r="E24" i="30"/>
  <c r="D24" i="11"/>
  <c r="D24" i="24"/>
  <c r="K23" i="33"/>
  <c r="F17" i="33"/>
  <c r="C18" i="11"/>
  <c r="C18" i="24"/>
  <c r="E11" i="30"/>
  <c r="H23" i="33"/>
  <c r="G17" i="30"/>
  <c r="J15" i="33"/>
  <c r="F9" i="30"/>
  <c r="C19" i="24"/>
  <c r="F18" i="33"/>
  <c r="C19" i="11"/>
  <c r="E12" i="30"/>
  <c r="J21" i="33"/>
  <c r="F15" i="30"/>
  <c r="J17" i="33"/>
  <c r="F11" i="30"/>
  <c r="J29" i="33"/>
  <c r="F23" i="30"/>
  <c r="H21" i="33"/>
  <c r="G15" i="30"/>
  <c r="J16" i="33"/>
  <c r="F10" i="30"/>
  <c r="F15" i="33"/>
  <c r="C16" i="24"/>
  <c r="C16" i="11"/>
  <c r="E9" i="30"/>
  <c r="H25" i="33"/>
  <c r="G19" i="30"/>
  <c r="H33" i="33"/>
  <c r="G27" i="30"/>
  <c r="J31" i="33"/>
  <c r="F25" i="30"/>
  <c r="H28" i="33"/>
  <c r="G22" i="30"/>
  <c r="D18" i="11"/>
  <c r="D18" i="24"/>
  <c r="K17" i="33"/>
  <c r="D20" i="11"/>
  <c r="K19" i="33"/>
  <c r="D20" i="24"/>
  <c r="J27" i="33"/>
  <c r="F21" i="30"/>
  <c r="H15" i="33"/>
  <c r="G9" i="30"/>
  <c r="D17" i="11"/>
  <c r="K16" i="33"/>
  <c r="D17" i="24"/>
  <c r="C24" i="11"/>
  <c r="F23" i="33"/>
  <c r="C24" i="24"/>
  <c r="E17" i="30"/>
  <c r="D23" i="11"/>
  <c r="D23" i="24"/>
  <c r="K22" i="33"/>
  <c r="J30" i="33"/>
  <c r="F24" i="30"/>
  <c r="Q15" i="33"/>
  <c r="D38" i="11"/>
  <c r="E38" i="24"/>
  <c r="E38" i="11"/>
  <c r="E37" i="24"/>
  <c r="A4" i="11"/>
  <c r="D37" i="11" l="1"/>
  <c r="B14" i="3" l="1"/>
  <c r="C14" i="3" s="1"/>
  <c r="D14" i="3" s="1"/>
  <c r="E14" i="3" s="1"/>
  <c r="F14" i="3" s="1"/>
  <c r="G14" i="3" s="1"/>
  <c r="A50" i="13" l="1"/>
  <c r="P72" i="23" l="1"/>
  <c r="S72" i="23"/>
  <c r="I83" i="23" l="1"/>
  <c r="I69" i="23"/>
  <c r="C127" i="23" l="1"/>
  <c r="C114" i="23"/>
  <c r="C94" i="23"/>
  <c r="G42" i="23"/>
  <c r="G38" i="23"/>
  <c r="B143" i="23"/>
  <c r="B126" i="23"/>
  <c r="B113" i="23"/>
  <c r="B93" i="23"/>
  <c r="G40" i="23"/>
  <c r="G41" i="23"/>
  <c r="J70" i="23"/>
  <c r="B68" i="23"/>
  <c r="G39" i="23"/>
  <c r="G36" i="23"/>
  <c r="M187" i="23"/>
  <c r="T77" i="23"/>
  <c r="AI77" i="23" s="1"/>
  <c r="F187" i="23"/>
  <c r="O77" i="23"/>
  <c r="AD77" i="23" s="1"/>
  <c r="AM187" i="23"/>
  <c r="F189" i="23" l="1"/>
  <c r="F191" i="23" s="1"/>
  <c r="M209" i="23" s="1"/>
  <c r="R188" i="23"/>
  <c r="S150" i="23"/>
  <c r="AE150" i="23" s="1"/>
  <c r="L152" i="23" s="1"/>
  <c r="Z152" i="23" s="1"/>
  <c r="H128" i="23"/>
  <c r="AF72" i="23"/>
  <c r="AC72" i="23"/>
  <c r="R120" i="23"/>
  <c r="AD120" i="23" s="1"/>
  <c r="L122" i="23" s="1"/>
  <c r="AA122" i="23" s="1"/>
  <c r="H95" i="23"/>
  <c r="M189" i="23" l="1"/>
  <c r="K191" i="23" s="1"/>
  <c r="R209" i="23" s="1"/>
  <c r="AZ194" i="23" l="1"/>
  <c r="AS209" i="23" l="1"/>
  <c r="AO209" i="23" l="1"/>
</calcChain>
</file>

<file path=xl/sharedStrings.xml><?xml version="1.0" encoding="utf-8"?>
<sst xmlns="http://schemas.openxmlformats.org/spreadsheetml/2006/main" count="1842" uniqueCount="622">
  <si>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</si>
  <si>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</si>
  <si>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</si>
  <si>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</si>
  <si>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</si>
  <si>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</si>
  <si>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</si>
  <si>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</si>
  <si>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</si>
  <si>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</si>
  <si>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</si>
  <si>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</si>
  <si>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</si>
  <si>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</si>
  <si>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</si>
  <si>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</si>
  <si>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</si>
  <si>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</si>
  <si>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</si>
  <si>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</si>
  <si>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</si>
  <si>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</si>
  <si>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</si>
  <si>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</si>
  <si>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</si>
  <si>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</si>
  <si>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</si>
  <si>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</si>
  <si>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</si>
  <si>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</si>
  <si>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</si>
  <si>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</si>
  <si>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</si>
  <si>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</si>
  <si>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</si>
  <si>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</si>
  <si>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</si>
  <si>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</si>
  <si>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</si>
  <si>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</si>
  <si>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</si>
  <si>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</si>
  <si>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</si>
  <si>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</si>
  <si>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</si>
  <si>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</si>
  <si>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</si>
  <si>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</si>
  <si>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</si>
  <si>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</si>
  <si>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</si>
  <si>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</si>
  <si>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</si>
  <si>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</si>
  <si>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</si>
  <si>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</si>
  <si>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</si>
  <si>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</si>
  <si>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</si>
  <si>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</si>
  <si>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</si>
  <si>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</si>
  <si>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최소눈금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</si>
  <si>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</si>
  <si>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</si>
  <si>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</si>
  <si>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7" type="noConversion"/>
  </si>
  <si>
    <t>기기명(종류)</t>
    <phoneticPr fontId="77" type="noConversion"/>
  </si>
  <si>
    <t>측정값</t>
    <phoneticPr fontId="77" type="noConversion"/>
  </si>
  <si>
    <t>단위</t>
    <phoneticPr fontId="77" type="noConversion"/>
  </si>
  <si>
    <t>보정값</t>
    <phoneticPr fontId="77" type="noConversion"/>
  </si>
  <si>
    <t>불확도 1</t>
    <phoneticPr fontId="77" type="noConversion"/>
  </si>
  <si>
    <t>불확도 단위</t>
    <phoneticPr fontId="77" type="noConversion"/>
  </si>
  <si>
    <t>포함인자</t>
    <phoneticPr fontId="77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</si>
  <si>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</si>
  <si>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</si>
  <si>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</si>
  <si>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2회</t>
  </si>
  <si>
    <t>3회</t>
  </si>
  <si>
    <t>|</t>
    <phoneticPr fontId="4" type="noConversion"/>
  </si>
  <si>
    <t>×</t>
    <phoneticPr fontId="4" type="noConversion"/>
  </si>
  <si>
    <t>1회</t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</si>
  <si>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</si>
  <si>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</si>
  <si>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교정번호</t>
    <phoneticPr fontId="4" type="noConversion"/>
  </si>
  <si>
    <t>교정일자</t>
    <phoneticPr fontId="4" type="noConversion"/>
  </si>
  <si>
    <t>○ 측정데이터</t>
    <phoneticPr fontId="4" type="noConversion"/>
  </si>
  <si>
    <t>교정자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</si>
  <si>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</si>
  <si>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</si>
  <si>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</si>
  <si>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</si>
  <si>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명목값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</si>
  <si>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</si>
  <si>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</si>
  <si>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</si>
  <si>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</si>
  <si>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번호</t>
    <phoneticPr fontId="77" type="noConversion"/>
  </si>
  <si>
    <t>측정위치</t>
    <phoneticPr fontId="77" type="noConversion"/>
  </si>
  <si>
    <t>명목값</t>
    <phoneticPr fontId="77" type="noConversion"/>
  </si>
  <si>
    <t>기준값</t>
    <phoneticPr fontId="77" type="noConversion"/>
  </si>
  <si>
    <t>단위</t>
    <phoneticPr fontId="77" type="noConversion"/>
  </si>
  <si>
    <t>불확도 2</t>
  </si>
  <si>
    <t>비고</t>
    <phoneticPr fontId="4" type="noConversion"/>
  </si>
  <si>
    <t>열팽창계수</t>
    <phoneticPr fontId="77" type="noConversion"/>
  </si>
  <si>
    <t>단위</t>
    <phoneticPr fontId="4" type="noConversion"/>
  </si>
  <si>
    <t>개수</t>
    <phoneticPr fontId="4" type="noConversion"/>
  </si>
  <si>
    <t>교정일자</t>
    <phoneticPr fontId="77" type="noConversion"/>
  </si>
  <si>
    <t>최대범위</t>
    <phoneticPr fontId="4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</si>
  <si>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</si>
  <si>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</si>
  <si>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</si>
  <si>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α_avr</t>
  </si>
  <si>
    <t>Δα</t>
  </si>
  <si>
    <t>Δt</t>
  </si>
  <si>
    <t>t_avr-20</t>
  </si>
  <si>
    <t>δt</t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</si>
  <si>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</si>
  <si>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</si>
  <si>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눈금값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</si>
  <si>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</si>
  <si>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4회</t>
  </si>
  <si>
    <t>5회</t>
  </si>
  <si>
    <t>(mm)</t>
    <phoneticPr fontId="4" type="noConversion"/>
  </si>
  <si>
    <t>(mm)</t>
    <phoneticPr fontId="4" type="noConversion"/>
  </si>
  <si>
    <t>명목값</t>
    <phoneticPr fontId="4" type="noConversion"/>
  </si>
  <si>
    <t>사용중지?</t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</si>
  <si>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</si>
  <si>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</si>
  <si>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t>눈금값
(mm)</t>
    <phoneticPr fontId="4" type="noConversion"/>
  </si>
  <si>
    <t>Nominal
(mm)</t>
    <phoneticPr fontId="4" type="noConversion"/>
  </si>
  <si>
    <t>기준기명</t>
  </si>
  <si>
    <t>명목값</t>
  </si>
  <si>
    <t>단위</t>
  </si>
  <si>
    <t>교정값</t>
  </si>
  <si>
    <t>불확도1</t>
  </si>
  <si>
    <t>불확도2</t>
  </si>
  <si>
    <t>불확도 단위</t>
  </si>
  <si>
    <t>k</t>
  </si>
  <si>
    <t>블록 #1</t>
    <phoneticPr fontId="4" type="noConversion"/>
  </si>
  <si>
    <t>블록 #2</t>
  </si>
  <si>
    <t>블록 #3</t>
  </si>
  <si>
    <t>블록 #4</t>
  </si>
  <si>
    <t>블록 #5</t>
  </si>
  <si>
    <t>교정값 #1</t>
    <phoneticPr fontId="4" type="noConversion"/>
  </si>
  <si>
    <t>교정값 #2</t>
  </si>
  <si>
    <t>교정값 #3</t>
  </si>
  <si>
    <t>교정값 #4</t>
  </si>
  <si>
    <t>교정값 #5</t>
  </si>
  <si>
    <t>열팽창계수</t>
    <phoneticPr fontId="4" type="noConversion"/>
  </si>
  <si>
    <t>보정값
(mm)</t>
    <phoneticPr fontId="4" type="noConversion"/>
  </si>
  <si>
    <t>Correction
(mm)</t>
    <phoneticPr fontId="4" type="noConversion"/>
  </si>
  <si>
    <t>μm</t>
    <phoneticPr fontId="4" type="noConversion"/>
  </si>
  <si>
    <t>=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</si>
  <si>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</si>
  <si>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</si>
  <si>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B1. 추정값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</si>
  <si>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</si>
  <si>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fees</t>
    <phoneticPr fontId="4" type="noConversion"/>
  </si>
  <si>
    <t>P/F</t>
    <phoneticPr fontId="4" type="noConversion"/>
  </si>
  <si>
    <t>비고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</si>
  <si>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</si>
  <si>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분해능</t>
    <phoneticPr fontId="4" type="noConversion"/>
  </si>
  <si>
    <t>Res. (mm)</t>
    <phoneticPr fontId="4" type="noConversion"/>
  </si>
  <si>
    <t>CMC2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</si>
  <si>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</si>
  <si>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</si>
  <si>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</si>
  <si>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단위</t>
    <phoneticPr fontId="4" type="noConversion"/>
  </si>
  <si>
    <t>표준불확도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</si>
  <si>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</si>
  <si>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신뢰수준(%)</t>
    <phoneticPr fontId="4" type="noConversion"/>
  </si>
  <si>
    <t>소수점</t>
    <phoneticPr fontId="4" type="noConversion"/>
  </si>
  <si>
    <t>Number</t>
    <phoneticPr fontId="4" type="noConversion"/>
  </si>
  <si>
    <t>요인(값)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</si>
  <si>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</si>
  <si>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</si>
  <si>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</si>
  <si>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</si>
  <si>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자리수</t>
    <phoneticPr fontId="4" type="noConversion"/>
  </si>
  <si>
    <t>Format</t>
    <phoneticPr fontId="4" type="noConversion"/>
  </si>
  <si>
    <t>A</t>
    <phoneticPr fontId="4" type="noConversion"/>
  </si>
  <si>
    <t>기준기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</si>
  <si>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</si>
  <si>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mm</t>
    <phoneticPr fontId="4" type="noConversion"/>
  </si>
  <si>
    <t>μm</t>
    <phoneticPr fontId="4" type="noConversion"/>
  </si>
  <si>
    <t>정규</t>
    <phoneticPr fontId="4" type="noConversion"/>
  </si>
  <si>
    <t>∞</t>
    <phoneticPr fontId="4" type="noConversion"/>
  </si>
  <si>
    <t>0</t>
    <phoneticPr fontId="4" type="noConversion"/>
  </si>
  <si>
    <t>B</t>
    <phoneticPr fontId="4" type="noConversion"/>
  </si>
  <si>
    <t>지시값</t>
    <phoneticPr fontId="4" type="noConversion"/>
  </si>
  <si>
    <t>mm</t>
    <phoneticPr fontId="4" type="noConversion"/>
  </si>
  <si>
    <t>μm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</si>
  <si>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</si>
  <si>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/℃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</si>
  <si>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0</t>
    </r>
    <phoneticPr fontId="4" type="noConversion"/>
  </si>
  <si>
    <t>℃·μm</t>
    <phoneticPr fontId="4" type="noConversion"/>
  </si>
  <si>
    <t>0.00</t>
    <phoneticPr fontId="4" type="noConversion"/>
  </si>
  <si>
    <t>온도차</t>
    <phoneticPr fontId="4" type="noConversion"/>
  </si>
  <si>
    <t>℃</t>
    <phoneticPr fontId="4" type="noConversion"/>
  </si>
  <si>
    <t>/℃·μm</t>
    <phoneticPr fontId="4" type="noConversion"/>
  </si>
  <si>
    <t>E</t>
    <phoneticPr fontId="4" type="noConversion"/>
  </si>
  <si>
    <t>열팽창계수차</t>
    <phoneticPr fontId="4" type="noConversion"/>
  </si>
  <si>
    <t>/℃</t>
    <phoneticPr fontId="4" type="noConversion"/>
  </si>
  <si>
    <t>삼각형</t>
    <phoneticPr fontId="4" type="noConversion"/>
  </si>
  <si>
    <t>℃·μm</t>
    <phoneticPr fontId="4" type="noConversion"/>
  </si>
  <si>
    <t>F</t>
    <phoneticPr fontId="4" type="noConversion"/>
  </si>
  <si>
    <t>직사각형</t>
    <phoneticPr fontId="4" type="noConversion"/>
  </si>
  <si>
    <t>0.000 00</t>
    <phoneticPr fontId="4" type="noConversion"/>
  </si>
  <si>
    <t>G</t>
    <phoneticPr fontId="4" type="noConversion"/>
  </si>
  <si>
    <t>I</t>
    <phoneticPr fontId="4" type="noConversion"/>
  </si>
  <si>
    <t>합성표준</t>
    <phoneticPr fontId="4" type="noConversion"/>
  </si>
  <si>
    <t>측정불확도</t>
    <phoneticPr fontId="4" type="noConversion"/>
  </si>
  <si>
    <t>불확도</t>
    <phoneticPr fontId="4" type="noConversion"/>
  </si>
  <si>
    <t>k</t>
    <phoneticPr fontId="4" type="noConversion"/>
  </si>
  <si>
    <t>조건 1</t>
    <phoneticPr fontId="4" type="noConversion"/>
  </si>
  <si>
    <t>기본수수료</t>
    <phoneticPr fontId="4" type="noConversion"/>
  </si>
  <si>
    <t>추가치수</t>
    <phoneticPr fontId="4" type="noConversion"/>
  </si>
  <si>
    <t>추가수수료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</si>
  <si>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</si>
  <si>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</si>
  <si>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최소범위</t>
    <phoneticPr fontId="4" type="noConversion"/>
  </si>
  <si>
    <t>최대범위</t>
    <phoneticPr fontId="4" type="noConversion"/>
  </si>
  <si>
    <t>최소눈금</t>
    <phoneticPr fontId="4" type="noConversion"/>
  </si>
  <si>
    <t>단위</t>
    <phoneticPr fontId="4" type="noConversion"/>
  </si>
  <si>
    <t>환산계수</t>
    <phoneticPr fontId="4" type="noConversion"/>
  </si>
  <si>
    <t>최소범위 (mm)</t>
    <phoneticPr fontId="4" type="noConversion"/>
  </si>
  <si>
    <t>최대범위 (mm)</t>
    <phoneticPr fontId="4" type="noConversion"/>
  </si>
  <si>
    <t>Div. (mm)</t>
    <phoneticPr fontId="4" type="noConversion"/>
  </si>
  <si>
    <t>CMC1</t>
    <phoneticPr fontId="4" type="noConversion"/>
  </si>
  <si>
    <t>CMC단위</t>
    <phoneticPr fontId="4" type="noConversion"/>
  </si>
  <si>
    <t>2. 교정결과</t>
    <phoneticPr fontId="4" type="noConversion"/>
  </si>
  <si>
    <t>4. 성적서용</t>
    <phoneticPr fontId="4" type="noConversion"/>
  </si>
  <si>
    <t>사용?</t>
    <phoneticPr fontId="4" type="noConversion"/>
  </si>
  <si>
    <t>명목값</t>
    <phoneticPr fontId="4" type="noConversion"/>
  </si>
  <si>
    <t>표준편차</t>
    <phoneticPr fontId="4" type="noConversion"/>
  </si>
  <si>
    <t>기준값</t>
    <phoneticPr fontId="4" type="noConversion"/>
  </si>
  <si>
    <t>열팽창계수</t>
    <phoneticPr fontId="4" type="noConversion"/>
  </si>
  <si>
    <t>온도차</t>
    <phoneticPr fontId="4" type="noConversion"/>
  </si>
  <si>
    <t>열팽창계수차</t>
    <phoneticPr fontId="4" type="noConversion"/>
  </si>
  <si>
    <t>t_avr-20</t>
    <phoneticPr fontId="4" type="noConversion"/>
  </si>
  <si>
    <t>보정값</t>
    <phoneticPr fontId="4" type="noConversion"/>
  </si>
  <si>
    <t>자리수 맞춤</t>
    <phoneticPr fontId="4" type="noConversion"/>
  </si>
  <si>
    <t>Spec</t>
    <phoneticPr fontId="4" type="noConversion"/>
  </si>
  <si>
    <t>표기용</t>
    <phoneticPr fontId="4" type="noConversion"/>
  </si>
  <si>
    <t>1회</t>
    <phoneticPr fontId="4" type="noConversion"/>
  </si>
  <si>
    <t>2회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</si>
  <si>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</si>
  <si>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</si>
  <si>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</si>
  <si>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</si>
  <si>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</si>
  <si>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α_avr</t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</si>
  <si>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</si>
  <si>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</si>
  <si>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</si>
  <si>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</si>
  <si>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r>
      <t>B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</si>
  <si>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교정값</t>
    <phoneticPr fontId="4" type="noConversion"/>
  </si>
  <si>
    <t>Min</t>
    <phoneticPr fontId="4" type="noConversion"/>
  </si>
  <si>
    <t>Max</t>
    <phoneticPr fontId="4" type="noConversion"/>
  </si>
  <si>
    <t>눈금값</t>
    <phoneticPr fontId="4" type="noConversion"/>
  </si>
  <si>
    <t>Pass/Fail</t>
    <phoneticPr fontId="4" type="noConversion"/>
  </si>
  <si>
    <t>3. 불확도 계산</t>
    <phoneticPr fontId="4" type="noConversion"/>
  </si>
  <si>
    <t>t</t>
    <phoneticPr fontId="4" type="noConversion"/>
  </si>
  <si>
    <t>0.0</t>
    <phoneticPr fontId="4" type="noConversion"/>
  </si>
  <si>
    <t>C</t>
    <phoneticPr fontId="4" type="noConversion"/>
  </si>
  <si>
    <t>평균열팽창계수</t>
    <phoneticPr fontId="4" type="noConversion"/>
  </si>
  <si>
    <t>삼각형</t>
    <phoneticPr fontId="4" type="noConversion"/>
  </si>
  <si>
    <t>D</t>
    <phoneticPr fontId="4" type="noConversion"/>
  </si>
  <si>
    <t>℃</t>
    <phoneticPr fontId="4" type="noConversion"/>
  </si>
  <si>
    <t>직사각형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</si>
  <si>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0</t>
    </r>
    <phoneticPr fontId="4" type="noConversion"/>
  </si>
  <si>
    <t>0.000</t>
    <phoneticPr fontId="4" type="noConversion"/>
  </si>
  <si>
    <t>0.000 0</t>
    <phoneticPr fontId="4" type="noConversion"/>
  </si>
  <si>
    <t>0.000 000</t>
    <phoneticPr fontId="4" type="noConversion"/>
  </si>
  <si>
    <t>0.000 000 0</t>
    <phoneticPr fontId="4" type="noConversion"/>
  </si>
  <si>
    <r>
      <t>B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</si>
  <si>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0.000 000 00</t>
    <phoneticPr fontId="4" type="noConversion"/>
  </si>
  <si>
    <t>0.000 000 000</t>
    <phoneticPr fontId="4" type="noConversion"/>
  </si>
  <si>
    <t>※ 직사각형 확률분포가 합성표준불확도에 미치는 영향</t>
    <phoneticPr fontId="4" type="noConversion"/>
  </si>
  <si>
    <t>영향</t>
    <phoneticPr fontId="4" type="noConversion"/>
  </si>
  <si>
    <t>측정불확도</t>
    <phoneticPr fontId="4" type="noConversion"/>
  </si>
  <si>
    <t>계산(mm)</t>
    <phoneticPr fontId="4" type="noConversion"/>
  </si>
  <si>
    <t>성적서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</si>
  <si>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</si>
  <si>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t>β</t>
    <phoneticPr fontId="4" type="noConversion"/>
  </si>
  <si>
    <t>CMC</t>
    <phoneticPr fontId="4" type="noConversion"/>
  </si>
  <si>
    <t>● 교정료 계산</t>
    <phoneticPr fontId="4" type="noConversion"/>
  </si>
  <si>
    <t>조건 2</t>
    <phoneticPr fontId="4" type="noConversion"/>
  </si>
  <si>
    <t>인치?</t>
    <phoneticPr fontId="4" type="noConversion"/>
  </si>
  <si>
    <t>소계</t>
    <phoneticPr fontId="4" type="noConversion"/>
  </si>
  <si>
    <t>합계</t>
    <phoneticPr fontId="4" type="noConversion"/>
  </si>
  <si>
    <t>※ 인치의 경우 기본수수료에서 80% 추가함.</t>
    <phoneticPr fontId="4" type="noConversion"/>
  </si>
  <si>
    <t>■ 측정기본정보</t>
    <phoneticPr fontId="4" type="noConversion"/>
  </si>
  <si>
    <t>환산계수</t>
    <phoneticPr fontId="4" type="noConversion"/>
  </si>
  <si>
    <t>기기명</t>
    <phoneticPr fontId="4" type="noConversion"/>
  </si>
  <si>
    <t>기준기명</t>
    <phoneticPr fontId="4" type="noConversion"/>
  </si>
  <si>
    <t>■ 반복 측정 결과</t>
    <phoneticPr fontId="4" type="noConversion"/>
  </si>
  <si>
    <t>명목값</t>
    <phoneticPr fontId="4" type="noConversion"/>
  </si>
  <si>
    <t>평균값</t>
    <phoneticPr fontId="4" type="noConversion"/>
  </si>
  <si>
    <t>1회</t>
    <phoneticPr fontId="4" type="noConversion"/>
  </si>
  <si>
    <t>2회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</si>
  <si>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</si>
  <si>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</si>
  <si>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</si>
  <si>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mm</t>
    <phoneticPr fontId="4" type="noConversion"/>
  </si>
  <si>
    <t>mm</t>
    <phoneticPr fontId="4" type="noConversion"/>
  </si>
  <si>
    <t>■ 수학적 모델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</si>
  <si>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</si>
  <si>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</si>
  <si>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</si>
  <si>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</si>
  <si>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</si>
  <si>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:</t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</si>
  <si>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</si>
  <si>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</si>
  <si>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</si>
  <si>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</si>
  <si>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t>δt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</si>
  <si>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</si>
  <si>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</si>
  <si>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</si>
  <si>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입력량</t>
    <phoneticPr fontId="4" type="noConversion"/>
  </si>
  <si>
    <t>추정값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</si>
  <si>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</si>
  <si>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</si>
  <si>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</si>
  <si>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 기여량</t>
    <phoneticPr fontId="4" type="noConversion"/>
  </si>
  <si>
    <t>자유도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</si>
  <si>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</si>
  <si>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</si>
  <si>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</si>
  <si>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</si>
  <si>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</si>
  <si>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A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</si>
  <si>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</si>
  <si>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B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</si>
  <si>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</si>
  <si>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C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</si>
  <si>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</si>
  <si>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</si>
  <si>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D</t>
    <phoneticPr fontId="4" type="noConversion"/>
  </si>
  <si>
    <t>Δt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</si>
  <si>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</si>
  <si>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</si>
  <si>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E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</si>
  <si>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</t>
    </r>
    <phoneticPr fontId="4" type="noConversion"/>
  </si>
  <si>
    <t>F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</si>
  <si>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</si>
  <si>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</si>
  <si>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G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</si>
  <si>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</si>
  <si>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■ 표준불확도 성분의 계산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</si>
  <si>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</si>
  <si>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A1. 추정값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</si>
  <si>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</si>
  <si>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t>nm</t>
    <phoneticPr fontId="4" type="noConversion"/>
  </si>
  <si>
    <t>=</t>
    <phoneticPr fontId="4" type="noConversion"/>
  </si>
  <si>
    <t>μm</t>
    <phoneticPr fontId="4" type="noConversion"/>
  </si>
  <si>
    <t>A2. 표준불확도 :</t>
    <phoneticPr fontId="4" type="noConversion"/>
  </si>
  <si>
    <r>
      <t xml:space="preserve">μm (신뢰수준 약 95 %,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inor"/>
      </rPr>
      <t>=2) 이므로</t>
    </r>
    <phoneticPr fontId="4" type="noConversion"/>
  </si>
  <si>
    <t>A3. 확률분포 :</t>
    <phoneticPr fontId="4" type="noConversion"/>
  </si>
  <si>
    <t>A4. 감도계수 :</t>
    <phoneticPr fontId="4" type="noConversion"/>
  </si>
  <si>
    <t>A5. 불확도 기여도 :</t>
    <phoneticPr fontId="4" type="noConversion"/>
  </si>
  <si>
    <t>|</t>
    <phoneticPr fontId="4" type="noConversion"/>
  </si>
  <si>
    <t>|</t>
    <phoneticPr fontId="4" type="noConversion"/>
  </si>
  <si>
    <t>=</t>
    <phoneticPr fontId="4" type="noConversion"/>
  </si>
  <si>
    <t>A6.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</si>
  <si>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</si>
  <si>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>※ 표준불확도 성분은 우연효과로 인한 불확도로써 A형 평가를 통하여 구한다.</t>
    <phoneticPr fontId="4" type="noConversion"/>
  </si>
  <si>
    <t>B2. 표준불확도 :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</si>
  <si>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</si>
  <si>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t>s</t>
    <phoneticPr fontId="4" type="noConversion"/>
  </si>
  <si>
    <t>|</t>
    <phoneticPr fontId="4" type="noConversion"/>
  </si>
  <si>
    <t>=</t>
    <phoneticPr fontId="4" type="noConversion"/>
  </si>
  <si>
    <t>C1.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</si>
  <si>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</si>
  <si>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C2. 표준불확도 :</t>
    <phoneticPr fontId="4" type="noConversion"/>
  </si>
  <si>
    <t>※ 불확도 전파법칙에 의한 수식 :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</si>
  <si>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</si>
  <si>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</si>
  <si>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</si>
  <si>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</si>
  <si>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</si>
  <si>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C3. 확률분포 :</t>
    <phoneticPr fontId="4" type="noConversion"/>
  </si>
  <si>
    <t>C4. 감도계수 :</t>
    <phoneticPr fontId="4" type="noConversion"/>
  </si>
  <si>
    <r>
      <t>℃×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×10</t>
    </r>
    <r>
      <rPr>
        <vertAlign val="superscript"/>
        <sz val="10"/>
        <rFont val="맑은 고딕"/>
        <family val="3"/>
        <charset val="129"/>
        <scheme val="major"/>
      </rPr>
      <t>3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</si>
  <si>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</t>
    </r>
    <phoneticPr fontId="4" type="noConversion"/>
  </si>
  <si>
    <t>C5. 불확도 기여량 :</t>
    <phoneticPr fontId="4" type="noConversion"/>
  </si>
  <si>
    <t>｜</t>
    <phoneticPr fontId="4" type="noConversion"/>
  </si>
  <si>
    <t>｜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</si>
  <si>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</si>
  <si>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</si>
  <si>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C6.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</si>
  <si>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</si>
  <si>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</si>
  <si>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t>일치한다고 추정하여 직사각형 확률분포를 적용하여 계산하면</t>
    <phoneticPr fontId="4" type="noConversion"/>
  </si>
  <si>
    <t>D1. 추정값 :</t>
    <phoneticPr fontId="4" type="noConversion"/>
  </si>
  <si>
    <t>D2.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</si>
  <si>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</si>
  <si>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℃</t>
    <phoneticPr fontId="4" type="noConversion"/>
  </si>
  <si>
    <t>D3. 확률분포 :</t>
    <phoneticPr fontId="4" type="noConversion"/>
  </si>
  <si>
    <t>D4. 감도계수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</si>
  <si>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×10</t>
    </r>
    <r>
      <rPr>
        <vertAlign val="superscript"/>
        <sz val="10"/>
        <rFont val="맑은 고딕"/>
        <family val="3"/>
        <charset val="129"/>
        <scheme val="major"/>
      </rPr>
      <t>3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</si>
  <si>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×10</t>
    </r>
    <r>
      <rPr>
        <vertAlign val="superscript"/>
        <sz val="10"/>
        <rFont val="맑은 고딕"/>
        <family val="3"/>
        <charset val="129"/>
        <scheme val="major"/>
      </rPr>
      <t>3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</si>
  <si>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</t>
    </r>
    <phoneticPr fontId="4" type="noConversion"/>
  </si>
  <si>
    <t>D5. 불확도 기여량 :</t>
    <phoneticPr fontId="4" type="noConversion"/>
  </si>
  <si>
    <t>｜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</si>
  <si>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μm/℃×</t>
    </r>
    <phoneticPr fontId="4" type="noConversion"/>
  </si>
  <si>
    <t>|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</si>
  <si>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</si>
  <si>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D6.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</si>
  <si>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</si>
  <si>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sz val="10"/>
        <rFont val="맑은 고딕"/>
        <family val="3"/>
        <charset val="129"/>
      </rPr>
      <t>Δ</t>
    </r>
    <r>
      <rPr>
        <b/>
        <i/>
        <sz val="10"/>
        <rFont val="맑은 고딕"/>
        <family val="3"/>
        <charset val="129"/>
      </rPr>
      <t>α</t>
    </r>
    <r>
      <rPr>
        <b/>
        <sz val="10"/>
        <rFont val="Times New Roman"/>
        <family val="1"/>
      </rPr>
      <t>)</t>
    </r>
    <phoneticPr fontId="4" type="noConversion"/>
  </si>
  <si>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</si>
  <si>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E1.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</si>
  <si>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</si>
  <si>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E2. 표준불확도 :</t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</si>
  <si>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</si>
  <si>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</si>
  <si>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E3. 확률분포 :</t>
    <phoneticPr fontId="4" type="noConversion"/>
  </si>
  <si>
    <t>E4. 감도계수 :</t>
    <phoneticPr fontId="4" type="noConversion"/>
  </si>
  <si>
    <r>
      <t>℃×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×10</t>
    </r>
    <r>
      <rPr>
        <vertAlign val="superscript"/>
        <sz val="10"/>
        <rFont val="맑은 고딕"/>
        <family val="3"/>
        <charset val="129"/>
        <scheme val="major"/>
      </rPr>
      <t>3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</si>
  <si>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</t>
    </r>
    <phoneticPr fontId="4" type="noConversion"/>
  </si>
  <si>
    <t>E5. 불확도 기여량 :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</si>
  <si>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</si>
  <si>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E6. 자유도 :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</si>
  <si>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</si>
  <si>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t>여기에 직사각형 확률분포를 적용하여 계산하면</t>
    <phoneticPr fontId="4" type="noConversion"/>
  </si>
  <si>
    <t>F1. 추정값 :</t>
    <phoneticPr fontId="4" type="noConversion"/>
  </si>
  <si>
    <t>F2.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</si>
  <si>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>)</t>
    </r>
    <phoneticPr fontId="4" type="noConversion"/>
  </si>
  <si>
    <t>℃</t>
    <phoneticPr fontId="4" type="noConversion"/>
  </si>
  <si>
    <t>F3. 확률분포 :</t>
    <phoneticPr fontId="4" type="noConversion"/>
  </si>
  <si>
    <t>F4. 감도계수 :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</si>
  <si>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</t>
    </r>
    <phoneticPr fontId="4" type="noConversion"/>
  </si>
  <si>
    <t>F5. 불확도 기여량 :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</si>
  <si>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μm/℃×</t>
    </r>
    <phoneticPr fontId="4" type="noConversion"/>
  </si>
  <si>
    <t>F6.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</si>
  <si>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</si>
  <si>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t>G1. 추정값 :</t>
    <phoneticPr fontId="4" type="noConversion"/>
  </si>
  <si>
    <t>G2.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</si>
  <si>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분해능</t>
    </r>
    <r>
      <rPr>
        <sz val="10"/>
        <rFont val="Times New Roman"/>
        <family val="1"/>
      </rPr>
      <t xml:space="preserve"> (</t>
    </r>
    <r>
      <rPr>
        <i/>
        <sz val="10"/>
        <rFont val="Times New Roman"/>
        <family val="1"/>
      </rPr>
      <t>d</t>
    </r>
    <r>
      <rPr>
        <sz val="10"/>
        <rFont val="Times New Roman"/>
        <family val="1"/>
      </rPr>
      <t>) =</t>
    </r>
    <phoneticPr fontId="4" type="noConversion"/>
  </si>
  <si>
    <t>d</t>
    <phoneticPr fontId="4" type="noConversion"/>
  </si>
  <si>
    <t>G3. 확률분포 :</t>
    <phoneticPr fontId="4" type="noConversion"/>
  </si>
  <si>
    <t>G4. 감도계수 :</t>
    <phoneticPr fontId="4" type="noConversion"/>
  </si>
  <si>
    <t>G5. 불확도 기여량 :</t>
    <phoneticPr fontId="4" type="noConversion"/>
  </si>
  <si>
    <t>G6.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</si>
  <si>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</si>
  <si>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■ 합성표준불확도 계산</t>
    <phoneticPr fontId="4" type="noConversion"/>
  </si>
  <si>
    <t>+</t>
    <phoneticPr fontId="4" type="noConversion"/>
  </si>
  <si>
    <t>+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</si>
  <si>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</si>
  <si>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■ 유효자유도</t>
    <phoneticPr fontId="4" type="noConversion"/>
  </si>
  <si>
    <t>■ 측정불확도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</si>
  <si>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</si>
  <si>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</si>
  <si>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</si>
  <si>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</si>
  <si>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전체의 대부분을 차지하는 경우, 주된 성분에 대한 잔여 성분의 크기가 0.3보다 작은지 점검한다.</t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</si>
  <si>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</si>
  <si>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</si>
  <si>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</si>
  <si>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×</t>
    <phoneticPr fontId="4" type="noConversion"/>
  </si>
  <si>
    <t>=</t>
    <phoneticPr fontId="4" type="noConversion"/>
  </si>
  <si>
    <t>≒</t>
    <phoneticPr fontId="4" type="noConversion"/>
  </si>
  <si>
    <t>● 측정불확도 :</t>
    <phoneticPr fontId="4" type="noConversion"/>
  </si>
  <si>
    <t>● Measurement uncertainty :</t>
    <phoneticPr fontId="4" type="noConversion"/>
  </si>
  <si>
    <t>℃·μm</t>
  </si>
  <si>
    <t>/℃·μm</t>
  </si>
  <si>
    <t>나눔수</t>
    <phoneticPr fontId="4" type="noConversion"/>
  </si>
  <si>
    <t>분모</t>
    <phoneticPr fontId="4" type="noConversion"/>
  </si>
  <si>
    <t>최대범위 (표기용)</t>
    <phoneticPr fontId="4" type="noConversion"/>
  </si>
  <si>
    <t>기타</t>
    <phoneticPr fontId="4" type="noConversion"/>
  </si>
  <si>
    <t>불확도</t>
    <phoneticPr fontId="4" type="noConversion"/>
  </si>
  <si>
    <t>mm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</si>
  <si>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</si>
  <si>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</si>
  <si>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</si>
  <si>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</si>
  <si>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-</t>
    <phoneticPr fontId="4" type="noConversion"/>
  </si>
  <si>
    <t>Measurement Uncertainty</t>
    <phoneticPr fontId="4" type="noConversion"/>
  </si>
  <si>
    <t>-</t>
    <phoneticPr fontId="4" type="noConversion"/>
  </si>
  <si>
    <t>-</t>
    <phoneticPr fontId="4" type="noConversion"/>
  </si>
  <si>
    <t>Indication Value</t>
    <phoneticPr fontId="4" type="noConversion"/>
  </si>
  <si>
    <t>번호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</si>
  <si>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</si>
  <si>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</si>
  <si>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</si>
  <si>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불확도 단위</t>
    <phoneticPr fontId="4" type="noConversion"/>
  </si>
  <si>
    <t>k</t>
    <phoneticPr fontId="4" type="noConversion"/>
  </si>
  <si>
    <t>비고</t>
    <phoneticPr fontId="4" type="noConversion"/>
  </si>
  <si>
    <t>열팽창계수</t>
    <phoneticPr fontId="4" type="noConversion"/>
  </si>
  <si>
    <t>k</t>
    <phoneticPr fontId="4" type="noConversion"/>
  </si>
  <si>
    <t>비고</t>
    <phoneticPr fontId="4" type="noConversion"/>
  </si>
  <si>
    <t>표준자</t>
    <phoneticPr fontId="4" type="noConversion"/>
  </si>
  <si>
    <t>※ 축당 50 % 추가</t>
    <phoneticPr fontId="4" type="noConversion"/>
  </si>
  <si>
    <t>※ 100 mm당 20 % 추가</t>
    <phoneticPr fontId="4" type="noConversion"/>
  </si>
  <si>
    <t>범위</t>
    <phoneticPr fontId="4" type="noConversion"/>
  </si>
  <si>
    <t>◆ X축 방향 측정불확도 추정보고서 ◆</t>
    <phoneticPr fontId="4" type="noConversion"/>
  </si>
  <si>
    <t>◆ Y축 방향 측정불확도 추정보고서 ◆</t>
    <phoneticPr fontId="4" type="noConversion"/>
  </si>
  <si>
    <t>◆ Z축 방향 측정불확도 추정보고서 ◆</t>
    <phoneticPr fontId="4" type="noConversion"/>
  </si>
  <si>
    <t>X축 방향</t>
    <phoneticPr fontId="4" type="noConversion"/>
  </si>
  <si>
    <t>Y축 방향</t>
    <phoneticPr fontId="4" type="noConversion"/>
  </si>
  <si>
    <t>X Axis Direction</t>
    <phoneticPr fontId="4" type="noConversion"/>
  </si>
  <si>
    <t>Y Axis Direction</t>
    <phoneticPr fontId="4" type="noConversion"/>
  </si>
  <si>
    <t>측정방향</t>
    <phoneticPr fontId="4" type="noConversion"/>
  </si>
  <si>
    <t>X 축</t>
    <phoneticPr fontId="4" type="noConversion"/>
  </si>
  <si>
    <t>Y 축</t>
    <phoneticPr fontId="4" type="noConversion"/>
  </si>
  <si>
    <t>Z 축</t>
    <phoneticPr fontId="4" type="noConversion"/>
  </si>
  <si>
    <t>k</t>
    <phoneticPr fontId="4" type="noConversion"/>
  </si>
  <si>
    <t>U1</t>
    <phoneticPr fontId="4" type="noConversion"/>
  </si>
  <si>
    <t>U2</t>
    <phoneticPr fontId="4" type="noConversion"/>
  </si>
  <si>
    <t>측정불확도 선택</t>
    <phoneticPr fontId="4" type="noConversion"/>
  </si>
  <si>
    <t>측정불확도</t>
    <phoneticPr fontId="4" type="noConversion"/>
  </si>
  <si>
    <t>U1</t>
    <phoneticPr fontId="4" type="noConversion"/>
  </si>
  <si>
    <t>U2</t>
    <phoneticPr fontId="4" type="noConversion"/>
  </si>
  <si>
    <t>계산</t>
    <phoneticPr fontId="4" type="noConversion"/>
  </si>
  <si>
    <t>측정범위</t>
    <phoneticPr fontId="4" type="noConversion"/>
  </si>
  <si>
    <t>결정</t>
    <phoneticPr fontId="4" type="noConversion"/>
  </si>
  <si>
    <t>게이지 블록</t>
    <phoneticPr fontId="4" type="noConversion"/>
  </si>
  <si>
    <t>Correction
(mm)</t>
  </si>
  <si>
    <t>측정불확도1</t>
    <phoneticPr fontId="4" type="noConversion"/>
  </si>
  <si>
    <t>측정불확도2</t>
  </si>
  <si>
    <t>측정현미경 지시값</t>
    <phoneticPr fontId="4" type="noConversion"/>
  </si>
  <si>
    <t>측정현미경</t>
    <phoneticPr fontId="4" type="noConversion"/>
  </si>
  <si>
    <t>● X and Y-Axis Cross-move table feed accuracy Calibration results</t>
    <phoneticPr fontId="4" type="noConversion"/>
  </si>
  <si>
    <t>● Z-axis measurement accuracy</t>
    <phoneticPr fontId="4" type="noConversion"/>
  </si>
  <si>
    <t>● X축 방향 이송 정확도 교정결과</t>
    <phoneticPr fontId="4" type="noConversion"/>
  </si>
  <si>
    <t>● Y축 방향 이송 정확도 교정결과</t>
    <phoneticPr fontId="4" type="noConversion"/>
  </si>
  <si>
    <t>● Z축 방향 측정 정확도 교정결과</t>
    <phoneticPr fontId="4" type="noConversion"/>
  </si>
  <si>
    <t>● X축 방향 이송 정확도</t>
    <phoneticPr fontId="4" type="noConversion"/>
  </si>
  <si>
    <t>● Y축 방향 이송 정확도</t>
    <phoneticPr fontId="4" type="noConversion"/>
  </si>
  <si>
    <t>● Z축 방향 측정 정확도</t>
    <phoneticPr fontId="4" type="noConversion"/>
  </si>
  <si>
    <t>○ X 축 방향 이송 정확도 교정결과</t>
    <phoneticPr fontId="4" type="noConversion"/>
  </si>
  <si>
    <t>○ Y 축 방향 이송 정확도 교정결과</t>
    <phoneticPr fontId="4" type="noConversion"/>
  </si>
  <si>
    <t>○ Z 축 방향 측정 정확도 교정결과</t>
    <phoneticPr fontId="4" type="noConversion"/>
  </si>
  <si>
    <t>● 십자 이동 테이블 이송 정확도 교정결과</t>
    <phoneticPr fontId="4" type="noConversion"/>
  </si>
  <si>
    <t>● Z축 방향 측정 정확도 교정결과</t>
    <phoneticPr fontId="4" type="noConversion"/>
  </si>
  <si>
    <t>선택</t>
    <phoneticPr fontId="4" type="noConversion"/>
  </si>
  <si>
    <t>분해능</t>
    <phoneticPr fontId="4" type="noConversion"/>
  </si>
  <si>
    <t>소수점 자리수</t>
    <phoneticPr fontId="4" type="noConversion"/>
  </si>
  <si>
    <t>H</t>
    <phoneticPr fontId="4" type="noConversion"/>
  </si>
  <si>
    <t>여현오차</t>
    <phoneticPr fontId="4" type="noConversion"/>
  </si>
  <si>
    <t>요인</t>
    <phoneticPr fontId="4" type="noConversion"/>
  </si>
  <si>
    <t>H</t>
    <phoneticPr fontId="4" type="noConversion"/>
  </si>
  <si>
    <t>I</t>
    <phoneticPr fontId="4" type="noConversion"/>
  </si>
  <si>
    <t>8. 여현오차의 표준불확도,</t>
    <phoneticPr fontId="4" type="noConversion"/>
  </si>
  <si>
    <t>H1. 추정값 :</t>
    <phoneticPr fontId="4" type="noConversion"/>
  </si>
  <si>
    <t>H2. 표준불확도 :</t>
    <phoneticPr fontId="4" type="noConversion"/>
  </si>
  <si>
    <t>H3. 확률분포 :</t>
    <phoneticPr fontId="4" type="noConversion"/>
  </si>
  <si>
    <t>H4. 감도계수 :</t>
    <phoneticPr fontId="4" type="noConversion"/>
  </si>
  <si>
    <t>H5. 불확도 기여량 :</t>
    <phoneticPr fontId="4" type="noConversion"/>
  </si>
  <si>
    <t>H6.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</si>
  <si>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</si>
  <si>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t>H</t>
    <phoneticPr fontId="4" type="noConversion"/>
  </si>
  <si>
    <t>I</t>
    <phoneticPr fontId="4" type="noConversion"/>
  </si>
  <si>
    <t>H</t>
    <phoneticPr fontId="4" type="noConversion"/>
  </si>
  <si>
    <t>I</t>
    <phoneticPr fontId="4" type="noConversion"/>
  </si>
  <si>
    <r>
      <t xml:space="preserve">※ </t>
    </r>
    <r>
      <rPr>
        <i/>
        <sz val="10"/>
        <rFont val="Times New Roman"/>
        <family val="1"/>
      </rPr>
      <t>l</t>
    </r>
    <r>
      <rPr>
        <vertAlign val="subscript"/>
        <sz val="10"/>
        <rFont val="맑은 고딕"/>
        <family val="3"/>
        <charset val="129"/>
        <scheme val="minor"/>
      </rPr>
      <t>0</t>
    </r>
    <r>
      <rPr>
        <sz val="10"/>
        <rFont val="맑은 고딕"/>
        <family val="3"/>
        <charset val="129"/>
        <scheme val="minor"/>
      </rPr>
      <t>는 측정현미경의 지시값이며, 단위는 mm 이다.</t>
    </r>
    <phoneticPr fontId="4" type="noConversion"/>
  </si>
  <si>
    <t>※ 표준자와 십자이동테이블의 이동축이 일치 하지 않을 때 여현오차가 발생한다.</t>
    <phoneticPr fontId="4" type="noConversion"/>
  </si>
  <si>
    <r>
      <t xml:space="preserve">* </t>
    </r>
    <r>
      <rPr>
        <i/>
        <sz val="10"/>
        <rFont val="Times New Roman"/>
        <family val="1"/>
      </rPr>
      <t>θ</t>
    </r>
    <r>
      <rPr>
        <sz val="10"/>
        <rFont val="맑은 고딕"/>
        <family val="3"/>
        <charset val="129"/>
        <scheme val="major"/>
      </rPr>
      <t xml:space="preserve"> = tan</t>
    </r>
    <r>
      <rPr>
        <vertAlign val="superscript"/>
        <sz val="10"/>
        <rFont val="맑은 고딕"/>
        <family val="3"/>
        <charset val="129"/>
        <scheme val="major"/>
      </rPr>
      <t>-1</t>
    </r>
    <r>
      <rPr>
        <sz val="10"/>
        <rFont val="맑은 고딕"/>
        <family val="3"/>
        <charset val="129"/>
        <scheme val="major"/>
      </rPr>
      <t>(0.1 mm/100mm)</t>
    </r>
  </si>
  <si>
    <t>=</t>
  </si>
  <si>
    <t>,</t>
  </si>
  <si>
    <r>
      <t>* 측정길이 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) =</t>
    </r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</si>
  <si>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c</t>
    </r>
    <r>
      <rPr>
        <b/>
        <sz val="10"/>
        <rFont val="Times New Roman"/>
        <family val="1"/>
      </rPr>
      <t>)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</si>
  <si>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c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</si>
  <si>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c</t>
    </r>
    <phoneticPr fontId="4" type="noConversion"/>
  </si>
  <si>
    <r>
      <t>* 여현오차 값 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</t>
    </r>
    <r>
      <rPr>
        <sz val="10"/>
        <rFont val="Times New Roman"/>
        <family val="1"/>
      </rPr>
      <t>(1</t>
    </r>
    <r>
      <rPr>
        <i/>
        <sz val="10"/>
        <rFont val="Times New Roman"/>
        <family val="1"/>
      </rPr>
      <t xml:space="preserve"> - cosθ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×l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=</t>
    </r>
    <phoneticPr fontId="4" type="noConversion"/>
  </si>
  <si>
    <r>
      <t>※</t>
    </r>
    <r>
      <rPr>
        <sz val="10"/>
        <rFont val="맑은 고딕"/>
        <family val="1"/>
        <scheme val="major"/>
      </rPr>
      <t xml:space="preserve"> </t>
    </r>
    <r>
      <rPr>
        <sz val="10"/>
        <rFont val="맑은 고딕"/>
        <family val="3"/>
        <charset val="129"/>
        <scheme val="major"/>
      </rPr>
      <t>여현오차 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)=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</si>
  <si>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>)</t>
    </r>
    <phoneticPr fontId="4" type="noConversion"/>
  </si>
  <si>
    <r>
      <t xml:space="preserve">※ </t>
    </r>
    <r>
      <rPr>
        <i/>
        <sz val="10"/>
        <rFont val="Times New Roman"/>
        <family val="1"/>
      </rPr>
      <t>l</t>
    </r>
    <r>
      <rPr>
        <vertAlign val="subscript"/>
        <sz val="10"/>
        <rFont val="맑은 고딕"/>
        <family val="3"/>
        <charset val="129"/>
        <scheme val="minor"/>
      </rPr>
      <t>0</t>
    </r>
    <r>
      <rPr>
        <sz val="10"/>
        <rFont val="맑은 고딕"/>
        <family val="3"/>
        <charset val="129"/>
        <scheme val="minor"/>
      </rPr>
      <t>는 측정현미경의 지시값이며, 단위는 mm 이다.</t>
    </r>
    <phoneticPr fontId="4" type="noConversion"/>
  </si>
  <si>
    <r>
      <t xml:space="preserve">※ </t>
    </r>
    <r>
      <rPr>
        <i/>
        <sz val="10"/>
        <rFont val="Times New Roman"/>
        <family val="1"/>
      </rPr>
      <t>l</t>
    </r>
    <r>
      <rPr>
        <vertAlign val="subscript"/>
        <sz val="10"/>
        <rFont val="맑은 고딕"/>
        <family val="3"/>
        <charset val="129"/>
        <scheme val="minor"/>
      </rPr>
      <t>0</t>
    </r>
    <r>
      <rPr>
        <sz val="10"/>
        <rFont val="맑은 고딕"/>
        <family val="3"/>
        <charset val="129"/>
        <scheme val="minor"/>
      </rPr>
      <t>는 측정현미경의 지시값이며, 단위는 mm 이다.</t>
    </r>
    <phoneticPr fontId="4" type="noConversion"/>
  </si>
  <si>
    <r>
      <t>(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inor"/>
      </rPr>
      <t>는 표준자의 길이이며, 단위는 mm이다.)</t>
    </r>
    <phoneticPr fontId="4" type="noConversion"/>
  </si>
  <si>
    <t>B3. 확률분포 :</t>
    <phoneticPr fontId="4" type="noConversion"/>
  </si>
  <si>
    <t>B4. 감도계수 :</t>
    <phoneticPr fontId="4" type="noConversion"/>
  </si>
  <si>
    <t>B5. 불확도 기여도 :</t>
    <phoneticPr fontId="4" type="noConversion"/>
  </si>
  <si>
    <t>|</t>
    <phoneticPr fontId="4" type="noConversion"/>
  </si>
  <si>
    <t>×</t>
    <phoneticPr fontId="4" type="noConversion"/>
  </si>
  <si>
    <t>=</t>
    <phoneticPr fontId="4" type="noConversion"/>
  </si>
  <si>
    <t>B6.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</si>
  <si>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</si>
  <si>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r>
      <t xml:space="preserve">일반적으로 측정길이 100 mm에 대하여 중심 축에 대하여 0.1 mm 미만으로 맞추므로, 이경우 </t>
    </r>
    <r>
      <rPr>
        <i/>
        <sz val="10"/>
        <rFont val="Times New Roman"/>
        <family val="1"/>
      </rPr>
      <t>θ</t>
    </r>
    <r>
      <rPr>
        <sz val="10"/>
        <rFont val="맑은 고딕"/>
        <family val="3"/>
        <charset val="129"/>
        <scheme val="major"/>
      </rPr>
      <t>는 다음과 같다.</t>
    </r>
    <phoneticPr fontId="4" type="noConversion"/>
  </si>
  <si>
    <t>U &amp; r</t>
  </si>
  <si>
    <t>U+α</t>
    <phoneticPr fontId="4" type="noConversion"/>
  </si>
  <si>
    <t>U&amp;r</t>
    <phoneticPr fontId="4" type="noConversion"/>
  </si>
  <si>
    <t>HCT</t>
    <phoneticPr fontId="4" type="noConversion"/>
  </si>
  <si>
    <t>확률분포별 불확도기여량</t>
    <phoneticPr fontId="4" type="noConversion"/>
  </si>
  <si>
    <t>기타</t>
    <phoneticPr fontId="4" type="noConversion"/>
  </si>
  <si>
    <t>CMC초과?</t>
    <phoneticPr fontId="4" type="noConversion"/>
  </si>
  <si>
    <t>불확도표기</t>
    <phoneticPr fontId="4" type="noConversion"/>
  </si>
  <si>
    <t>5% rule</t>
    <phoneticPr fontId="4" type="noConversion"/>
  </si>
  <si>
    <t>직사각형분포</t>
    <phoneticPr fontId="4" type="noConversion"/>
  </si>
  <si>
    <t>크기순</t>
    <phoneticPr fontId="4" type="noConversion"/>
  </si>
  <si>
    <t>직사각형</t>
    <phoneticPr fontId="4" type="noConversion"/>
  </si>
  <si>
    <t>비율</t>
    <phoneticPr fontId="4" type="noConversion"/>
  </si>
  <si>
    <t>잔여 기여량</t>
    <phoneticPr fontId="4" type="noConversion"/>
  </si>
  <si>
    <t>주 기여량</t>
    <phoneticPr fontId="4" type="noConversion"/>
  </si>
  <si>
    <t>직사각형
분포 성분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</si>
  <si>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</si>
  <si>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</si>
  <si>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</si>
  <si>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</si>
  <si>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</si>
  <si>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</si>
  <si>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</si>
  <si>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c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</si>
  <si>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</si>
  <si>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c</t>
    </r>
    <phoneticPr fontId="4" type="noConversion"/>
  </si>
  <si>
    <t>HY?</t>
  </si>
  <si>
    <t>Number Format</t>
    <phoneticPr fontId="4" type="noConversion"/>
  </si>
  <si>
    <t>불확도</t>
    <phoneticPr fontId="4" type="noConversion"/>
  </si>
  <si>
    <t>불확도수식</t>
    <phoneticPr fontId="4" type="noConversion"/>
  </si>
  <si>
    <t>분해능</t>
    <phoneticPr fontId="4" type="noConversion"/>
  </si>
  <si>
    <t>선택</t>
    <phoneticPr fontId="4" type="noConversion"/>
  </si>
  <si>
    <t>Rawdata</t>
    <phoneticPr fontId="4" type="noConversion"/>
  </si>
  <si>
    <t>값</t>
    <phoneticPr fontId="4" type="noConversion"/>
  </si>
  <si>
    <t>수식</t>
    <phoneticPr fontId="4" type="noConversion"/>
  </si>
  <si>
    <t>표기용</t>
    <phoneticPr fontId="4" type="noConversion"/>
  </si>
  <si>
    <t>※     는 측정 현미경의 눈금값이며, 단위는 mm 임.</t>
    <phoneticPr fontId="4" type="noConversion"/>
  </si>
  <si>
    <t>※     is the nominal value of the measuring microscope, and the unit is mm.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</si>
</sst>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0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0_ "/>
    <numFmt numFmtId="189" formatCode="0.000000_ "/>
    <numFmt numFmtId="190" formatCode="0.00\ &quot;mg&quot;"/>
    <numFmt numFmtId="191" formatCode="0.000\ &quot;kg&quot;"/>
    <numFmt numFmtId="192" formatCode="0.0_ "/>
    <numFmt numFmtId="193" formatCode="0.0\ &quot;kg&quot;"/>
    <numFmt numFmtId="194" formatCode="0.000"/>
    <numFmt numFmtId="195" formatCode="0.00000"/>
    <numFmt numFmtId="196" formatCode="####\-##\-##"/>
    <numFmt numFmtId="197" formatCode="0.000_);[Red]\(0.000\)"/>
    <numFmt numFmtId="198" formatCode="0.0000_);[Red]\(0.0000\)"/>
    <numFmt numFmtId="199" formatCode="0.0000_ "/>
    <numFmt numFmtId="200" formatCode="\√\(0\)"/>
    <numFmt numFmtId="201" formatCode="0.0"/>
    <numFmt numFmtId="202" formatCode="#0.0\ E+00"/>
    <numFmt numFmtId="203" formatCode="&quot;0&quot;.0#\ E+00"/>
    <numFmt numFmtId="204" formatCode="\(0.00\ &quot;μm&quot;\)"/>
    <numFmt numFmtId="205" formatCode="0.00\ &quot;μm&quot;"/>
    <numFmt numFmtId="206" formatCode="0.00\ \℃"/>
    <numFmt numFmtId="207" formatCode="0.000\ &quot;mm&quot;"/>
    <numFmt numFmtId="208" formatCode="0.000\ 00"/>
    <numFmt numFmtId="209" formatCode="#\ ###\ ###"/>
    <numFmt numFmtId="210" formatCode="0.0\ &quot;μm&quot;"/>
    <numFmt numFmtId="211" formatCode="0.000\ &quot;μm&quot;"/>
    <numFmt numFmtId="212" formatCode="_-* #,##0_-;\-* #,##0_-;_-* &quot;-&quot;??_-;_-@_-"/>
    <numFmt numFmtId="213" formatCode="0.000\ \℃"/>
    <numFmt numFmtId="214" formatCode="0.000\ 000\ 00"/>
    <numFmt numFmtId="215" formatCode="0\ &quot;mm&quot;"/>
    <numFmt numFmtId="216" formatCode="0_ "/>
    <numFmt numFmtId="217" formatCode="0.000\ 0"/>
    <numFmt numFmtId="218" formatCode="0.0000"/>
    <numFmt numFmtId="219" formatCode="0.00_ "/>
    <numFmt numFmtId="220" formatCode="0.000\˚"/>
    <numFmt numFmtId="221" formatCode="0.0\ \℃"/>
    <numFmt numFmtId="222" formatCode="0.00\ &quot;℃&quot;"/>
    <numFmt numFmtId="223" formatCode="0.0E+00"/>
  </numFmts>
  <fonts count="107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ajor"/>
    </font>
    <font>
      <vertAlign val="superscript"/>
      <sz val="10"/>
      <name val="맑은 고딕"/>
      <family val="3"/>
      <charset val="129"/>
      <scheme val="major"/>
    </font>
    <font>
      <b/>
      <i/>
      <sz val="10"/>
      <name val="맑은 고딕"/>
      <family val="3"/>
      <charset val="129"/>
    </font>
    <font>
      <i/>
      <vertAlign val="superscript"/>
      <sz val="10"/>
      <name val="Times New Roman"/>
      <family val="1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sz val="10"/>
      <name val="바탕"/>
      <family val="1"/>
      <charset val="129"/>
    </font>
    <font>
      <b/>
      <sz val="10"/>
      <name val="맑은 고딕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vertAlign val="subscript"/>
      <sz val="10"/>
      <name val="맑은 고딕"/>
      <family val="3"/>
      <charset val="129"/>
      <scheme val="minor"/>
    </font>
    <font>
      <b/>
      <sz val="9"/>
      <color indexed="8"/>
      <name val="Arial Unicode MS"/>
      <family val="3"/>
      <charset val="129"/>
    </font>
    <font>
      <b/>
      <sz val="9"/>
      <color rgb="FFFF0000"/>
      <name val="맑은 고딕"/>
      <family val="3"/>
      <charset val="129"/>
      <scheme val="major"/>
    </font>
    <font>
      <sz val="9"/>
      <color rgb="FF0070C0"/>
      <name val="Arial Unicode MS"/>
      <family val="3"/>
      <charset val="129"/>
    </font>
    <font>
      <sz val="9"/>
      <color indexed="9"/>
      <name val="맑은 고딕"/>
      <family val="3"/>
      <charset val="129"/>
      <scheme val="major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24994659260841701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</borders>
  <cellStyleXfs count="126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1" applyNumberFormat="0" applyBorder="0" applyAlignment="0" applyProtection="0"/>
    <xf numFmtId="0" fontId="17" fillId="22" borderId="62" applyNumberFormat="0" applyAlignment="0" applyProtection="0">
      <alignment vertical="center"/>
    </xf>
    <xf numFmtId="0" fontId="3" fillId="23" borderId="59" applyNumberFormat="0" applyFont="0" applyAlignment="0" applyProtection="0">
      <alignment vertical="center"/>
    </xf>
    <xf numFmtId="0" fontId="24" fillId="0" borderId="63" applyNumberFormat="0" applyFill="0" applyAlignment="0" applyProtection="0">
      <alignment vertical="center"/>
    </xf>
    <xf numFmtId="0" fontId="25" fillId="7" borderId="62" applyNumberFormat="0" applyAlignment="0" applyProtection="0">
      <alignment vertical="center"/>
    </xf>
    <xf numFmtId="0" fontId="31" fillId="22" borderId="64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6" applyNumberFormat="0" applyBorder="0" applyAlignment="0" applyProtection="0"/>
    <xf numFmtId="0" fontId="17" fillId="22" borderId="67" applyNumberFormat="0" applyAlignment="0" applyProtection="0">
      <alignment vertical="center"/>
    </xf>
    <xf numFmtId="0" fontId="3" fillId="23" borderId="65" applyNumberFormat="0" applyFont="0" applyAlignment="0" applyProtection="0">
      <alignment vertical="center"/>
    </xf>
    <xf numFmtId="0" fontId="24" fillId="0" borderId="68" applyNumberFormat="0" applyFill="0" applyAlignment="0" applyProtection="0">
      <alignment vertical="center"/>
    </xf>
    <xf numFmtId="0" fontId="25" fillId="7" borderId="67" applyNumberFormat="0" applyAlignment="0" applyProtection="0">
      <alignment vertical="center"/>
    </xf>
    <xf numFmtId="0" fontId="31" fillId="22" borderId="69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6" applyNumberFormat="0" applyBorder="0" applyAlignment="0" applyProtection="0"/>
    <xf numFmtId="0" fontId="17" fillId="22" borderId="67" applyNumberFormat="0" applyAlignment="0" applyProtection="0">
      <alignment vertical="center"/>
    </xf>
    <xf numFmtId="0" fontId="3" fillId="23" borderId="65" applyNumberFormat="0" applyFont="0" applyAlignment="0" applyProtection="0">
      <alignment vertical="center"/>
    </xf>
    <xf numFmtId="0" fontId="24" fillId="0" borderId="68" applyNumberFormat="0" applyFill="0" applyAlignment="0" applyProtection="0">
      <alignment vertical="center"/>
    </xf>
    <xf numFmtId="0" fontId="25" fillId="7" borderId="67" applyNumberFormat="0" applyAlignment="0" applyProtection="0">
      <alignment vertical="center"/>
    </xf>
    <xf numFmtId="0" fontId="31" fillId="22" borderId="69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/>
    <xf numFmtId="10" fontId="35" fillId="17" borderId="46" applyNumberFormat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</cellStyleXfs>
  <cellXfs count="581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89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4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0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8" xfId="79" applyNumberFormat="1" applyFont="1" applyFill="1" applyBorder="1" applyAlignment="1">
      <alignment vertical="center"/>
    </xf>
    <xf numFmtId="0" fontId="48" fillId="0" borderId="38" xfId="79" applyNumberFormat="1" applyFont="1" applyFill="1" applyBorder="1" applyAlignment="1">
      <alignment horizontal="left" vertical="center"/>
    </xf>
    <xf numFmtId="0" fontId="48" fillId="0" borderId="38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8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5" fillId="0" borderId="37" xfId="0" applyFont="1" applyBorder="1" applyAlignment="1">
      <alignment horizontal="center" vertical="center"/>
    </xf>
    <xf numFmtId="0" fontId="79" fillId="0" borderId="0" xfId="0" applyFont="1" applyBorder="1">
      <alignment vertical="center"/>
    </xf>
    <xf numFmtId="0" fontId="48" fillId="0" borderId="38" xfId="79" applyNumberFormat="1" applyFont="1" applyFill="1" applyBorder="1" applyAlignment="1">
      <alignment horizontal="center" vertical="center"/>
    </xf>
    <xf numFmtId="0" fontId="50" fillId="0" borderId="38" xfId="80" applyNumberFormat="1" applyFont="1" applyFill="1" applyBorder="1" applyAlignment="1">
      <alignment horizontal="right" vertical="center"/>
    </xf>
    <xf numFmtId="0" fontId="7" fillId="28" borderId="40" xfId="0" applyNumberFormat="1" applyFont="1" applyFill="1" applyBorder="1" applyAlignment="1">
      <alignment horizontal="center" vertical="center"/>
    </xf>
    <xf numFmtId="0" fontId="1" fillId="0" borderId="39" xfId="78" applyNumberFormat="1" applyFont="1" applyFill="1" applyBorder="1" applyAlignment="1">
      <alignment horizontal="center" vertical="center"/>
    </xf>
    <xf numFmtId="49" fontId="1" fillId="0" borderId="39" xfId="78" applyNumberFormat="1" applyFont="1" applyFill="1" applyBorder="1" applyAlignment="1">
      <alignment horizontal="center" vertical="center"/>
    </xf>
    <xf numFmtId="196" fontId="1" fillId="0" borderId="39" xfId="78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1" xfId="79" applyNumberFormat="1" applyFont="1" applyFill="1" applyBorder="1" applyAlignment="1">
      <alignment horizontal="center" vertical="center"/>
    </xf>
    <xf numFmtId="0" fontId="60" fillId="31" borderId="41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6" xfId="0" applyNumberFormat="1" applyFont="1" applyBorder="1" applyAlignment="1">
      <alignment horizontal="center" vertical="center"/>
    </xf>
    <xf numFmtId="0" fontId="53" fillId="26" borderId="46" xfId="0" applyFont="1" applyFill="1" applyBorder="1" applyAlignment="1">
      <alignment horizontal="center" vertical="center" wrapText="1"/>
    </xf>
    <xf numFmtId="0" fontId="55" fillId="0" borderId="46" xfId="0" applyFont="1" applyBorder="1" applyAlignment="1">
      <alignment horizontal="center" vertical="center"/>
    </xf>
    <xf numFmtId="0" fontId="52" fillId="0" borderId="46" xfId="0" applyFont="1" applyBorder="1" applyAlignment="1">
      <alignment horizontal="center" vertical="center"/>
    </xf>
    <xf numFmtId="0" fontId="52" fillId="0" borderId="46" xfId="0" applyNumberFormat="1" applyFont="1" applyBorder="1" applyAlignment="1">
      <alignment horizontal="center" vertical="center"/>
    </xf>
    <xf numFmtId="0" fontId="76" fillId="33" borderId="46" xfId="0" applyFont="1" applyFill="1" applyBorder="1">
      <alignment vertical="center"/>
    </xf>
    <xf numFmtId="0" fontId="80" fillId="0" borderId="0" xfId="0" applyNumberFormat="1" applyFont="1" applyFill="1" applyAlignment="1">
      <alignment horizontal="left" vertical="center" indent="1"/>
    </xf>
    <xf numFmtId="0" fontId="81" fillId="0" borderId="0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Border="1" applyAlignment="1">
      <alignment horizontal="left" vertical="center"/>
    </xf>
    <xf numFmtId="0" fontId="81" fillId="0" borderId="0" xfId="0" applyNumberFormat="1" applyFont="1">
      <alignment vertical="center"/>
    </xf>
    <xf numFmtId="0" fontId="81" fillId="0" borderId="0" xfId="0" applyNumberFormat="1" applyFont="1" applyFill="1" applyBorder="1" applyAlignment="1">
      <alignment vertical="center"/>
    </xf>
    <xf numFmtId="0" fontId="81" fillId="0" borderId="0" xfId="0" applyNumberFormat="1" applyFont="1" applyFill="1" applyAlignme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1" fillId="0" borderId="50" xfId="0" applyNumberFormat="1" applyFont="1" applyFill="1" applyBorder="1" applyAlignment="1">
      <alignment horizontal="center" vertical="center"/>
    </xf>
    <xf numFmtId="197" fontId="81" fillId="29" borderId="51" xfId="0" applyNumberFormat="1" applyFont="1" applyFill="1" applyBorder="1" applyAlignment="1">
      <alignment horizontal="center" vertical="center"/>
    </xf>
    <xf numFmtId="197" fontId="81" fillId="0" borderId="53" xfId="0" applyNumberFormat="1" applyFont="1" applyFill="1" applyBorder="1" applyAlignment="1">
      <alignment horizontal="center" vertical="center"/>
    </xf>
    <xf numFmtId="198" fontId="81" fillId="0" borderId="50" xfId="0" applyNumberFormat="1" applyFont="1" applyFill="1" applyBorder="1" applyAlignment="1">
      <alignment horizontal="center" vertical="center"/>
    </xf>
    <xf numFmtId="0" fontId="81" fillId="35" borderId="50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vertical="center"/>
    </xf>
    <xf numFmtId="0" fontId="80" fillId="0" borderId="0" xfId="0" applyNumberFormat="1" applyFont="1" applyFill="1" applyAlignment="1">
      <alignment horizontal="left" vertical="center"/>
    </xf>
    <xf numFmtId="199" fontId="81" fillId="0" borderId="52" xfId="0" applyNumberFormat="1" applyFont="1" applyFill="1" applyBorder="1" applyAlignment="1">
      <alignment horizontal="center" vertical="center"/>
    </xf>
    <xf numFmtId="199" fontId="81" fillId="0" borderId="50" xfId="0" applyNumberFormat="1" applyFont="1" applyFill="1" applyBorder="1" applyAlignment="1">
      <alignment horizontal="center" vertical="center"/>
    </xf>
    <xf numFmtId="0" fontId="81" fillId="35" borderId="52" xfId="0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47" xfId="79" applyNumberFormat="1" applyFont="1" applyFill="1" applyBorder="1" applyAlignment="1">
      <alignment horizontal="center" vertical="center"/>
    </xf>
    <xf numFmtId="194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5" fillId="0" borderId="0" xfId="0" quotePrefix="1" applyFont="1" applyBorder="1" applyAlignment="1">
      <alignment vertical="center"/>
    </xf>
    <xf numFmtId="204" fontId="67" fillId="0" borderId="0" xfId="0" applyNumberFormat="1" applyFont="1" applyBorder="1" applyAlignment="1">
      <alignment vertical="center"/>
    </xf>
    <xf numFmtId="205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0" fontId="67" fillId="0" borderId="0" xfId="0" applyNumberFormat="1" applyFont="1" applyBorder="1" applyAlignment="1"/>
    <xf numFmtId="185" fontId="67" fillId="0" borderId="0" xfId="0" applyNumberFormat="1" applyFont="1" applyBorder="1" applyAlignment="1">
      <alignment vertical="center"/>
    </xf>
    <xf numFmtId="206" fontId="67" fillId="0" borderId="0" xfId="0" applyNumberFormat="1" applyFont="1" applyBorder="1" applyAlignment="1">
      <alignment vertical="center"/>
    </xf>
    <xf numFmtId="0" fontId="93" fillId="0" borderId="0" xfId="0" applyFont="1" applyBorder="1" applyAlignment="1">
      <alignment vertical="center"/>
    </xf>
    <xf numFmtId="201" fontId="93" fillId="0" borderId="0" xfId="0" applyNumberFormat="1" applyFont="1" applyBorder="1" applyAlignment="1">
      <alignment vertical="center"/>
    </xf>
    <xf numFmtId="201" fontId="93" fillId="0" borderId="0" xfId="0" applyNumberFormat="1" applyFont="1" applyBorder="1" applyAlignment="1">
      <alignment vertical="center" shrinkToFit="1"/>
    </xf>
    <xf numFmtId="208" fontId="67" fillId="0" borderId="0" xfId="0" applyNumberFormat="1" applyFont="1" applyBorder="1" applyAlignment="1">
      <alignment horizontal="center" vertical="center"/>
    </xf>
    <xf numFmtId="209" fontId="67" fillId="0" borderId="0" xfId="0" applyNumberFormat="1" applyFont="1" applyBorder="1" applyAlignment="1">
      <alignment vertical="center"/>
    </xf>
    <xf numFmtId="211" fontId="67" fillId="0" borderId="0" xfId="0" applyNumberFormat="1" applyFont="1" applyBorder="1" applyAlignment="1">
      <alignment vertical="center"/>
    </xf>
    <xf numFmtId="2" fontId="67" fillId="0" borderId="0" xfId="0" applyNumberFormat="1" applyFont="1" applyBorder="1" applyAlignment="1">
      <alignment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54" xfId="0" applyNumberFormat="1" applyFont="1" applyBorder="1" applyAlignment="1">
      <alignment vertical="center"/>
    </xf>
    <xf numFmtId="0" fontId="52" fillId="0" borderId="55" xfId="0" applyNumberFormat="1" applyFont="1" applyBorder="1" applyAlignment="1">
      <alignment vertical="center"/>
    </xf>
    <xf numFmtId="0" fontId="94" fillId="0" borderId="0" xfId="0" applyNumberFormat="1" applyFont="1" applyAlignment="1">
      <alignment vertical="center"/>
    </xf>
    <xf numFmtId="0" fontId="94" fillId="0" borderId="0" xfId="0" applyNumberFormat="1" applyFont="1" applyAlignment="1">
      <alignment horizontal="left" vertical="center" indent="1"/>
    </xf>
    <xf numFmtId="0" fontId="52" fillId="0" borderId="55" xfId="0" applyNumberFormat="1" applyFont="1" applyBorder="1" applyAlignment="1">
      <alignment horizontal="left" vertical="center"/>
    </xf>
    <xf numFmtId="0" fontId="81" fillId="32" borderId="60" xfId="0" applyNumberFormat="1" applyFont="1" applyFill="1" applyBorder="1" applyAlignment="1">
      <alignment horizontal="center" vertical="center" wrapText="1"/>
    </xf>
    <xf numFmtId="0" fontId="81" fillId="0" borderId="52" xfId="0" applyNumberFormat="1" applyFont="1" applyFill="1" applyBorder="1" applyAlignment="1">
      <alignment horizontal="center" vertical="center"/>
    </xf>
    <xf numFmtId="0" fontId="52" fillId="0" borderId="46" xfId="0" applyNumberFormat="1" applyFont="1" applyBorder="1" applyAlignment="1">
      <alignment horizontal="center" vertical="center" shrinkToFit="1"/>
    </xf>
    <xf numFmtId="41" fontId="52" fillId="0" borderId="46" xfId="87" applyFont="1" applyBorder="1" applyAlignment="1">
      <alignment horizontal="center" vertical="center"/>
    </xf>
    <xf numFmtId="41" fontId="52" fillId="0" borderId="46" xfId="0" applyNumberFormat="1" applyFont="1" applyBorder="1" applyAlignment="1">
      <alignment horizontal="center" vertical="center"/>
    </xf>
    <xf numFmtId="212" fontId="52" fillId="0" borderId="46" xfId="87" applyNumberFormat="1" applyFont="1" applyBorder="1" applyAlignment="1">
      <alignment horizontal="center" vertical="center"/>
    </xf>
    <xf numFmtId="41" fontId="52" fillId="0" borderId="46" xfId="87" applyNumberFormat="1" applyFont="1" applyBorder="1" applyAlignment="1">
      <alignment horizontal="center" vertical="center"/>
    </xf>
    <xf numFmtId="0" fontId="76" fillId="33" borderId="46" xfId="0" applyFont="1" applyFill="1" applyBorder="1">
      <alignment vertical="center"/>
    </xf>
    <xf numFmtId="0" fontId="48" fillId="0" borderId="56" xfId="79" applyNumberFormat="1" applyFont="1" applyFill="1" applyBorder="1" applyAlignment="1">
      <alignment horizontal="center" vertical="center"/>
    </xf>
    <xf numFmtId="0" fontId="48" fillId="0" borderId="41" xfId="79" applyNumberFormat="1" applyFont="1" applyFill="1" applyBorder="1" applyAlignment="1">
      <alignment horizontal="center" vertical="center"/>
    </xf>
    <xf numFmtId="0" fontId="95" fillId="28" borderId="65" xfId="0" applyNumberFormat="1" applyFont="1" applyFill="1" applyBorder="1" applyAlignment="1">
      <alignment horizontal="center" vertical="center"/>
    </xf>
    <xf numFmtId="0" fontId="81" fillId="0" borderId="65" xfId="0" applyNumberFormat="1" applyFont="1" applyFill="1" applyBorder="1" applyAlignment="1">
      <alignment horizontal="center" vertical="center"/>
    </xf>
    <xf numFmtId="0" fontId="97" fillId="0" borderId="65" xfId="0" applyNumberFormat="1" applyFont="1" applyFill="1" applyBorder="1" applyAlignment="1">
      <alignment horizontal="center" vertical="center"/>
    </xf>
    <xf numFmtId="192" fontId="81" fillId="0" borderId="65" xfId="0" applyNumberFormat="1" applyFont="1" applyFill="1" applyBorder="1" applyAlignment="1">
      <alignment horizontal="center" vertical="center"/>
    </xf>
    <xf numFmtId="0" fontId="81" fillId="0" borderId="50" xfId="79" applyNumberFormat="1" applyFont="1" applyFill="1" applyBorder="1" applyAlignment="1">
      <alignment horizontal="center" vertical="center"/>
    </xf>
    <xf numFmtId="0" fontId="52" fillId="0" borderId="0" xfId="0" applyFont="1" applyBorder="1" applyAlignment="1">
      <alignment vertical="center"/>
    </xf>
    <xf numFmtId="0" fontId="59" fillId="27" borderId="48" xfId="81" applyFont="1" applyFill="1" applyBorder="1" applyAlignment="1">
      <alignment horizontal="center" vertical="center"/>
    </xf>
    <xf numFmtId="0" fontId="81" fillId="0" borderId="65" xfId="78" applyNumberFormat="1" applyFont="1" applyFill="1" applyBorder="1" applyAlignment="1">
      <alignment horizontal="center" vertical="center"/>
    </xf>
    <xf numFmtId="0" fontId="5" fillId="28" borderId="60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shrinkToFit="1"/>
    </xf>
    <xf numFmtId="49" fontId="82" fillId="28" borderId="65" xfId="0" applyNumberFormat="1" applyFont="1" applyFill="1" applyBorder="1" applyAlignment="1">
      <alignment horizontal="center" vertical="center"/>
    </xf>
    <xf numFmtId="199" fontId="81" fillId="0" borderId="65" xfId="0" applyNumberFormat="1" applyFont="1" applyFill="1" applyBorder="1" applyAlignment="1">
      <alignment horizontal="center" vertical="center"/>
    </xf>
    <xf numFmtId="0" fontId="81" fillId="32" borderId="65" xfId="0" applyNumberFormat="1" applyFont="1" applyFill="1" applyBorder="1" applyAlignment="1">
      <alignment horizontal="center" vertical="center"/>
    </xf>
    <xf numFmtId="0" fontId="81" fillId="29" borderId="65" xfId="0" applyNumberFormat="1" applyFont="1" applyFill="1" applyBorder="1" applyAlignment="1">
      <alignment horizontal="center" vertical="center"/>
    </xf>
    <xf numFmtId="202" fontId="81" fillId="0" borderId="65" xfId="0" applyNumberFormat="1" applyFont="1" applyFill="1" applyBorder="1" applyAlignment="1">
      <alignment horizontal="center" vertical="center"/>
    </xf>
    <xf numFmtId="0" fontId="81" fillId="34" borderId="65" xfId="0" applyNumberFormat="1" applyFont="1" applyFill="1" applyBorder="1" applyAlignment="1">
      <alignment horizontal="center" vertical="center"/>
    </xf>
    <xf numFmtId="188" fontId="81" fillId="36" borderId="65" xfId="0" applyNumberFormat="1" applyFont="1" applyFill="1" applyBorder="1" applyAlignment="1">
      <alignment horizontal="center" vertical="center"/>
    </xf>
    <xf numFmtId="0" fontId="81" fillId="32" borderId="65" xfId="0" applyNumberFormat="1" applyFont="1" applyFill="1" applyBorder="1" applyAlignment="1">
      <alignment horizontal="center" vertical="center" wrapText="1"/>
    </xf>
    <xf numFmtId="0" fontId="81" fillId="0" borderId="65" xfId="0" applyNumberFormat="1" applyFont="1" applyFill="1" applyBorder="1" applyAlignment="1">
      <alignment horizontal="center" vertical="center" wrapText="1"/>
    </xf>
    <xf numFmtId="0" fontId="81" fillId="0" borderId="65" xfId="0" applyNumberFormat="1" applyFont="1" applyBorder="1" applyAlignment="1">
      <alignment horizontal="center" vertical="center"/>
    </xf>
    <xf numFmtId="201" fontId="81" fillId="0" borderId="65" xfId="0" applyNumberFormat="1" applyFont="1" applyFill="1" applyBorder="1" applyAlignment="1">
      <alignment horizontal="center" vertical="center"/>
    </xf>
    <xf numFmtId="194" fontId="81" fillId="0" borderId="65" xfId="0" applyNumberFormat="1" applyFont="1" applyFill="1" applyBorder="1" applyAlignment="1">
      <alignment horizontal="center" vertical="center"/>
    </xf>
    <xf numFmtId="200" fontId="81" fillId="0" borderId="65" xfId="0" applyNumberFormat="1" applyFont="1" applyFill="1" applyBorder="1" applyAlignment="1">
      <alignment horizontal="center" vertical="center"/>
    </xf>
    <xf numFmtId="203" fontId="81" fillId="0" borderId="65" xfId="0" applyNumberFormat="1" applyFont="1" applyFill="1" applyBorder="1" applyAlignment="1">
      <alignment horizontal="center" vertical="center"/>
    </xf>
    <xf numFmtId="194" fontId="81" fillId="32" borderId="65" xfId="0" applyNumberFormat="1" applyFont="1" applyFill="1" applyBorder="1" applyAlignment="1">
      <alignment horizontal="center" vertical="center"/>
    </xf>
    <xf numFmtId="0" fontId="81" fillId="36" borderId="65" xfId="0" applyNumberFormat="1" applyFont="1" applyFill="1" applyBorder="1" applyAlignment="1">
      <alignment horizontal="center" vertical="center"/>
    </xf>
    <xf numFmtId="0" fontId="81" fillId="0" borderId="65" xfId="0" applyNumberFormat="1" applyFont="1" applyFill="1" applyBorder="1" applyAlignment="1">
      <alignment horizontal="left" vertical="center"/>
    </xf>
    <xf numFmtId="49" fontId="81" fillId="0" borderId="65" xfId="0" applyNumberFormat="1" applyFont="1" applyFill="1" applyBorder="1" applyAlignment="1">
      <alignment horizontal="left" vertical="center"/>
    </xf>
    <xf numFmtId="0" fontId="48" fillId="0" borderId="66" xfId="79" applyNumberFormat="1" applyFont="1" applyFill="1" applyBorder="1" applyAlignment="1">
      <alignment horizontal="center" vertical="center"/>
    </xf>
    <xf numFmtId="194" fontId="81" fillId="29" borderId="65" xfId="0" applyNumberFormat="1" applyFont="1" applyFill="1" applyBorder="1" applyAlignment="1">
      <alignment horizontal="center" vertical="center"/>
    </xf>
    <xf numFmtId="41" fontId="52" fillId="0" borderId="56" xfId="87" applyFont="1" applyBorder="1" applyAlignment="1">
      <alignment horizontal="center" vertical="center" wrapText="1"/>
    </xf>
    <xf numFmtId="41" fontId="52" fillId="0" borderId="71" xfId="87" applyFont="1" applyBorder="1" applyAlignment="1">
      <alignment horizontal="center" vertical="center" wrapText="1"/>
    </xf>
    <xf numFmtId="9" fontId="52" fillId="0" borderId="71" xfId="87" applyNumberFormat="1" applyFont="1" applyBorder="1" applyAlignment="1">
      <alignment horizontal="center" vertical="center" wrapText="1"/>
    </xf>
    <xf numFmtId="0" fontId="65" fillId="0" borderId="0" xfId="0" applyFont="1" applyBorder="1" applyAlignment="1">
      <alignment horizontal="right" vertical="center"/>
    </xf>
    <xf numFmtId="205" fontId="67" fillId="0" borderId="0" xfId="0" applyNumberFormat="1" applyFont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0" fontId="73" fillId="0" borderId="0" xfId="0" applyFont="1" applyBorder="1">
      <alignment vertical="center"/>
    </xf>
    <xf numFmtId="0" fontId="88" fillId="0" borderId="0" xfId="0" applyFont="1" applyBorder="1">
      <alignment vertical="center"/>
    </xf>
    <xf numFmtId="0" fontId="100" fillId="0" borderId="0" xfId="0" applyFont="1" applyBorder="1" applyAlignment="1">
      <alignment vertical="center"/>
    </xf>
    <xf numFmtId="0" fontId="67" fillId="0" borderId="70" xfId="0" applyNumberFormat="1" applyFont="1" applyBorder="1" applyAlignment="1">
      <alignment horizontal="center" vertical="center"/>
    </xf>
    <xf numFmtId="201" fontId="69" fillId="0" borderId="0" xfId="0" applyNumberFormat="1" applyFont="1" applyBorder="1" applyAlignment="1">
      <alignment vertical="center"/>
    </xf>
    <xf numFmtId="189" fontId="82" fillId="28" borderId="65" xfId="0" applyNumberFormat="1" applyFont="1" applyFill="1" applyBorder="1" applyAlignment="1">
      <alignment horizontal="center" vertical="center" wrapText="1"/>
    </xf>
    <xf numFmtId="189" fontId="82" fillId="28" borderId="65" xfId="0" applyNumberFormat="1" applyFont="1" applyFill="1" applyBorder="1" applyAlignment="1">
      <alignment horizontal="center" vertical="center"/>
    </xf>
    <xf numFmtId="0" fontId="82" fillId="28" borderId="65" xfId="0" quotePrefix="1" applyNumberFormat="1" applyFont="1" applyFill="1" applyBorder="1" applyAlignment="1">
      <alignment horizontal="center" vertical="center" wrapText="1"/>
    </xf>
    <xf numFmtId="0" fontId="82" fillId="28" borderId="60" xfId="0" applyNumberFormat="1" applyFont="1" applyFill="1" applyBorder="1" applyAlignment="1">
      <alignment horizontal="center" vertical="center" wrapText="1"/>
    </xf>
    <xf numFmtId="188" fontId="81" fillId="0" borderId="65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/>
    </xf>
    <xf numFmtId="194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191" fontId="67" fillId="0" borderId="0" xfId="0" applyNumberFormat="1" applyFont="1" applyBorder="1" applyAlignment="1">
      <alignment vertical="center"/>
    </xf>
    <xf numFmtId="0" fontId="67" fillId="0" borderId="7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210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7" fillId="0" borderId="58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 shrinkToFit="1"/>
    </xf>
    <xf numFmtId="0" fontId="67" fillId="0" borderId="0" xfId="0" applyFont="1" applyBorder="1">
      <alignment vertical="center"/>
    </xf>
    <xf numFmtId="195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 shrinkToFit="1"/>
    </xf>
    <xf numFmtId="0" fontId="82" fillId="28" borderId="75" xfId="0" applyNumberFormat="1" applyFont="1" applyFill="1" applyBorder="1" applyAlignment="1">
      <alignment horizontal="center" vertical="center"/>
    </xf>
    <xf numFmtId="197" fontId="81" fillId="0" borderId="65" xfId="0" applyNumberFormat="1" applyFont="1" applyFill="1" applyBorder="1" applyAlignment="1">
      <alignment horizontal="center" vertical="center"/>
    </xf>
    <xf numFmtId="192" fontId="81" fillId="0" borderId="43" xfId="0" applyNumberFormat="1" applyFont="1" applyFill="1" applyBorder="1" applyAlignment="1">
      <alignment vertical="center"/>
    </xf>
    <xf numFmtId="192" fontId="81" fillId="0" borderId="42" xfId="0" applyNumberFormat="1" applyFont="1" applyFill="1" applyBorder="1" applyAlignment="1">
      <alignment vertical="center"/>
    </xf>
    <xf numFmtId="192" fontId="81" fillId="0" borderId="44" xfId="0" applyNumberFormat="1" applyFont="1" applyFill="1" applyBorder="1" applyAlignment="1">
      <alignment vertical="center"/>
    </xf>
    <xf numFmtId="194" fontId="81" fillId="31" borderId="65" xfId="0" applyNumberFormat="1" applyFont="1" applyFill="1" applyBorder="1" applyAlignment="1">
      <alignment horizontal="center" vertical="center"/>
    </xf>
    <xf numFmtId="41" fontId="52" fillId="0" borderId="77" xfId="87" applyFont="1" applyBorder="1" applyAlignment="1">
      <alignment horizontal="center" vertical="center" wrapText="1"/>
    </xf>
    <xf numFmtId="0" fontId="86" fillId="35" borderId="75" xfId="78" applyNumberFormat="1" applyFont="1" applyFill="1" applyBorder="1" applyAlignment="1">
      <alignment horizontal="center" vertical="center"/>
    </xf>
    <xf numFmtId="0" fontId="81" fillId="0" borderId="65" xfId="0" applyNumberFormat="1" applyFont="1" applyFill="1" applyBorder="1" applyAlignment="1">
      <alignment vertical="center"/>
    </xf>
    <xf numFmtId="2" fontId="67" fillId="0" borderId="58" xfId="0" applyNumberFormat="1" applyFont="1" applyBorder="1" applyAlignment="1">
      <alignment vertical="center"/>
    </xf>
    <xf numFmtId="0" fontId="67" fillId="0" borderId="58" xfId="0" applyFont="1" applyBorder="1">
      <alignment vertical="center"/>
    </xf>
    <xf numFmtId="0" fontId="52" fillId="0" borderId="41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vertical="center"/>
    </xf>
    <xf numFmtId="0" fontId="52" fillId="0" borderId="70" xfId="0" applyNumberFormat="1" applyFont="1" applyBorder="1" applyAlignment="1">
      <alignment vertical="center"/>
    </xf>
    <xf numFmtId="215" fontId="52" fillId="0" borderId="70" xfId="0" applyNumberFormat="1" applyFont="1" applyBorder="1" applyAlignment="1">
      <alignment vertical="center"/>
    </xf>
    <xf numFmtId="1" fontId="52" fillId="0" borderId="0" xfId="0" applyNumberFormat="1" applyFont="1" applyBorder="1" applyAlignment="1">
      <alignment vertical="center"/>
    </xf>
    <xf numFmtId="194" fontId="52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208" fontId="52" fillId="0" borderId="0" xfId="0" applyNumberFormat="1" applyFont="1" applyBorder="1" applyAlignment="1">
      <alignment vertical="center"/>
    </xf>
    <xf numFmtId="218" fontId="67" fillId="0" borderId="0" xfId="0" applyNumberFormat="1" applyFont="1" applyBorder="1" applyAlignment="1">
      <alignment vertical="center"/>
    </xf>
    <xf numFmtId="0" fontId="48" fillId="0" borderId="70" xfId="79" applyNumberFormat="1" applyFont="1" applyFill="1" applyBorder="1" applyAlignment="1">
      <alignment horizontal="left" vertical="center"/>
    </xf>
    <xf numFmtId="0" fontId="67" fillId="0" borderId="0" xfId="0" applyFont="1" applyBorder="1" applyAlignment="1">
      <alignment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1" fillId="31" borderId="65" xfId="0" applyNumberFormat="1" applyFont="1" applyFill="1" applyBorder="1" applyAlignment="1">
      <alignment horizontal="center" vertical="center"/>
    </xf>
    <xf numFmtId="2" fontId="81" fillId="32" borderId="65" xfId="86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 wrapText="1"/>
    </xf>
    <xf numFmtId="49" fontId="60" fillId="0" borderId="0" xfId="79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216" fontId="103" fillId="37" borderId="38" xfId="113" applyNumberFormat="1" applyFont="1" applyFill="1" applyBorder="1" applyAlignment="1">
      <alignment horizontal="center" vertical="center" wrapText="1"/>
    </xf>
    <xf numFmtId="0" fontId="52" fillId="0" borderId="0" xfId="0" applyNumberFormat="1" applyFont="1" applyBorder="1" applyAlignment="1">
      <alignment horizontal="center" vertical="center"/>
    </xf>
    <xf numFmtId="49" fontId="60" fillId="37" borderId="38" xfId="79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194" fontId="67" fillId="0" borderId="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/>
    </xf>
    <xf numFmtId="194" fontId="67" fillId="0" borderId="0" xfId="0" applyNumberFormat="1" applyFont="1" applyBorder="1" applyAlignment="1">
      <alignment vertical="center"/>
    </xf>
    <xf numFmtId="0" fontId="67" fillId="0" borderId="58" xfId="0" applyFont="1" applyBorder="1">
      <alignment vertical="center"/>
    </xf>
    <xf numFmtId="0" fontId="67" fillId="0" borderId="58" xfId="0" applyNumberFormat="1" applyFont="1" applyBorder="1" applyAlignment="1">
      <alignment vertical="center"/>
    </xf>
    <xf numFmtId="195" fontId="67" fillId="0" borderId="0" xfId="0" applyNumberFormat="1" applyFont="1" applyBorder="1" applyAlignment="1">
      <alignment vertical="center"/>
    </xf>
    <xf numFmtId="0" fontId="80" fillId="0" borderId="0" xfId="0" applyNumberFormat="1" applyFont="1">
      <alignment vertical="center"/>
    </xf>
    <xf numFmtId="0" fontId="67" fillId="0" borderId="0" xfId="0" applyFont="1" applyBorder="1" applyAlignment="1">
      <alignment vertical="center"/>
    </xf>
    <xf numFmtId="195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58" xfId="0" applyNumberFormat="1" applyFont="1" applyBorder="1" applyAlignment="1">
      <alignment vertical="center"/>
    </xf>
    <xf numFmtId="0" fontId="67" fillId="0" borderId="58" xfId="0" applyFont="1" applyBorder="1">
      <alignment vertical="center"/>
    </xf>
    <xf numFmtId="194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194" fontId="67" fillId="0" borderId="0" xfId="0" applyNumberFormat="1" applyFont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 wrapText="1"/>
    </xf>
    <xf numFmtId="188" fontId="81" fillId="0" borderId="65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75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/>
    </xf>
    <xf numFmtId="0" fontId="104" fillId="35" borderId="50" xfId="0" applyNumberFormat="1" applyFont="1" applyFill="1" applyBorder="1" applyAlignment="1">
      <alignment horizontal="center" vertical="center"/>
    </xf>
    <xf numFmtId="0" fontId="48" fillId="0" borderId="46" xfId="79" applyNumberFormat="1" applyFont="1" applyFill="1" applyBorder="1" applyAlignment="1">
      <alignment horizontal="center" vertical="center"/>
    </xf>
    <xf numFmtId="0" fontId="48" fillId="0" borderId="56" xfId="79" applyNumberFormat="1" applyFont="1" applyFill="1" applyBorder="1" applyAlignment="1">
      <alignment horizontal="center" vertical="center"/>
    </xf>
    <xf numFmtId="0" fontId="48" fillId="0" borderId="46" xfId="79" applyNumberFormat="1" applyFont="1" applyFill="1" applyBorder="1" applyAlignment="1">
      <alignment horizontal="center" vertical="center"/>
    </xf>
    <xf numFmtId="0" fontId="105" fillId="0" borderId="0" xfId="79" applyNumberFormat="1" applyFont="1" applyFill="1" applyAlignment="1">
      <alignment horizontal="left" vertical="center"/>
    </xf>
    <xf numFmtId="0" fontId="105" fillId="0" borderId="0" xfId="79" applyNumberFormat="1" applyFont="1" applyFill="1" applyBorder="1" applyAlignment="1">
      <alignment vertical="center"/>
    </xf>
    <xf numFmtId="0" fontId="80" fillId="35" borderId="50" xfId="0" applyNumberFormat="1" applyFont="1" applyFill="1" applyBorder="1" applyAlignment="1">
      <alignment horizontal="center" vertical="center"/>
    </xf>
    <xf numFmtId="0" fontId="48" fillId="0" borderId="54" xfId="79" applyNumberFormat="1" applyFont="1" applyFill="1" applyBorder="1" applyAlignment="1">
      <alignment horizontal="center" vertical="center"/>
    </xf>
    <xf numFmtId="0" fontId="105" fillId="0" borderId="0" xfId="79" applyNumberFormat="1" applyFont="1" applyFill="1" applyAlignment="1">
      <alignment horizontal="center" vertical="center"/>
    </xf>
    <xf numFmtId="0" fontId="105" fillId="0" borderId="0" xfId="79" applyNumberFormat="1" applyFont="1" applyFill="1" applyAlignment="1">
      <alignment vertical="center"/>
    </xf>
    <xf numFmtId="0" fontId="82" fillId="28" borderId="65" xfId="0" applyNumberFormat="1" applyFont="1" applyFill="1" applyBorder="1" applyAlignment="1">
      <alignment horizontal="center" vertical="center"/>
    </xf>
    <xf numFmtId="0" fontId="48" fillId="0" borderId="46" xfId="79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191" fontId="67" fillId="0" borderId="0" xfId="0" applyNumberFormat="1" applyFont="1" applyBorder="1" applyAlignment="1">
      <alignment vertical="center"/>
    </xf>
    <xf numFmtId="194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left" vertical="center"/>
    </xf>
    <xf numFmtId="0" fontId="67" fillId="0" borderId="70" xfId="0" applyNumberFormat="1" applyFont="1" applyBorder="1" applyAlignment="1">
      <alignment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42" xfId="0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201" fontId="67" fillId="0" borderId="0" xfId="0" applyNumberFormat="1" applyFont="1" applyBorder="1" applyAlignment="1">
      <alignment vertical="center"/>
    </xf>
    <xf numFmtId="221" fontId="67" fillId="0" borderId="0" xfId="0" applyNumberFormat="1" applyFont="1" applyBorder="1" applyAlignment="1">
      <alignment vertical="center"/>
    </xf>
    <xf numFmtId="222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NumberFormat="1" applyFont="1" applyBorder="1" applyAlignment="1">
      <alignment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188" fontId="81" fillId="0" borderId="65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1" fillId="38" borderId="65" xfId="0" applyNumberFormat="1" applyFont="1" applyFill="1" applyBorder="1" applyAlignment="1">
      <alignment horizontal="center" vertical="center"/>
    </xf>
    <xf numFmtId="0" fontId="106" fillId="28" borderId="65" xfId="0" applyNumberFormat="1" applyFont="1" applyFill="1" applyBorder="1" applyAlignment="1">
      <alignment horizontal="center" vertical="center"/>
    </xf>
    <xf numFmtId="223" fontId="81" fillId="31" borderId="65" xfId="0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81" fillId="0" borderId="50" xfId="0" applyNumberFormat="1" applyFont="1" applyFill="1" applyBorder="1" applyAlignment="1">
      <alignment horizontal="center" vertical="center"/>
    </xf>
    <xf numFmtId="0" fontId="81" fillId="35" borderId="52" xfId="0" applyNumberFormat="1" applyFont="1" applyFill="1" applyBorder="1" applyAlignment="1">
      <alignment horizontal="center" vertical="center"/>
    </xf>
    <xf numFmtId="0" fontId="81" fillId="0" borderId="52" xfId="0" applyNumberFormat="1" applyFont="1" applyFill="1" applyBorder="1" applyAlignment="1">
      <alignment horizontal="center" vertical="center"/>
    </xf>
    <xf numFmtId="0" fontId="81" fillId="0" borderId="65" xfId="0" applyNumberFormat="1" applyFont="1" applyFill="1" applyBorder="1" applyAlignment="1">
      <alignment horizontal="center" vertical="center"/>
    </xf>
    <xf numFmtId="0" fontId="81" fillId="36" borderId="65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/>
    </xf>
    <xf numFmtId="199" fontId="81" fillId="35" borderId="52" xfId="0" applyNumberFormat="1" applyFont="1" applyFill="1" applyBorder="1" applyAlignment="1">
      <alignment horizontal="center" vertical="center"/>
    </xf>
    <xf numFmtId="0" fontId="81" fillId="39" borderId="65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48" fillId="0" borderId="54" xfId="79" applyNumberFormat="1" applyFont="1" applyFill="1" applyBorder="1" applyAlignment="1">
      <alignment horizontal="center" vertical="center"/>
    </xf>
    <xf numFmtId="0" fontId="48" fillId="0" borderId="55" xfId="79" applyNumberFormat="1" applyFont="1" applyFill="1" applyBorder="1" applyAlignment="1">
      <alignment horizontal="center" vertical="center"/>
    </xf>
    <xf numFmtId="0" fontId="48" fillId="0" borderId="58" xfId="79" applyNumberFormat="1" applyFont="1" applyFill="1" applyBorder="1" applyAlignment="1">
      <alignment horizontal="center" vertical="center"/>
    </xf>
    <xf numFmtId="0" fontId="48" fillId="0" borderId="46" xfId="79" applyNumberFormat="1" applyFont="1" applyFill="1" applyBorder="1" applyAlignment="1">
      <alignment horizontal="center" vertical="center"/>
    </xf>
    <xf numFmtId="0" fontId="81" fillId="0" borderId="65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horizontal="left" vertical="center" shrinkToFit="1"/>
    </xf>
    <xf numFmtId="0" fontId="11" fillId="0" borderId="1" xfId="0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0" borderId="26" xfId="0" applyFont="1" applyFill="1" applyBorder="1" applyAlignment="1">
      <alignment horizontal="center" vertical="center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63" fillId="0" borderId="35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48" fillId="0" borderId="54" xfId="79" applyNumberFormat="1" applyFont="1" applyFill="1" applyBorder="1" applyAlignment="1">
      <alignment horizontal="center" vertical="center"/>
    </xf>
    <xf numFmtId="0" fontId="48" fillId="0" borderId="55" xfId="79" applyNumberFormat="1" applyFont="1" applyFill="1" applyBorder="1" applyAlignment="1">
      <alignment horizontal="center" vertical="center"/>
    </xf>
    <xf numFmtId="0" fontId="48" fillId="0" borderId="47" xfId="79" applyNumberFormat="1" applyFont="1" applyFill="1" applyBorder="1" applyAlignment="1">
      <alignment horizontal="center" vertical="center" wrapText="1"/>
    </xf>
    <xf numFmtId="0" fontId="48" fillId="0" borderId="48" xfId="79" applyNumberFormat="1" applyFont="1" applyFill="1" applyBorder="1" applyAlignment="1">
      <alignment horizontal="center" vertical="center" wrapText="1"/>
    </xf>
    <xf numFmtId="0" fontId="48" fillId="0" borderId="18" xfId="79" applyNumberFormat="1" applyFont="1" applyFill="1" applyBorder="1" applyAlignment="1">
      <alignment horizontal="center" vertical="center" wrapText="1"/>
    </xf>
    <xf numFmtId="0" fontId="48" fillId="0" borderId="20" xfId="79" applyNumberFormat="1" applyFont="1" applyFill="1" applyBorder="1" applyAlignment="1">
      <alignment horizontal="center" vertical="center" wrapText="1"/>
    </xf>
    <xf numFmtId="0" fontId="48" fillId="0" borderId="83" xfId="79" applyNumberFormat="1" applyFont="1" applyFill="1" applyBorder="1" applyAlignment="1">
      <alignment horizontal="center" vertical="center"/>
    </xf>
    <xf numFmtId="0" fontId="48" fillId="0" borderId="72" xfId="79" applyNumberFormat="1" applyFont="1" applyFill="1" applyBorder="1" applyAlignment="1">
      <alignment horizontal="center" vertical="center" wrapText="1"/>
    </xf>
    <xf numFmtId="0" fontId="47" fillId="0" borderId="0" xfId="79" applyNumberFormat="1" applyFont="1" applyAlignment="1">
      <alignment horizontal="center" wrapText="1"/>
    </xf>
    <xf numFmtId="0" fontId="48" fillId="0" borderId="58" xfId="79" applyNumberFormat="1" applyFont="1" applyFill="1" applyBorder="1" applyAlignment="1">
      <alignment horizontal="center" vertical="center"/>
    </xf>
    <xf numFmtId="0" fontId="48" fillId="0" borderId="84" xfId="79" applyNumberFormat="1" applyFont="1" applyFill="1" applyBorder="1" applyAlignment="1">
      <alignment horizontal="center" vertical="center" wrapText="1"/>
    </xf>
    <xf numFmtId="0" fontId="48" fillId="0" borderId="85" xfId="79" applyNumberFormat="1" applyFont="1" applyFill="1" applyBorder="1" applyAlignment="1">
      <alignment horizontal="center" vertical="center" wrapText="1"/>
    </xf>
    <xf numFmtId="0" fontId="48" fillId="0" borderId="41" xfId="79" applyNumberFormat="1" applyFont="1" applyFill="1" applyBorder="1" applyAlignment="1">
      <alignment horizontal="center" vertical="center" wrapText="1"/>
    </xf>
    <xf numFmtId="0" fontId="48" fillId="0" borderId="70" xfId="79" applyNumberFormat="1" applyFont="1" applyFill="1" applyBorder="1" applyAlignment="1">
      <alignment horizontal="center" vertical="center" wrapText="1"/>
    </xf>
    <xf numFmtId="0" fontId="48" fillId="0" borderId="46" xfId="79" applyNumberFormat="1" applyFont="1" applyFill="1" applyBorder="1" applyAlignment="1">
      <alignment horizontal="center" vertical="center" wrapText="1"/>
    </xf>
    <xf numFmtId="0" fontId="48" fillId="0" borderId="46" xfId="79" applyNumberFormat="1" applyFont="1" applyFill="1" applyBorder="1" applyAlignment="1">
      <alignment horizontal="center" vertical="center"/>
    </xf>
    <xf numFmtId="0" fontId="48" fillId="0" borderId="56" xfId="79" applyNumberFormat="1" applyFont="1" applyFill="1" applyBorder="1" applyAlignment="1">
      <alignment horizontal="center" vertical="center" wrapText="1"/>
    </xf>
    <xf numFmtId="0" fontId="48" fillId="0" borderId="57" xfId="79" applyNumberFormat="1" applyFont="1" applyFill="1" applyBorder="1" applyAlignment="1">
      <alignment horizontal="center" vertical="center"/>
    </xf>
    <xf numFmtId="0" fontId="48" fillId="0" borderId="73" xfId="79" applyNumberFormat="1" applyFont="1" applyFill="1" applyBorder="1" applyAlignment="1">
      <alignment horizontal="center" vertical="center" wrapText="1"/>
    </xf>
    <xf numFmtId="49" fontId="75" fillId="0" borderId="0" xfId="82" applyNumberFormat="1" applyFont="1" applyFill="1" applyBorder="1" applyAlignment="1">
      <alignment horizontal="center" vertical="center" wrapText="1"/>
    </xf>
    <xf numFmtId="0" fontId="48" fillId="0" borderId="77" xfId="79" applyNumberFormat="1" applyFont="1" applyFill="1" applyBorder="1" applyAlignment="1">
      <alignment horizontal="center" vertical="center"/>
    </xf>
    <xf numFmtId="0" fontId="48" fillId="0" borderId="73" xfId="79" applyNumberFormat="1" applyFont="1" applyFill="1" applyBorder="1" applyAlignment="1">
      <alignment horizontal="center" vertical="center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38" xfId="79" applyNumberFormat="1" applyFont="1" applyFill="1" applyBorder="1" applyAlignment="1">
      <alignment horizontal="center" vertical="center"/>
    </xf>
    <xf numFmtId="216" fontId="60" fillId="37" borderId="0" xfId="0" applyNumberFormat="1" applyFont="1" applyFill="1" applyBorder="1" applyAlignment="1">
      <alignment horizontal="center" vertical="center" wrapText="1"/>
    </xf>
    <xf numFmtId="216" fontId="60" fillId="37" borderId="38" xfId="0" applyNumberFormat="1" applyFont="1" applyFill="1" applyBorder="1" applyAlignment="1">
      <alignment horizontal="center" vertical="center" wrapText="1"/>
    </xf>
    <xf numFmtId="49" fontId="60" fillId="37" borderId="0" xfId="0" applyNumberFormat="1" applyFont="1" applyFill="1" applyBorder="1" applyAlignment="1">
      <alignment horizontal="center" vertical="center"/>
    </xf>
    <xf numFmtId="49" fontId="60" fillId="37" borderId="38" xfId="0" applyNumberFormat="1" applyFont="1" applyFill="1" applyBorder="1" applyAlignment="1">
      <alignment horizontal="center" vertical="center"/>
    </xf>
    <xf numFmtId="216" fontId="48" fillId="37" borderId="0" xfId="0" applyNumberFormat="1" applyFont="1" applyFill="1" applyAlignment="1">
      <alignment horizontal="center" vertical="center"/>
    </xf>
    <xf numFmtId="216" fontId="48" fillId="37" borderId="38" xfId="0" applyNumberFormat="1" applyFont="1" applyFill="1" applyBorder="1" applyAlignment="1">
      <alignment horizontal="center" vertical="center"/>
    </xf>
    <xf numFmtId="216" fontId="60" fillId="37" borderId="0" xfId="0" applyNumberFormat="1" applyFont="1" applyFill="1" applyAlignment="1">
      <alignment horizontal="center" vertical="center"/>
    </xf>
    <xf numFmtId="216" fontId="60" fillId="37" borderId="38" xfId="0" applyNumberFormat="1" applyFont="1" applyFill="1" applyBorder="1" applyAlignment="1">
      <alignment horizontal="center" vertical="center"/>
    </xf>
    <xf numFmtId="216" fontId="103" fillId="37" borderId="0" xfId="113" applyNumberFormat="1" applyFont="1" applyFill="1" applyBorder="1" applyAlignment="1">
      <alignment horizontal="center" vertical="center" wrapText="1"/>
    </xf>
    <xf numFmtId="216" fontId="103" fillId="37" borderId="38" xfId="113" applyNumberFormat="1" applyFont="1" applyFill="1" applyBorder="1" applyAlignment="1">
      <alignment horizontal="center" vertical="center" wrapText="1"/>
    </xf>
    <xf numFmtId="216" fontId="103" fillId="37" borderId="0" xfId="113" applyNumberFormat="1" applyFont="1" applyFill="1" applyBorder="1" applyAlignment="1">
      <alignment horizontal="center" vertical="center"/>
    </xf>
    <xf numFmtId="216" fontId="103" fillId="37" borderId="38" xfId="113" applyNumberFormat="1" applyFont="1" applyFill="1" applyBorder="1" applyAlignment="1">
      <alignment horizontal="center" vertical="center"/>
    </xf>
    <xf numFmtId="0" fontId="60" fillId="37" borderId="0" xfId="0" applyNumberFormat="1" applyFont="1" applyFill="1" applyBorder="1" applyAlignment="1">
      <alignment horizontal="center" vertical="center"/>
    </xf>
    <xf numFmtId="0" fontId="60" fillId="37" borderId="38" xfId="0" applyNumberFormat="1" applyFont="1" applyFill="1" applyBorder="1" applyAlignment="1">
      <alignment horizontal="center" vertical="center"/>
    </xf>
    <xf numFmtId="216" fontId="48" fillId="37" borderId="0" xfId="0" applyNumberFormat="1" applyFont="1" applyFill="1" applyBorder="1" applyAlignment="1">
      <alignment horizontal="center" vertical="center"/>
    </xf>
    <xf numFmtId="216" fontId="60" fillId="37" borderId="0" xfId="0" applyNumberFormat="1" applyFont="1" applyFill="1" applyBorder="1" applyAlignment="1">
      <alignment horizontal="center" vertical="center"/>
    </xf>
    <xf numFmtId="0" fontId="60" fillId="37" borderId="0" xfId="0" applyNumberFormat="1" applyFont="1" applyFill="1" applyAlignment="1">
      <alignment horizontal="center" vertical="center"/>
    </xf>
    <xf numFmtId="0" fontId="48" fillId="0" borderId="56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196" fontId="1" fillId="0" borderId="42" xfId="78" applyNumberFormat="1" applyFont="1" applyFill="1" applyBorder="1" applyAlignment="1">
      <alignment horizontal="center" vertical="center"/>
    </xf>
    <xf numFmtId="196" fontId="1" fillId="0" borderId="44" xfId="78" applyNumberFormat="1" applyFont="1" applyFill="1" applyBorder="1" applyAlignment="1">
      <alignment horizontal="center" vertical="center"/>
    </xf>
    <xf numFmtId="49" fontId="1" fillId="0" borderId="42" xfId="78" applyNumberFormat="1" applyFont="1" applyFill="1" applyBorder="1" applyAlignment="1">
      <alignment horizontal="center" vertical="center"/>
    </xf>
    <xf numFmtId="49" fontId="1" fillId="0" borderId="44" xfId="78" applyNumberFormat="1" applyFont="1" applyFill="1" applyBorder="1" applyAlignment="1">
      <alignment horizontal="center" vertical="center"/>
    </xf>
    <xf numFmtId="0" fontId="7" fillId="28" borderId="45" xfId="0" applyNumberFormat="1" applyFont="1" applyFill="1" applyBorder="1" applyAlignment="1">
      <alignment horizontal="center" vertical="center" wrapText="1"/>
    </xf>
    <xf numFmtId="0" fontId="7" fillId="28" borderId="49" xfId="0" applyNumberFormat="1" applyFont="1" applyFill="1" applyBorder="1" applyAlignment="1">
      <alignment horizontal="center" vertical="center" wrapText="1"/>
    </xf>
    <xf numFmtId="0" fontId="7" fillId="28" borderId="42" xfId="0" applyNumberFormat="1" applyFont="1" applyFill="1" applyBorder="1" applyAlignment="1">
      <alignment horizontal="center" vertical="center"/>
    </xf>
    <xf numFmtId="0" fontId="7" fillId="28" borderId="43" xfId="0" applyNumberFormat="1" applyFont="1" applyFill="1" applyBorder="1" applyAlignment="1">
      <alignment horizontal="center" vertical="center"/>
    </xf>
    <xf numFmtId="0" fontId="7" fillId="28" borderId="44" xfId="0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NumberFormat="1" applyFont="1" applyBorder="1" applyAlignment="1">
      <alignment horizontal="center" vertical="center"/>
    </xf>
    <xf numFmtId="194" fontId="67" fillId="0" borderId="0" xfId="0" applyNumberFormat="1" applyFont="1" applyBorder="1" applyAlignment="1">
      <alignment vertical="center"/>
    </xf>
    <xf numFmtId="191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 shrinkToFit="1"/>
    </xf>
    <xf numFmtId="0" fontId="67" fillId="0" borderId="0" xfId="0" applyFont="1" applyBorder="1" applyAlignment="1">
      <alignment vertical="center"/>
    </xf>
    <xf numFmtId="195" fontId="67" fillId="0" borderId="0" xfId="0" applyNumberFormat="1" applyFont="1" applyBorder="1" applyAlignment="1">
      <alignment horizontal="right" vertical="center"/>
    </xf>
    <xf numFmtId="208" fontId="67" fillId="0" borderId="0" xfId="0" applyNumberFormat="1" applyFont="1" applyBorder="1" applyAlignment="1">
      <alignment vertical="center"/>
    </xf>
    <xf numFmtId="208" fontId="0" fillId="0" borderId="0" xfId="0" applyNumberFormat="1" applyBorder="1" applyAlignment="1">
      <alignment vertical="center"/>
    </xf>
    <xf numFmtId="185" fontId="67" fillId="0" borderId="0" xfId="0" applyNumberFormat="1" applyFont="1" applyBorder="1" applyAlignment="1">
      <alignment horizontal="left" vertical="center"/>
    </xf>
    <xf numFmtId="0" fontId="69" fillId="0" borderId="0" xfId="0" applyFont="1" applyBorder="1" applyAlignment="1">
      <alignment horizontal="center" vertical="center"/>
    </xf>
    <xf numFmtId="215" fontId="67" fillId="0" borderId="0" xfId="0" applyNumberFormat="1" applyFont="1" applyBorder="1" applyAlignment="1">
      <alignment horizontal="left" vertical="center"/>
    </xf>
    <xf numFmtId="211" fontId="67" fillId="0" borderId="0" xfId="0" applyNumberFormat="1" applyFont="1" applyBorder="1" applyAlignment="1">
      <alignment horizontal="left" vertical="center"/>
    </xf>
    <xf numFmtId="213" fontId="67" fillId="0" borderId="0" xfId="0" applyNumberFormat="1" applyFont="1" applyBorder="1" applyAlignment="1">
      <alignment horizontal="center" vertical="center"/>
    </xf>
    <xf numFmtId="208" fontId="0" fillId="0" borderId="0" xfId="0" applyNumberFormat="1" applyAlignment="1">
      <alignment vertical="center"/>
    </xf>
    <xf numFmtId="207" fontId="67" fillId="0" borderId="0" xfId="0" applyNumberFormat="1" applyFont="1" applyBorder="1" applyAlignment="1">
      <alignment horizontal="left" vertical="center"/>
    </xf>
    <xf numFmtId="0" fontId="67" fillId="0" borderId="0" xfId="0" applyFont="1" applyBorder="1" applyAlignment="1">
      <alignment horizontal="center" vertical="center"/>
    </xf>
    <xf numFmtId="0" fontId="67" fillId="0" borderId="70" xfId="0" applyNumberFormat="1" applyFont="1" applyBorder="1" applyAlignment="1">
      <alignment vertical="center"/>
    </xf>
    <xf numFmtId="194" fontId="67" fillId="0" borderId="0" xfId="0" applyNumberFormat="1" applyFont="1" applyBorder="1" applyAlignment="1">
      <alignment horizontal="right" vertical="center"/>
    </xf>
    <xf numFmtId="0" fontId="67" fillId="0" borderId="41" xfId="0" applyFont="1" applyBorder="1" applyAlignment="1">
      <alignment horizontal="center" vertical="center"/>
    </xf>
    <xf numFmtId="2" fontId="67" fillId="0" borderId="0" xfId="0" applyNumberFormat="1" applyFont="1" applyBorder="1" applyAlignment="1">
      <alignment horizontal="right" vertical="center"/>
    </xf>
    <xf numFmtId="218" fontId="67" fillId="0" borderId="0" xfId="0" applyNumberFormat="1" applyFont="1" applyBorder="1" applyAlignment="1">
      <alignment horizontal="center" vertical="center"/>
    </xf>
    <xf numFmtId="201" fontId="67" fillId="0" borderId="0" xfId="0" applyNumberFormat="1" applyFont="1" applyBorder="1" applyAlignment="1">
      <alignment horizontal="center" vertical="center"/>
    </xf>
    <xf numFmtId="194" fontId="67" fillId="0" borderId="0" xfId="0" applyNumberFormat="1" applyFont="1" applyBorder="1" applyAlignment="1">
      <alignment horizontal="center" vertical="center"/>
    </xf>
    <xf numFmtId="209" fontId="67" fillId="0" borderId="0" xfId="0" applyNumberFormat="1" applyFont="1" applyBorder="1" applyAlignment="1">
      <alignment horizontal="left" vertical="center" shrinkToFit="1"/>
    </xf>
    <xf numFmtId="188" fontId="67" fillId="0" borderId="70" xfId="0" applyNumberFormat="1" applyFont="1" applyBorder="1" applyAlignment="1">
      <alignment horizontal="center" vertical="center" shrinkToFit="1"/>
    </xf>
    <xf numFmtId="188" fontId="67" fillId="0" borderId="70" xfId="0" applyNumberFormat="1" applyFont="1" applyBorder="1" applyAlignment="1">
      <alignment horizontal="center" vertical="center"/>
    </xf>
    <xf numFmtId="220" fontId="67" fillId="0" borderId="0" xfId="0" applyNumberFormat="1" applyFont="1" applyBorder="1" applyAlignment="1">
      <alignment horizontal="left" vertical="center"/>
    </xf>
    <xf numFmtId="201" fontId="69" fillId="0" borderId="0" xfId="0" applyNumberFormat="1" applyFont="1" applyBorder="1" applyAlignment="1">
      <alignment horizontal="center" vertical="center"/>
    </xf>
    <xf numFmtId="194" fontId="67" fillId="0" borderId="70" xfId="0" applyNumberFormat="1" applyFont="1" applyBorder="1" applyAlignment="1">
      <alignment vertical="center"/>
    </xf>
    <xf numFmtId="0" fontId="67" fillId="0" borderId="41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right" vertical="center"/>
    </xf>
    <xf numFmtId="205" fontId="65" fillId="0" borderId="70" xfId="0" applyNumberFormat="1" applyFont="1" applyBorder="1" applyAlignment="1">
      <alignment horizontal="center" vertical="center"/>
    </xf>
    <xf numFmtId="205" fontId="67" fillId="0" borderId="70" xfId="0" applyNumberFormat="1" applyFont="1" applyBorder="1" applyAlignment="1">
      <alignment horizontal="center" vertical="center"/>
    </xf>
    <xf numFmtId="0" fontId="67" fillId="0" borderId="46" xfId="0" applyFont="1" applyBorder="1" applyAlignment="1">
      <alignment horizontal="center" vertical="center"/>
    </xf>
    <xf numFmtId="2" fontId="52" fillId="0" borderId="0" xfId="0" applyNumberFormat="1" applyFont="1" applyBorder="1" applyAlignment="1">
      <alignment horizontal="right" vertical="center"/>
    </xf>
    <xf numFmtId="217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vertical="center"/>
    </xf>
    <xf numFmtId="0" fontId="52" fillId="0" borderId="41" xfId="0" applyNumberFormat="1" applyFont="1" applyBorder="1" applyAlignment="1">
      <alignment horizontal="center" vertical="center"/>
    </xf>
    <xf numFmtId="0" fontId="67" fillId="0" borderId="58" xfId="0" applyNumberFormat="1" applyFont="1" applyBorder="1" applyAlignment="1">
      <alignment horizontal="center" vertical="center"/>
    </xf>
    <xf numFmtId="188" fontId="67" fillId="0" borderId="0" xfId="0" applyNumberFormat="1" applyFont="1" applyBorder="1" applyAlignment="1">
      <alignment vertical="center"/>
    </xf>
    <xf numFmtId="216" fontId="52" fillId="0" borderId="0" xfId="0" applyNumberFormat="1" applyFont="1" applyBorder="1" applyAlignment="1">
      <alignment horizontal="center" vertical="center"/>
    </xf>
    <xf numFmtId="0" fontId="67" fillId="0" borderId="54" xfId="0" applyFont="1" applyBorder="1" applyAlignment="1">
      <alignment horizontal="center" vertical="center"/>
    </xf>
    <xf numFmtId="0" fontId="67" fillId="0" borderId="58" xfId="0" applyFont="1" applyBorder="1" applyAlignment="1">
      <alignment horizontal="center" vertical="center"/>
    </xf>
    <xf numFmtId="0" fontId="67" fillId="0" borderId="55" xfId="0" applyFont="1" applyBorder="1" applyAlignment="1">
      <alignment horizontal="center" vertical="center"/>
    </xf>
    <xf numFmtId="195" fontId="67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horizontal="center" vertical="center"/>
    </xf>
    <xf numFmtId="0" fontId="52" fillId="0" borderId="70" xfId="0" applyNumberFormat="1" applyFont="1" applyBorder="1" applyAlignment="1">
      <alignment horizontal="right" vertical="center"/>
    </xf>
    <xf numFmtId="215" fontId="52" fillId="0" borderId="70" xfId="0" applyNumberFormat="1" applyFont="1" applyBorder="1" applyAlignment="1">
      <alignment horizontal="right" vertical="center"/>
    </xf>
    <xf numFmtId="2" fontId="67" fillId="0" borderId="54" xfId="0" applyNumberFormat="1" applyFont="1" applyBorder="1" applyAlignment="1">
      <alignment horizontal="right" vertical="center"/>
    </xf>
    <xf numFmtId="2" fontId="67" fillId="0" borderId="58" xfId="0" applyNumberFormat="1" applyFont="1" applyBorder="1" applyAlignment="1">
      <alignment horizontal="right" vertical="center"/>
    </xf>
    <xf numFmtId="0" fontId="67" fillId="0" borderId="58" xfId="0" applyFont="1" applyBorder="1" applyAlignment="1">
      <alignment vertical="center"/>
    </xf>
    <xf numFmtId="0" fontId="67" fillId="0" borderId="55" xfId="0" applyFont="1" applyBorder="1" applyAlignment="1">
      <alignment vertical="center"/>
    </xf>
    <xf numFmtId="194" fontId="67" fillId="0" borderId="54" xfId="0" applyNumberFormat="1" applyFont="1" applyBorder="1" applyAlignment="1">
      <alignment vertical="center"/>
    </xf>
    <xf numFmtId="194" fontId="67" fillId="0" borderId="58" xfId="0" applyNumberFormat="1" applyFont="1" applyBorder="1" applyAlignment="1">
      <alignment vertical="center"/>
    </xf>
    <xf numFmtId="0" fontId="67" fillId="0" borderId="58" xfId="0" applyFont="1" applyBorder="1">
      <alignment vertical="center"/>
    </xf>
    <xf numFmtId="0" fontId="67" fillId="0" borderId="55" xfId="0" applyFont="1" applyBorder="1">
      <alignment vertical="center"/>
    </xf>
    <xf numFmtId="0" fontId="67" fillId="0" borderId="54" xfId="0" applyFont="1" applyBorder="1" applyAlignment="1">
      <alignment vertical="center"/>
    </xf>
    <xf numFmtId="208" fontId="67" fillId="0" borderId="54" xfId="0" applyNumberFormat="1" applyFont="1" applyBorder="1" applyAlignment="1">
      <alignment vertical="center"/>
    </xf>
    <xf numFmtId="208" fontId="67" fillId="0" borderId="58" xfId="0" applyNumberFormat="1" applyFont="1" applyBorder="1" applyAlignment="1">
      <alignment vertical="center"/>
    </xf>
    <xf numFmtId="214" fontId="67" fillId="0" borderId="54" xfId="0" applyNumberFormat="1" applyFont="1" applyBorder="1" applyAlignment="1">
      <alignment vertical="center"/>
    </xf>
    <xf numFmtId="214" fontId="67" fillId="0" borderId="58" xfId="0" applyNumberFormat="1" applyFont="1" applyBorder="1" applyAlignment="1">
      <alignment vertical="center"/>
    </xf>
    <xf numFmtId="0" fontId="67" fillId="0" borderId="70" xfId="0" applyFont="1" applyBorder="1" applyAlignment="1">
      <alignment horizontal="center"/>
    </xf>
    <xf numFmtId="0" fontId="67" fillId="0" borderId="58" xfId="0" applyNumberFormat="1" applyFont="1" applyBorder="1" applyAlignment="1">
      <alignment vertical="center"/>
    </xf>
    <xf numFmtId="0" fontId="67" fillId="0" borderId="55" xfId="0" applyNumberFormat="1" applyFont="1" applyBorder="1" applyAlignment="1">
      <alignment vertical="center"/>
    </xf>
    <xf numFmtId="0" fontId="67" fillId="0" borderId="47" xfId="0" applyFont="1" applyBorder="1" applyAlignment="1">
      <alignment horizontal="center" vertical="center"/>
    </xf>
    <xf numFmtId="0" fontId="67" fillId="0" borderId="48" xfId="0" applyFont="1" applyBorder="1" applyAlignment="1">
      <alignment horizontal="center" vertical="center"/>
    </xf>
    <xf numFmtId="0" fontId="67" fillId="0" borderId="56" xfId="0" applyFont="1" applyBorder="1" applyAlignment="1">
      <alignment horizontal="center" vertical="center"/>
    </xf>
    <xf numFmtId="0" fontId="69" fillId="0" borderId="72" xfId="0" applyFont="1" applyBorder="1" applyAlignment="1">
      <alignment horizontal="center" vertical="center"/>
    </xf>
    <xf numFmtId="0" fontId="69" fillId="0" borderId="70" xfId="0" applyFont="1" applyBorder="1" applyAlignment="1">
      <alignment horizontal="center" vertical="center"/>
    </xf>
    <xf numFmtId="0" fontId="69" fillId="0" borderId="73" xfId="0" applyFont="1" applyBorder="1" applyAlignment="1">
      <alignment horizontal="center" vertical="center"/>
    </xf>
    <xf numFmtId="0" fontId="69" fillId="0" borderId="77" xfId="0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right" vertical="center"/>
    </xf>
    <xf numFmtId="0" fontId="67" fillId="0" borderId="54" xfId="0" applyNumberFormat="1" applyFont="1" applyBorder="1" applyAlignment="1">
      <alignment horizontal="center" vertical="center"/>
    </xf>
    <xf numFmtId="0" fontId="67" fillId="0" borderId="55" xfId="0" applyNumberFormat="1" applyFont="1" applyBorder="1" applyAlignment="1">
      <alignment horizontal="center" vertical="center"/>
    </xf>
    <xf numFmtId="0" fontId="67" fillId="32" borderId="47" xfId="0" applyFont="1" applyFill="1" applyBorder="1" applyAlignment="1">
      <alignment horizontal="center" vertical="center" wrapText="1"/>
    </xf>
    <xf numFmtId="0" fontId="67" fillId="32" borderId="41" xfId="0" applyFont="1" applyFill="1" applyBorder="1" applyAlignment="1">
      <alignment horizontal="center" vertical="center" wrapText="1"/>
    </xf>
    <xf numFmtId="0" fontId="67" fillId="32" borderId="48" xfId="0" applyFont="1" applyFill="1" applyBorder="1" applyAlignment="1">
      <alignment horizontal="center" vertical="center" wrapText="1"/>
    </xf>
    <xf numFmtId="0" fontId="67" fillId="32" borderId="72" xfId="0" applyFont="1" applyFill="1" applyBorder="1" applyAlignment="1">
      <alignment horizontal="center" vertical="center" wrapText="1"/>
    </xf>
    <xf numFmtId="0" fontId="67" fillId="32" borderId="70" xfId="0" applyFont="1" applyFill="1" applyBorder="1" applyAlignment="1">
      <alignment horizontal="center" vertical="center" wrapText="1"/>
    </xf>
    <xf numFmtId="0" fontId="67" fillId="32" borderId="73" xfId="0" applyFont="1" applyFill="1" applyBorder="1" applyAlignment="1">
      <alignment horizontal="center" vertical="center" wrapText="1"/>
    </xf>
    <xf numFmtId="193" fontId="67" fillId="0" borderId="70" xfId="0" applyNumberFormat="1" applyFont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0" fontId="65" fillId="0" borderId="41" xfId="0" applyFont="1" applyBorder="1" applyAlignment="1">
      <alignment horizontal="center" vertical="center"/>
    </xf>
    <xf numFmtId="0" fontId="67" fillId="0" borderId="31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72" xfId="0" applyFont="1" applyBorder="1" applyAlignment="1">
      <alignment horizontal="center" vertical="center"/>
    </xf>
    <xf numFmtId="0" fontId="67" fillId="0" borderId="73" xfId="0" applyFont="1" applyBorder="1" applyAlignment="1">
      <alignment horizontal="center" vertical="center"/>
    </xf>
    <xf numFmtId="0" fontId="52" fillId="32" borderId="46" xfId="0" applyNumberFormat="1" applyFont="1" applyFill="1" applyBorder="1" applyAlignment="1">
      <alignment horizontal="center" vertical="center" shrinkToFit="1"/>
    </xf>
    <xf numFmtId="0" fontId="52" fillId="32" borderId="46" xfId="0" applyNumberFormat="1" applyFont="1" applyFill="1" applyBorder="1" applyAlignment="1">
      <alignment horizontal="center" vertical="center"/>
    </xf>
    <xf numFmtId="0" fontId="67" fillId="0" borderId="46" xfId="0" applyNumberFormat="1" applyFont="1" applyBorder="1" applyAlignment="1">
      <alignment horizontal="center" vertical="center" shrinkToFit="1"/>
    </xf>
    <xf numFmtId="0" fontId="52" fillId="29" borderId="46" xfId="0" applyNumberFormat="1" applyFont="1" applyFill="1" applyBorder="1" applyAlignment="1">
      <alignment horizontal="center" vertical="center"/>
    </xf>
    <xf numFmtId="0" fontId="67" fillId="32" borderId="54" xfId="0" applyFont="1" applyFill="1" applyBorder="1" applyAlignment="1">
      <alignment horizontal="center" vertical="center" wrapText="1"/>
    </xf>
    <xf numFmtId="0" fontId="67" fillId="32" borderId="58" xfId="0" applyFont="1" applyFill="1" applyBorder="1" applyAlignment="1">
      <alignment horizontal="center" vertical="center" wrapText="1"/>
    </xf>
    <xf numFmtId="0" fontId="67" fillId="32" borderId="55" xfId="0" applyFont="1" applyFill="1" applyBorder="1" applyAlignment="1">
      <alignment horizontal="center" vertical="center" wrapText="1"/>
    </xf>
    <xf numFmtId="0" fontId="67" fillId="0" borderId="54" xfId="0" applyNumberFormat="1" applyFont="1" applyBorder="1" applyAlignment="1">
      <alignment horizontal="right" vertical="center"/>
    </xf>
    <xf numFmtId="0" fontId="67" fillId="0" borderId="58" xfId="0" applyNumberFormat="1" applyFont="1" applyBorder="1" applyAlignment="1">
      <alignment horizontal="right" vertical="center"/>
    </xf>
    <xf numFmtId="0" fontId="65" fillId="0" borderId="54" xfId="0" applyFont="1" applyBorder="1" applyAlignment="1">
      <alignment horizontal="center" vertical="center"/>
    </xf>
    <xf numFmtId="0" fontId="65" fillId="0" borderId="58" xfId="0" applyFont="1" applyBorder="1" applyAlignment="1">
      <alignment horizontal="center" vertical="center"/>
    </xf>
    <xf numFmtId="0" fontId="65" fillId="0" borderId="55" xfId="0" applyFont="1" applyBorder="1" applyAlignment="1">
      <alignment horizontal="center" vertical="center"/>
    </xf>
    <xf numFmtId="0" fontId="65" fillId="0" borderId="72" xfId="0" applyFont="1" applyBorder="1" applyAlignment="1">
      <alignment horizontal="center" vertical="center"/>
    </xf>
    <xf numFmtId="0" fontId="65" fillId="0" borderId="70" xfId="0" applyFont="1" applyBorder="1" applyAlignment="1">
      <alignment horizontal="center" vertical="center"/>
    </xf>
    <xf numFmtId="0" fontId="65" fillId="0" borderId="73" xfId="0" applyFont="1" applyBorder="1" applyAlignment="1">
      <alignment horizontal="center" vertical="center"/>
    </xf>
    <xf numFmtId="218" fontId="67" fillId="0" borderId="0" xfId="0" applyNumberFormat="1" applyFont="1" applyBorder="1" applyAlignment="1">
      <alignment horizontal="right" vertical="center"/>
    </xf>
    <xf numFmtId="0" fontId="82" fillId="28" borderId="42" xfId="0" applyNumberFormat="1" applyFont="1" applyFill="1" applyBorder="1" applyAlignment="1">
      <alignment horizontal="center" vertical="center" wrapText="1"/>
    </xf>
    <xf numFmtId="0" fontId="82" fillId="28" borderId="44" xfId="0" applyNumberFormat="1" applyFont="1" applyFill="1" applyBorder="1" applyAlignment="1">
      <alignment horizontal="center" vertical="center" wrapText="1"/>
    </xf>
    <xf numFmtId="0" fontId="82" fillId="28" borderId="60" xfId="0" applyNumberFormat="1" applyFont="1" applyFill="1" applyBorder="1" applyAlignment="1">
      <alignment horizontal="center" vertical="center" wrapText="1"/>
    </xf>
    <xf numFmtId="0" fontId="82" fillId="28" borderId="74" xfId="0" applyNumberFormat="1" applyFont="1" applyFill="1" applyBorder="1" applyAlignment="1">
      <alignment horizontal="center" vertical="center" wrapText="1"/>
    </xf>
    <xf numFmtId="0" fontId="82" fillId="28" borderId="75" xfId="0" applyNumberFormat="1" applyFont="1" applyFill="1" applyBorder="1" applyAlignment="1">
      <alignment horizontal="center" vertical="center" wrapText="1"/>
    </xf>
    <xf numFmtId="0" fontId="82" fillId="28" borderId="60" xfId="0" applyNumberFormat="1" applyFont="1" applyFill="1" applyBorder="1" applyAlignment="1">
      <alignment horizontal="center" vertical="center"/>
    </xf>
    <xf numFmtId="0" fontId="82" fillId="28" borderId="74" xfId="0" applyNumberFormat="1" applyFont="1" applyFill="1" applyBorder="1" applyAlignment="1">
      <alignment horizontal="center" vertical="center"/>
    </xf>
    <xf numFmtId="0" fontId="82" fillId="28" borderId="75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/>
    </xf>
    <xf numFmtId="189" fontId="82" fillId="28" borderId="60" xfId="0" applyNumberFormat="1" applyFont="1" applyFill="1" applyBorder="1" applyAlignment="1">
      <alignment horizontal="center" vertical="center" wrapText="1"/>
    </xf>
    <xf numFmtId="189" fontId="82" fillId="28" borderId="75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43" xfId="0" applyNumberFormat="1" applyFont="1" applyFill="1" applyBorder="1" applyAlignment="1">
      <alignment horizontal="center" vertical="center" wrapText="1"/>
    </xf>
    <xf numFmtId="0" fontId="82" fillId="28" borderId="42" xfId="0" applyNumberFormat="1" applyFont="1" applyFill="1" applyBorder="1" applyAlignment="1">
      <alignment horizontal="center" vertical="center"/>
    </xf>
    <xf numFmtId="0" fontId="82" fillId="28" borderId="44" xfId="0" applyNumberFormat="1" applyFont="1" applyFill="1" applyBorder="1" applyAlignment="1">
      <alignment horizontal="center" vertical="center"/>
    </xf>
    <xf numFmtId="0" fontId="82" fillId="28" borderId="81" xfId="0" applyNumberFormat="1" applyFont="1" applyFill="1" applyBorder="1" applyAlignment="1">
      <alignment horizontal="center" vertical="center" wrapText="1"/>
    </xf>
    <xf numFmtId="0" fontId="82" fillId="28" borderId="82" xfId="0" applyNumberFormat="1" applyFont="1" applyFill="1" applyBorder="1" applyAlignment="1">
      <alignment horizontal="center" vertical="center" wrapText="1"/>
    </xf>
    <xf numFmtId="188" fontId="81" fillId="0" borderId="65" xfId="0" applyNumberFormat="1" applyFont="1" applyFill="1" applyBorder="1" applyAlignment="1">
      <alignment horizontal="center" vertical="center"/>
    </xf>
    <xf numFmtId="219" fontId="81" fillId="32" borderId="60" xfId="86" applyNumberFormat="1" applyFont="1" applyFill="1" applyBorder="1" applyAlignment="1">
      <alignment horizontal="center" vertical="center" wrapText="1"/>
    </xf>
    <xf numFmtId="219" fontId="81" fillId="32" borderId="75" xfId="86" applyNumberFormat="1" applyFont="1" applyFill="1" applyBorder="1" applyAlignment="1">
      <alignment horizontal="center" vertical="center" wrapText="1"/>
    </xf>
    <xf numFmtId="0" fontId="82" fillId="28" borderId="76" xfId="0" applyNumberFormat="1" applyFont="1" applyFill="1" applyBorder="1" applyAlignment="1">
      <alignment horizontal="center" vertical="center" wrapText="1"/>
    </xf>
    <xf numFmtId="189" fontId="82" fillId="28" borderId="42" xfId="0" applyNumberFormat="1" applyFont="1" applyFill="1" applyBorder="1" applyAlignment="1">
      <alignment horizontal="center" vertical="center" wrapText="1"/>
    </xf>
    <xf numFmtId="189" fontId="82" fillId="28" borderId="44" xfId="0" applyNumberFormat="1" applyFont="1" applyFill="1" applyBorder="1" applyAlignment="1">
      <alignment horizontal="center" vertical="center" wrapText="1"/>
    </xf>
    <xf numFmtId="0" fontId="82" fillId="28" borderId="78" xfId="0" applyNumberFormat="1" applyFont="1" applyFill="1" applyBorder="1" applyAlignment="1">
      <alignment horizontal="center" vertical="center" wrapText="1"/>
    </xf>
    <xf numFmtId="0" fontId="82" fillId="28" borderId="79" xfId="0" applyNumberFormat="1" applyFont="1" applyFill="1" applyBorder="1" applyAlignment="1">
      <alignment horizontal="center" vertical="center" wrapText="1"/>
    </xf>
    <xf numFmtId="212" fontId="52" fillId="0" borderId="56" xfId="87" applyNumberFormat="1" applyFont="1" applyBorder="1" applyAlignment="1">
      <alignment horizontal="center" vertical="center"/>
    </xf>
    <xf numFmtId="212" fontId="52" fillId="0" borderId="71" xfId="87" applyNumberFormat="1" applyFont="1" applyBorder="1" applyAlignment="1">
      <alignment horizontal="center" vertical="center"/>
    </xf>
    <xf numFmtId="212" fontId="52" fillId="0" borderId="77" xfId="87" applyNumberFormat="1" applyFont="1" applyBorder="1" applyAlignment="1">
      <alignment horizontal="center" vertical="center"/>
    </xf>
    <xf numFmtId="0" fontId="82" fillId="28" borderId="43" xfId="0" applyNumberFormat="1" applyFont="1" applyFill="1" applyBorder="1" applyAlignment="1">
      <alignment horizontal="center" vertical="center"/>
    </xf>
    <xf numFmtId="0" fontId="82" fillId="28" borderId="80" xfId="0" applyNumberFormat="1" applyFont="1" applyFill="1" applyBorder="1" applyAlignment="1">
      <alignment horizontal="center" vertical="center"/>
    </xf>
    <xf numFmtId="0" fontId="52" fillId="0" borderId="54" xfId="0" applyNumberFormat="1" applyFont="1" applyBorder="1" applyAlignment="1">
      <alignment horizontal="center" vertical="center"/>
    </xf>
    <xf numFmtId="0" fontId="52" fillId="0" borderId="55" xfId="0" applyNumberFormat="1" applyFont="1" applyBorder="1" applyAlignment="1">
      <alignment horizontal="center" vertical="center"/>
    </xf>
  </cellXfs>
  <cellStyles count="126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2 2" xfId="104"/>
    <cellStyle name="Input [yellow] 3" xfId="97"/>
    <cellStyle name="Input [yellow] 4" xfId="114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2 2" xfId="105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2 2" xfId="106"/>
    <cellStyle name="메모 3" xfId="99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2 2 2" xfId="112"/>
    <cellStyle name="쉼표 [0] 2 2 2 2" xfId="122"/>
    <cellStyle name="쉼표 [0] 2 2 3" xfId="118"/>
    <cellStyle name="쉼표 [0] 2 3" xfId="110"/>
    <cellStyle name="쉼표 [0] 2 3 2" xfId="120"/>
    <cellStyle name="쉼표 [0] 2 4" xfId="116"/>
    <cellStyle name="쉼표 [0] 3" xfId="95"/>
    <cellStyle name="쉼표 [0] 3 2" xfId="111"/>
    <cellStyle name="쉼표 [0] 3 2 2" xfId="121"/>
    <cellStyle name="쉼표 [0] 3 3" xfId="117"/>
    <cellStyle name="쉼표 [0] 4" xfId="103"/>
    <cellStyle name="쉼표 [0] 4 2" xfId="119"/>
    <cellStyle name="쉼표 [0] 5" xfId="115"/>
    <cellStyle name="스타일 1" xfId="56"/>
    <cellStyle name="연결된 셀" xfId="57" builtinId="24" customBuiltin="1"/>
    <cellStyle name="요약" xfId="58" builtinId="25" customBuiltin="1"/>
    <cellStyle name="요약 2" xfId="91"/>
    <cellStyle name="요약 2 2" xfId="107"/>
    <cellStyle name="요약 3" xfId="100"/>
    <cellStyle name="입력" xfId="59" builtinId="20" customBuiltin="1"/>
    <cellStyle name="입력 2" xfId="92"/>
    <cellStyle name="입력 2 2" xfId="108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2 2" xfId="109"/>
    <cellStyle name="출력 3" xfId="102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22" xfId="124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 8" xfId="123"/>
    <cellStyle name="표준 9" xfId="125"/>
    <cellStyle name="표준_AGLIENT 34401A(12.22)" xfId="78"/>
    <cellStyle name="표준_ESS-2000" xfId="79"/>
    <cellStyle name="표준_Sheet1" xfId="81"/>
    <cellStyle name="표준_교정결과" xfId="113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37</xdr:row>
      <xdr:rowOff>14287</xdr:rowOff>
    </xdr:from>
    <xdr:to>
      <xdr:col>4</xdr:col>
      <xdr:colOff>267929</xdr:colOff>
      <xdr:row>37</xdr:row>
      <xdr:rowOff>186514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590800" y="7472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590800" y="7472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1066800</xdr:colOff>
      <xdr:row>35</xdr:row>
      <xdr:rowOff>171450</xdr:rowOff>
    </xdr:from>
    <xdr:to>
      <xdr:col>6</xdr:col>
      <xdr:colOff>0</xdr:colOff>
      <xdr:row>37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4"/>
            <xdr:cNvSpPr txBox="1"/>
          </xdr:nvSpPr>
          <xdr:spPr>
            <a:xfrm>
              <a:off x="2228850" y="7248525"/>
              <a:ext cx="2286000" cy="219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altLang="ko-KR" sz="1100" b="0" i="1">
                      <a:latin typeface="Cambria Math" panose="02040503050406030204" pitchFamily="18" charset="0"/>
                    </a:rPr>
                    <m:t>   </m:t>
                  </m:r>
                  <m:r>
                    <m:rPr>
                      <m:sty m:val="p"/>
                    </m:rPr>
                    <a:rPr lang="en-US" altLang="ko-KR" sz="1100" b="0" i="1">
                      <a:latin typeface="Cambria Math" panose="02040503050406030204" pitchFamily="18" charset="0"/>
                    </a:rPr>
                    <m:t>μ</m:t>
                  </m:r>
                </m:oMath>
              </a14:m>
              <a:r>
                <a:rPr lang="en-US" altLang="ko-KR" sz="1100"/>
                <a:t>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6" name="TextBox 4"/>
            <xdr:cNvSpPr txBox="1"/>
          </xdr:nvSpPr>
          <xdr:spPr>
            <a:xfrm>
              <a:off x="2228850" y="7248525"/>
              <a:ext cx="2286000" cy="219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〗^2+(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    μ</a:t>
              </a:r>
              <a:r>
                <a:rPr lang="en-US" altLang="ko-KR" sz="1100"/>
                <a:t>m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9525</xdr:colOff>
      <xdr:row>66</xdr:row>
      <xdr:rowOff>14287</xdr:rowOff>
    </xdr:from>
    <xdr:to>
      <xdr:col>4</xdr:col>
      <xdr:colOff>267929</xdr:colOff>
      <xdr:row>66</xdr:row>
      <xdr:rowOff>186514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2590800" y="129968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2590800" y="129968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1066801</xdr:colOff>
      <xdr:row>64</xdr:row>
      <xdr:rowOff>171450</xdr:rowOff>
    </xdr:from>
    <xdr:to>
      <xdr:col>6</xdr:col>
      <xdr:colOff>1</xdr:colOff>
      <xdr:row>66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4"/>
            <xdr:cNvSpPr txBox="1"/>
          </xdr:nvSpPr>
          <xdr:spPr>
            <a:xfrm>
              <a:off x="2228851" y="12582525"/>
              <a:ext cx="2286000" cy="219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altLang="ko-KR" sz="1100" b="0" i="1">
                      <a:latin typeface="Cambria Math" panose="02040503050406030204" pitchFamily="18" charset="0"/>
                    </a:rPr>
                    <m:t>   </m:t>
                  </m:r>
                  <m:r>
                    <m:rPr>
                      <m:sty m:val="p"/>
                    </m:rPr>
                    <a:rPr lang="en-US" altLang="ko-KR" sz="1100" b="0" i="1">
                      <a:latin typeface="Cambria Math" panose="02040503050406030204" pitchFamily="18" charset="0"/>
                    </a:rPr>
                    <m:t>μ</m:t>
                  </m:r>
                </m:oMath>
              </a14:m>
              <a:r>
                <a:rPr lang="en-US" altLang="ko-KR" sz="1100"/>
                <a:t>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12" name="TextBox 4"/>
            <xdr:cNvSpPr txBox="1"/>
          </xdr:nvSpPr>
          <xdr:spPr>
            <a:xfrm>
              <a:off x="2228851" y="12582525"/>
              <a:ext cx="2286000" cy="219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〗^2+(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    μ</a:t>
              </a:r>
              <a:r>
                <a:rPr lang="en-US" altLang="ko-KR" sz="1100"/>
                <a:t>m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193643</xdr:colOff>
      <xdr:row>38</xdr:row>
      <xdr:rowOff>22701</xdr:rowOff>
    </xdr:from>
    <xdr:to>
      <xdr:col>2</xdr:col>
      <xdr:colOff>335477</xdr:colOff>
      <xdr:row>39</xdr:row>
      <xdr:rowOff>4428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1355693" y="76712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1355693" y="76712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𝑙_0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193643</xdr:colOff>
      <xdr:row>67</xdr:row>
      <xdr:rowOff>22701</xdr:rowOff>
    </xdr:from>
    <xdr:to>
      <xdr:col>2</xdr:col>
      <xdr:colOff>335477</xdr:colOff>
      <xdr:row>68</xdr:row>
      <xdr:rowOff>4428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1355693" y="131957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1355693" y="131957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𝑙_0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37</xdr:row>
      <xdr:rowOff>14287</xdr:rowOff>
    </xdr:from>
    <xdr:to>
      <xdr:col>5</xdr:col>
      <xdr:colOff>258404</xdr:colOff>
      <xdr:row>37</xdr:row>
      <xdr:rowOff>186514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419475" y="7472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419475" y="7472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3</xdr:col>
      <xdr:colOff>809625</xdr:colOff>
      <xdr:row>35</xdr:row>
      <xdr:rowOff>180975</xdr:rowOff>
    </xdr:from>
    <xdr:to>
      <xdr:col>6</xdr:col>
      <xdr:colOff>819150</xdr:colOff>
      <xdr:row>37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067050" y="7258050"/>
              <a:ext cx="2266950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altLang="ko-KR" sz="1100" b="0" i="1">
                      <a:latin typeface="Cambria Math" panose="02040503050406030204" pitchFamily="18" charset="0"/>
                    </a:rPr>
                    <m:t>   </m:t>
                  </m:r>
                  <m:r>
                    <m:rPr>
                      <m:sty m:val="p"/>
                    </m:rPr>
                    <a:rPr lang="en-US" altLang="ko-KR" sz="1100" b="0" i="1">
                      <a:latin typeface="Cambria Math" panose="02040503050406030204" pitchFamily="18" charset="0"/>
                    </a:rPr>
                    <m:t>μ</m:t>
                  </m:r>
                </m:oMath>
              </a14:m>
              <a:r>
                <a:rPr lang="en-US" altLang="ko-KR" sz="1100"/>
                <a:t>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067050" y="7258050"/>
              <a:ext cx="2266950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〗^2+(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    μ</a:t>
              </a:r>
              <a:r>
                <a:rPr lang="en-US" altLang="ko-KR" sz="1100"/>
                <a:t>m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5</xdr:col>
      <xdr:colOff>0</xdr:colOff>
      <xdr:row>66</xdr:row>
      <xdr:rowOff>14287</xdr:rowOff>
    </xdr:from>
    <xdr:to>
      <xdr:col>5</xdr:col>
      <xdr:colOff>258404</xdr:colOff>
      <xdr:row>66</xdr:row>
      <xdr:rowOff>186514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419475" y="129968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419475" y="129968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3</xdr:col>
      <xdr:colOff>809625</xdr:colOff>
      <xdr:row>64</xdr:row>
      <xdr:rowOff>180975</xdr:rowOff>
    </xdr:from>
    <xdr:to>
      <xdr:col>6</xdr:col>
      <xdr:colOff>704850</xdr:colOff>
      <xdr:row>66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4"/>
            <xdr:cNvSpPr txBox="1"/>
          </xdr:nvSpPr>
          <xdr:spPr>
            <a:xfrm>
              <a:off x="3067050" y="12592050"/>
              <a:ext cx="2152650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altLang="ko-KR" sz="1100" b="0" i="1">
                      <a:latin typeface="Cambria Math" panose="02040503050406030204" pitchFamily="18" charset="0"/>
                    </a:rPr>
                    <m:t>   </m:t>
                  </m:r>
                  <m:r>
                    <m:rPr>
                      <m:sty m:val="p"/>
                    </m:rPr>
                    <a:rPr lang="en-US" altLang="ko-KR" sz="1100" b="0" i="1">
                      <a:latin typeface="Cambria Math" panose="02040503050406030204" pitchFamily="18" charset="0"/>
                    </a:rPr>
                    <m:t>μ</m:t>
                  </m:r>
                </m:oMath>
              </a14:m>
              <a:r>
                <a:rPr lang="en-US" altLang="ko-KR" sz="1100"/>
                <a:t>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11" name="TextBox 4"/>
            <xdr:cNvSpPr txBox="1"/>
          </xdr:nvSpPr>
          <xdr:spPr>
            <a:xfrm>
              <a:off x="3067050" y="12592050"/>
              <a:ext cx="2152650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〗^2+(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    μ</a:t>
              </a:r>
              <a:r>
                <a:rPr lang="en-US" altLang="ko-KR" sz="1100"/>
                <a:t>m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203168</xdr:colOff>
      <xdr:row>39</xdr:row>
      <xdr:rowOff>22701</xdr:rowOff>
    </xdr:from>
    <xdr:to>
      <xdr:col>2</xdr:col>
      <xdr:colOff>345002</xdr:colOff>
      <xdr:row>40</xdr:row>
      <xdr:rowOff>4428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365218" y="78617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365218" y="78617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𝑙_0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203168</xdr:colOff>
      <xdr:row>68</xdr:row>
      <xdr:rowOff>22701</xdr:rowOff>
    </xdr:from>
    <xdr:to>
      <xdr:col>2</xdr:col>
      <xdr:colOff>345002</xdr:colOff>
      <xdr:row>69</xdr:row>
      <xdr:rowOff>4428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365218" y="133862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365218" y="133862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𝑙_0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34</xdr:row>
      <xdr:rowOff>9525</xdr:rowOff>
    </xdr:from>
    <xdr:to>
      <xdr:col>7</xdr:col>
      <xdr:colOff>267929</xdr:colOff>
      <xdr:row>34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152650" y="11658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152650" y="11658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56</xdr:row>
      <xdr:rowOff>9525</xdr:rowOff>
    </xdr:from>
    <xdr:to>
      <xdr:col>7</xdr:col>
      <xdr:colOff>267929</xdr:colOff>
      <xdr:row>56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504950" y="7562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504950" y="7562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78</xdr:row>
      <xdr:rowOff>9525</xdr:rowOff>
    </xdr:from>
    <xdr:to>
      <xdr:col>7</xdr:col>
      <xdr:colOff>267929</xdr:colOff>
      <xdr:row>78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504950" y="73723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504950" y="73723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9526</xdr:colOff>
      <xdr:row>48</xdr:row>
      <xdr:rowOff>4767</xdr:rowOff>
    </xdr:from>
    <xdr:ext cx="5486400" cy="7381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/>
            <xdr:cNvSpPr txBox="1"/>
          </xdr:nvSpPr>
          <xdr:spPr>
            <a:xfrm>
              <a:off x="314326" y="11596692"/>
              <a:ext cx="5486400" cy="7381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9" name="TextBox 58"/>
            <xdr:cNvSpPr txBox="1"/>
          </xdr:nvSpPr>
          <xdr:spPr>
            <a:xfrm>
              <a:off x="314326" y="11596692"/>
              <a:ext cx="5486400" cy="7381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)=−1,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)=1,  𝑐_(〖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)=1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46</xdr:row>
      <xdr:rowOff>14286</xdr:rowOff>
    </xdr:from>
    <xdr:to>
      <xdr:col>48</xdr:col>
      <xdr:colOff>0</xdr:colOff>
      <xdr:row>47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2"/>
            <xdr:cNvSpPr txBox="1">
              <a:spLocks/>
            </xdr:cNvSpPr>
          </xdr:nvSpPr>
          <xdr:spPr>
            <a:xfrm>
              <a:off x="161925" y="16130586"/>
              <a:ext cx="7153275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ko-KR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</m:acc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𝛼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0" name="TextBox 2"/>
            <xdr:cNvSpPr txBox="1">
              <a:spLocks/>
            </xdr:cNvSpPr>
          </xdr:nvSpPr>
          <xdr:spPr>
            <a:xfrm>
              <a:off x="161925" y="16130586"/>
              <a:ext cx="7153275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̅∙𝑙_0 )^2 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∙𝑙_0 )^2 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𝑙〗_𝑟)+〖𝑢^2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</xdr:col>
      <xdr:colOff>9525</xdr:colOff>
      <xdr:row>32</xdr:row>
      <xdr:rowOff>80961</xdr:rowOff>
    </xdr:from>
    <xdr:to>
      <xdr:col>38</xdr:col>
      <xdr:colOff>61387</xdr:colOff>
      <xdr:row>33</xdr:row>
      <xdr:rowOff>187290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/>
            <xdr:cNvSpPr txBox="1">
              <a:spLocks noChangeAspect="1"/>
            </xdr:cNvSpPr>
          </xdr:nvSpPr>
          <xdr:spPr>
            <a:xfrm>
              <a:off x="161925" y="12863511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  <m:r>
                          <a:rPr lang="en-US" altLang="ko-KR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∙∆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+∆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ko-KR" alt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64" name="TextBox 63"/>
            <xdr:cNvSpPr txBox="1">
              <a:spLocks noChangeAspect="1"/>
            </xdr:cNvSpPr>
          </xdr:nvSpPr>
          <xdr:spPr>
            <a:xfrm>
              <a:off x="161925" y="12863511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𝐵_𝑥=𝑙_𝑠−𝑙_𝑥−(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 ̅</a:t>
              </a:r>
              <a:r>
                <a:rPr lang="en-US" altLang="ko-K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∙∆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𝑡+∆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𝛼∙𝛿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 𝑙_0+〖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𝑙〗_𝑟+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𝑙_𝑐</a:t>
              </a:r>
              <a:endParaRPr lang="ko-KR" altLang="en-US" sz="2000"/>
            </a:p>
          </xdr:txBody>
        </xdr:sp>
      </mc:Fallback>
    </mc:AlternateContent>
    <xdr:clientData/>
  </xdr:twoCellAnchor>
  <xdr:oneCellAnchor>
    <xdr:from>
      <xdr:col>14</xdr:col>
      <xdr:colOff>38100</xdr:colOff>
      <xdr:row>85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5"/>
            <xdr:cNvSpPr txBox="1"/>
          </xdr:nvSpPr>
          <xdr:spPr>
            <a:xfrm>
              <a:off x="2171700" y="2851785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8" name="TextBox 5"/>
            <xdr:cNvSpPr txBox="1"/>
          </xdr:nvSpPr>
          <xdr:spPr>
            <a:xfrm>
              <a:off x="2171700" y="2851785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85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5"/>
            <xdr:cNvSpPr txBox="1"/>
          </xdr:nvSpPr>
          <xdr:spPr>
            <a:xfrm>
              <a:off x="2867025" y="2851785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9" name="TextBox 5"/>
            <xdr:cNvSpPr txBox="1"/>
          </xdr:nvSpPr>
          <xdr:spPr>
            <a:xfrm>
              <a:off x="2867025" y="2851785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9525</xdr:colOff>
      <xdr:row>92</xdr:row>
      <xdr:rowOff>28575</xdr:rowOff>
    </xdr:from>
    <xdr:ext cx="3223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4"/>
            <xdr:cNvSpPr txBox="1"/>
          </xdr:nvSpPr>
          <xdr:spPr>
            <a:xfrm>
              <a:off x="4124325" y="20907375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3" name="TextBox 4"/>
            <xdr:cNvSpPr txBox="1"/>
          </xdr:nvSpPr>
          <xdr:spPr>
            <a:xfrm>
              <a:off x="4124325" y="20907375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58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4"/>
            <xdr:cNvSpPr txBox="1"/>
          </xdr:nvSpPr>
          <xdr:spPr>
            <a:xfrm>
              <a:off x="704850" y="190023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4" name="TextBox 4"/>
            <xdr:cNvSpPr txBox="1"/>
          </xdr:nvSpPr>
          <xdr:spPr>
            <a:xfrm>
              <a:off x="704850" y="190023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28575</xdr:colOff>
      <xdr:row>38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4"/>
            <xdr:cNvSpPr txBox="1"/>
          </xdr:nvSpPr>
          <xdr:spPr>
            <a:xfrm>
              <a:off x="485775" y="142398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5" name="TextBox 4"/>
            <xdr:cNvSpPr txBox="1"/>
          </xdr:nvSpPr>
          <xdr:spPr>
            <a:xfrm>
              <a:off x="485775" y="142398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24</xdr:col>
      <xdr:colOff>57150</xdr:colOff>
      <xdr:row>93</xdr:row>
      <xdr:rowOff>38100</xdr:rowOff>
    </xdr:from>
    <xdr:ext cx="1162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4"/>
            <xdr:cNvSpPr txBox="1"/>
          </xdr:nvSpPr>
          <xdr:spPr>
            <a:xfrm>
              <a:off x="3714750" y="31156275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)/2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6" name="TextBox 4"/>
            <xdr:cNvSpPr txBox="1"/>
          </xdr:nvSpPr>
          <xdr:spPr>
            <a:xfrm>
              <a:off x="3714750" y="31156275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95</xdr:row>
      <xdr:rowOff>69881</xdr:rowOff>
    </xdr:from>
    <xdr:ext cx="2209799" cy="348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4"/>
            <xdr:cNvSpPr txBox="1"/>
          </xdr:nvSpPr>
          <xdr:spPr>
            <a:xfrm>
              <a:off x="3514725" y="31664306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7" name="TextBox 4"/>
            <xdr:cNvSpPr txBox="1"/>
          </xdr:nvSpPr>
          <xdr:spPr>
            <a:xfrm>
              <a:off x="3514725" y="31664306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)+1/4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66674</xdr:colOff>
      <xdr:row>98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5"/>
            <xdr:cNvSpPr txBox="1"/>
          </xdr:nvSpPr>
          <xdr:spPr>
            <a:xfrm>
              <a:off x="4181474" y="323278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8" name="TextBox 5"/>
            <xdr:cNvSpPr txBox="1"/>
          </xdr:nvSpPr>
          <xdr:spPr>
            <a:xfrm>
              <a:off x="4181474" y="323278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9524</xdr:colOff>
      <xdr:row>99</xdr:row>
      <xdr:rowOff>203231</xdr:rowOff>
    </xdr:from>
    <xdr:ext cx="341947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4"/>
            <xdr:cNvSpPr txBox="1"/>
          </xdr:nvSpPr>
          <xdr:spPr>
            <a:xfrm>
              <a:off x="1533524" y="32750156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9" name="TextBox 4"/>
            <xdr:cNvSpPr txBox="1"/>
          </xdr:nvSpPr>
          <xdr:spPr>
            <a:xfrm>
              <a:off x="1533524" y="32750156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1/4 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^2+1/4 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103</xdr:row>
      <xdr:rowOff>57150</xdr:rowOff>
    </xdr:from>
    <xdr:ext cx="1375698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1228725" y="33556575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1228725" y="33556575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106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5"/>
            <xdr:cNvSpPr txBox="1"/>
          </xdr:nvSpPr>
          <xdr:spPr>
            <a:xfrm>
              <a:off x="1076324" y="342233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1" name="TextBox 5"/>
            <xdr:cNvSpPr txBox="1"/>
          </xdr:nvSpPr>
          <xdr:spPr>
            <a:xfrm>
              <a:off x="1076324" y="342233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104775</xdr:colOff>
      <xdr:row>133</xdr:row>
      <xdr:rowOff>57150</xdr:rowOff>
    </xdr:from>
    <xdr:ext cx="1452129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/>
            <xdr:cNvSpPr txBox="1"/>
          </xdr:nvSpPr>
          <xdr:spPr>
            <a:xfrm>
              <a:off x="1323975" y="40700325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2" name="TextBox 81"/>
            <xdr:cNvSpPr txBox="1"/>
          </xdr:nvSpPr>
          <xdr:spPr>
            <a:xfrm>
              <a:off x="1323975" y="40700325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119</xdr:row>
      <xdr:rowOff>57150</xdr:rowOff>
    </xdr:from>
    <xdr:ext cx="1346010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/>
            <xdr:cNvSpPr txBox="1"/>
          </xdr:nvSpPr>
          <xdr:spPr>
            <a:xfrm>
              <a:off x="1228725" y="37366575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3" name="TextBox 82"/>
            <xdr:cNvSpPr txBox="1"/>
          </xdr:nvSpPr>
          <xdr:spPr>
            <a:xfrm>
              <a:off x="1228725" y="37366575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149</xdr:row>
      <xdr:rowOff>57150</xdr:rowOff>
    </xdr:from>
    <xdr:ext cx="1443344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/>
            <xdr:cNvSpPr txBox="1"/>
          </xdr:nvSpPr>
          <xdr:spPr>
            <a:xfrm>
              <a:off x="1333500" y="44510325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4" name="TextBox 83"/>
            <xdr:cNvSpPr txBox="1"/>
          </xdr:nvSpPr>
          <xdr:spPr>
            <a:xfrm>
              <a:off x="1333500" y="44510325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162</xdr:row>
      <xdr:rowOff>57150</xdr:rowOff>
    </xdr:from>
    <xdr:ext cx="845552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/>
            <xdr:cNvSpPr txBox="1"/>
          </xdr:nvSpPr>
          <xdr:spPr>
            <a:xfrm>
              <a:off x="1228725" y="38795325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5" name="TextBox 84"/>
            <xdr:cNvSpPr txBox="1"/>
          </xdr:nvSpPr>
          <xdr:spPr>
            <a:xfrm>
              <a:off x="1228725" y="38795325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108</xdr:row>
      <xdr:rowOff>47625</xdr:rowOff>
    </xdr:from>
    <xdr:ext cx="3124201" cy="602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5"/>
            <xdr:cNvSpPr txBox="1"/>
          </xdr:nvSpPr>
          <xdr:spPr>
            <a:xfrm>
              <a:off x="1076324" y="34737675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(0.41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7" name="TextBox 5"/>
            <xdr:cNvSpPr txBox="1"/>
          </xdr:nvSpPr>
          <xdr:spPr>
            <a:xfrm>
              <a:off x="1076324" y="34737675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ν(¯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(0.41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9524</xdr:colOff>
      <xdr:row>131</xdr:row>
      <xdr:rowOff>12731</xdr:rowOff>
    </xdr:from>
    <xdr:ext cx="4371976" cy="216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4"/>
            <xdr:cNvSpPr txBox="1"/>
          </xdr:nvSpPr>
          <xdr:spPr>
            <a:xfrm>
              <a:off x="1533524" y="40179656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=0.82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8" name="TextBox 4"/>
            <xdr:cNvSpPr txBox="1"/>
          </xdr:nvSpPr>
          <xdr:spPr>
            <a:xfrm>
              <a:off x="1533524" y="40179656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117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5"/>
            <xdr:cNvSpPr txBox="1"/>
          </xdr:nvSpPr>
          <xdr:spPr>
            <a:xfrm>
              <a:off x="2124074" y="368617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9" name="TextBox 5"/>
            <xdr:cNvSpPr txBox="1"/>
          </xdr:nvSpPr>
          <xdr:spPr>
            <a:xfrm>
              <a:off x="2124074" y="368617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136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5"/>
            <xdr:cNvSpPr txBox="1"/>
          </xdr:nvSpPr>
          <xdr:spPr>
            <a:xfrm>
              <a:off x="1076324" y="4136707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2" name="TextBox 5"/>
            <xdr:cNvSpPr txBox="1"/>
          </xdr:nvSpPr>
          <xdr:spPr>
            <a:xfrm>
              <a:off x="1076324" y="4136707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138</xdr:row>
      <xdr:rowOff>47625</xdr:rowOff>
    </xdr:from>
    <xdr:ext cx="2733676" cy="4966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5"/>
            <xdr:cNvSpPr txBox="1"/>
          </xdr:nvSpPr>
          <xdr:spPr>
            <a:xfrm>
              <a:off x="1076325" y="41881425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(0.82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3" name="TextBox 5"/>
            <xdr:cNvSpPr txBox="1"/>
          </xdr:nvSpPr>
          <xdr:spPr>
            <a:xfrm>
              <a:off x="1076325" y="41881425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133349</xdr:colOff>
      <xdr:row>147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5"/>
            <xdr:cNvSpPr txBox="1"/>
          </xdr:nvSpPr>
          <xdr:spPr>
            <a:xfrm>
              <a:off x="2114549" y="440055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4" name="TextBox 5"/>
            <xdr:cNvSpPr txBox="1"/>
          </xdr:nvSpPr>
          <xdr:spPr>
            <a:xfrm>
              <a:off x="2114549" y="440055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160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5"/>
            <xdr:cNvSpPr txBox="1"/>
          </xdr:nvSpPr>
          <xdr:spPr>
            <a:xfrm>
              <a:off x="2276474" y="4709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5" name="TextBox 5"/>
            <xdr:cNvSpPr txBox="1"/>
          </xdr:nvSpPr>
          <xdr:spPr>
            <a:xfrm>
              <a:off x="2276474" y="4709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152399</xdr:colOff>
      <xdr:row>160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5"/>
            <xdr:cNvSpPr txBox="1"/>
          </xdr:nvSpPr>
          <xdr:spPr>
            <a:xfrm>
              <a:off x="3047999" y="4709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6" name="TextBox 5"/>
            <xdr:cNvSpPr txBox="1"/>
          </xdr:nvSpPr>
          <xdr:spPr>
            <a:xfrm>
              <a:off x="3047999" y="47091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165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5"/>
            <xdr:cNvSpPr txBox="1"/>
          </xdr:nvSpPr>
          <xdr:spPr>
            <a:xfrm>
              <a:off x="1076325" y="482727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7" name="TextBox 5"/>
            <xdr:cNvSpPr txBox="1"/>
          </xdr:nvSpPr>
          <xdr:spPr>
            <a:xfrm>
              <a:off x="1076325" y="482727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𝑙_𝑟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185</xdr:row>
      <xdr:rowOff>9525</xdr:rowOff>
    </xdr:from>
    <xdr:to>
      <xdr:col>35</xdr:col>
      <xdr:colOff>0</xdr:colOff>
      <xdr:row>186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2"/>
            <xdr:cNvSpPr txBox="1">
              <a:spLocks/>
            </xdr:cNvSpPr>
          </xdr:nvSpPr>
          <xdr:spPr>
            <a:xfrm>
              <a:off x="161925" y="52558950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Choice>
      <mc:Fallback xmlns="">
        <xdr:sp macro="" textlink="">
          <xdr:nvSpPr>
            <xdr:cNvPr id="100" name="TextBox 2"/>
            <xdr:cNvSpPr txBox="1">
              <a:spLocks/>
            </xdr:cNvSpPr>
          </xdr:nvSpPr>
          <xdr:spPr>
            <a:xfrm>
              <a:off x="161925" y="52558950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𝑙〗_𝑐)</a:t>
              </a:r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26</xdr:col>
      <xdr:colOff>142875</xdr:colOff>
      <xdr:row>187</xdr:row>
      <xdr:rowOff>38101</xdr:rowOff>
    </xdr:from>
    <xdr:to>
      <xdr:col>32</xdr:col>
      <xdr:colOff>104775</xdr:colOff>
      <xdr:row>187</xdr:row>
      <xdr:rowOff>237226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2"/>
            <xdr:cNvSpPr txBox="1">
              <a:spLocks/>
            </xdr:cNvSpPr>
          </xdr:nvSpPr>
          <xdr:spPr>
            <a:xfrm>
              <a:off x="4105275" y="530637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2" name="TextBox 2"/>
            <xdr:cNvSpPr txBox="1">
              <a:spLocks/>
            </xdr:cNvSpPr>
          </xdr:nvSpPr>
          <xdr:spPr>
            <a:xfrm>
              <a:off x="4105275" y="530637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0</xdr:colOff>
      <xdr:row>194</xdr:row>
      <xdr:rowOff>19050</xdr:rowOff>
    </xdr:from>
    <xdr:to>
      <xdr:col>15</xdr:col>
      <xdr:colOff>123825</xdr:colOff>
      <xdr:row>194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2"/>
            <xdr:cNvSpPr txBox="1">
              <a:spLocks/>
            </xdr:cNvSpPr>
          </xdr:nvSpPr>
          <xdr:spPr>
            <a:xfrm>
              <a:off x="167640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3" name="TextBox 2"/>
            <xdr:cNvSpPr txBox="1">
              <a:spLocks/>
            </xdr:cNvSpPr>
          </xdr:nvSpPr>
          <xdr:spPr>
            <a:xfrm>
              <a:off x="167640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28</xdr:col>
      <xdr:colOff>28575</xdr:colOff>
      <xdr:row>193</xdr:row>
      <xdr:rowOff>28575</xdr:rowOff>
    </xdr:from>
    <xdr:to>
      <xdr:col>33</xdr:col>
      <xdr:colOff>0</xdr:colOff>
      <xdr:row>194</xdr:row>
      <xdr:rowOff>898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TextBox 2"/>
            <xdr:cNvSpPr txBox="1">
              <a:spLocks/>
            </xdr:cNvSpPr>
          </xdr:nvSpPr>
          <xdr:spPr>
            <a:xfrm>
              <a:off x="4295775" y="44719875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4" name="TextBox 2"/>
            <xdr:cNvSpPr txBox="1">
              <a:spLocks/>
            </xdr:cNvSpPr>
          </xdr:nvSpPr>
          <xdr:spPr>
            <a:xfrm>
              <a:off x="4295775" y="44719875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15</xdr:col>
      <xdr:colOff>85725</xdr:colOff>
      <xdr:row>194</xdr:row>
      <xdr:rowOff>19050</xdr:rowOff>
    </xdr:from>
    <xdr:to>
      <xdr:col>20</xdr:col>
      <xdr:colOff>57150</xdr:colOff>
      <xdr:row>194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2"/>
            <xdr:cNvSpPr txBox="1">
              <a:spLocks/>
            </xdr:cNvSpPr>
          </xdr:nvSpPr>
          <xdr:spPr>
            <a:xfrm>
              <a:off x="2371725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5" name="TextBox 2"/>
            <xdr:cNvSpPr txBox="1">
              <a:spLocks/>
            </xdr:cNvSpPr>
          </xdr:nvSpPr>
          <xdr:spPr>
            <a:xfrm>
              <a:off x="2371725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114300</xdr:colOff>
      <xdr:row>194</xdr:row>
      <xdr:rowOff>19050</xdr:rowOff>
    </xdr:from>
    <xdr:to>
      <xdr:col>25</xdr:col>
      <xdr:colOff>85725</xdr:colOff>
      <xdr:row>194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2"/>
            <xdr:cNvSpPr txBox="1">
              <a:spLocks/>
            </xdr:cNvSpPr>
          </xdr:nvSpPr>
          <xdr:spPr>
            <a:xfrm>
              <a:off x="316230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6" name="TextBox 2"/>
            <xdr:cNvSpPr txBox="1">
              <a:spLocks/>
            </xdr:cNvSpPr>
          </xdr:nvSpPr>
          <xdr:spPr>
            <a:xfrm>
              <a:off x="316230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95250</xdr:colOff>
      <xdr:row>194</xdr:row>
      <xdr:rowOff>19050</xdr:rowOff>
    </xdr:from>
    <xdr:to>
      <xdr:col>30</xdr:col>
      <xdr:colOff>66675</xdr:colOff>
      <xdr:row>194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2"/>
            <xdr:cNvSpPr txBox="1">
              <a:spLocks/>
            </xdr:cNvSpPr>
          </xdr:nvSpPr>
          <xdr:spPr>
            <a:xfrm>
              <a:off x="390525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7" name="TextBox 2"/>
            <xdr:cNvSpPr txBox="1">
              <a:spLocks/>
            </xdr:cNvSpPr>
          </xdr:nvSpPr>
          <xdr:spPr>
            <a:xfrm>
              <a:off x="390525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30</xdr:col>
      <xdr:colOff>104775</xdr:colOff>
      <xdr:row>194</xdr:row>
      <xdr:rowOff>19050</xdr:rowOff>
    </xdr:from>
    <xdr:to>
      <xdr:col>35</xdr:col>
      <xdr:colOff>76200</xdr:colOff>
      <xdr:row>194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2"/>
            <xdr:cNvSpPr txBox="1">
              <a:spLocks/>
            </xdr:cNvSpPr>
          </xdr:nvSpPr>
          <xdr:spPr>
            <a:xfrm>
              <a:off x="4676775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8" name="TextBox 2"/>
            <xdr:cNvSpPr txBox="1">
              <a:spLocks/>
            </xdr:cNvSpPr>
          </xdr:nvSpPr>
          <xdr:spPr>
            <a:xfrm>
              <a:off x="4676775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35</xdr:col>
      <xdr:colOff>95250</xdr:colOff>
      <xdr:row>194</xdr:row>
      <xdr:rowOff>19050</xdr:rowOff>
    </xdr:from>
    <xdr:to>
      <xdr:col>40</xdr:col>
      <xdr:colOff>66675</xdr:colOff>
      <xdr:row>194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2"/>
            <xdr:cNvSpPr txBox="1">
              <a:spLocks/>
            </xdr:cNvSpPr>
          </xdr:nvSpPr>
          <xdr:spPr>
            <a:xfrm>
              <a:off x="542925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9" name="TextBox 2"/>
            <xdr:cNvSpPr txBox="1">
              <a:spLocks/>
            </xdr:cNvSpPr>
          </xdr:nvSpPr>
          <xdr:spPr>
            <a:xfrm>
              <a:off x="5429250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40</xdr:col>
      <xdr:colOff>85725</xdr:colOff>
      <xdr:row>194</xdr:row>
      <xdr:rowOff>19050</xdr:rowOff>
    </xdr:from>
    <xdr:to>
      <xdr:col>45</xdr:col>
      <xdr:colOff>57150</xdr:colOff>
      <xdr:row>194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Box 2"/>
            <xdr:cNvSpPr txBox="1">
              <a:spLocks/>
            </xdr:cNvSpPr>
          </xdr:nvSpPr>
          <xdr:spPr>
            <a:xfrm>
              <a:off x="6181725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0" name="TextBox 2"/>
            <xdr:cNvSpPr txBox="1">
              <a:spLocks/>
            </xdr:cNvSpPr>
          </xdr:nvSpPr>
          <xdr:spPr>
            <a:xfrm>
              <a:off x="6181725" y="547116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</xdr:col>
      <xdr:colOff>47625</xdr:colOff>
      <xdr:row>193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111"/>
            <xdr:cNvSpPr txBox="1"/>
          </xdr:nvSpPr>
          <xdr:spPr>
            <a:xfrm>
              <a:off x="200025" y="5450652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2" name="TextBox 111"/>
            <xdr:cNvSpPr txBox="1"/>
          </xdr:nvSpPr>
          <xdr:spPr>
            <a:xfrm>
              <a:off x="200025" y="5450652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122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5"/>
            <xdr:cNvSpPr txBox="1"/>
          </xdr:nvSpPr>
          <xdr:spPr>
            <a:xfrm>
              <a:off x="1076325" y="38033324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13" name="TextBox 5"/>
            <xdr:cNvSpPr txBox="1"/>
          </xdr:nvSpPr>
          <xdr:spPr>
            <a:xfrm>
              <a:off x="1076325" y="38033324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152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TextBox 5"/>
            <xdr:cNvSpPr txBox="1"/>
          </xdr:nvSpPr>
          <xdr:spPr>
            <a:xfrm>
              <a:off x="1076325" y="4517707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4" name="TextBox 5"/>
            <xdr:cNvSpPr txBox="1"/>
          </xdr:nvSpPr>
          <xdr:spPr>
            <a:xfrm>
              <a:off x="1076325" y="4517707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55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TextBox 4"/>
            <xdr:cNvSpPr txBox="1"/>
          </xdr:nvSpPr>
          <xdr:spPr>
            <a:xfrm>
              <a:off x="2162175" y="184880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6" name="TextBox 4"/>
            <xdr:cNvSpPr txBox="1"/>
          </xdr:nvSpPr>
          <xdr:spPr>
            <a:xfrm>
              <a:off x="2162175" y="184880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55</xdr:row>
      <xdr:rowOff>228600</xdr:rowOff>
    </xdr:from>
    <xdr:ext cx="161925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TextBox 4"/>
            <xdr:cNvSpPr txBox="1"/>
          </xdr:nvSpPr>
          <xdr:spPr>
            <a:xfrm>
              <a:off x="6276975" y="18488025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7" name="TextBox 4"/>
            <xdr:cNvSpPr txBox="1"/>
          </xdr:nvSpPr>
          <xdr:spPr>
            <a:xfrm>
              <a:off x="6276975" y="18488025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64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TextBox 4"/>
            <xdr:cNvSpPr txBox="1"/>
          </xdr:nvSpPr>
          <xdr:spPr>
            <a:xfrm>
              <a:off x="6276975" y="203930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8" name="TextBox 4"/>
            <xdr:cNvSpPr txBox="1"/>
          </xdr:nvSpPr>
          <xdr:spPr>
            <a:xfrm>
              <a:off x="6276975" y="203930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28575</xdr:colOff>
      <xdr:row>74</xdr:row>
      <xdr:rowOff>57150</xdr:rowOff>
    </xdr:from>
    <xdr:ext cx="741678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3" name="TextBox 4"/>
            <xdr:cNvSpPr txBox="1"/>
          </xdr:nvSpPr>
          <xdr:spPr>
            <a:xfrm>
              <a:off x="1247775" y="25936575"/>
              <a:ext cx="74167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3" name="TextBox 4"/>
            <xdr:cNvSpPr txBox="1"/>
          </xdr:nvSpPr>
          <xdr:spPr>
            <a:xfrm>
              <a:off x="1247775" y="25936575"/>
              <a:ext cx="74167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66675</xdr:colOff>
      <xdr:row>69</xdr:row>
      <xdr:rowOff>0</xdr:rowOff>
    </xdr:from>
    <xdr:ext cx="1445845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4" name="TextBox 4"/>
            <xdr:cNvSpPr txBox="1"/>
          </xdr:nvSpPr>
          <xdr:spPr>
            <a:xfrm>
              <a:off x="3571875" y="24688800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4" name="TextBox 4"/>
            <xdr:cNvSpPr txBox="1"/>
          </xdr:nvSpPr>
          <xdr:spPr>
            <a:xfrm>
              <a:off x="3571875" y="24688800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76200</xdr:colOff>
      <xdr:row>70</xdr:row>
      <xdr:rowOff>228600</xdr:rowOff>
    </xdr:from>
    <xdr:ext cx="1445845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TextBox 4"/>
            <xdr:cNvSpPr txBox="1"/>
          </xdr:nvSpPr>
          <xdr:spPr>
            <a:xfrm>
              <a:off x="2209800" y="25155525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5" name="TextBox 4"/>
            <xdr:cNvSpPr txBox="1"/>
          </xdr:nvSpPr>
          <xdr:spPr>
            <a:xfrm>
              <a:off x="2209800" y="25155525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57150</xdr:colOff>
      <xdr:row>71</xdr:row>
      <xdr:rowOff>104775</xdr:rowOff>
    </xdr:from>
    <xdr:ext cx="1538947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6" name="TextBox 4"/>
            <xdr:cNvSpPr txBox="1"/>
          </xdr:nvSpPr>
          <xdr:spPr>
            <a:xfrm>
              <a:off x="4171950" y="25269825"/>
              <a:ext cx="1538947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6" name="TextBox 4"/>
            <xdr:cNvSpPr txBox="1"/>
          </xdr:nvSpPr>
          <xdr:spPr>
            <a:xfrm>
              <a:off x="4171950" y="25269825"/>
              <a:ext cx="1538947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75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7" name="TextBox 4"/>
            <xdr:cNvSpPr txBox="1"/>
          </xdr:nvSpPr>
          <xdr:spPr>
            <a:xfrm>
              <a:off x="2162175" y="263461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7" name="TextBox 4"/>
            <xdr:cNvSpPr txBox="1"/>
          </xdr:nvSpPr>
          <xdr:spPr>
            <a:xfrm>
              <a:off x="2162175" y="263461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29</xdr:col>
      <xdr:colOff>28575</xdr:colOff>
      <xdr:row>75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8" name="TextBox 4"/>
            <xdr:cNvSpPr txBox="1"/>
          </xdr:nvSpPr>
          <xdr:spPr>
            <a:xfrm>
              <a:off x="4448175" y="263461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8" name="TextBox 4"/>
            <xdr:cNvSpPr txBox="1"/>
          </xdr:nvSpPr>
          <xdr:spPr>
            <a:xfrm>
              <a:off x="4448175" y="263461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186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9" name="TextBox 2"/>
            <xdr:cNvSpPr txBox="1">
              <a:spLocks/>
            </xdr:cNvSpPr>
          </xdr:nvSpPr>
          <xdr:spPr>
            <a:xfrm>
              <a:off x="752475" y="528256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9" name="TextBox 2"/>
            <xdr:cNvSpPr txBox="1">
              <a:spLocks/>
            </xdr:cNvSpPr>
          </xdr:nvSpPr>
          <xdr:spPr>
            <a:xfrm>
              <a:off x="752475" y="528256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186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0" name="TextBox 2"/>
            <xdr:cNvSpPr txBox="1">
              <a:spLocks/>
            </xdr:cNvSpPr>
          </xdr:nvSpPr>
          <xdr:spPr>
            <a:xfrm>
              <a:off x="1790699" y="5282565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0" name="TextBox 2"/>
            <xdr:cNvSpPr txBox="1">
              <a:spLocks/>
            </xdr:cNvSpPr>
          </xdr:nvSpPr>
          <xdr:spPr>
            <a:xfrm>
              <a:off x="1790699" y="5282565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142875</xdr:colOff>
      <xdr:row>186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1" name="TextBox 2"/>
            <xdr:cNvSpPr txBox="1">
              <a:spLocks/>
            </xdr:cNvSpPr>
          </xdr:nvSpPr>
          <xdr:spPr>
            <a:xfrm>
              <a:off x="3190875" y="528256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1" name="TextBox 2"/>
            <xdr:cNvSpPr txBox="1">
              <a:spLocks/>
            </xdr:cNvSpPr>
          </xdr:nvSpPr>
          <xdr:spPr>
            <a:xfrm>
              <a:off x="3190875" y="528256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142874</xdr:colOff>
      <xdr:row>186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2" name="TextBox 2"/>
            <xdr:cNvSpPr txBox="1">
              <a:spLocks/>
            </xdr:cNvSpPr>
          </xdr:nvSpPr>
          <xdr:spPr>
            <a:xfrm>
              <a:off x="4257674" y="528256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2" name="TextBox 2"/>
            <xdr:cNvSpPr txBox="1">
              <a:spLocks/>
            </xdr:cNvSpPr>
          </xdr:nvSpPr>
          <xdr:spPr>
            <a:xfrm>
              <a:off x="4257674" y="528256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37</xdr:col>
      <xdr:colOff>142874</xdr:colOff>
      <xdr:row>186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3" name="TextBox 2"/>
            <xdr:cNvSpPr txBox="1">
              <a:spLocks/>
            </xdr:cNvSpPr>
          </xdr:nvSpPr>
          <xdr:spPr>
            <a:xfrm>
              <a:off x="5781674" y="528256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3" name="TextBox 2"/>
            <xdr:cNvSpPr txBox="1">
              <a:spLocks/>
            </xdr:cNvSpPr>
          </xdr:nvSpPr>
          <xdr:spPr>
            <a:xfrm>
              <a:off x="5781674" y="528256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142874</xdr:colOff>
      <xdr:row>187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4" name="TextBox 2"/>
            <xdr:cNvSpPr txBox="1">
              <a:spLocks/>
            </xdr:cNvSpPr>
          </xdr:nvSpPr>
          <xdr:spPr>
            <a:xfrm>
              <a:off x="1057274" y="530637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4" name="TextBox 2"/>
            <xdr:cNvSpPr txBox="1">
              <a:spLocks/>
            </xdr:cNvSpPr>
          </xdr:nvSpPr>
          <xdr:spPr>
            <a:xfrm>
              <a:off x="1057274" y="530637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142874</xdr:colOff>
      <xdr:row>187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5" name="TextBox 2"/>
            <xdr:cNvSpPr txBox="1">
              <a:spLocks/>
            </xdr:cNvSpPr>
          </xdr:nvSpPr>
          <xdr:spPr>
            <a:xfrm>
              <a:off x="2581274" y="530637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5" name="TextBox 2"/>
            <xdr:cNvSpPr txBox="1">
              <a:spLocks/>
            </xdr:cNvSpPr>
          </xdr:nvSpPr>
          <xdr:spPr>
            <a:xfrm>
              <a:off x="2581274" y="530637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188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6" name="TextBox 2"/>
            <xdr:cNvSpPr txBox="1">
              <a:spLocks/>
            </xdr:cNvSpPr>
          </xdr:nvSpPr>
          <xdr:spPr>
            <a:xfrm>
              <a:off x="752475" y="533019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6" name="TextBox 2"/>
            <xdr:cNvSpPr txBox="1">
              <a:spLocks/>
            </xdr:cNvSpPr>
          </xdr:nvSpPr>
          <xdr:spPr>
            <a:xfrm>
              <a:off x="752475" y="533019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188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7" name="TextBox 2"/>
            <xdr:cNvSpPr txBox="1">
              <a:spLocks/>
            </xdr:cNvSpPr>
          </xdr:nvSpPr>
          <xdr:spPr>
            <a:xfrm>
              <a:off x="1790699" y="5330190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7" name="TextBox 2"/>
            <xdr:cNvSpPr txBox="1">
              <a:spLocks/>
            </xdr:cNvSpPr>
          </xdr:nvSpPr>
          <xdr:spPr>
            <a:xfrm>
              <a:off x="1790699" y="5330190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28575</xdr:colOff>
      <xdr:row>189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8" name="TextBox 4"/>
            <xdr:cNvSpPr txBox="1"/>
          </xdr:nvSpPr>
          <xdr:spPr>
            <a:xfrm>
              <a:off x="790575" y="537305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8" name="TextBox 4"/>
            <xdr:cNvSpPr txBox="1"/>
          </xdr:nvSpPr>
          <xdr:spPr>
            <a:xfrm>
              <a:off x="790575" y="537305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19050</xdr:colOff>
      <xdr:row>207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9" name="TextBox 4"/>
            <xdr:cNvSpPr txBox="1"/>
          </xdr:nvSpPr>
          <xdr:spPr>
            <a:xfrm>
              <a:off x="1847850" y="580167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9" name="TextBox 4"/>
            <xdr:cNvSpPr txBox="1"/>
          </xdr:nvSpPr>
          <xdr:spPr>
            <a:xfrm>
              <a:off x="1847850" y="580167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19050</xdr:colOff>
      <xdr:row>207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0" name="TextBox 4"/>
            <xdr:cNvSpPr txBox="1"/>
          </xdr:nvSpPr>
          <xdr:spPr>
            <a:xfrm>
              <a:off x="3981450" y="580167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0" name="TextBox 4"/>
            <xdr:cNvSpPr txBox="1"/>
          </xdr:nvSpPr>
          <xdr:spPr>
            <a:xfrm>
              <a:off x="3981450" y="580167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19050</xdr:colOff>
      <xdr:row>207</xdr:row>
      <xdr:rowOff>228600</xdr:rowOff>
    </xdr:from>
    <xdr:ext cx="1476879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1" name="TextBox 4"/>
            <xdr:cNvSpPr txBox="1"/>
          </xdr:nvSpPr>
          <xdr:spPr>
            <a:xfrm>
              <a:off x="6115050" y="5801677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1" name="TextBox 4"/>
            <xdr:cNvSpPr txBox="1"/>
          </xdr:nvSpPr>
          <xdr:spPr>
            <a:xfrm>
              <a:off x="6115050" y="5801677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250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4"/>
            <xdr:cNvSpPr txBox="1"/>
          </xdr:nvSpPr>
          <xdr:spPr>
            <a:xfrm>
              <a:off x="704850" y="88392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5" name="TextBox 4"/>
            <xdr:cNvSpPr txBox="1"/>
          </xdr:nvSpPr>
          <xdr:spPr>
            <a:xfrm>
              <a:off x="704850" y="88392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260</xdr:row>
      <xdr:rowOff>9525</xdr:rowOff>
    </xdr:from>
    <xdr:ext cx="5172075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2"/>
            <xdr:cNvSpPr txBox="1">
              <a:spLocks/>
            </xdr:cNvSpPr>
          </xdr:nvSpPr>
          <xdr:spPr>
            <a:xfrm>
              <a:off x="161925" y="10963275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Choice>
      <mc:Fallback xmlns="">
        <xdr:sp macro="" textlink="">
          <xdr:nvSpPr>
            <xdr:cNvPr id="66" name="TextBox 2"/>
            <xdr:cNvSpPr txBox="1">
              <a:spLocks/>
            </xdr:cNvSpPr>
          </xdr:nvSpPr>
          <xdr:spPr>
            <a:xfrm>
              <a:off x="161925" y="10963275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𝑙〗_𝑐)</a:t>
              </a:r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142875</xdr:colOff>
      <xdr:row>262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2"/>
            <xdr:cNvSpPr txBox="1">
              <a:spLocks/>
            </xdr:cNvSpPr>
          </xdr:nvSpPr>
          <xdr:spPr>
            <a:xfrm>
              <a:off x="4105275" y="114681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7" name="TextBox 2"/>
            <xdr:cNvSpPr txBox="1">
              <a:spLocks/>
            </xdr:cNvSpPr>
          </xdr:nvSpPr>
          <xdr:spPr>
            <a:xfrm>
              <a:off x="4105275" y="114681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269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2"/>
            <xdr:cNvSpPr txBox="1">
              <a:spLocks/>
            </xdr:cNvSpPr>
          </xdr:nvSpPr>
          <xdr:spPr>
            <a:xfrm>
              <a:off x="167640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0" name="TextBox 2"/>
            <xdr:cNvSpPr txBox="1">
              <a:spLocks/>
            </xdr:cNvSpPr>
          </xdr:nvSpPr>
          <xdr:spPr>
            <a:xfrm>
              <a:off x="167640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28</xdr:col>
      <xdr:colOff>19050</xdr:colOff>
      <xdr:row>268</xdr:row>
      <xdr:rowOff>28575</xdr:rowOff>
    </xdr:from>
    <xdr:ext cx="733425" cy="2104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2"/>
            <xdr:cNvSpPr txBox="1">
              <a:spLocks/>
            </xdr:cNvSpPr>
          </xdr:nvSpPr>
          <xdr:spPr>
            <a:xfrm>
              <a:off x="4286250" y="62741175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1" name="TextBox 2"/>
            <xdr:cNvSpPr txBox="1">
              <a:spLocks/>
            </xdr:cNvSpPr>
          </xdr:nvSpPr>
          <xdr:spPr>
            <a:xfrm>
              <a:off x="4286250" y="62741175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85725</xdr:colOff>
      <xdr:row>269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2"/>
            <xdr:cNvSpPr txBox="1">
              <a:spLocks/>
            </xdr:cNvSpPr>
          </xdr:nvSpPr>
          <xdr:spPr>
            <a:xfrm>
              <a:off x="237172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2" name="TextBox 2"/>
            <xdr:cNvSpPr txBox="1">
              <a:spLocks/>
            </xdr:cNvSpPr>
          </xdr:nvSpPr>
          <xdr:spPr>
            <a:xfrm>
              <a:off x="237172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114300</xdr:colOff>
      <xdr:row>269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2"/>
            <xdr:cNvSpPr txBox="1">
              <a:spLocks/>
            </xdr:cNvSpPr>
          </xdr:nvSpPr>
          <xdr:spPr>
            <a:xfrm>
              <a:off x="316230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6" name="TextBox 2"/>
            <xdr:cNvSpPr txBox="1">
              <a:spLocks/>
            </xdr:cNvSpPr>
          </xdr:nvSpPr>
          <xdr:spPr>
            <a:xfrm>
              <a:off x="316230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95250</xdr:colOff>
      <xdr:row>269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2"/>
            <xdr:cNvSpPr txBox="1">
              <a:spLocks/>
            </xdr:cNvSpPr>
          </xdr:nvSpPr>
          <xdr:spPr>
            <a:xfrm>
              <a:off x="390525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0" name="TextBox 2"/>
            <xdr:cNvSpPr txBox="1">
              <a:spLocks/>
            </xdr:cNvSpPr>
          </xdr:nvSpPr>
          <xdr:spPr>
            <a:xfrm>
              <a:off x="390525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30</xdr:col>
      <xdr:colOff>104775</xdr:colOff>
      <xdr:row>269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2"/>
            <xdr:cNvSpPr txBox="1">
              <a:spLocks/>
            </xdr:cNvSpPr>
          </xdr:nvSpPr>
          <xdr:spPr>
            <a:xfrm>
              <a:off x="467677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1" name="TextBox 2"/>
            <xdr:cNvSpPr txBox="1">
              <a:spLocks/>
            </xdr:cNvSpPr>
          </xdr:nvSpPr>
          <xdr:spPr>
            <a:xfrm>
              <a:off x="467677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35</xdr:col>
      <xdr:colOff>95250</xdr:colOff>
      <xdr:row>269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2"/>
            <xdr:cNvSpPr txBox="1">
              <a:spLocks/>
            </xdr:cNvSpPr>
          </xdr:nvSpPr>
          <xdr:spPr>
            <a:xfrm>
              <a:off x="542925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8" name="TextBox 2"/>
            <xdr:cNvSpPr txBox="1">
              <a:spLocks/>
            </xdr:cNvSpPr>
          </xdr:nvSpPr>
          <xdr:spPr>
            <a:xfrm>
              <a:off x="542925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85725</xdr:colOff>
      <xdr:row>269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2"/>
            <xdr:cNvSpPr txBox="1">
              <a:spLocks/>
            </xdr:cNvSpPr>
          </xdr:nvSpPr>
          <xdr:spPr>
            <a:xfrm>
              <a:off x="618172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9" name="TextBox 2"/>
            <xdr:cNvSpPr txBox="1">
              <a:spLocks/>
            </xdr:cNvSpPr>
          </xdr:nvSpPr>
          <xdr:spPr>
            <a:xfrm>
              <a:off x="618172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268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100"/>
            <xdr:cNvSpPr txBox="1"/>
          </xdr:nvSpPr>
          <xdr:spPr>
            <a:xfrm>
              <a:off x="200025" y="1291085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1" name="TextBox 100"/>
            <xdr:cNvSpPr txBox="1"/>
          </xdr:nvSpPr>
          <xdr:spPr>
            <a:xfrm>
              <a:off x="200025" y="1291085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247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4"/>
            <xdr:cNvSpPr txBox="1"/>
          </xdr:nvSpPr>
          <xdr:spPr>
            <a:xfrm>
              <a:off x="2162175" y="83248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1" name="TextBox 4"/>
            <xdr:cNvSpPr txBox="1"/>
          </xdr:nvSpPr>
          <xdr:spPr>
            <a:xfrm>
              <a:off x="2162175" y="83248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247</xdr:row>
      <xdr:rowOff>228600</xdr:rowOff>
    </xdr:from>
    <xdr:ext cx="161925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4"/>
            <xdr:cNvSpPr txBox="1"/>
          </xdr:nvSpPr>
          <xdr:spPr>
            <a:xfrm>
              <a:off x="6276975" y="8324850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5" name="TextBox 4"/>
            <xdr:cNvSpPr txBox="1"/>
          </xdr:nvSpPr>
          <xdr:spPr>
            <a:xfrm>
              <a:off x="6276975" y="8324850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256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4"/>
            <xdr:cNvSpPr txBox="1"/>
          </xdr:nvSpPr>
          <xdr:spPr>
            <a:xfrm>
              <a:off x="6276975" y="100012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9" name="TextBox 4"/>
            <xdr:cNvSpPr txBox="1"/>
          </xdr:nvSpPr>
          <xdr:spPr>
            <a:xfrm>
              <a:off x="6276975" y="100012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261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2"/>
            <xdr:cNvSpPr txBox="1">
              <a:spLocks/>
            </xdr:cNvSpPr>
          </xdr:nvSpPr>
          <xdr:spPr>
            <a:xfrm>
              <a:off x="752475" y="11229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0" name="TextBox 2"/>
            <xdr:cNvSpPr txBox="1">
              <a:spLocks/>
            </xdr:cNvSpPr>
          </xdr:nvSpPr>
          <xdr:spPr>
            <a:xfrm>
              <a:off x="752475" y="11229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261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TextBox 2"/>
            <xdr:cNvSpPr txBox="1">
              <a:spLocks/>
            </xdr:cNvSpPr>
          </xdr:nvSpPr>
          <xdr:spPr>
            <a:xfrm>
              <a:off x="1790699" y="1122997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1" name="TextBox 2"/>
            <xdr:cNvSpPr txBox="1">
              <a:spLocks/>
            </xdr:cNvSpPr>
          </xdr:nvSpPr>
          <xdr:spPr>
            <a:xfrm>
              <a:off x="1790699" y="1122997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142875</xdr:colOff>
      <xdr:row>261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TextBox 2"/>
            <xdr:cNvSpPr txBox="1">
              <a:spLocks/>
            </xdr:cNvSpPr>
          </xdr:nvSpPr>
          <xdr:spPr>
            <a:xfrm>
              <a:off x="3190875" y="11229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2" name="TextBox 2"/>
            <xdr:cNvSpPr txBox="1">
              <a:spLocks/>
            </xdr:cNvSpPr>
          </xdr:nvSpPr>
          <xdr:spPr>
            <a:xfrm>
              <a:off x="3190875" y="11229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142874</xdr:colOff>
      <xdr:row>261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TextBox 2"/>
            <xdr:cNvSpPr txBox="1">
              <a:spLocks/>
            </xdr:cNvSpPr>
          </xdr:nvSpPr>
          <xdr:spPr>
            <a:xfrm>
              <a:off x="4257674" y="112299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3" name="TextBox 2"/>
            <xdr:cNvSpPr txBox="1">
              <a:spLocks/>
            </xdr:cNvSpPr>
          </xdr:nvSpPr>
          <xdr:spPr>
            <a:xfrm>
              <a:off x="4257674" y="112299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37</xdr:col>
      <xdr:colOff>142874</xdr:colOff>
      <xdr:row>261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TextBox 2"/>
            <xdr:cNvSpPr txBox="1">
              <a:spLocks/>
            </xdr:cNvSpPr>
          </xdr:nvSpPr>
          <xdr:spPr>
            <a:xfrm>
              <a:off x="5781674" y="112299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4" name="TextBox 2"/>
            <xdr:cNvSpPr txBox="1">
              <a:spLocks/>
            </xdr:cNvSpPr>
          </xdr:nvSpPr>
          <xdr:spPr>
            <a:xfrm>
              <a:off x="5781674" y="112299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142874</xdr:colOff>
      <xdr:row>262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TextBox 2"/>
            <xdr:cNvSpPr txBox="1">
              <a:spLocks/>
            </xdr:cNvSpPr>
          </xdr:nvSpPr>
          <xdr:spPr>
            <a:xfrm>
              <a:off x="10572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5" name="TextBox 2"/>
            <xdr:cNvSpPr txBox="1">
              <a:spLocks/>
            </xdr:cNvSpPr>
          </xdr:nvSpPr>
          <xdr:spPr>
            <a:xfrm>
              <a:off x="10572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142874</xdr:colOff>
      <xdr:row>262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TextBox 2"/>
            <xdr:cNvSpPr txBox="1">
              <a:spLocks/>
            </xdr:cNvSpPr>
          </xdr:nvSpPr>
          <xdr:spPr>
            <a:xfrm>
              <a:off x="25812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6" name="TextBox 2"/>
            <xdr:cNvSpPr txBox="1">
              <a:spLocks/>
            </xdr:cNvSpPr>
          </xdr:nvSpPr>
          <xdr:spPr>
            <a:xfrm>
              <a:off x="25812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263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2"/>
            <xdr:cNvSpPr txBox="1">
              <a:spLocks/>
            </xdr:cNvSpPr>
          </xdr:nvSpPr>
          <xdr:spPr>
            <a:xfrm>
              <a:off x="752475" y="11706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7" name="TextBox 2"/>
            <xdr:cNvSpPr txBox="1">
              <a:spLocks/>
            </xdr:cNvSpPr>
          </xdr:nvSpPr>
          <xdr:spPr>
            <a:xfrm>
              <a:off x="752475" y="11706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263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8" name="TextBox 2"/>
            <xdr:cNvSpPr txBox="1">
              <a:spLocks/>
            </xdr:cNvSpPr>
          </xdr:nvSpPr>
          <xdr:spPr>
            <a:xfrm>
              <a:off x="1790699" y="1170622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8" name="TextBox 2"/>
            <xdr:cNvSpPr txBox="1">
              <a:spLocks/>
            </xdr:cNvSpPr>
          </xdr:nvSpPr>
          <xdr:spPr>
            <a:xfrm>
              <a:off x="1790699" y="1170622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28575</xdr:colOff>
      <xdr:row>264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4"/>
            <xdr:cNvSpPr txBox="1"/>
          </xdr:nvSpPr>
          <xdr:spPr>
            <a:xfrm>
              <a:off x="790575" y="121348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9" name="TextBox 4"/>
            <xdr:cNvSpPr txBox="1"/>
          </xdr:nvSpPr>
          <xdr:spPr>
            <a:xfrm>
              <a:off x="790575" y="121348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19050</xdr:colOff>
      <xdr:row>273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TextBox 4"/>
            <xdr:cNvSpPr txBox="1"/>
          </xdr:nvSpPr>
          <xdr:spPr>
            <a:xfrm>
              <a:off x="1847850" y="140493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0" name="TextBox 4"/>
            <xdr:cNvSpPr txBox="1"/>
          </xdr:nvSpPr>
          <xdr:spPr>
            <a:xfrm>
              <a:off x="1847850" y="140493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19050</xdr:colOff>
      <xdr:row>273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TextBox 4"/>
            <xdr:cNvSpPr txBox="1"/>
          </xdr:nvSpPr>
          <xdr:spPr>
            <a:xfrm>
              <a:off x="3981450" y="140493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1" name="TextBox 4"/>
            <xdr:cNvSpPr txBox="1"/>
          </xdr:nvSpPr>
          <xdr:spPr>
            <a:xfrm>
              <a:off x="3981450" y="140493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19050</xdr:colOff>
      <xdr:row>273</xdr:row>
      <xdr:rowOff>0</xdr:rowOff>
    </xdr:from>
    <xdr:ext cx="1476879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4"/>
            <xdr:cNvSpPr txBox="1"/>
          </xdr:nvSpPr>
          <xdr:spPr>
            <a:xfrm>
              <a:off x="6115050" y="1404937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2" name="TextBox 4"/>
            <xdr:cNvSpPr txBox="1"/>
          </xdr:nvSpPr>
          <xdr:spPr>
            <a:xfrm>
              <a:off x="6115050" y="1404937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315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8" name="TextBox 4"/>
            <xdr:cNvSpPr txBox="1"/>
          </xdr:nvSpPr>
          <xdr:spPr>
            <a:xfrm>
              <a:off x="704850" y="88392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8" name="TextBox 4"/>
            <xdr:cNvSpPr txBox="1"/>
          </xdr:nvSpPr>
          <xdr:spPr>
            <a:xfrm>
              <a:off x="704850" y="88392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325</xdr:row>
      <xdr:rowOff>9525</xdr:rowOff>
    </xdr:from>
    <xdr:ext cx="5172075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9" name="TextBox 208"/>
            <xdr:cNvSpPr txBox="1">
              <a:spLocks/>
            </xdr:cNvSpPr>
          </xdr:nvSpPr>
          <xdr:spPr>
            <a:xfrm>
              <a:off x="161925" y="10963275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209" name="TextBox 208"/>
            <xdr:cNvSpPr txBox="1">
              <a:spLocks/>
            </xdr:cNvSpPr>
          </xdr:nvSpPr>
          <xdr:spPr>
            <a:xfrm>
              <a:off x="161925" y="10963275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𝑙〗_𝑐)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26</xdr:col>
      <xdr:colOff>142875</xdr:colOff>
      <xdr:row>327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0" name="TextBox 2"/>
            <xdr:cNvSpPr txBox="1">
              <a:spLocks/>
            </xdr:cNvSpPr>
          </xdr:nvSpPr>
          <xdr:spPr>
            <a:xfrm>
              <a:off x="4105275" y="114681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0" name="TextBox 2"/>
            <xdr:cNvSpPr txBox="1">
              <a:spLocks/>
            </xdr:cNvSpPr>
          </xdr:nvSpPr>
          <xdr:spPr>
            <a:xfrm>
              <a:off x="4105275" y="114681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334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1" name="TextBox 2"/>
            <xdr:cNvSpPr txBox="1">
              <a:spLocks/>
            </xdr:cNvSpPr>
          </xdr:nvSpPr>
          <xdr:spPr>
            <a:xfrm>
              <a:off x="167640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1" name="TextBox 2"/>
            <xdr:cNvSpPr txBox="1">
              <a:spLocks/>
            </xdr:cNvSpPr>
          </xdr:nvSpPr>
          <xdr:spPr>
            <a:xfrm>
              <a:off x="167640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28</xdr:col>
      <xdr:colOff>19050</xdr:colOff>
      <xdr:row>333</xdr:row>
      <xdr:rowOff>28575</xdr:rowOff>
    </xdr:from>
    <xdr:ext cx="733425" cy="2104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2" name="TextBox 2"/>
            <xdr:cNvSpPr txBox="1">
              <a:spLocks/>
            </xdr:cNvSpPr>
          </xdr:nvSpPr>
          <xdr:spPr>
            <a:xfrm>
              <a:off x="4286250" y="78381225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2" name="TextBox 2"/>
            <xdr:cNvSpPr txBox="1">
              <a:spLocks/>
            </xdr:cNvSpPr>
          </xdr:nvSpPr>
          <xdr:spPr>
            <a:xfrm>
              <a:off x="4286250" y="78381225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85725</xdr:colOff>
      <xdr:row>334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3" name="TextBox 2"/>
            <xdr:cNvSpPr txBox="1">
              <a:spLocks/>
            </xdr:cNvSpPr>
          </xdr:nvSpPr>
          <xdr:spPr>
            <a:xfrm>
              <a:off x="237172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3" name="TextBox 2"/>
            <xdr:cNvSpPr txBox="1">
              <a:spLocks/>
            </xdr:cNvSpPr>
          </xdr:nvSpPr>
          <xdr:spPr>
            <a:xfrm>
              <a:off x="237172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114300</xdr:colOff>
      <xdr:row>334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4" name="TextBox 2"/>
            <xdr:cNvSpPr txBox="1">
              <a:spLocks/>
            </xdr:cNvSpPr>
          </xdr:nvSpPr>
          <xdr:spPr>
            <a:xfrm>
              <a:off x="316230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4" name="TextBox 2"/>
            <xdr:cNvSpPr txBox="1">
              <a:spLocks/>
            </xdr:cNvSpPr>
          </xdr:nvSpPr>
          <xdr:spPr>
            <a:xfrm>
              <a:off x="316230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95250</xdr:colOff>
      <xdr:row>334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5" name="TextBox 2"/>
            <xdr:cNvSpPr txBox="1">
              <a:spLocks/>
            </xdr:cNvSpPr>
          </xdr:nvSpPr>
          <xdr:spPr>
            <a:xfrm>
              <a:off x="390525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5" name="TextBox 2"/>
            <xdr:cNvSpPr txBox="1">
              <a:spLocks/>
            </xdr:cNvSpPr>
          </xdr:nvSpPr>
          <xdr:spPr>
            <a:xfrm>
              <a:off x="390525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30</xdr:col>
      <xdr:colOff>104775</xdr:colOff>
      <xdr:row>334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6" name="TextBox 2"/>
            <xdr:cNvSpPr txBox="1">
              <a:spLocks/>
            </xdr:cNvSpPr>
          </xdr:nvSpPr>
          <xdr:spPr>
            <a:xfrm>
              <a:off x="467677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6" name="TextBox 2"/>
            <xdr:cNvSpPr txBox="1">
              <a:spLocks/>
            </xdr:cNvSpPr>
          </xdr:nvSpPr>
          <xdr:spPr>
            <a:xfrm>
              <a:off x="467677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35</xdr:col>
      <xdr:colOff>95250</xdr:colOff>
      <xdr:row>334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7" name="TextBox 2"/>
            <xdr:cNvSpPr txBox="1">
              <a:spLocks/>
            </xdr:cNvSpPr>
          </xdr:nvSpPr>
          <xdr:spPr>
            <a:xfrm>
              <a:off x="542925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7" name="TextBox 2"/>
            <xdr:cNvSpPr txBox="1">
              <a:spLocks/>
            </xdr:cNvSpPr>
          </xdr:nvSpPr>
          <xdr:spPr>
            <a:xfrm>
              <a:off x="5429250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85725</xdr:colOff>
      <xdr:row>334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8" name="TextBox 2"/>
            <xdr:cNvSpPr txBox="1">
              <a:spLocks/>
            </xdr:cNvSpPr>
          </xdr:nvSpPr>
          <xdr:spPr>
            <a:xfrm>
              <a:off x="618172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8" name="TextBox 2"/>
            <xdr:cNvSpPr txBox="1">
              <a:spLocks/>
            </xdr:cNvSpPr>
          </xdr:nvSpPr>
          <xdr:spPr>
            <a:xfrm>
              <a:off x="6181725" y="131159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333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9" name="TextBox 218"/>
            <xdr:cNvSpPr txBox="1"/>
          </xdr:nvSpPr>
          <xdr:spPr>
            <a:xfrm>
              <a:off x="200025" y="1291085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9" name="TextBox 218"/>
            <xdr:cNvSpPr txBox="1"/>
          </xdr:nvSpPr>
          <xdr:spPr>
            <a:xfrm>
              <a:off x="200025" y="1291085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312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0" name="TextBox 4"/>
            <xdr:cNvSpPr txBox="1"/>
          </xdr:nvSpPr>
          <xdr:spPr>
            <a:xfrm>
              <a:off x="2162175" y="83248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0" name="TextBox 4"/>
            <xdr:cNvSpPr txBox="1"/>
          </xdr:nvSpPr>
          <xdr:spPr>
            <a:xfrm>
              <a:off x="2162175" y="83248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312</xdr:row>
      <xdr:rowOff>228600</xdr:rowOff>
    </xdr:from>
    <xdr:ext cx="161925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1" name="TextBox 4"/>
            <xdr:cNvSpPr txBox="1"/>
          </xdr:nvSpPr>
          <xdr:spPr>
            <a:xfrm>
              <a:off x="6276975" y="8324850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1" name="TextBox 4"/>
            <xdr:cNvSpPr txBox="1"/>
          </xdr:nvSpPr>
          <xdr:spPr>
            <a:xfrm>
              <a:off x="6276975" y="8324850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321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2" name="TextBox 4"/>
            <xdr:cNvSpPr txBox="1"/>
          </xdr:nvSpPr>
          <xdr:spPr>
            <a:xfrm>
              <a:off x="6276975" y="100012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2" name="TextBox 4"/>
            <xdr:cNvSpPr txBox="1"/>
          </xdr:nvSpPr>
          <xdr:spPr>
            <a:xfrm>
              <a:off x="6276975" y="100012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326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3" name="TextBox 2"/>
            <xdr:cNvSpPr txBox="1">
              <a:spLocks/>
            </xdr:cNvSpPr>
          </xdr:nvSpPr>
          <xdr:spPr>
            <a:xfrm>
              <a:off x="752475" y="11229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3" name="TextBox 2"/>
            <xdr:cNvSpPr txBox="1">
              <a:spLocks/>
            </xdr:cNvSpPr>
          </xdr:nvSpPr>
          <xdr:spPr>
            <a:xfrm>
              <a:off x="752475" y="11229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326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4" name="TextBox 2"/>
            <xdr:cNvSpPr txBox="1">
              <a:spLocks/>
            </xdr:cNvSpPr>
          </xdr:nvSpPr>
          <xdr:spPr>
            <a:xfrm>
              <a:off x="1790699" y="1122997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4" name="TextBox 2"/>
            <xdr:cNvSpPr txBox="1">
              <a:spLocks/>
            </xdr:cNvSpPr>
          </xdr:nvSpPr>
          <xdr:spPr>
            <a:xfrm>
              <a:off x="1790699" y="1122997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142875</xdr:colOff>
      <xdr:row>326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5" name="TextBox 2"/>
            <xdr:cNvSpPr txBox="1">
              <a:spLocks/>
            </xdr:cNvSpPr>
          </xdr:nvSpPr>
          <xdr:spPr>
            <a:xfrm>
              <a:off x="3190875" y="11229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5" name="TextBox 2"/>
            <xdr:cNvSpPr txBox="1">
              <a:spLocks/>
            </xdr:cNvSpPr>
          </xdr:nvSpPr>
          <xdr:spPr>
            <a:xfrm>
              <a:off x="3190875" y="112299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142874</xdr:colOff>
      <xdr:row>326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6" name="TextBox 2"/>
            <xdr:cNvSpPr txBox="1">
              <a:spLocks/>
            </xdr:cNvSpPr>
          </xdr:nvSpPr>
          <xdr:spPr>
            <a:xfrm>
              <a:off x="4257674" y="112299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6" name="TextBox 2"/>
            <xdr:cNvSpPr txBox="1">
              <a:spLocks/>
            </xdr:cNvSpPr>
          </xdr:nvSpPr>
          <xdr:spPr>
            <a:xfrm>
              <a:off x="4257674" y="112299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37</xdr:col>
      <xdr:colOff>142874</xdr:colOff>
      <xdr:row>326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7" name="TextBox 2"/>
            <xdr:cNvSpPr txBox="1">
              <a:spLocks/>
            </xdr:cNvSpPr>
          </xdr:nvSpPr>
          <xdr:spPr>
            <a:xfrm>
              <a:off x="5781674" y="112299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7" name="TextBox 2"/>
            <xdr:cNvSpPr txBox="1">
              <a:spLocks/>
            </xdr:cNvSpPr>
          </xdr:nvSpPr>
          <xdr:spPr>
            <a:xfrm>
              <a:off x="5781674" y="112299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142874</xdr:colOff>
      <xdr:row>327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8" name="TextBox 2"/>
            <xdr:cNvSpPr txBox="1">
              <a:spLocks/>
            </xdr:cNvSpPr>
          </xdr:nvSpPr>
          <xdr:spPr>
            <a:xfrm>
              <a:off x="10572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8" name="TextBox 2"/>
            <xdr:cNvSpPr txBox="1">
              <a:spLocks/>
            </xdr:cNvSpPr>
          </xdr:nvSpPr>
          <xdr:spPr>
            <a:xfrm>
              <a:off x="10572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142874</xdr:colOff>
      <xdr:row>327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9" name="TextBox 2"/>
            <xdr:cNvSpPr txBox="1">
              <a:spLocks/>
            </xdr:cNvSpPr>
          </xdr:nvSpPr>
          <xdr:spPr>
            <a:xfrm>
              <a:off x="25812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9" name="TextBox 2"/>
            <xdr:cNvSpPr txBox="1">
              <a:spLocks/>
            </xdr:cNvSpPr>
          </xdr:nvSpPr>
          <xdr:spPr>
            <a:xfrm>
              <a:off x="2581274" y="1146810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328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0" name="TextBox 2"/>
            <xdr:cNvSpPr txBox="1">
              <a:spLocks/>
            </xdr:cNvSpPr>
          </xdr:nvSpPr>
          <xdr:spPr>
            <a:xfrm>
              <a:off x="752475" y="11706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0" name="TextBox 2"/>
            <xdr:cNvSpPr txBox="1">
              <a:spLocks/>
            </xdr:cNvSpPr>
          </xdr:nvSpPr>
          <xdr:spPr>
            <a:xfrm>
              <a:off x="752475" y="117062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328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1" name="TextBox 2"/>
            <xdr:cNvSpPr txBox="1">
              <a:spLocks/>
            </xdr:cNvSpPr>
          </xdr:nvSpPr>
          <xdr:spPr>
            <a:xfrm>
              <a:off x="1790699" y="1170622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1" name="TextBox 2"/>
            <xdr:cNvSpPr txBox="1">
              <a:spLocks/>
            </xdr:cNvSpPr>
          </xdr:nvSpPr>
          <xdr:spPr>
            <a:xfrm>
              <a:off x="1790699" y="1170622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28575</xdr:colOff>
      <xdr:row>329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2" name="TextBox 4"/>
            <xdr:cNvSpPr txBox="1"/>
          </xdr:nvSpPr>
          <xdr:spPr>
            <a:xfrm>
              <a:off x="790575" y="121348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2" name="TextBox 4"/>
            <xdr:cNvSpPr txBox="1"/>
          </xdr:nvSpPr>
          <xdr:spPr>
            <a:xfrm>
              <a:off x="790575" y="121348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19050</xdr:colOff>
      <xdr:row>338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3" name="TextBox 4"/>
            <xdr:cNvSpPr txBox="1"/>
          </xdr:nvSpPr>
          <xdr:spPr>
            <a:xfrm>
              <a:off x="1847850" y="140493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3" name="TextBox 4"/>
            <xdr:cNvSpPr txBox="1"/>
          </xdr:nvSpPr>
          <xdr:spPr>
            <a:xfrm>
              <a:off x="1847850" y="140493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19050</xdr:colOff>
      <xdr:row>338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4" name="TextBox 4"/>
            <xdr:cNvSpPr txBox="1"/>
          </xdr:nvSpPr>
          <xdr:spPr>
            <a:xfrm>
              <a:off x="3981450" y="140493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4" name="TextBox 4"/>
            <xdr:cNvSpPr txBox="1"/>
          </xdr:nvSpPr>
          <xdr:spPr>
            <a:xfrm>
              <a:off x="3981450" y="140493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19050</xdr:colOff>
      <xdr:row>338</xdr:row>
      <xdr:rowOff>0</xdr:rowOff>
    </xdr:from>
    <xdr:ext cx="1476879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5" name="TextBox 4"/>
            <xdr:cNvSpPr txBox="1"/>
          </xdr:nvSpPr>
          <xdr:spPr>
            <a:xfrm>
              <a:off x="6115050" y="1404937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5" name="TextBox 4"/>
            <xdr:cNvSpPr txBox="1"/>
          </xdr:nvSpPr>
          <xdr:spPr>
            <a:xfrm>
              <a:off x="6115050" y="14049375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178</xdr:row>
      <xdr:rowOff>57150</xdr:rowOff>
    </xdr:from>
    <xdr:ext cx="840358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132"/>
            <xdr:cNvSpPr txBox="1"/>
          </xdr:nvSpPr>
          <xdr:spPr>
            <a:xfrm>
              <a:off x="1228725" y="41414700"/>
              <a:ext cx="84035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3" name="TextBox 132"/>
            <xdr:cNvSpPr txBox="1"/>
          </xdr:nvSpPr>
          <xdr:spPr>
            <a:xfrm>
              <a:off x="1228725" y="41414700"/>
              <a:ext cx="84035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57149</xdr:colOff>
      <xdr:row>176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5"/>
            <xdr:cNvSpPr txBox="1"/>
          </xdr:nvSpPr>
          <xdr:spPr>
            <a:xfrm>
              <a:off x="2343149" y="40662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5" name="TextBox 5"/>
            <xdr:cNvSpPr txBox="1"/>
          </xdr:nvSpPr>
          <xdr:spPr>
            <a:xfrm>
              <a:off x="2343149" y="40662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181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5"/>
            <xdr:cNvSpPr txBox="1"/>
          </xdr:nvSpPr>
          <xdr:spPr>
            <a:xfrm>
              <a:off x="1076325" y="4184332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6" name="TextBox 5"/>
            <xdr:cNvSpPr txBox="1"/>
          </xdr:nvSpPr>
          <xdr:spPr>
            <a:xfrm>
              <a:off x="1076325" y="4184332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𝑙_𝑐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34</xdr:col>
      <xdr:colOff>142875</xdr:colOff>
      <xdr:row>187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Box 2"/>
            <xdr:cNvSpPr txBox="1">
              <a:spLocks/>
            </xdr:cNvSpPr>
          </xdr:nvSpPr>
          <xdr:spPr>
            <a:xfrm>
              <a:off x="4105275" y="433006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7" name="TextBox 2"/>
            <xdr:cNvSpPr txBox="1">
              <a:spLocks/>
            </xdr:cNvSpPr>
          </xdr:nvSpPr>
          <xdr:spPr>
            <a:xfrm>
              <a:off x="4105275" y="433006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45</xdr:col>
      <xdr:colOff>85725</xdr:colOff>
      <xdr:row>194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Box 2"/>
            <xdr:cNvSpPr txBox="1">
              <a:spLocks/>
            </xdr:cNvSpPr>
          </xdr:nvSpPr>
          <xdr:spPr>
            <a:xfrm>
              <a:off x="6181725" y="4494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8" name="TextBox 2"/>
            <xdr:cNvSpPr txBox="1">
              <a:spLocks/>
            </xdr:cNvSpPr>
          </xdr:nvSpPr>
          <xdr:spPr>
            <a:xfrm>
              <a:off x="6181725" y="4494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34</xdr:col>
      <xdr:colOff>142875</xdr:colOff>
      <xdr:row>262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TextBox 2"/>
            <xdr:cNvSpPr txBox="1">
              <a:spLocks/>
            </xdr:cNvSpPr>
          </xdr:nvSpPr>
          <xdr:spPr>
            <a:xfrm>
              <a:off x="4105275" y="613219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9" name="TextBox 2"/>
            <xdr:cNvSpPr txBox="1">
              <a:spLocks/>
            </xdr:cNvSpPr>
          </xdr:nvSpPr>
          <xdr:spPr>
            <a:xfrm>
              <a:off x="4105275" y="613219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45</xdr:col>
      <xdr:colOff>85725</xdr:colOff>
      <xdr:row>269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2"/>
            <xdr:cNvSpPr txBox="1">
              <a:spLocks/>
            </xdr:cNvSpPr>
          </xdr:nvSpPr>
          <xdr:spPr>
            <a:xfrm>
              <a:off x="6181725" y="629697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0" name="TextBox 2"/>
            <xdr:cNvSpPr txBox="1">
              <a:spLocks/>
            </xdr:cNvSpPr>
          </xdr:nvSpPr>
          <xdr:spPr>
            <a:xfrm>
              <a:off x="6181725" y="629697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34</xdr:col>
      <xdr:colOff>142875</xdr:colOff>
      <xdr:row>327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Box 2"/>
            <xdr:cNvSpPr txBox="1">
              <a:spLocks/>
            </xdr:cNvSpPr>
          </xdr:nvSpPr>
          <xdr:spPr>
            <a:xfrm>
              <a:off x="4105275" y="769620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1" name="TextBox 2"/>
            <xdr:cNvSpPr txBox="1">
              <a:spLocks/>
            </xdr:cNvSpPr>
          </xdr:nvSpPr>
          <xdr:spPr>
            <a:xfrm>
              <a:off x="4105275" y="769620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45</xdr:col>
      <xdr:colOff>85725</xdr:colOff>
      <xdr:row>334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Box 2"/>
            <xdr:cNvSpPr txBox="1">
              <a:spLocks/>
            </xdr:cNvSpPr>
          </xdr:nvSpPr>
          <xdr:spPr>
            <a:xfrm>
              <a:off x="6181725" y="786098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2" name="TextBox 2"/>
            <xdr:cNvSpPr txBox="1">
              <a:spLocks/>
            </xdr:cNvSpPr>
          </xdr:nvSpPr>
          <xdr:spPr>
            <a:xfrm>
              <a:off x="6181725" y="786098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87</xdr:row>
      <xdr:rowOff>57150</xdr:rowOff>
    </xdr:from>
    <xdr:ext cx="777521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4"/>
            <xdr:cNvSpPr txBox="1"/>
          </xdr:nvSpPr>
          <xdr:spPr>
            <a:xfrm>
              <a:off x="1228725" y="20459700"/>
              <a:ext cx="77752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4" name="TextBox 4"/>
            <xdr:cNvSpPr txBox="1"/>
          </xdr:nvSpPr>
          <xdr:spPr>
            <a:xfrm>
              <a:off x="1228725" y="20459700"/>
              <a:ext cx="77752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𝑐_(𝑙_𝑥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51" t="s">
        <v>0</v>
      </c>
      <c r="B1" s="352"/>
      <c r="C1" s="352"/>
      <c r="D1" s="352"/>
      <c r="E1" s="352"/>
      <c r="F1" s="352"/>
      <c r="G1" s="352"/>
      <c r="H1" s="353"/>
      <c r="I1" s="354"/>
      <c r="J1" s="355"/>
    </row>
    <row r="2" spans="1:13" ht="12.95" customHeight="1">
      <c r="A2" s="356" t="s">
        <v>1</v>
      </c>
      <c r="B2" s="356"/>
      <c r="C2" s="356"/>
      <c r="D2" s="356"/>
      <c r="E2" s="356"/>
      <c r="F2" s="356"/>
      <c r="G2" s="356"/>
      <c r="H2" s="356"/>
      <c r="I2" s="356"/>
      <c r="J2" s="356"/>
    </row>
    <row r="3" spans="1:13" ht="12.95" customHeight="1">
      <c r="A3" s="348" t="s">
        <v>2</v>
      </c>
      <c r="B3" s="345"/>
      <c r="C3" s="357"/>
      <c r="D3" s="357"/>
      <c r="E3" s="357"/>
      <c r="F3" s="345" t="s">
        <v>3</v>
      </c>
      <c r="G3" s="345"/>
      <c r="H3" s="358"/>
      <c r="I3" s="347"/>
      <c r="J3" s="347"/>
    </row>
    <row r="4" spans="1:13" ht="12.95" customHeight="1">
      <c r="A4" s="345" t="s">
        <v>4</v>
      </c>
      <c r="B4" s="345"/>
      <c r="C4" s="346"/>
      <c r="D4" s="345"/>
      <c r="E4" s="345"/>
      <c r="F4" s="345" t="s">
        <v>5</v>
      </c>
      <c r="G4" s="345"/>
      <c r="H4" s="345"/>
      <c r="I4" s="347"/>
      <c r="J4" s="347"/>
    </row>
    <row r="5" spans="1:13" ht="12.95" customHeight="1">
      <c r="A5" s="345" t="s">
        <v>6</v>
      </c>
      <c r="B5" s="345"/>
      <c r="C5" s="345"/>
      <c r="D5" s="347"/>
      <c r="E5" s="347"/>
      <c r="F5" s="348" t="s">
        <v>7</v>
      </c>
      <c r="G5" s="345"/>
      <c r="H5" s="349"/>
      <c r="I5" s="350"/>
      <c r="J5" s="350"/>
    </row>
    <row r="6" spans="1:13" ht="12.95" customHeight="1">
      <c r="A6" s="345" t="s">
        <v>8</v>
      </c>
      <c r="B6" s="345"/>
      <c r="C6" s="345"/>
      <c r="D6" s="347"/>
      <c r="E6" s="347"/>
      <c r="F6" s="348" t="s">
        <v>9</v>
      </c>
      <c r="G6" s="345"/>
      <c r="H6" s="349"/>
      <c r="I6" s="350"/>
      <c r="J6" s="350"/>
    </row>
    <row r="7" spans="1:13" ht="12.95" customHeight="1">
      <c r="A7" s="345" t="s">
        <v>10</v>
      </c>
      <c r="B7" s="345"/>
      <c r="C7" s="360"/>
      <c r="D7" s="347"/>
      <c r="E7" s="347"/>
      <c r="F7" s="348" t="s">
        <v>11</v>
      </c>
      <c r="G7" s="345"/>
      <c r="H7" s="345"/>
      <c r="I7" s="347"/>
      <c r="J7" s="347"/>
    </row>
    <row r="8" spans="1:13" ht="12.95" customHeight="1">
      <c r="A8" s="345" t="s">
        <v>12</v>
      </c>
      <c r="B8" s="345"/>
      <c r="C8" s="358"/>
      <c r="D8" s="359"/>
      <c r="E8" s="359"/>
      <c r="F8" s="348" t="s">
        <v>13</v>
      </c>
      <c r="G8" s="345"/>
      <c r="H8" s="345"/>
      <c r="I8" s="347"/>
      <c r="J8" s="347"/>
    </row>
    <row r="9" spans="1:13" ht="12.95" customHeight="1">
      <c r="A9" s="348" t="s">
        <v>35</v>
      </c>
      <c r="B9" s="345"/>
      <c r="C9" s="349"/>
      <c r="D9" s="350"/>
      <c r="E9" s="350"/>
      <c r="F9" s="361" t="s">
        <v>14</v>
      </c>
      <c r="G9" s="361"/>
      <c r="H9" s="349"/>
      <c r="I9" s="350"/>
      <c r="J9" s="350"/>
    </row>
    <row r="10" spans="1:13" ht="23.25" customHeight="1">
      <c r="A10" s="345" t="s">
        <v>15</v>
      </c>
      <c r="B10" s="345"/>
      <c r="C10" s="349"/>
      <c r="D10" s="350"/>
      <c r="E10" s="350"/>
      <c r="F10" s="345" t="s">
        <v>16</v>
      </c>
      <c r="G10" s="345"/>
      <c r="H10" s="34"/>
      <c r="I10" s="369" t="s">
        <v>17</v>
      </c>
      <c r="J10" s="370"/>
      <c r="K10" s="4"/>
    </row>
    <row r="11" spans="1:13" ht="12.95" customHeight="1">
      <c r="A11" s="356" t="s">
        <v>18</v>
      </c>
      <c r="B11" s="356"/>
      <c r="C11" s="356"/>
      <c r="D11" s="356"/>
      <c r="E11" s="356"/>
      <c r="F11" s="356"/>
      <c r="G11" s="356"/>
      <c r="H11" s="356"/>
      <c r="I11" s="356"/>
      <c r="J11" s="356"/>
      <c r="K11" s="5"/>
    </row>
    <row r="12" spans="1:13" ht="17.25" customHeight="1">
      <c r="A12" s="3" t="s">
        <v>19</v>
      </c>
      <c r="B12" s="85"/>
      <c r="C12" s="6" t="s">
        <v>20</v>
      </c>
      <c r="D12" s="86"/>
      <c r="E12" s="6" t="s">
        <v>21</v>
      </c>
      <c r="F12" s="87"/>
      <c r="G12" s="371" t="s">
        <v>22</v>
      </c>
      <c r="H12" s="367"/>
      <c r="I12" s="373" t="s">
        <v>23</v>
      </c>
      <c r="J12" s="374"/>
      <c r="K12" s="4"/>
      <c r="L12" s="7"/>
      <c r="M12" s="7"/>
    </row>
    <row r="13" spans="1:13" ht="17.25" customHeight="1">
      <c r="A13" s="8" t="s">
        <v>24</v>
      </c>
      <c r="B13" s="85"/>
      <c r="C13" s="8" t="s">
        <v>25</v>
      </c>
      <c r="D13" s="86"/>
      <c r="E13" s="6" t="s">
        <v>26</v>
      </c>
      <c r="F13" s="87"/>
      <c r="G13" s="372"/>
      <c r="H13" s="368"/>
      <c r="I13" s="375"/>
      <c r="J13" s="376"/>
      <c r="K13" s="5"/>
    </row>
    <row r="14" spans="1:13" ht="12.95" customHeight="1">
      <c r="A14" s="356" t="s">
        <v>27</v>
      </c>
      <c r="B14" s="356"/>
      <c r="C14" s="356"/>
      <c r="D14" s="356"/>
      <c r="E14" s="356"/>
      <c r="F14" s="356"/>
      <c r="G14" s="356"/>
      <c r="H14" s="356"/>
      <c r="I14" s="356"/>
      <c r="J14" s="356"/>
      <c r="K14" s="5"/>
    </row>
    <row r="15" spans="1:13" ht="39" customHeight="1">
      <c r="A15" s="364"/>
      <c r="B15" s="365"/>
      <c r="C15" s="365"/>
      <c r="D15" s="365"/>
      <c r="E15" s="365"/>
      <c r="F15" s="365"/>
      <c r="G15" s="365"/>
      <c r="H15" s="365"/>
      <c r="I15" s="365"/>
      <c r="J15" s="366"/>
    </row>
    <row r="16" spans="1:13" ht="12.95" customHeight="1">
      <c r="A16" s="356" t="s">
        <v>28</v>
      </c>
      <c r="B16" s="356"/>
      <c r="C16" s="356"/>
      <c r="D16" s="356"/>
      <c r="E16" s="356"/>
      <c r="F16" s="356"/>
      <c r="G16" s="356"/>
      <c r="H16" s="356"/>
      <c r="I16" s="356"/>
      <c r="J16" s="356"/>
    </row>
    <row r="17" spans="1:12" ht="12.95" customHeight="1">
      <c r="A17" s="3" t="s">
        <v>29</v>
      </c>
      <c r="B17" s="348" t="s">
        <v>30</v>
      </c>
      <c r="C17" s="345"/>
      <c r="D17" s="345"/>
      <c r="E17" s="345"/>
      <c r="F17" s="348" t="s">
        <v>31</v>
      </c>
      <c r="G17" s="345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362"/>
      <c r="C18" s="363"/>
      <c r="D18" s="363"/>
      <c r="E18" s="363"/>
      <c r="F18" s="362"/>
      <c r="G18" s="363"/>
      <c r="H18" s="40"/>
      <c r="I18" s="18"/>
      <c r="J18" s="84"/>
      <c r="L18" s="5"/>
    </row>
    <row r="19" spans="1:12" ht="12.95" customHeight="1">
      <c r="A19" s="35"/>
      <c r="B19" s="362"/>
      <c r="C19" s="363"/>
      <c r="D19" s="363"/>
      <c r="E19" s="363"/>
      <c r="F19" s="362"/>
      <c r="G19" s="363"/>
      <c r="H19" s="21"/>
      <c r="I19" s="21"/>
      <c r="J19" s="84"/>
      <c r="L19" s="5"/>
    </row>
    <row r="20" spans="1:12" ht="12.95" customHeight="1">
      <c r="A20" s="35"/>
      <c r="B20" s="362"/>
      <c r="C20" s="363"/>
      <c r="D20" s="363"/>
      <c r="E20" s="363"/>
      <c r="F20" s="362"/>
      <c r="G20" s="363"/>
      <c r="H20" s="32"/>
      <c r="I20" s="32"/>
      <c r="J20" s="84"/>
      <c r="L20" s="5"/>
    </row>
    <row r="21" spans="1:12" ht="12.95" customHeight="1">
      <c r="A21" s="35"/>
      <c r="B21" s="362"/>
      <c r="C21" s="363"/>
      <c r="D21" s="363"/>
      <c r="E21" s="363"/>
      <c r="F21" s="362"/>
      <c r="G21" s="363"/>
      <c r="H21" s="32"/>
      <c r="I21" s="9"/>
      <c r="J21" s="84"/>
      <c r="L21" s="5"/>
    </row>
    <row r="22" spans="1:12" ht="12.95" customHeight="1">
      <c r="A22" s="35"/>
      <c r="B22" s="362"/>
      <c r="C22" s="363"/>
      <c r="D22" s="363"/>
      <c r="E22" s="363"/>
      <c r="F22" s="362"/>
      <c r="G22" s="363"/>
      <c r="H22" s="20"/>
      <c r="I22" s="11"/>
      <c r="J22" s="84"/>
      <c r="L22" s="5"/>
    </row>
    <row r="23" spans="1:12" ht="12.95" customHeight="1">
      <c r="A23" s="35"/>
      <c r="B23" s="362"/>
      <c r="C23" s="363"/>
      <c r="D23" s="363"/>
      <c r="E23" s="363"/>
      <c r="F23" s="362"/>
      <c r="G23" s="363"/>
      <c r="H23" s="11"/>
      <c r="I23" s="9"/>
      <c r="J23" s="84"/>
      <c r="L23" s="5"/>
    </row>
    <row r="24" spans="1:12" ht="12.95" customHeight="1">
      <c r="A24" s="35"/>
      <c r="B24" s="362"/>
      <c r="C24" s="363"/>
      <c r="D24" s="363"/>
      <c r="E24" s="363"/>
      <c r="F24" s="362"/>
      <c r="G24" s="363"/>
      <c r="H24" s="16"/>
      <c r="I24" s="9"/>
      <c r="J24" s="84"/>
      <c r="L24" s="5"/>
    </row>
    <row r="25" spans="1:12" ht="12.95" customHeight="1">
      <c r="A25" s="35"/>
      <c r="B25" s="362"/>
      <c r="C25" s="363"/>
      <c r="D25" s="363"/>
      <c r="E25" s="363"/>
      <c r="F25" s="362"/>
      <c r="G25" s="363"/>
      <c r="H25" s="16"/>
      <c r="I25" s="9"/>
      <c r="J25" s="84"/>
      <c r="L25" s="5"/>
    </row>
    <row r="26" spans="1:12" ht="12.95" customHeight="1">
      <c r="A26" s="35"/>
      <c r="B26" s="362"/>
      <c r="C26" s="363"/>
      <c r="D26" s="363"/>
      <c r="E26" s="363"/>
      <c r="F26" s="362"/>
      <c r="G26" s="363"/>
      <c r="H26" s="16"/>
      <c r="I26" s="9"/>
      <c r="J26" s="84"/>
      <c r="L26" s="5"/>
    </row>
    <row r="27" spans="1:12" ht="12.95" customHeight="1">
      <c r="A27" s="35"/>
      <c r="B27" s="362"/>
      <c r="C27" s="363"/>
      <c r="D27" s="363"/>
      <c r="E27" s="363"/>
      <c r="F27" s="362"/>
      <c r="G27" s="363"/>
      <c r="H27" s="9"/>
      <c r="I27" s="9"/>
      <c r="J27" s="84"/>
    </row>
    <row r="28" spans="1:12" ht="12.95" customHeight="1">
      <c r="A28" s="35"/>
      <c r="B28" s="362"/>
      <c r="C28" s="363"/>
      <c r="D28" s="363"/>
      <c r="E28" s="363"/>
      <c r="F28" s="362"/>
      <c r="G28" s="363"/>
      <c r="H28" s="9"/>
      <c r="I28" s="9"/>
      <c r="J28" s="84"/>
    </row>
    <row r="29" spans="1:12" ht="12.95" customHeight="1">
      <c r="A29" s="35"/>
      <c r="B29" s="362"/>
      <c r="C29" s="363"/>
      <c r="D29" s="363"/>
      <c r="E29" s="363"/>
      <c r="F29" s="362"/>
      <c r="G29" s="363"/>
      <c r="H29" s="9"/>
      <c r="I29" s="9"/>
      <c r="J29" s="84"/>
    </row>
    <row r="30" spans="1:12" ht="12.95" customHeight="1">
      <c r="A30" s="35"/>
      <c r="B30" s="362"/>
      <c r="C30" s="363"/>
      <c r="D30" s="363"/>
      <c r="E30" s="363"/>
      <c r="F30" s="362"/>
      <c r="G30" s="363"/>
      <c r="H30" s="9"/>
      <c r="I30" s="9"/>
      <c r="J30" s="84"/>
    </row>
    <row r="31" spans="1:12" ht="12.95" customHeight="1">
      <c r="A31" s="35"/>
      <c r="B31" s="362"/>
      <c r="C31" s="363"/>
      <c r="D31" s="363"/>
      <c r="E31" s="363"/>
      <c r="F31" s="362"/>
      <c r="G31" s="363"/>
      <c r="H31" s="9"/>
      <c r="I31" s="9"/>
      <c r="J31" s="84"/>
    </row>
    <row r="32" spans="1:12" ht="12.95" customHeight="1">
      <c r="A32" s="35"/>
      <c r="B32" s="362"/>
      <c r="C32" s="363"/>
      <c r="D32" s="363"/>
      <c r="E32" s="363"/>
      <c r="F32" s="362"/>
      <c r="G32" s="363"/>
      <c r="H32" s="9"/>
      <c r="I32" s="9"/>
      <c r="J32" s="84"/>
    </row>
    <row r="33" spans="1:10" ht="12.95" customHeight="1">
      <c r="A33" s="35"/>
      <c r="B33" s="362"/>
      <c r="C33" s="363"/>
      <c r="D33" s="363"/>
      <c r="E33" s="363"/>
      <c r="F33" s="362"/>
      <c r="G33" s="363"/>
      <c r="H33" s="9"/>
      <c r="I33" s="9"/>
      <c r="J33" s="84"/>
    </row>
    <row r="34" spans="1:10" ht="12.95" customHeight="1">
      <c r="A34" s="35"/>
      <c r="B34" s="362"/>
      <c r="C34" s="363"/>
      <c r="D34" s="363"/>
      <c r="E34" s="363"/>
      <c r="F34" s="362"/>
      <c r="G34" s="363"/>
      <c r="H34" s="9"/>
      <c r="I34" s="9"/>
      <c r="J34" s="84"/>
    </row>
    <row r="35" spans="1:10" ht="12.95" customHeight="1">
      <c r="A35" s="35"/>
      <c r="B35" s="362"/>
      <c r="C35" s="363"/>
      <c r="D35" s="363"/>
      <c r="E35" s="363"/>
      <c r="F35" s="362"/>
      <c r="G35" s="363"/>
      <c r="H35" s="9"/>
      <c r="I35" s="9"/>
      <c r="J35" s="84"/>
    </row>
    <row r="36" spans="1:10" ht="12.95" customHeight="1">
      <c r="A36" s="35"/>
      <c r="B36" s="362"/>
      <c r="C36" s="363"/>
      <c r="D36" s="363"/>
      <c r="E36" s="363"/>
      <c r="F36" s="362"/>
      <c r="G36" s="363"/>
      <c r="H36" s="9"/>
      <c r="I36" s="9"/>
      <c r="J36" s="84"/>
    </row>
    <row r="37" spans="1:10" ht="12.95" customHeight="1">
      <c r="A37" s="35"/>
      <c r="B37" s="362"/>
      <c r="C37" s="363"/>
      <c r="D37" s="363"/>
      <c r="E37" s="363"/>
      <c r="F37" s="362"/>
      <c r="G37" s="363"/>
      <c r="H37" s="9"/>
      <c r="I37" s="9"/>
      <c r="J37" s="84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386" t="s">
        <v>37</v>
      </c>
      <c r="B39" s="386"/>
      <c r="C39" s="386"/>
      <c r="D39" s="386"/>
      <c r="E39" s="386"/>
      <c r="F39" s="389" t="s">
        <v>38</v>
      </c>
      <c r="G39" s="377"/>
      <c r="H39" s="378"/>
      <c r="I39" s="378"/>
      <c r="J39" s="379"/>
    </row>
    <row r="40" spans="1:10" ht="12.95" customHeight="1">
      <c r="A40" s="386" t="s">
        <v>39</v>
      </c>
      <c r="B40" s="386"/>
      <c r="C40" s="386"/>
      <c r="D40" s="386"/>
      <c r="E40" s="386"/>
      <c r="F40" s="390"/>
      <c r="G40" s="380"/>
      <c r="H40" s="381"/>
      <c r="I40" s="381"/>
      <c r="J40" s="382"/>
    </row>
    <row r="41" spans="1:10" ht="12.95" customHeight="1">
      <c r="A41" s="386" t="s">
        <v>40</v>
      </c>
      <c r="B41" s="386"/>
      <c r="C41" s="386"/>
      <c r="D41" s="386"/>
      <c r="E41" s="386"/>
      <c r="F41" s="390"/>
      <c r="G41" s="380"/>
      <c r="H41" s="381"/>
      <c r="I41" s="381"/>
      <c r="J41" s="382"/>
    </row>
    <row r="42" spans="1:10" ht="12.95" customHeight="1">
      <c r="A42" s="386" t="s">
        <v>41</v>
      </c>
      <c r="B42" s="386"/>
      <c r="C42" s="387" t="s">
        <v>42</v>
      </c>
      <c r="D42" s="387"/>
      <c r="E42" s="387"/>
      <c r="F42" s="391"/>
      <c r="G42" s="383"/>
      <c r="H42" s="384"/>
      <c r="I42" s="384"/>
      <c r="J42" s="385"/>
    </row>
    <row r="43" spans="1:10" ht="12.95" customHeight="1">
      <c r="A43" s="388" t="s">
        <v>52</v>
      </c>
      <c r="B43" s="388"/>
      <c r="C43" s="388" t="str">
        <f ca="1">Calcu!T4</f>
        <v/>
      </c>
      <c r="D43" s="388"/>
      <c r="E43" s="388"/>
    </row>
    <row r="46" spans="1:10" ht="12.95" customHeight="1">
      <c r="B46" s="1" t="s">
        <v>127</v>
      </c>
    </row>
    <row r="47" spans="1:10" ht="12.95" customHeight="1">
      <c r="B47" s="1" t="s">
        <v>128</v>
      </c>
    </row>
    <row r="48" spans="1:10" ht="12.95" customHeight="1">
      <c r="A48" s="1">
        <f>Calcu!Q186</f>
        <v>155800</v>
      </c>
      <c r="B48" s="1" t="s">
        <v>158</v>
      </c>
    </row>
    <row r="49" spans="1:2" ht="12.95" customHeight="1">
      <c r="A49" s="111"/>
    </row>
    <row r="50" spans="1:2" ht="12.95" customHeight="1">
      <c r="A50" s="1" t="str">
        <f>Calcu!U4</f>
        <v/>
      </c>
      <c r="B50" s="1" t="s">
        <v>159</v>
      </c>
    </row>
    <row r="52" spans="1:2" ht="12.95" customHeight="1">
      <c r="B52" s="1" t="s">
        <v>584</v>
      </c>
    </row>
  </sheetData>
  <sheetProtection selectLockedCells="1"/>
  <mergeCells count="95">
    <mergeCell ref="A43:B43"/>
    <mergeCell ref="C43:E43"/>
    <mergeCell ref="A39:B39"/>
    <mergeCell ref="C39:E39"/>
    <mergeCell ref="F39:F42"/>
    <mergeCell ref="G39:J42"/>
    <mergeCell ref="A40:B40"/>
    <mergeCell ref="C40:E40"/>
    <mergeCell ref="A41:B41"/>
    <mergeCell ref="C41:E41"/>
    <mergeCell ref="A42:B42"/>
    <mergeCell ref="C42:E42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A1:J1"/>
    <mergeCell ref="A2:J2"/>
    <mergeCell ref="A3:B3"/>
    <mergeCell ref="C3:E3"/>
    <mergeCell ref="F3:G3"/>
    <mergeCell ref="H3:J3"/>
    <mergeCell ref="A4:B4"/>
    <mergeCell ref="C4:E4"/>
    <mergeCell ref="F4:G4"/>
    <mergeCell ref="H4:J4"/>
    <mergeCell ref="A5:B5"/>
    <mergeCell ref="C5:E5"/>
    <mergeCell ref="F5:G5"/>
    <mergeCell ref="H5:J5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3" bestFit="1" customWidth="1"/>
    <col min="2" max="2" width="6.6640625" style="93" bestFit="1" customWidth="1"/>
    <col min="3" max="3" width="8.88671875" style="93"/>
    <col min="4" max="4" width="6.6640625" style="93" bestFit="1" customWidth="1"/>
    <col min="5" max="13" width="1.77734375" style="93" customWidth="1"/>
    <col min="14" max="15" width="6" style="93" bestFit="1" customWidth="1"/>
    <col min="16" max="16" width="7.5546875" style="93" bestFit="1" customWidth="1"/>
    <col min="17" max="17" width="4" style="93" bestFit="1" customWidth="1"/>
    <col min="18" max="18" width="5.33203125" style="93" bestFit="1" customWidth="1"/>
    <col min="19" max="19" width="4" style="93" bestFit="1" customWidth="1"/>
    <col min="20" max="21" width="6.5546875" style="93" bestFit="1" customWidth="1"/>
    <col min="22" max="22" width="8.44140625" style="93" bestFit="1" customWidth="1"/>
    <col min="23" max="23" width="6.6640625" style="93" bestFit="1" customWidth="1"/>
    <col min="24" max="24" width="5.33203125" style="93" bestFit="1" customWidth="1"/>
    <col min="25" max="25" width="8.33203125" style="93" bestFit="1" customWidth="1"/>
    <col min="26" max="27" width="4" style="93" bestFit="1" customWidth="1"/>
    <col min="28" max="34" width="1.77734375" style="93" customWidth="1"/>
    <col min="35" max="35" width="7.5546875" style="93" bestFit="1" customWidth="1"/>
    <col min="36" max="16384" width="8.88671875" style="93"/>
  </cols>
  <sheetData>
    <row r="1" spans="1:36">
      <c r="A1" s="117" t="s">
        <v>97</v>
      </c>
      <c r="B1" s="117" t="s">
        <v>66</v>
      </c>
      <c r="C1" s="117" t="s">
        <v>67</v>
      </c>
      <c r="D1" s="117" t="s">
        <v>98</v>
      </c>
      <c r="E1" s="117"/>
      <c r="F1" s="117"/>
      <c r="G1" s="117"/>
      <c r="H1" s="117"/>
      <c r="I1" s="117"/>
      <c r="J1" s="117"/>
      <c r="K1" s="117"/>
      <c r="L1" s="117"/>
      <c r="M1" s="117"/>
      <c r="N1" s="117" t="s">
        <v>99</v>
      </c>
      <c r="O1" s="117" t="s">
        <v>100</v>
      </c>
      <c r="P1" s="117" t="s">
        <v>68</v>
      </c>
      <c r="Q1" s="117" t="s">
        <v>101</v>
      </c>
      <c r="R1" s="117" t="s">
        <v>70</v>
      </c>
      <c r="S1" s="117" t="s">
        <v>69</v>
      </c>
      <c r="T1" s="117" t="s">
        <v>71</v>
      </c>
      <c r="U1" s="117" t="s">
        <v>102</v>
      </c>
      <c r="V1" s="117" t="s">
        <v>72</v>
      </c>
      <c r="W1" s="117" t="s">
        <v>73</v>
      </c>
      <c r="X1" s="117" t="s">
        <v>103</v>
      </c>
      <c r="Y1" s="117" t="s">
        <v>104</v>
      </c>
      <c r="Z1" s="117" t="s">
        <v>105</v>
      </c>
      <c r="AA1" s="117" t="s">
        <v>106</v>
      </c>
      <c r="AB1" s="117"/>
      <c r="AC1" s="117"/>
      <c r="AD1" s="117"/>
      <c r="AE1" s="117"/>
      <c r="AF1" s="117"/>
      <c r="AG1" s="117"/>
      <c r="AH1" s="117"/>
      <c r="AI1" s="117" t="s">
        <v>107</v>
      </c>
      <c r="AJ1" s="167" t="s">
        <v>126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47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17" s="12" customFormat="1" ht="33" customHeight="1">
      <c r="A1" s="15" t="s">
        <v>91</v>
      </c>
    </row>
    <row r="2" spans="1:17" s="12" customFormat="1" ht="17.100000000000001" customHeight="1">
      <c r="A2" s="17" t="s">
        <v>43</v>
      </c>
      <c r="C2" s="94" t="s">
        <v>63</v>
      </c>
      <c r="F2" s="94" t="s">
        <v>75</v>
      </c>
      <c r="J2" s="17" t="s">
        <v>44</v>
      </c>
      <c r="M2" s="17" t="s">
        <v>45</v>
      </c>
    </row>
    <row r="3" spans="1:17" s="12" customFormat="1" ht="13.5">
      <c r="A3" s="14" t="s">
        <v>92</v>
      </c>
      <c r="B3" s="14" t="s">
        <v>60</v>
      </c>
      <c r="C3" s="14" t="s">
        <v>55</v>
      </c>
      <c r="D3" s="14" t="s">
        <v>56</v>
      </c>
      <c r="E3" s="14" t="s">
        <v>51</v>
      </c>
      <c r="F3" s="13" t="s">
        <v>46</v>
      </c>
      <c r="G3" s="14" t="s">
        <v>62</v>
      </c>
      <c r="H3" s="14" t="s">
        <v>76</v>
      </c>
      <c r="I3" s="14" t="s">
        <v>47</v>
      </c>
      <c r="J3" s="14" t="s">
        <v>48</v>
      </c>
      <c r="K3" s="41" t="s">
        <v>49</v>
      </c>
      <c r="L3" s="41" t="s">
        <v>50</v>
      </c>
      <c r="M3" s="41" t="s">
        <v>64</v>
      </c>
      <c r="N3" s="41" t="s">
        <v>65</v>
      </c>
      <c r="O3" s="113" t="s">
        <v>93</v>
      </c>
      <c r="P3" s="113" t="s">
        <v>94</v>
      </c>
      <c r="Q3" s="41" t="s">
        <v>95</v>
      </c>
    </row>
    <row r="4" spans="1:17" s="12" customFormat="1" ht="17.100000000000001" customHeight="1">
      <c r="A4" s="112"/>
      <c r="B4" s="23"/>
      <c r="C4" s="23"/>
      <c r="D4" s="55"/>
      <c r="E4" s="42"/>
      <c r="F4" s="23"/>
      <c r="G4" s="23"/>
      <c r="H4" s="95"/>
      <c r="I4" s="42"/>
      <c r="J4" s="23"/>
      <c r="K4" s="23"/>
      <c r="L4" s="23"/>
      <c r="M4" s="23"/>
      <c r="N4" s="23"/>
      <c r="O4" s="114"/>
      <c r="P4" s="114"/>
      <c r="Q4" s="23"/>
    </row>
    <row r="5" spans="1:17" s="12" customFormat="1" ht="17.100000000000001" customHeight="1">
      <c r="A5" s="112"/>
      <c r="B5" s="23"/>
      <c r="C5" s="23"/>
      <c r="D5" s="55"/>
      <c r="E5" s="42"/>
      <c r="F5" s="23"/>
      <c r="G5" s="23"/>
      <c r="H5" s="95"/>
      <c r="I5" s="42"/>
      <c r="J5" s="23"/>
      <c r="K5" s="24"/>
      <c r="L5" s="24"/>
      <c r="M5" s="24"/>
      <c r="N5" s="24"/>
      <c r="O5" s="115"/>
      <c r="P5" s="115"/>
      <c r="Q5" s="24"/>
    </row>
    <row r="6" spans="1:17" s="12" customFormat="1" ht="17.100000000000001" customHeight="1">
      <c r="A6" s="112"/>
      <c r="B6" s="23"/>
      <c r="C6" s="23"/>
      <c r="D6" s="55"/>
      <c r="E6" s="42"/>
      <c r="F6" s="23"/>
      <c r="G6" s="23"/>
      <c r="H6" s="95"/>
      <c r="I6" s="42"/>
      <c r="J6" s="23"/>
      <c r="K6" s="24"/>
      <c r="L6" s="24"/>
      <c r="M6" s="24"/>
      <c r="N6" s="24"/>
      <c r="O6" s="115"/>
      <c r="P6" s="115"/>
      <c r="Q6" s="24"/>
    </row>
    <row r="7" spans="1:17" s="12" customFormat="1" ht="17.100000000000001" customHeight="1">
      <c r="A7" s="112"/>
      <c r="B7" s="23"/>
      <c r="C7" s="23"/>
      <c r="D7" s="55"/>
      <c r="E7" s="42"/>
      <c r="F7" s="23"/>
      <c r="G7" s="23"/>
      <c r="H7" s="95"/>
      <c r="I7" s="42"/>
      <c r="J7" s="23"/>
      <c r="K7" s="24"/>
      <c r="L7" s="24"/>
      <c r="M7" s="24"/>
      <c r="N7" s="24"/>
      <c r="O7" s="115"/>
      <c r="P7" s="115"/>
      <c r="Q7" s="24"/>
    </row>
    <row r="8" spans="1:17" s="12" customFormat="1" ht="17.100000000000001" customHeight="1">
      <c r="A8" s="112"/>
      <c r="B8" s="23"/>
      <c r="C8" s="23"/>
      <c r="D8" s="55"/>
      <c r="E8" s="42"/>
      <c r="F8" s="23"/>
      <c r="G8" s="23"/>
      <c r="H8" s="95"/>
      <c r="I8" s="42"/>
      <c r="J8" s="23"/>
      <c r="K8" s="24"/>
      <c r="L8" s="24"/>
      <c r="M8" s="24"/>
      <c r="N8" s="24"/>
      <c r="O8" s="115"/>
      <c r="P8" s="115"/>
      <c r="Q8" s="24"/>
    </row>
    <row r="9" spans="1:17" s="12" customFormat="1" ht="17.100000000000001" customHeight="1">
      <c r="A9" s="112"/>
      <c r="B9" s="23"/>
      <c r="C9" s="23"/>
      <c r="D9" s="55"/>
      <c r="E9" s="42"/>
      <c r="F9" s="23"/>
      <c r="G9" s="23"/>
      <c r="H9" s="95"/>
      <c r="I9" s="42"/>
      <c r="J9" s="23"/>
      <c r="K9" s="24"/>
      <c r="L9" s="24"/>
      <c r="M9" s="24"/>
      <c r="N9" s="24"/>
      <c r="O9" s="115"/>
      <c r="P9" s="115"/>
      <c r="Q9" s="24"/>
    </row>
    <row r="10" spans="1:17" s="12" customFormat="1" ht="17.100000000000001" customHeight="1">
      <c r="A10" s="112"/>
      <c r="B10" s="23"/>
      <c r="C10" s="23"/>
      <c r="D10" s="55"/>
      <c r="E10" s="42"/>
      <c r="F10" s="23"/>
      <c r="G10" s="23"/>
      <c r="H10" s="95"/>
      <c r="I10" s="42"/>
      <c r="J10" s="23"/>
      <c r="K10" s="24"/>
      <c r="L10" s="24"/>
      <c r="M10" s="24"/>
      <c r="N10" s="24"/>
      <c r="O10" s="115"/>
      <c r="P10" s="115"/>
      <c r="Q10" s="24"/>
    </row>
    <row r="11" spans="1:17" s="12" customFormat="1" ht="17.100000000000001" customHeight="1">
      <c r="A11" s="112"/>
      <c r="B11" s="23"/>
      <c r="C11" s="23"/>
      <c r="D11" s="55"/>
      <c r="E11" s="42"/>
      <c r="F11" s="23"/>
      <c r="G11" s="23"/>
      <c r="H11" s="95"/>
      <c r="I11" s="42"/>
      <c r="J11" s="23"/>
      <c r="K11" s="24"/>
      <c r="L11" s="24"/>
      <c r="M11" s="24"/>
      <c r="N11" s="24"/>
      <c r="O11" s="115"/>
      <c r="P11" s="115"/>
      <c r="Q11" s="24"/>
    </row>
    <row r="12" spans="1:17" s="12" customFormat="1" ht="17.100000000000001" customHeight="1">
      <c r="A12" s="112"/>
      <c r="B12" s="23"/>
      <c r="C12" s="23"/>
      <c r="D12" s="55"/>
      <c r="E12" s="42"/>
      <c r="F12" s="23"/>
      <c r="G12" s="23"/>
      <c r="H12" s="95"/>
      <c r="I12" s="42"/>
      <c r="J12" s="23"/>
      <c r="K12" s="24"/>
      <c r="L12" s="24"/>
      <c r="M12" s="24"/>
      <c r="N12" s="24"/>
      <c r="O12" s="115"/>
      <c r="P12" s="115"/>
      <c r="Q12" s="24"/>
    </row>
    <row r="13" spans="1:17" s="12" customFormat="1" ht="17.100000000000001" customHeight="1">
      <c r="A13" s="112"/>
      <c r="B13" s="23"/>
      <c r="C13" s="23"/>
      <c r="D13" s="55"/>
      <c r="E13" s="42"/>
      <c r="F13" s="23"/>
      <c r="G13" s="23"/>
      <c r="H13" s="95"/>
      <c r="I13" s="42"/>
      <c r="J13" s="23"/>
      <c r="K13" s="24"/>
      <c r="L13" s="24"/>
      <c r="M13" s="24"/>
      <c r="N13" s="24"/>
      <c r="O13" s="115"/>
      <c r="P13" s="115"/>
      <c r="Q13" s="24"/>
    </row>
    <row r="14" spans="1:17" s="12" customFormat="1" ht="17.100000000000001" customHeight="1">
      <c r="A14" s="112"/>
      <c r="B14" s="23"/>
      <c r="C14" s="23"/>
      <c r="D14" s="55"/>
      <c r="E14" s="42"/>
      <c r="F14" s="23"/>
      <c r="G14" s="23"/>
      <c r="H14" s="95"/>
      <c r="I14" s="42"/>
      <c r="J14" s="23"/>
      <c r="K14" s="24"/>
      <c r="L14" s="24"/>
      <c r="M14" s="24"/>
      <c r="N14" s="24"/>
      <c r="O14" s="115"/>
      <c r="P14" s="115"/>
      <c r="Q14" s="24"/>
    </row>
    <row r="15" spans="1:17" s="12" customFormat="1" ht="17.100000000000001" customHeight="1">
      <c r="A15" s="112"/>
      <c r="B15" s="23"/>
      <c r="C15" s="23"/>
      <c r="D15" s="55"/>
      <c r="E15" s="42"/>
      <c r="F15" s="23"/>
      <c r="G15" s="23"/>
      <c r="H15" s="95"/>
      <c r="I15" s="42"/>
      <c r="J15" s="24"/>
      <c r="K15" s="24"/>
      <c r="L15" s="24"/>
      <c r="M15" s="24"/>
      <c r="N15" s="24"/>
      <c r="O15" s="115"/>
      <c r="P15" s="115"/>
      <c r="Q15" s="24"/>
    </row>
    <row r="16" spans="1:17" s="12" customFormat="1" ht="17.100000000000001" customHeight="1">
      <c r="A16" s="112"/>
      <c r="B16" s="23"/>
      <c r="C16" s="23"/>
      <c r="D16" s="55"/>
      <c r="E16" s="42"/>
      <c r="F16" s="23"/>
      <c r="G16" s="23"/>
      <c r="H16" s="95"/>
      <c r="I16" s="42"/>
      <c r="J16" s="24"/>
      <c r="K16" s="24"/>
      <c r="L16" s="24"/>
      <c r="M16" s="24"/>
      <c r="N16" s="24"/>
      <c r="O16" s="115"/>
      <c r="P16" s="115"/>
      <c r="Q16" s="24"/>
    </row>
    <row r="17" spans="1:17" s="12" customFormat="1" ht="17.100000000000001" customHeight="1">
      <c r="A17" s="112"/>
      <c r="B17" s="23"/>
      <c r="C17" s="23"/>
      <c r="D17" s="55"/>
      <c r="E17" s="42"/>
      <c r="F17" s="23"/>
      <c r="G17" s="23"/>
      <c r="H17" s="95"/>
      <c r="I17" s="42"/>
      <c r="J17" s="24"/>
      <c r="K17" s="24"/>
      <c r="L17" s="24"/>
      <c r="M17" s="24"/>
      <c r="N17" s="24"/>
      <c r="O17" s="115"/>
      <c r="P17" s="115"/>
      <c r="Q17" s="24"/>
    </row>
    <row r="18" spans="1:17" s="12" customFormat="1" ht="17.100000000000001" customHeight="1">
      <c r="A18" s="112"/>
      <c r="B18" s="23"/>
      <c r="C18" s="23"/>
      <c r="D18" s="55"/>
      <c r="E18" s="42"/>
      <c r="F18" s="23"/>
      <c r="G18" s="23"/>
      <c r="H18" s="95"/>
      <c r="I18" s="42"/>
      <c r="J18" s="24"/>
      <c r="K18" s="24"/>
      <c r="L18" s="24"/>
      <c r="M18" s="24"/>
      <c r="N18" s="24"/>
      <c r="O18" s="115"/>
      <c r="P18" s="115"/>
      <c r="Q18" s="24"/>
    </row>
    <row r="19" spans="1:17" s="12" customFormat="1" ht="17.100000000000001" customHeight="1">
      <c r="A19" s="112"/>
      <c r="B19" s="114"/>
      <c r="C19" s="114"/>
      <c r="D19" s="114"/>
      <c r="E19" s="114"/>
      <c r="F19" s="114"/>
      <c r="G19" s="114"/>
      <c r="H19" s="114"/>
      <c r="I19" s="114"/>
      <c r="J19" s="115"/>
      <c r="K19" s="115"/>
      <c r="L19" s="115"/>
      <c r="M19" s="115"/>
      <c r="N19" s="115"/>
      <c r="O19" s="115"/>
      <c r="P19" s="115"/>
      <c r="Q19" s="115"/>
    </row>
    <row r="20" spans="1:17" s="12" customFormat="1" ht="17.100000000000001" customHeight="1">
      <c r="A20" s="112"/>
      <c r="B20" s="114"/>
      <c r="C20" s="114"/>
      <c r="D20" s="114"/>
      <c r="E20" s="114"/>
      <c r="F20" s="114"/>
      <c r="G20" s="114"/>
      <c r="H20" s="114"/>
      <c r="I20" s="114"/>
      <c r="J20" s="115"/>
      <c r="K20" s="115"/>
      <c r="L20" s="115"/>
      <c r="M20" s="115"/>
      <c r="N20" s="115"/>
      <c r="O20" s="115"/>
      <c r="P20" s="115"/>
      <c r="Q20" s="115"/>
    </row>
    <row r="21" spans="1:17" s="12" customFormat="1" ht="17.100000000000001" customHeight="1">
      <c r="A21" s="112"/>
      <c r="B21" s="114"/>
      <c r="C21" s="114"/>
      <c r="D21" s="114"/>
      <c r="E21" s="114"/>
      <c r="F21" s="114"/>
      <c r="G21" s="114"/>
      <c r="H21" s="114"/>
      <c r="I21" s="114"/>
      <c r="J21" s="115"/>
      <c r="K21" s="115"/>
      <c r="L21" s="115"/>
      <c r="M21" s="115"/>
      <c r="N21" s="115"/>
      <c r="O21" s="115"/>
      <c r="P21" s="115"/>
      <c r="Q21" s="115"/>
    </row>
    <row r="22" spans="1:17" s="12" customFormat="1" ht="17.100000000000001" customHeight="1">
      <c r="A22" s="112"/>
      <c r="B22" s="114"/>
      <c r="C22" s="114"/>
      <c r="D22" s="114"/>
      <c r="E22" s="114"/>
      <c r="F22" s="114"/>
      <c r="G22" s="114"/>
      <c r="H22" s="114"/>
      <c r="I22" s="114"/>
      <c r="J22" s="115"/>
      <c r="K22" s="115"/>
      <c r="L22" s="115"/>
      <c r="M22" s="115"/>
      <c r="N22" s="115"/>
      <c r="O22" s="115"/>
      <c r="P22" s="115"/>
      <c r="Q22" s="115"/>
    </row>
    <row r="23" spans="1:17" s="12" customFormat="1" ht="17.100000000000001" customHeight="1">
      <c r="A23" s="112"/>
      <c r="B23" s="114"/>
      <c r="C23" s="114"/>
      <c r="D23" s="114"/>
      <c r="E23" s="114"/>
      <c r="F23" s="114"/>
      <c r="G23" s="114"/>
      <c r="H23" s="114"/>
      <c r="I23" s="114"/>
      <c r="J23" s="115"/>
      <c r="K23" s="115"/>
      <c r="L23" s="115"/>
      <c r="M23" s="115"/>
      <c r="N23" s="115"/>
      <c r="O23" s="115"/>
      <c r="P23" s="115"/>
      <c r="Q23" s="115"/>
    </row>
    <row r="24" spans="1:17" s="12" customFormat="1" ht="17.100000000000001" customHeight="1"/>
    <row r="25" spans="1:17" s="12" customFormat="1" ht="17.100000000000001" customHeight="1">
      <c r="A25" s="17" t="s">
        <v>96</v>
      </c>
    </row>
    <row r="26" spans="1:17" s="19" customFormat="1" ht="18" customHeight="1">
      <c r="A26" s="176" t="s">
        <v>131</v>
      </c>
      <c r="B26" s="176" t="s">
        <v>132</v>
      </c>
      <c r="C26" s="176" t="s">
        <v>133</v>
      </c>
      <c r="D26" s="176" t="s">
        <v>134</v>
      </c>
      <c r="E26" s="176" t="s">
        <v>133</v>
      </c>
      <c r="F26" s="176" t="s">
        <v>523</v>
      </c>
      <c r="G26" s="176" t="s">
        <v>524</v>
      </c>
      <c r="H26" s="176" t="s">
        <v>490</v>
      </c>
      <c r="I26" s="176" t="s">
        <v>491</v>
      </c>
      <c r="J26" s="176" t="s">
        <v>492</v>
      </c>
      <c r="K26" s="176" t="s">
        <v>493</v>
      </c>
    </row>
    <row r="27" spans="1:17" ht="17.100000000000001" customHeigh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</row>
    <row r="28" spans="1:17" ht="17.100000000000001" customHeight="1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</row>
    <row r="29" spans="1:17" ht="17.100000000000001" customHeight="1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</row>
    <row r="30" spans="1:17" ht="17.100000000000001" customHeight="1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</row>
    <row r="31" spans="1:17" ht="17.100000000000001" customHeight="1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</row>
    <row r="32" spans="1:17" ht="17.100000000000001" customHeight="1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</row>
    <row r="33" spans="1:36" ht="17.100000000000001" customHeight="1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</row>
    <row r="34" spans="1:36" ht="17.100000000000001" customHeight="1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</row>
    <row r="35" spans="1:36" ht="17.100000000000001" customHeight="1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</row>
    <row r="36" spans="1:36" ht="17.100000000000001" customHeight="1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</row>
    <row r="37" spans="1:36" ht="17.100000000000001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</row>
    <row r="38" spans="1:36" ht="17.100000000000001" customHeight="1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</row>
    <row r="39" spans="1:36" ht="17.100000000000001" customHeight="1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</row>
    <row r="40" spans="1:36" ht="17.100000000000001" customHeight="1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</row>
    <row r="41" spans="1:36" ht="17.100000000000001" customHeight="1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</row>
    <row r="42" spans="1:36" ht="17.100000000000001" customHeight="1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</row>
    <row r="43" spans="1:36" ht="17.100000000000001" customHeight="1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</row>
    <row r="44" spans="1:36" ht="17.100000000000001" customHeight="1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</row>
    <row r="45" spans="1:36" ht="17.100000000000001" customHeight="1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</row>
    <row r="46" spans="1:36" ht="17.100000000000001" customHeight="1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</row>
    <row r="47" spans="1:36" ht="17.100000000000001" customHeight="1">
      <c r="AE47" s="12"/>
      <c r="AF47" s="12"/>
      <c r="AG47" s="12"/>
      <c r="AH47" s="12"/>
      <c r="AI47" s="12"/>
      <c r="AJ4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7"/>
  <sheetViews>
    <sheetView zoomScaleNormal="100" workbookViewId="0"/>
  </sheetViews>
  <sheetFormatPr defaultColWidth="9" defaultRowHeight="17.100000000000001" customHeight="1"/>
  <cols>
    <col min="1" max="36" width="10.44140625" style="262" customWidth="1"/>
    <col min="37" max="16384" width="9" style="262"/>
  </cols>
  <sheetData>
    <row r="1" spans="1:17" s="12" customFormat="1" ht="33" customHeight="1">
      <c r="A1" s="15" t="s">
        <v>91</v>
      </c>
    </row>
    <row r="2" spans="1:17" s="12" customFormat="1" ht="17.100000000000001" customHeight="1">
      <c r="A2" s="17" t="s">
        <v>43</v>
      </c>
      <c r="C2" s="94" t="s">
        <v>63</v>
      </c>
      <c r="F2" s="94" t="s">
        <v>75</v>
      </c>
      <c r="J2" s="17" t="s">
        <v>44</v>
      </c>
      <c r="M2" s="17" t="s">
        <v>45</v>
      </c>
    </row>
    <row r="3" spans="1:17" s="12" customFormat="1" ht="13.5">
      <c r="A3" s="14" t="s">
        <v>92</v>
      </c>
      <c r="B3" s="14" t="s">
        <v>60</v>
      </c>
      <c r="C3" s="14" t="s">
        <v>55</v>
      </c>
      <c r="D3" s="14" t="s">
        <v>56</v>
      </c>
      <c r="E3" s="14" t="s">
        <v>51</v>
      </c>
      <c r="F3" s="13" t="s">
        <v>46</v>
      </c>
      <c r="G3" s="14" t="s">
        <v>62</v>
      </c>
      <c r="H3" s="14" t="s">
        <v>76</v>
      </c>
      <c r="I3" s="14" t="s">
        <v>47</v>
      </c>
      <c r="J3" s="14" t="s">
        <v>48</v>
      </c>
      <c r="K3" s="41" t="s">
        <v>49</v>
      </c>
      <c r="L3" s="41" t="s">
        <v>50</v>
      </c>
      <c r="M3" s="41" t="s">
        <v>64</v>
      </c>
      <c r="N3" s="41" t="s">
        <v>65</v>
      </c>
      <c r="O3" s="113" t="s">
        <v>93</v>
      </c>
      <c r="P3" s="113" t="s">
        <v>94</v>
      </c>
      <c r="Q3" s="41" t="s">
        <v>95</v>
      </c>
    </row>
    <row r="4" spans="1:17" s="12" customFormat="1" ht="17.100000000000001" customHeight="1">
      <c r="A4" s="112"/>
      <c r="B4" s="23"/>
      <c r="C4" s="23"/>
      <c r="D4" s="55"/>
      <c r="E4" s="42"/>
      <c r="F4" s="23"/>
      <c r="G4" s="23"/>
      <c r="H4" s="95"/>
      <c r="I4" s="42"/>
      <c r="J4" s="23"/>
      <c r="K4" s="23"/>
      <c r="L4" s="23"/>
      <c r="M4" s="23"/>
      <c r="N4" s="23"/>
      <c r="O4" s="114"/>
      <c r="P4" s="114"/>
      <c r="Q4" s="23"/>
    </row>
    <row r="5" spans="1:17" s="12" customFormat="1" ht="17.100000000000001" customHeight="1">
      <c r="A5" s="112"/>
      <c r="B5" s="23"/>
      <c r="C5" s="23"/>
      <c r="D5" s="55"/>
      <c r="E5" s="42"/>
      <c r="F5" s="23"/>
      <c r="G5" s="23"/>
      <c r="H5" s="95"/>
      <c r="I5" s="42"/>
      <c r="J5" s="23"/>
      <c r="K5" s="24"/>
      <c r="L5" s="24"/>
      <c r="M5" s="24"/>
      <c r="N5" s="24"/>
      <c r="O5" s="115"/>
      <c r="P5" s="115"/>
      <c r="Q5" s="24"/>
    </row>
    <row r="6" spans="1:17" s="12" customFormat="1" ht="17.100000000000001" customHeight="1">
      <c r="A6" s="112"/>
      <c r="B6" s="23"/>
      <c r="C6" s="23"/>
      <c r="D6" s="55"/>
      <c r="E6" s="42"/>
      <c r="F6" s="23"/>
      <c r="G6" s="23"/>
      <c r="H6" s="95"/>
      <c r="I6" s="42"/>
      <c r="J6" s="23"/>
      <c r="K6" s="24"/>
      <c r="L6" s="24"/>
      <c r="M6" s="24"/>
      <c r="N6" s="24"/>
      <c r="O6" s="115"/>
      <c r="P6" s="115"/>
      <c r="Q6" s="24"/>
    </row>
    <row r="7" spans="1:17" s="12" customFormat="1" ht="17.100000000000001" customHeight="1">
      <c r="A7" s="112"/>
      <c r="B7" s="23"/>
      <c r="C7" s="23"/>
      <c r="D7" s="55"/>
      <c r="E7" s="42"/>
      <c r="F7" s="23"/>
      <c r="G7" s="23"/>
      <c r="H7" s="95"/>
      <c r="I7" s="42"/>
      <c r="J7" s="23"/>
      <c r="K7" s="24"/>
      <c r="L7" s="24"/>
      <c r="M7" s="24"/>
      <c r="N7" s="24"/>
      <c r="O7" s="115"/>
      <c r="P7" s="115"/>
      <c r="Q7" s="24"/>
    </row>
    <row r="8" spans="1:17" s="12" customFormat="1" ht="17.100000000000001" customHeight="1">
      <c r="A8" s="112"/>
      <c r="B8" s="23"/>
      <c r="C8" s="23"/>
      <c r="D8" s="55"/>
      <c r="E8" s="42"/>
      <c r="F8" s="23"/>
      <c r="G8" s="23"/>
      <c r="H8" s="95"/>
      <c r="I8" s="42"/>
      <c r="J8" s="23"/>
      <c r="K8" s="24"/>
      <c r="L8" s="24"/>
      <c r="M8" s="24"/>
      <c r="N8" s="24"/>
      <c r="O8" s="115"/>
      <c r="P8" s="115"/>
      <c r="Q8" s="24"/>
    </row>
    <row r="9" spans="1:17" s="12" customFormat="1" ht="17.100000000000001" customHeight="1">
      <c r="A9" s="112"/>
      <c r="B9" s="23"/>
      <c r="C9" s="23"/>
      <c r="D9" s="55"/>
      <c r="E9" s="42"/>
      <c r="F9" s="23"/>
      <c r="G9" s="23"/>
      <c r="H9" s="95"/>
      <c r="I9" s="42"/>
      <c r="J9" s="23"/>
      <c r="K9" s="24"/>
      <c r="L9" s="24"/>
      <c r="M9" s="24"/>
      <c r="N9" s="24"/>
      <c r="O9" s="115"/>
      <c r="P9" s="115"/>
      <c r="Q9" s="24"/>
    </row>
    <row r="10" spans="1:17" s="12" customFormat="1" ht="17.100000000000001" customHeight="1">
      <c r="A10" s="112"/>
      <c r="B10" s="23"/>
      <c r="C10" s="23"/>
      <c r="D10" s="55"/>
      <c r="E10" s="42"/>
      <c r="F10" s="23"/>
      <c r="G10" s="23"/>
      <c r="H10" s="95"/>
      <c r="I10" s="42"/>
      <c r="J10" s="23"/>
      <c r="K10" s="24"/>
      <c r="L10" s="24"/>
      <c r="M10" s="24"/>
      <c r="N10" s="24"/>
      <c r="O10" s="115"/>
      <c r="P10" s="115"/>
      <c r="Q10" s="24"/>
    </row>
    <row r="11" spans="1:17" s="12" customFormat="1" ht="17.100000000000001" customHeight="1">
      <c r="A11" s="112"/>
      <c r="B11" s="23"/>
      <c r="C11" s="23"/>
      <c r="D11" s="55"/>
      <c r="E11" s="42"/>
      <c r="F11" s="23"/>
      <c r="G11" s="23"/>
      <c r="H11" s="95"/>
      <c r="I11" s="42"/>
      <c r="J11" s="23"/>
      <c r="K11" s="24"/>
      <c r="L11" s="24"/>
      <c r="M11" s="24"/>
      <c r="N11" s="24"/>
      <c r="O11" s="115"/>
      <c r="P11" s="115"/>
      <c r="Q11" s="24"/>
    </row>
    <row r="12" spans="1:17" s="12" customFormat="1" ht="17.100000000000001" customHeight="1">
      <c r="A12" s="112"/>
      <c r="B12" s="23"/>
      <c r="C12" s="23"/>
      <c r="D12" s="55"/>
      <c r="E12" s="42"/>
      <c r="F12" s="23"/>
      <c r="G12" s="23"/>
      <c r="H12" s="95"/>
      <c r="I12" s="42"/>
      <c r="J12" s="23"/>
      <c r="K12" s="24"/>
      <c r="L12" s="24"/>
      <c r="M12" s="24"/>
      <c r="N12" s="24"/>
      <c r="O12" s="115"/>
      <c r="P12" s="115"/>
      <c r="Q12" s="24"/>
    </row>
    <row r="13" spans="1:17" s="12" customFormat="1" ht="17.100000000000001" customHeight="1">
      <c r="A13" s="112"/>
      <c r="B13" s="23"/>
      <c r="C13" s="23"/>
      <c r="D13" s="55"/>
      <c r="E13" s="42"/>
      <c r="F13" s="23"/>
      <c r="G13" s="23"/>
      <c r="H13" s="95"/>
      <c r="I13" s="42"/>
      <c r="J13" s="23"/>
      <c r="K13" s="24"/>
      <c r="L13" s="24"/>
      <c r="M13" s="24"/>
      <c r="N13" s="24"/>
      <c r="O13" s="115"/>
      <c r="P13" s="115"/>
      <c r="Q13" s="24"/>
    </row>
    <row r="14" spans="1:17" s="12" customFormat="1" ht="17.100000000000001" customHeight="1">
      <c r="A14" s="112"/>
      <c r="B14" s="23"/>
      <c r="C14" s="23"/>
      <c r="D14" s="55"/>
      <c r="E14" s="42"/>
      <c r="F14" s="23"/>
      <c r="G14" s="23"/>
      <c r="H14" s="95"/>
      <c r="I14" s="42"/>
      <c r="J14" s="23"/>
      <c r="K14" s="24"/>
      <c r="L14" s="24"/>
      <c r="M14" s="24"/>
      <c r="N14" s="24"/>
      <c r="O14" s="115"/>
      <c r="P14" s="115"/>
      <c r="Q14" s="24"/>
    </row>
    <row r="15" spans="1:17" s="12" customFormat="1" ht="17.100000000000001" customHeight="1">
      <c r="A15" s="112"/>
      <c r="B15" s="23"/>
      <c r="C15" s="23"/>
      <c r="D15" s="55"/>
      <c r="E15" s="42"/>
      <c r="F15" s="23"/>
      <c r="G15" s="23"/>
      <c r="H15" s="95"/>
      <c r="I15" s="42"/>
      <c r="J15" s="24"/>
      <c r="K15" s="24"/>
      <c r="L15" s="24"/>
      <c r="M15" s="24"/>
      <c r="N15" s="24"/>
      <c r="O15" s="115"/>
      <c r="P15" s="115"/>
      <c r="Q15" s="24"/>
    </row>
    <row r="16" spans="1:17" s="12" customFormat="1" ht="17.100000000000001" customHeight="1">
      <c r="A16" s="112"/>
      <c r="B16" s="23"/>
      <c r="C16" s="23"/>
      <c r="D16" s="55"/>
      <c r="E16" s="42"/>
      <c r="F16" s="23"/>
      <c r="G16" s="23"/>
      <c r="H16" s="95"/>
      <c r="I16" s="42"/>
      <c r="J16" s="24"/>
      <c r="K16" s="24"/>
      <c r="L16" s="24"/>
      <c r="M16" s="24"/>
      <c r="N16" s="24"/>
      <c r="O16" s="115"/>
      <c r="P16" s="115"/>
      <c r="Q16" s="24"/>
    </row>
    <row r="17" spans="1:17" s="12" customFormat="1" ht="17.100000000000001" customHeight="1">
      <c r="A17" s="112"/>
      <c r="B17" s="23"/>
      <c r="C17" s="23"/>
      <c r="D17" s="55"/>
      <c r="E17" s="42"/>
      <c r="F17" s="23"/>
      <c r="G17" s="23"/>
      <c r="H17" s="95"/>
      <c r="I17" s="42"/>
      <c r="J17" s="24"/>
      <c r="K17" s="24"/>
      <c r="L17" s="24"/>
      <c r="M17" s="24"/>
      <c r="N17" s="24"/>
      <c r="O17" s="115"/>
      <c r="P17" s="115"/>
      <c r="Q17" s="24"/>
    </row>
    <row r="18" spans="1:17" s="12" customFormat="1" ht="17.100000000000001" customHeight="1">
      <c r="A18" s="112"/>
      <c r="B18" s="23"/>
      <c r="C18" s="23"/>
      <c r="D18" s="55"/>
      <c r="E18" s="42"/>
      <c r="F18" s="23"/>
      <c r="G18" s="23"/>
      <c r="H18" s="95"/>
      <c r="I18" s="42"/>
      <c r="J18" s="24"/>
      <c r="K18" s="24"/>
      <c r="L18" s="24"/>
      <c r="M18" s="24"/>
      <c r="N18" s="24"/>
      <c r="O18" s="115"/>
      <c r="P18" s="115"/>
      <c r="Q18" s="24"/>
    </row>
    <row r="19" spans="1:17" s="12" customFormat="1" ht="17.100000000000001" customHeight="1">
      <c r="A19" s="112"/>
      <c r="B19" s="114"/>
      <c r="C19" s="114"/>
      <c r="D19" s="114"/>
      <c r="E19" s="114"/>
      <c r="F19" s="114"/>
      <c r="G19" s="114"/>
      <c r="H19" s="114"/>
      <c r="I19" s="114"/>
      <c r="J19" s="115"/>
      <c r="K19" s="115"/>
      <c r="L19" s="115"/>
      <c r="M19" s="115"/>
      <c r="N19" s="115"/>
      <c r="O19" s="115"/>
      <c r="P19" s="115"/>
      <c r="Q19" s="115"/>
    </row>
    <row r="20" spans="1:17" s="12" customFormat="1" ht="17.100000000000001" customHeight="1">
      <c r="A20" s="112"/>
      <c r="B20" s="114"/>
      <c r="C20" s="114"/>
      <c r="D20" s="114"/>
      <c r="E20" s="114"/>
      <c r="F20" s="114"/>
      <c r="G20" s="114"/>
      <c r="H20" s="114"/>
      <c r="I20" s="114"/>
      <c r="J20" s="115"/>
      <c r="K20" s="115"/>
      <c r="L20" s="115"/>
      <c r="M20" s="115"/>
      <c r="N20" s="115"/>
      <c r="O20" s="115"/>
      <c r="P20" s="115"/>
      <c r="Q20" s="115"/>
    </row>
    <row r="21" spans="1:17" s="12" customFormat="1" ht="17.100000000000001" customHeight="1">
      <c r="A21" s="112"/>
      <c r="B21" s="114"/>
      <c r="C21" s="114"/>
      <c r="D21" s="114"/>
      <c r="E21" s="114"/>
      <c r="F21" s="114"/>
      <c r="G21" s="114"/>
      <c r="H21" s="114"/>
      <c r="I21" s="114"/>
      <c r="J21" s="115"/>
      <c r="K21" s="115"/>
      <c r="L21" s="115"/>
      <c r="M21" s="115"/>
      <c r="N21" s="115"/>
      <c r="O21" s="115"/>
      <c r="P21" s="115"/>
      <c r="Q21" s="115"/>
    </row>
    <row r="22" spans="1:17" s="12" customFormat="1" ht="17.100000000000001" customHeight="1">
      <c r="A22" s="112"/>
      <c r="B22" s="114"/>
      <c r="C22" s="114"/>
      <c r="D22" s="114"/>
      <c r="E22" s="114"/>
      <c r="F22" s="114"/>
      <c r="G22" s="114"/>
      <c r="H22" s="114"/>
      <c r="I22" s="114"/>
      <c r="J22" s="115"/>
      <c r="K22" s="115"/>
      <c r="L22" s="115"/>
      <c r="M22" s="115"/>
      <c r="N22" s="115"/>
      <c r="O22" s="115"/>
      <c r="P22" s="115"/>
      <c r="Q22" s="115"/>
    </row>
    <row r="23" spans="1:17" s="12" customFormat="1" ht="17.100000000000001" customHeight="1">
      <c r="A23" s="112"/>
      <c r="B23" s="114"/>
      <c r="C23" s="114"/>
      <c r="D23" s="114"/>
      <c r="E23" s="114"/>
      <c r="F23" s="114"/>
      <c r="G23" s="114"/>
      <c r="H23" s="114"/>
      <c r="I23" s="114"/>
      <c r="J23" s="115"/>
      <c r="K23" s="115"/>
      <c r="L23" s="115"/>
      <c r="M23" s="115"/>
      <c r="N23" s="115"/>
      <c r="O23" s="115"/>
      <c r="P23" s="115"/>
      <c r="Q23" s="115"/>
    </row>
    <row r="24" spans="1:17" s="12" customFormat="1" ht="17.100000000000001" customHeight="1"/>
    <row r="25" spans="1:17" s="12" customFormat="1" ht="17.100000000000001" customHeight="1">
      <c r="A25" s="17" t="s">
        <v>96</v>
      </c>
    </row>
    <row r="26" spans="1:17" s="19" customFormat="1" ht="18" customHeight="1">
      <c r="A26" s="176" t="s">
        <v>131</v>
      </c>
      <c r="B26" s="176" t="s">
        <v>132</v>
      </c>
      <c r="C26" s="176" t="s">
        <v>133</v>
      </c>
      <c r="D26" s="176" t="s">
        <v>134</v>
      </c>
      <c r="E26" s="176" t="s">
        <v>133</v>
      </c>
      <c r="F26" s="176" t="s">
        <v>523</v>
      </c>
      <c r="G26" s="176" t="s">
        <v>524</v>
      </c>
      <c r="H26" s="176" t="s">
        <v>490</v>
      </c>
      <c r="I26" s="176" t="s">
        <v>494</v>
      </c>
      <c r="J26" s="176" t="s">
        <v>495</v>
      </c>
      <c r="K26" s="176" t="s">
        <v>493</v>
      </c>
    </row>
    <row r="27" spans="1:17" ht="17.100000000000001" customHeigh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</row>
    <row r="28" spans="1:17" ht="17.100000000000001" customHeight="1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</row>
    <row r="29" spans="1:17" ht="17.100000000000001" customHeight="1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</row>
    <row r="30" spans="1:17" ht="17.100000000000001" customHeight="1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</row>
    <row r="31" spans="1:17" ht="17.100000000000001" customHeight="1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</row>
    <row r="32" spans="1:17" ht="17.100000000000001" customHeight="1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</row>
    <row r="33" spans="1:36" ht="17.100000000000001" customHeight="1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</row>
    <row r="34" spans="1:36" ht="17.100000000000001" customHeight="1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</row>
    <row r="35" spans="1:36" ht="17.100000000000001" customHeight="1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</row>
    <row r="36" spans="1:36" ht="17.100000000000001" customHeight="1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</row>
    <row r="37" spans="1:36" ht="17.100000000000001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</row>
    <row r="38" spans="1:36" ht="17.100000000000001" customHeight="1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</row>
    <row r="39" spans="1:36" ht="17.100000000000001" customHeight="1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</row>
    <row r="40" spans="1:36" ht="17.100000000000001" customHeight="1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</row>
    <row r="41" spans="1:36" ht="17.100000000000001" customHeight="1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</row>
    <row r="42" spans="1:36" ht="17.100000000000001" customHeight="1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</row>
    <row r="43" spans="1:36" ht="17.100000000000001" customHeight="1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</row>
    <row r="44" spans="1:36" ht="17.100000000000001" customHeight="1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</row>
    <row r="45" spans="1:36" ht="17.100000000000001" customHeight="1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</row>
    <row r="46" spans="1:36" ht="17.100000000000001" customHeight="1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</row>
    <row r="47" spans="1:36" ht="17.100000000000001" customHeight="1">
      <c r="AE47" s="12"/>
      <c r="AF47" s="12"/>
      <c r="AG47" s="12"/>
      <c r="AH47" s="12"/>
      <c r="AI47" s="12"/>
      <c r="AJ4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7"/>
  <sheetViews>
    <sheetView zoomScaleNormal="100" workbookViewId="0"/>
  </sheetViews>
  <sheetFormatPr defaultColWidth="9" defaultRowHeight="17.100000000000001" customHeight="1"/>
  <cols>
    <col min="1" max="36" width="10.44140625" style="262" customWidth="1"/>
    <col min="37" max="16384" width="9" style="262"/>
  </cols>
  <sheetData>
    <row r="1" spans="1:17" s="12" customFormat="1" ht="33" customHeight="1">
      <c r="A1" s="15" t="s">
        <v>91</v>
      </c>
    </row>
    <row r="2" spans="1:17" s="12" customFormat="1" ht="17.100000000000001" customHeight="1">
      <c r="A2" s="17" t="s">
        <v>43</v>
      </c>
      <c r="C2" s="94" t="s">
        <v>63</v>
      </c>
      <c r="F2" s="94" t="s">
        <v>75</v>
      </c>
      <c r="J2" s="17" t="s">
        <v>44</v>
      </c>
      <c r="M2" s="17" t="s">
        <v>45</v>
      </c>
    </row>
    <row r="3" spans="1:17" s="12" customFormat="1" ht="13.5">
      <c r="A3" s="14" t="s">
        <v>92</v>
      </c>
      <c r="B3" s="14" t="s">
        <v>60</v>
      </c>
      <c r="C3" s="14" t="s">
        <v>55</v>
      </c>
      <c r="D3" s="14" t="s">
        <v>56</v>
      </c>
      <c r="E3" s="14" t="s">
        <v>51</v>
      </c>
      <c r="F3" s="13" t="s">
        <v>46</v>
      </c>
      <c r="G3" s="14" t="s">
        <v>62</v>
      </c>
      <c r="H3" s="14" t="s">
        <v>76</v>
      </c>
      <c r="I3" s="14" t="s">
        <v>47</v>
      </c>
      <c r="J3" s="14" t="s">
        <v>48</v>
      </c>
      <c r="K3" s="41" t="s">
        <v>49</v>
      </c>
      <c r="L3" s="41" t="s">
        <v>50</v>
      </c>
      <c r="M3" s="41" t="s">
        <v>64</v>
      </c>
      <c r="N3" s="41" t="s">
        <v>65</v>
      </c>
      <c r="O3" s="113" t="s">
        <v>93</v>
      </c>
      <c r="P3" s="113" t="s">
        <v>94</v>
      </c>
      <c r="Q3" s="41" t="s">
        <v>95</v>
      </c>
    </row>
    <row r="4" spans="1:17" s="12" customFormat="1" ht="17.100000000000001" customHeight="1">
      <c r="A4" s="112"/>
      <c r="B4" s="23"/>
      <c r="C4" s="23"/>
      <c r="D4" s="55"/>
      <c r="E4" s="42"/>
      <c r="F4" s="23"/>
      <c r="G4" s="23"/>
      <c r="H4" s="95"/>
      <c r="I4" s="42"/>
      <c r="J4" s="23"/>
      <c r="K4" s="23"/>
      <c r="L4" s="23"/>
      <c r="M4" s="23"/>
      <c r="N4" s="23"/>
      <c r="O4" s="114"/>
      <c r="P4" s="114"/>
      <c r="Q4" s="23"/>
    </row>
    <row r="5" spans="1:17" s="12" customFormat="1" ht="17.100000000000001" customHeight="1">
      <c r="A5" s="112"/>
      <c r="B5" s="23"/>
      <c r="C5" s="23"/>
      <c r="D5" s="55"/>
      <c r="E5" s="42"/>
      <c r="F5" s="23"/>
      <c r="G5" s="23"/>
      <c r="H5" s="95"/>
      <c r="I5" s="42"/>
      <c r="J5" s="23"/>
      <c r="K5" s="24"/>
      <c r="L5" s="24"/>
      <c r="M5" s="24"/>
      <c r="N5" s="24"/>
      <c r="O5" s="115"/>
      <c r="P5" s="115"/>
      <c r="Q5" s="24"/>
    </row>
    <row r="6" spans="1:17" s="12" customFormat="1" ht="17.100000000000001" customHeight="1">
      <c r="A6" s="112"/>
      <c r="B6" s="23"/>
      <c r="C6" s="23"/>
      <c r="D6" s="55"/>
      <c r="E6" s="42"/>
      <c r="F6" s="23"/>
      <c r="G6" s="23"/>
      <c r="H6" s="95"/>
      <c r="I6" s="42"/>
      <c r="J6" s="23"/>
      <c r="K6" s="24"/>
      <c r="L6" s="24"/>
      <c r="M6" s="24"/>
      <c r="N6" s="24"/>
      <c r="O6" s="115"/>
      <c r="P6" s="115"/>
      <c r="Q6" s="24"/>
    </row>
    <row r="7" spans="1:17" s="12" customFormat="1" ht="17.100000000000001" customHeight="1">
      <c r="A7" s="112"/>
      <c r="B7" s="23"/>
      <c r="C7" s="23"/>
      <c r="D7" s="55"/>
      <c r="E7" s="42"/>
      <c r="F7" s="23"/>
      <c r="G7" s="23"/>
      <c r="H7" s="95"/>
      <c r="I7" s="42"/>
      <c r="J7" s="23"/>
      <c r="K7" s="24"/>
      <c r="L7" s="24"/>
      <c r="M7" s="24"/>
      <c r="N7" s="24"/>
      <c r="O7" s="115"/>
      <c r="P7" s="115"/>
      <c r="Q7" s="24"/>
    </row>
    <row r="8" spans="1:17" s="12" customFormat="1" ht="17.100000000000001" customHeight="1">
      <c r="A8" s="112"/>
      <c r="B8" s="23"/>
      <c r="C8" s="23"/>
      <c r="D8" s="55"/>
      <c r="E8" s="42"/>
      <c r="F8" s="23"/>
      <c r="G8" s="23"/>
      <c r="H8" s="95"/>
      <c r="I8" s="42"/>
      <c r="J8" s="23"/>
      <c r="K8" s="24"/>
      <c r="L8" s="24"/>
      <c r="M8" s="24"/>
      <c r="N8" s="24"/>
      <c r="O8" s="115"/>
      <c r="P8" s="115"/>
      <c r="Q8" s="24"/>
    </row>
    <row r="9" spans="1:17" s="12" customFormat="1" ht="17.100000000000001" customHeight="1">
      <c r="A9" s="112"/>
      <c r="B9" s="23"/>
      <c r="C9" s="23"/>
      <c r="D9" s="55"/>
      <c r="E9" s="42"/>
      <c r="F9" s="23"/>
      <c r="G9" s="23"/>
      <c r="H9" s="95"/>
      <c r="I9" s="42"/>
      <c r="J9" s="23"/>
      <c r="K9" s="24"/>
      <c r="L9" s="24"/>
      <c r="M9" s="24"/>
      <c r="N9" s="24"/>
      <c r="O9" s="115"/>
      <c r="P9" s="115"/>
      <c r="Q9" s="24"/>
    </row>
    <row r="10" spans="1:17" s="12" customFormat="1" ht="17.100000000000001" customHeight="1">
      <c r="A10" s="112"/>
      <c r="B10" s="23"/>
      <c r="C10" s="23"/>
      <c r="D10" s="55"/>
      <c r="E10" s="42"/>
      <c r="F10" s="23"/>
      <c r="G10" s="23"/>
      <c r="H10" s="95"/>
      <c r="I10" s="42"/>
      <c r="J10" s="23"/>
      <c r="K10" s="24"/>
      <c r="L10" s="24"/>
      <c r="M10" s="24"/>
      <c r="N10" s="24"/>
      <c r="O10" s="115"/>
      <c r="P10" s="115"/>
      <c r="Q10" s="24"/>
    </row>
    <row r="11" spans="1:17" s="12" customFormat="1" ht="17.100000000000001" customHeight="1">
      <c r="A11" s="112"/>
      <c r="B11" s="23"/>
      <c r="C11" s="23"/>
      <c r="D11" s="55"/>
      <c r="E11" s="42"/>
      <c r="F11" s="23"/>
      <c r="G11" s="23"/>
      <c r="H11" s="95"/>
      <c r="I11" s="42"/>
      <c r="J11" s="23"/>
      <c r="K11" s="24"/>
      <c r="L11" s="24"/>
      <c r="M11" s="24"/>
      <c r="N11" s="24"/>
      <c r="O11" s="115"/>
      <c r="P11" s="115"/>
      <c r="Q11" s="24"/>
    </row>
    <row r="12" spans="1:17" s="12" customFormat="1" ht="17.100000000000001" customHeight="1">
      <c r="A12" s="112"/>
      <c r="B12" s="23"/>
      <c r="C12" s="23"/>
      <c r="D12" s="55"/>
      <c r="E12" s="42"/>
      <c r="F12" s="23"/>
      <c r="G12" s="23"/>
      <c r="H12" s="95"/>
      <c r="I12" s="42"/>
      <c r="J12" s="23"/>
      <c r="K12" s="24"/>
      <c r="L12" s="24"/>
      <c r="M12" s="24"/>
      <c r="N12" s="24"/>
      <c r="O12" s="115"/>
      <c r="P12" s="115"/>
      <c r="Q12" s="24"/>
    </row>
    <row r="13" spans="1:17" s="12" customFormat="1" ht="17.100000000000001" customHeight="1">
      <c r="A13" s="112"/>
      <c r="B13" s="23"/>
      <c r="C13" s="23"/>
      <c r="D13" s="55"/>
      <c r="E13" s="42"/>
      <c r="F13" s="23"/>
      <c r="G13" s="23"/>
      <c r="H13" s="95"/>
      <c r="I13" s="42"/>
      <c r="J13" s="23"/>
      <c r="K13" s="24"/>
      <c r="L13" s="24"/>
      <c r="M13" s="24"/>
      <c r="N13" s="24"/>
      <c r="O13" s="115"/>
      <c r="P13" s="115"/>
      <c r="Q13" s="24"/>
    </row>
    <row r="14" spans="1:17" s="12" customFormat="1" ht="17.100000000000001" customHeight="1">
      <c r="A14" s="112"/>
      <c r="B14" s="23"/>
      <c r="C14" s="23"/>
      <c r="D14" s="55"/>
      <c r="E14" s="42"/>
      <c r="F14" s="23"/>
      <c r="G14" s="23"/>
      <c r="H14" s="95"/>
      <c r="I14" s="42"/>
      <c r="J14" s="23"/>
      <c r="K14" s="24"/>
      <c r="L14" s="24"/>
      <c r="M14" s="24"/>
      <c r="N14" s="24"/>
      <c r="O14" s="115"/>
      <c r="P14" s="115"/>
      <c r="Q14" s="24"/>
    </row>
    <row r="15" spans="1:17" s="12" customFormat="1" ht="17.100000000000001" customHeight="1">
      <c r="A15" s="112"/>
      <c r="B15" s="23"/>
      <c r="C15" s="23"/>
      <c r="D15" s="55"/>
      <c r="E15" s="42"/>
      <c r="F15" s="23"/>
      <c r="G15" s="23"/>
      <c r="H15" s="95"/>
      <c r="I15" s="42"/>
      <c r="J15" s="24"/>
      <c r="K15" s="24"/>
      <c r="L15" s="24"/>
      <c r="M15" s="24"/>
      <c r="N15" s="24"/>
      <c r="O15" s="115"/>
      <c r="P15" s="115"/>
      <c r="Q15" s="24"/>
    </row>
    <row r="16" spans="1:17" s="12" customFormat="1" ht="17.100000000000001" customHeight="1">
      <c r="A16" s="112"/>
      <c r="B16" s="23"/>
      <c r="C16" s="23"/>
      <c r="D16" s="55"/>
      <c r="E16" s="42"/>
      <c r="F16" s="23"/>
      <c r="G16" s="23"/>
      <c r="H16" s="95"/>
      <c r="I16" s="42"/>
      <c r="J16" s="24"/>
      <c r="K16" s="24"/>
      <c r="L16" s="24"/>
      <c r="M16" s="24"/>
      <c r="N16" s="24"/>
      <c r="O16" s="115"/>
      <c r="P16" s="115"/>
      <c r="Q16" s="24"/>
    </row>
    <row r="17" spans="1:20" s="12" customFormat="1" ht="17.100000000000001" customHeight="1">
      <c r="A17" s="112"/>
      <c r="B17" s="23"/>
      <c r="C17" s="23"/>
      <c r="D17" s="55"/>
      <c r="E17" s="42"/>
      <c r="F17" s="23"/>
      <c r="G17" s="23"/>
      <c r="H17" s="95"/>
      <c r="I17" s="42"/>
      <c r="J17" s="24"/>
      <c r="K17" s="24"/>
      <c r="L17" s="24"/>
      <c r="M17" s="24"/>
      <c r="N17" s="24"/>
      <c r="O17" s="115"/>
      <c r="P17" s="115"/>
      <c r="Q17" s="24"/>
    </row>
    <row r="18" spans="1:20" s="12" customFormat="1" ht="17.100000000000001" customHeight="1">
      <c r="A18" s="112"/>
      <c r="B18" s="23"/>
      <c r="C18" s="23"/>
      <c r="D18" s="55"/>
      <c r="E18" s="42"/>
      <c r="F18" s="23"/>
      <c r="G18" s="23"/>
      <c r="H18" s="95"/>
      <c r="I18" s="42"/>
      <c r="J18" s="24"/>
      <c r="K18" s="24"/>
      <c r="L18" s="24"/>
      <c r="M18" s="24"/>
      <c r="N18" s="24"/>
      <c r="O18" s="115"/>
      <c r="P18" s="115"/>
      <c r="Q18" s="24"/>
    </row>
    <row r="19" spans="1:20" s="12" customFormat="1" ht="17.100000000000001" customHeight="1">
      <c r="A19" s="112"/>
      <c r="B19" s="114"/>
      <c r="C19" s="114"/>
      <c r="D19" s="114"/>
      <c r="E19" s="114"/>
      <c r="F19" s="114"/>
      <c r="G19" s="114"/>
      <c r="H19" s="114"/>
      <c r="I19" s="114"/>
      <c r="J19" s="115"/>
      <c r="K19" s="115"/>
      <c r="L19" s="115"/>
      <c r="M19" s="115"/>
      <c r="N19" s="115"/>
      <c r="O19" s="115"/>
      <c r="P19" s="115"/>
      <c r="Q19" s="115"/>
    </row>
    <row r="20" spans="1:20" s="12" customFormat="1" ht="17.100000000000001" customHeight="1">
      <c r="A20" s="112"/>
      <c r="B20" s="114"/>
      <c r="C20" s="114"/>
      <c r="D20" s="114"/>
      <c r="E20" s="114"/>
      <c r="F20" s="114"/>
      <c r="G20" s="114"/>
      <c r="H20" s="114"/>
      <c r="I20" s="114"/>
      <c r="J20" s="115"/>
      <c r="K20" s="115"/>
      <c r="L20" s="115"/>
      <c r="M20" s="115"/>
      <c r="N20" s="115"/>
      <c r="O20" s="115"/>
      <c r="P20" s="115"/>
      <c r="Q20" s="115"/>
    </row>
    <row r="21" spans="1:20" s="12" customFormat="1" ht="17.100000000000001" customHeight="1">
      <c r="A21" s="112"/>
      <c r="B21" s="114"/>
      <c r="C21" s="114"/>
      <c r="D21" s="114"/>
      <c r="E21" s="114"/>
      <c r="F21" s="114"/>
      <c r="G21" s="114"/>
      <c r="H21" s="114"/>
      <c r="I21" s="114"/>
      <c r="J21" s="115"/>
      <c r="K21" s="115"/>
      <c r="L21" s="115"/>
      <c r="M21" s="115"/>
      <c r="N21" s="115"/>
      <c r="O21" s="115"/>
      <c r="P21" s="115"/>
      <c r="Q21" s="115"/>
    </row>
    <row r="22" spans="1:20" s="12" customFormat="1" ht="17.100000000000001" customHeight="1">
      <c r="A22" s="112"/>
      <c r="B22" s="114"/>
      <c r="C22" s="114"/>
      <c r="D22" s="114"/>
      <c r="E22" s="114"/>
      <c r="F22" s="114"/>
      <c r="G22" s="114"/>
      <c r="H22" s="114"/>
      <c r="I22" s="114"/>
      <c r="J22" s="115"/>
      <c r="K22" s="115"/>
      <c r="L22" s="115"/>
      <c r="M22" s="115"/>
      <c r="N22" s="115"/>
      <c r="O22" s="115"/>
      <c r="P22" s="115"/>
      <c r="Q22" s="115"/>
    </row>
    <row r="23" spans="1:20" s="12" customFormat="1" ht="17.100000000000001" customHeight="1">
      <c r="A23" s="112"/>
      <c r="B23" s="114"/>
      <c r="C23" s="114"/>
      <c r="D23" s="114"/>
      <c r="E23" s="114"/>
      <c r="F23" s="114"/>
      <c r="G23" s="114"/>
      <c r="H23" s="114"/>
      <c r="I23" s="114"/>
      <c r="J23" s="115"/>
      <c r="K23" s="115"/>
      <c r="L23" s="115"/>
      <c r="M23" s="115"/>
      <c r="N23" s="115"/>
      <c r="O23" s="115"/>
      <c r="P23" s="115"/>
      <c r="Q23" s="115"/>
    </row>
    <row r="24" spans="1:20" s="12" customFormat="1" ht="17.100000000000001" customHeight="1"/>
    <row r="25" spans="1:20" s="12" customFormat="1" ht="17.100000000000001" customHeight="1">
      <c r="A25" s="17" t="s">
        <v>96</v>
      </c>
    </row>
    <row r="26" spans="1:20" s="19" customFormat="1" ht="18" customHeight="1">
      <c r="A26" s="176" t="s">
        <v>131</v>
      </c>
      <c r="B26" s="176" t="s">
        <v>132</v>
      </c>
      <c r="C26" s="176" t="s">
        <v>133</v>
      </c>
      <c r="D26" s="176" t="s">
        <v>134</v>
      </c>
      <c r="E26" s="176" t="s">
        <v>160</v>
      </c>
      <c r="F26" s="176" t="s">
        <v>149</v>
      </c>
      <c r="G26" s="176" t="s">
        <v>139</v>
      </c>
      <c r="H26" s="176" t="s">
        <v>140</v>
      </c>
      <c r="I26" s="176" t="s">
        <v>141</v>
      </c>
      <c r="J26" s="176" t="s">
        <v>142</v>
      </c>
      <c r="K26" s="176" t="s">
        <v>143</v>
      </c>
      <c r="L26" s="176" t="s">
        <v>144</v>
      </c>
      <c r="M26" s="176" t="s">
        <v>145</v>
      </c>
      <c r="N26" s="176" t="s">
        <v>146</v>
      </c>
      <c r="O26" s="176" t="s">
        <v>147</v>
      </c>
      <c r="P26" s="176" t="s">
        <v>148</v>
      </c>
      <c r="Q26" s="176" t="s">
        <v>135</v>
      </c>
      <c r="R26" s="176" t="s">
        <v>136</v>
      </c>
      <c r="S26" s="176" t="s">
        <v>137</v>
      </c>
      <c r="T26" s="176" t="s">
        <v>138</v>
      </c>
    </row>
    <row r="27" spans="1:20" ht="17.100000000000001" customHeigh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</row>
    <row r="28" spans="1:20" ht="17.100000000000001" customHeight="1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</row>
    <row r="29" spans="1:20" ht="17.100000000000001" customHeight="1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</row>
    <row r="30" spans="1:20" ht="17.100000000000001" customHeight="1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</row>
    <row r="31" spans="1:20" ht="17.100000000000001" customHeight="1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</row>
    <row r="32" spans="1:20" ht="17.100000000000001" customHeight="1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</row>
    <row r="33" spans="1:36" ht="17.100000000000001" customHeight="1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</row>
    <row r="34" spans="1:36" ht="17.100000000000001" customHeight="1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</row>
    <row r="35" spans="1:36" ht="17.100000000000001" customHeight="1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</row>
    <row r="36" spans="1:36" ht="17.100000000000001" customHeight="1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</row>
    <row r="37" spans="1:36" ht="17.100000000000001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</row>
    <row r="38" spans="1:36" ht="17.100000000000001" customHeight="1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</row>
    <row r="39" spans="1:36" ht="17.100000000000001" customHeight="1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</row>
    <row r="40" spans="1:36" ht="17.100000000000001" customHeight="1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</row>
    <row r="41" spans="1:36" ht="17.100000000000001" customHeight="1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</row>
    <row r="42" spans="1:36" ht="17.100000000000001" customHeight="1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</row>
    <row r="43" spans="1:36" ht="17.100000000000001" customHeight="1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</row>
    <row r="44" spans="1:36" ht="17.100000000000001" customHeight="1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</row>
    <row r="45" spans="1:36" ht="17.100000000000001" customHeight="1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</row>
    <row r="46" spans="1:36" ht="17.100000000000001" customHeight="1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</row>
    <row r="47" spans="1:36" ht="17.100000000000001" customHeight="1">
      <c r="AE47" s="12"/>
      <c r="AF47" s="12"/>
      <c r="AG47" s="12"/>
      <c r="AH47" s="12"/>
      <c r="AI47" s="12"/>
      <c r="AJ4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9"/>
  <sheetViews>
    <sheetView showGridLines="0" showWhiteSpace="0" zoomScaleNormal="100" zoomScaleSheetLayoutView="100" workbookViewId="0">
      <selection sqref="A1:I2"/>
    </sheetView>
  </sheetViews>
  <sheetFormatPr defaultColWidth="10.77734375" defaultRowHeight="15" customHeight="1"/>
  <cols>
    <col min="1" max="2" width="6.77734375" style="37" customWidth="1"/>
    <col min="3" max="3" width="12.77734375" style="37" customWidth="1"/>
    <col min="4" max="4" width="3.77734375" style="37" customWidth="1"/>
    <col min="5" max="5" width="9.77734375" style="37" customWidth="1"/>
    <col min="6" max="7" width="12.77734375" style="37" customWidth="1"/>
    <col min="8" max="9" width="6.77734375" style="37" customWidth="1"/>
    <col min="10" max="16384" width="10.77734375" style="37"/>
  </cols>
  <sheetData>
    <row r="1" spans="1:9" s="47" customFormat="1" ht="33" customHeight="1">
      <c r="A1" s="400" t="s">
        <v>34</v>
      </c>
      <c r="B1" s="400"/>
      <c r="C1" s="400"/>
      <c r="D1" s="400"/>
      <c r="E1" s="400"/>
      <c r="F1" s="400"/>
      <c r="G1" s="400"/>
      <c r="H1" s="400"/>
      <c r="I1" s="400"/>
    </row>
    <row r="2" spans="1:9" s="47" customFormat="1" ht="33" customHeight="1">
      <c r="A2" s="400"/>
      <c r="B2" s="400"/>
      <c r="C2" s="400"/>
      <c r="D2" s="400"/>
      <c r="E2" s="400"/>
      <c r="F2" s="400"/>
      <c r="G2" s="400"/>
      <c r="H2" s="400"/>
      <c r="I2" s="400"/>
    </row>
    <row r="3" spans="1:9" s="47" customFormat="1" ht="12.75" customHeight="1">
      <c r="A3" s="48" t="s">
        <v>82</v>
      </c>
      <c r="B3" s="48"/>
      <c r="C3" s="22"/>
      <c r="D3" s="22"/>
      <c r="E3" s="22"/>
      <c r="F3" s="22"/>
      <c r="G3" s="22"/>
      <c r="H3" s="22"/>
      <c r="I3" s="22"/>
    </row>
    <row r="4" spans="1:9" s="49" customFormat="1" ht="13.5" customHeight="1">
      <c r="A4" s="88" t="str">
        <f>" 교   정   번   호(Calibration No) : "&amp;기본정보!H3</f>
        <v xml:space="preserve"> 교   정   번   호(Calibration No) : </v>
      </c>
      <c r="B4" s="88"/>
      <c r="C4" s="89"/>
      <c r="D4" s="89"/>
      <c r="E4" s="89"/>
      <c r="F4" s="89"/>
      <c r="G4" s="98"/>
      <c r="H4" s="90"/>
      <c r="I4" s="97"/>
    </row>
    <row r="5" spans="1:9" s="36" customFormat="1" ht="15" customHeight="1"/>
    <row r="6" spans="1:9" ht="15" customHeight="1">
      <c r="C6" s="54" t="str">
        <f>"○ 품명 : "&amp;기본정보!C$5</f>
        <v xml:space="preserve">○ 품명 : </v>
      </c>
    </row>
    <row r="7" spans="1:9" ht="15" customHeight="1">
      <c r="C7" s="54" t="str">
        <f>"○ 제작회사 : "&amp;기본정보!C$6</f>
        <v xml:space="preserve">○ 제작회사 : </v>
      </c>
    </row>
    <row r="8" spans="1:9" ht="15" customHeight="1">
      <c r="C8" s="54" t="str">
        <f>"○ 형식 : "&amp;기본정보!C$7</f>
        <v xml:space="preserve">○ 형식 : </v>
      </c>
    </row>
    <row r="9" spans="1:9" ht="15" customHeight="1">
      <c r="C9" s="54" t="str">
        <f>"○ 기기번호 : "&amp;기본정보!C$8</f>
        <v xml:space="preserve">○ 기기번호 : </v>
      </c>
    </row>
    <row r="10" spans="1:9" ht="15" customHeight="1">
      <c r="C10" s="54" t="str">
        <f ca="1">"○ 최소눈금 : "&amp;Calcu!N4&amp;" mm"</f>
        <v>○ 최소눈금 : 0 mm</v>
      </c>
    </row>
    <row r="11" spans="1:9" ht="15" customHeight="1">
      <c r="C11" s="54"/>
    </row>
    <row r="12" spans="1:9" ht="15" customHeight="1">
      <c r="A12" s="295" t="str">
        <f>IF(OR(Calcu!B10,Calcu!B71)=TRUE,"","삭제")</f>
        <v>삭제</v>
      </c>
      <c r="C12" s="38" t="s">
        <v>538</v>
      </c>
    </row>
    <row r="13" spans="1:9" ht="15" customHeight="1">
      <c r="A13" s="296" t="str">
        <f>A12</f>
        <v>삭제</v>
      </c>
      <c r="B13" s="44"/>
      <c r="C13" s="392" t="s">
        <v>503</v>
      </c>
      <c r="D13" s="401"/>
      <c r="E13" s="398"/>
      <c r="F13" s="401" t="s">
        <v>504</v>
      </c>
      <c r="G13" s="393"/>
    </row>
    <row r="14" spans="1:9" ht="15" customHeight="1">
      <c r="A14" s="296" t="str">
        <f>A13</f>
        <v>삭제</v>
      </c>
      <c r="B14" s="44"/>
      <c r="C14" s="394" t="s">
        <v>129</v>
      </c>
      <c r="D14" s="394" t="s">
        <v>150</v>
      </c>
      <c r="E14" s="402"/>
      <c r="F14" s="404" t="s">
        <v>129</v>
      </c>
      <c r="G14" s="406" t="s">
        <v>150</v>
      </c>
    </row>
    <row r="15" spans="1:9" ht="15" customHeight="1">
      <c r="A15" s="296" t="str">
        <f>A14</f>
        <v>삭제</v>
      </c>
      <c r="B15" s="43"/>
      <c r="C15" s="399"/>
      <c r="D15" s="399"/>
      <c r="E15" s="403"/>
      <c r="F15" s="405"/>
      <c r="G15" s="407"/>
    </row>
    <row r="16" spans="1:9" ht="15" customHeight="1">
      <c r="A16" s="44" t="str">
        <f>IF(OR(Calcu!B10,Calcu!B71)=TRUE,"","삭제")</f>
        <v>삭제</v>
      </c>
      <c r="B16" s="43"/>
      <c r="C16" s="340" t="e">
        <f ca="1">Calcu!AA10</f>
        <v>#N/A</v>
      </c>
      <c r="D16" s="392" t="e">
        <f ca="1">Calcu!AB10</f>
        <v>#N/A</v>
      </c>
      <c r="E16" s="398"/>
      <c r="F16" s="342" t="e">
        <f ca="1">Calcu!AA71</f>
        <v>#N/A</v>
      </c>
      <c r="G16" s="288" t="e">
        <f ca="1">Calcu!AB71</f>
        <v>#N/A</v>
      </c>
    </row>
    <row r="17" spans="1:7" ht="15" customHeight="1">
      <c r="A17" s="44" t="str">
        <f>IF(OR(Calcu!B11,Calcu!B72)=TRUE,"","삭제")</f>
        <v>삭제</v>
      </c>
      <c r="B17" s="43"/>
      <c r="C17" s="340" t="e">
        <f ca="1">Calcu!AA11</f>
        <v>#N/A</v>
      </c>
      <c r="D17" s="392" t="e">
        <f ca="1">Calcu!AB11</f>
        <v>#N/A</v>
      </c>
      <c r="E17" s="398"/>
      <c r="F17" s="342" t="e">
        <f ca="1">Calcu!AA72</f>
        <v>#N/A</v>
      </c>
      <c r="G17" s="288" t="e">
        <f ca="1">Calcu!AB72</f>
        <v>#N/A</v>
      </c>
    </row>
    <row r="18" spans="1:7" ht="15" customHeight="1">
      <c r="A18" s="44" t="str">
        <f>IF(OR(Calcu!B12,Calcu!B73)=TRUE,"","삭제")</f>
        <v>삭제</v>
      </c>
      <c r="B18" s="43"/>
      <c r="C18" s="340" t="e">
        <f ca="1">Calcu!AA12</f>
        <v>#N/A</v>
      </c>
      <c r="D18" s="392" t="e">
        <f ca="1">Calcu!AB12</f>
        <v>#N/A</v>
      </c>
      <c r="E18" s="398"/>
      <c r="F18" s="342" t="e">
        <f ca="1">Calcu!AA73</f>
        <v>#N/A</v>
      </c>
      <c r="G18" s="288" t="e">
        <f ca="1">Calcu!AB73</f>
        <v>#N/A</v>
      </c>
    </row>
    <row r="19" spans="1:7" ht="15" customHeight="1">
      <c r="A19" s="44" t="str">
        <f>IF(OR(Calcu!B13,Calcu!B74)=TRUE,"","삭제")</f>
        <v>삭제</v>
      </c>
      <c r="B19" s="43"/>
      <c r="C19" s="340" t="e">
        <f ca="1">Calcu!AA13</f>
        <v>#N/A</v>
      </c>
      <c r="D19" s="392" t="e">
        <f ca="1">Calcu!AB13</f>
        <v>#N/A</v>
      </c>
      <c r="E19" s="398"/>
      <c r="F19" s="342" t="e">
        <f ca="1">Calcu!AA74</f>
        <v>#N/A</v>
      </c>
      <c r="G19" s="288" t="e">
        <f ca="1">Calcu!AB74</f>
        <v>#N/A</v>
      </c>
    </row>
    <row r="20" spans="1:7" ht="15" customHeight="1">
      <c r="A20" s="44" t="str">
        <f>IF(OR(Calcu!B14,Calcu!B75)=TRUE,"","삭제")</f>
        <v>삭제</v>
      </c>
      <c r="B20" s="43"/>
      <c r="C20" s="340" t="e">
        <f ca="1">Calcu!AA14</f>
        <v>#N/A</v>
      </c>
      <c r="D20" s="392" t="e">
        <f ca="1">Calcu!AB14</f>
        <v>#N/A</v>
      </c>
      <c r="E20" s="398"/>
      <c r="F20" s="342" t="e">
        <f ca="1">Calcu!AA75</f>
        <v>#N/A</v>
      </c>
      <c r="G20" s="288" t="e">
        <f ca="1">Calcu!AB75</f>
        <v>#N/A</v>
      </c>
    </row>
    <row r="21" spans="1:7" ht="15" customHeight="1">
      <c r="A21" s="44" t="str">
        <f>IF(OR(Calcu!B15,Calcu!B76)=TRUE,"","삭제")</f>
        <v>삭제</v>
      </c>
      <c r="B21" s="43"/>
      <c r="C21" s="340" t="e">
        <f ca="1">Calcu!AA15</f>
        <v>#N/A</v>
      </c>
      <c r="D21" s="392" t="e">
        <f ca="1">Calcu!AB15</f>
        <v>#N/A</v>
      </c>
      <c r="E21" s="398"/>
      <c r="F21" s="342" t="e">
        <f ca="1">Calcu!AA76</f>
        <v>#N/A</v>
      </c>
      <c r="G21" s="288" t="e">
        <f ca="1">Calcu!AB76</f>
        <v>#N/A</v>
      </c>
    </row>
    <row r="22" spans="1:7" ht="15" customHeight="1">
      <c r="A22" s="44" t="str">
        <f>IF(OR(Calcu!B16,Calcu!B77)=TRUE,"","삭제")</f>
        <v>삭제</v>
      </c>
      <c r="B22" s="43"/>
      <c r="C22" s="340" t="e">
        <f ca="1">Calcu!AA16</f>
        <v>#N/A</v>
      </c>
      <c r="D22" s="392" t="e">
        <f ca="1">Calcu!AB16</f>
        <v>#N/A</v>
      </c>
      <c r="E22" s="398"/>
      <c r="F22" s="342" t="e">
        <f ca="1">Calcu!AA77</f>
        <v>#N/A</v>
      </c>
      <c r="G22" s="288" t="e">
        <f ca="1">Calcu!AB77</f>
        <v>#N/A</v>
      </c>
    </row>
    <row r="23" spans="1:7" ht="15" customHeight="1">
      <c r="A23" s="44" t="str">
        <f>IF(OR(Calcu!B17,Calcu!B78)=TRUE,"","삭제")</f>
        <v>삭제</v>
      </c>
      <c r="B23" s="43"/>
      <c r="C23" s="340" t="e">
        <f ca="1">Calcu!AA17</f>
        <v>#N/A</v>
      </c>
      <c r="D23" s="392" t="e">
        <f ca="1">Calcu!AB17</f>
        <v>#N/A</v>
      </c>
      <c r="E23" s="398"/>
      <c r="F23" s="342" t="e">
        <f ca="1">Calcu!AA78</f>
        <v>#N/A</v>
      </c>
      <c r="G23" s="288" t="e">
        <f ca="1">Calcu!AB78</f>
        <v>#N/A</v>
      </c>
    </row>
    <row r="24" spans="1:7" ht="15" customHeight="1">
      <c r="A24" s="44" t="str">
        <f>IF(OR(Calcu!B18,Calcu!B79)=TRUE,"","삭제")</f>
        <v>삭제</v>
      </c>
      <c r="B24" s="43"/>
      <c r="C24" s="340" t="e">
        <f ca="1">Calcu!AA18</f>
        <v>#N/A</v>
      </c>
      <c r="D24" s="392" t="e">
        <f ca="1">Calcu!AB18</f>
        <v>#N/A</v>
      </c>
      <c r="E24" s="398"/>
      <c r="F24" s="342" t="e">
        <f ca="1">Calcu!AA79</f>
        <v>#N/A</v>
      </c>
      <c r="G24" s="288" t="e">
        <f ca="1">Calcu!AB79</f>
        <v>#N/A</v>
      </c>
    </row>
    <row r="25" spans="1:7" ht="15" customHeight="1">
      <c r="A25" s="44" t="str">
        <f>IF(OR(Calcu!B19,Calcu!B80)=TRUE,"","삭제")</f>
        <v>삭제</v>
      </c>
      <c r="B25" s="43"/>
      <c r="C25" s="340" t="e">
        <f ca="1">Calcu!AA19</f>
        <v>#N/A</v>
      </c>
      <c r="D25" s="392" t="e">
        <f ca="1">Calcu!AB19</f>
        <v>#N/A</v>
      </c>
      <c r="E25" s="398"/>
      <c r="F25" s="342" t="e">
        <f ca="1">Calcu!AA80</f>
        <v>#N/A</v>
      </c>
      <c r="G25" s="288" t="e">
        <f ca="1">Calcu!AB80</f>
        <v>#N/A</v>
      </c>
    </row>
    <row r="26" spans="1:7" ht="15" customHeight="1">
      <c r="A26" s="44" t="str">
        <f>IF(OR(Calcu!B20,Calcu!B81)=TRUE,"","삭제")</f>
        <v>삭제</v>
      </c>
      <c r="B26" s="43"/>
      <c r="C26" s="340" t="e">
        <f ca="1">Calcu!AA20</f>
        <v>#N/A</v>
      </c>
      <c r="D26" s="392" t="e">
        <f ca="1">Calcu!AB20</f>
        <v>#N/A</v>
      </c>
      <c r="E26" s="398"/>
      <c r="F26" s="342" t="e">
        <f ca="1">Calcu!AA81</f>
        <v>#N/A</v>
      </c>
      <c r="G26" s="288" t="e">
        <f ca="1">Calcu!AB81</f>
        <v>#N/A</v>
      </c>
    </row>
    <row r="27" spans="1:7" ht="15" customHeight="1">
      <c r="A27" s="44" t="str">
        <f>IF(OR(Calcu!B21,Calcu!B82)=TRUE,"","삭제")</f>
        <v>삭제</v>
      </c>
      <c r="B27" s="43"/>
      <c r="C27" s="340" t="e">
        <f ca="1">Calcu!AA21</f>
        <v>#N/A</v>
      </c>
      <c r="D27" s="392" t="e">
        <f ca="1">Calcu!AB21</f>
        <v>#N/A</v>
      </c>
      <c r="E27" s="398"/>
      <c r="F27" s="342" t="e">
        <f ca="1">Calcu!AA82</f>
        <v>#N/A</v>
      </c>
      <c r="G27" s="288" t="e">
        <f ca="1">Calcu!AB82</f>
        <v>#N/A</v>
      </c>
    </row>
    <row r="28" spans="1:7" ht="15" customHeight="1">
      <c r="A28" s="44" t="str">
        <f>IF(OR(Calcu!B22,Calcu!B83)=TRUE,"","삭제")</f>
        <v>삭제</v>
      </c>
      <c r="B28" s="43"/>
      <c r="C28" s="340" t="e">
        <f ca="1">Calcu!AA22</f>
        <v>#N/A</v>
      </c>
      <c r="D28" s="392" t="e">
        <f ca="1">Calcu!AB22</f>
        <v>#N/A</v>
      </c>
      <c r="E28" s="398"/>
      <c r="F28" s="342" t="e">
        <f ca="1">Calcu!AA83</f>
        <v>#N/A</v>
      </c>
      <c r="G28" s="288" t="e">
        <f ca="1">Calcu!AB83</f>
        <v>#N/A</v>
      </c>
    </row>
    <row r="29" spans="1:7" ht="15" customHeight="1">
      <c r="A29" s="44" t="str">
        <f>IF(OR(Calcu!B23,Calcu!B84)=TRUE,"","삭제")</f>
        <v>삭제</v>
      </c>
      <c r="B29" s="43"/>
      <c r="C29" s="340" t="e">
        <f ca="1">Calcu!AA23</f>
        <v>#N/A</v>
      </c>
      <c r="D29" s="392" t="e">
        <f ca="1">Calcu!AB23</f>
        <v>#N/A</v>
      </c>
      <c r="E29" s="398"/>
      <c r="F29" s="342" t="e">
        <f ca="1">Calcu!AA84</f>
        <v>#N/A</v>
      </c>
      <c r="G29" s="288" t="e">
        <f ca="1">Calcu!AB84</f>
        <v>#N/A</v>
      </c>
    </row>
    <row r="30" spans="1:7" ht="15" customHeight="1">
      <c r="A30" s="44" t="str">
        <f>IF(OR(Calcu!B24,Calcu!B85)=TRUE,"","삭제")</f>
        <v>삭제</v>
      </c>
      <c r="B30" s="43"/>
      <c r="C30" s="340" t="e">
        <f ca="1">Calcu!AA24</f>
        <v>#N/A</v>
      </c>
      <c r="D30" s="392" t="e">
        <f ca="1">Calcu!AB24</f>
        <v>#N/A</v>
      </c>
      <c r="E30" s="398"/>
      <c r="F30" s="342" t="e">
        <f ca="1">Calcu!AA85</f>
        <v>#N/A</v>
      </c>
      <c r="G30" s="288" t="e">
        <f ca="1">Calcu!AB85</f>
        <v>#N/A</v>
      </c>
    </row>
    <row r="31" spans="1:7" ht="15" customHeight="1">
      <c r="A31" s="44" t="str">
        <f>IF(OR(Calcu!B25,Calcu!B86)=TRUE,"","삭제")</f>
        <v>삭제</v>
      </c>
      <c r="B31" s="43"/>
      <c r="C31" s="340" t="e">
        <f ca="1">Calcu!AA25</f>
        <v>#N/A</v>
      </c>
      <c r="D31" s="392" t="e">
        <f ca="1">Calcu!AB25</f>
        <v>#N/A</v>
      </c>
      <c r="E31" s="398"/>
      <c r="F31" s="342" t="e">
        <f ca="1">Calcu!AA86</f>
        <v>#N/A</v>
      </c>
      <c r="G31" s="288" t="e">
        <f ca="1">Calcu!AB86</f>
        <v>#N/A</v>
      </c>
    </row>
    <row r="32" spans="1:7" ht="15" customHeight="1">
      <c r="A32" s="44" t="str">
        <f>IF(OR(Calcu!B26,Calcu!B87)=TRUE,"","삭제")</f>
        <v>삭제</v>
      </c>
      <c r="B32" s="43"/>
      <c r="C32" s="340" t="e">
        <f ca="1">Calcu!AA26</f>
        <v>#N/A</v>
      </c>
      <c r="D32" s="392" t="e">
        <f ca="1">Calcu!AB26</f>
        <v>#N/A</v>
      </c>
      <c r="E32" s="398"/>
      <c r="F32" s="342" t="e">
        <f ca="1">Calcu!AA87</f>
        <v>#N/A</v>
      </c>
      <c r="G32" s="288" t="e">
        <f ca="1">Calcu!AB87</f>
        <v>#N/A</v>
      </c>
    </row>
    <row r="33" spans="1:7" ht="15" customHeight="1">
      <c r="A33" s="44" t="str">
        <f>IF(OR(Calcu!B27,Calcu!B88)=TRUE,"","삭제")</f>
        <v>삭제</v>
      </c>
      <c r="B33" s="43"/>
      <c r="C33" s="340" t="e">
        <f ca="1">Calcu!AA27</f>
        <v>#N/A</v>
      </c>
      <c r="D33" s="392" t="e">
        <f ca="1">Calcu!AB27</f>
        <v>#N/A</v>
      </c>
      <c r="E33" s="398"/>
      <c r="F33" s="342" t="e">
        <f ca="1">Calcu!AA88</f>
        <v>#N/A</v>
      </c>
      <c r="G33" s="288" t="e">
        <f ca="1">Calcu!AB88</f>
        <v>#N/A</v>
      </c>
    </row>
    <row r="34" spans="1:7" ht="15" customHeight="1">
      <c r="A34" s="44" t="str">
        <f>IF(OR(Calcu!B28,Calcu!B89)=TRUE,"","삭제")</f>
        <v>삭제</v>
      </c>
      <c r="B34" s="43"/>
      <c r="C34" s="340" t="e">
        <f ca="1">Calcu!AA28</f>
        <v>#N/A</v>
      </c>
      <c r="D34" s="392" t="e">
        <f ca="1">Calcu!AB28</f>
        <v>#N/A</v>
      </c>
      <c r="E34" s="398"/>
      <c r="F34" s="342" t="e">
        <f ca="1">Calcu!AA89</f>
        <v>#N/A</v>
      </c>
      <c r="G34" s="288" t="e">
        <f ca="1">Calcu!AB89</f>
        <v>#N/A</v>
      </c>
    </row>
    <row r="35" spans="1:7" ht="15" customHeight="1">
      <c r="A35" s="44" t="str">
        <f>IF(OR(Calcu!B29,Calcu!B90)=TRUE,"","삭제")</f>
        <v>삭제</v>
      </c>
      <c r="B35" s="43"/>
      <c r="C35" s="340" t="e">
        <f ca="1">Calcu!AA29</f>
        <v>#N/A</v>
      </c>
      <c r="D35" s="392" t="e">
        <f ca="1">Calcu!AB29</f>
        <v>#N/A</v>
      </c>
      <c r="E35" s="398"/>
      <c r="F35" s="342" t="e">
        <f ca="1">Calcu!AA90</f>
        <v>#N/A</v>
      </c>
      <c r="G35" s="288" t="e">
        <f ca="1">Calcu!AB90</f>
        <v>#N/A</v>
      </c>
    </row>
    <row r="36" spans="1:7" ht="15" customHeight="1">
      <c r="A36" s="296" t="str">
        <f>A12</f>
        <v>삭제</v>
      </c>
      <c r="C36" s="169"/>
      <c r="D36" s="169"/>
      <c r="E36" s="169"/>
      <c r="F36" s="169"/>
      <c r="G36" s="169"/>
    </row>
    <row r="37" spans="1:7" ht="15" customHeight="1">
      <c r="A37" s="296" t="str">
        <f>A36</f>
        <v>삭제</v>
      </c>
      <c r="C37" s="38" t="s">
        <v>467</v>
      </c>
      <c r="D37" s="328" t="e">
        <f ca="1">Calcu!Y113</f>
        <v>#N/A</v>
      </c>
      <c r="E37" s="205" t="e">
        <f ca="1">Calcu!Z113</f>
        <v>#N/A</v>
      </c>
    </row>
    <row r="38" spans="1:7" ht="15" customHeight="1">
      <c r="A38" s="296" t="str">
        <f>A37</f>
        <v>삭제</v>
      </c>
      <c r="D38" s="53" t="e">
        <f ca="1">IF(Calcu!W113="사다리꼴","(신뢰수준 95 %,","(신뢰수준 약 95 %,")</f>
        <v>#N/A</v>
      </c>
      <c r="E38" s="205" t="e">
        <f ca="1">Calcu!X113&amp;IF(Calcu!W113="사다리꼴",", 사다리꼴 확률분포)",")")</f>
        <v>#N/A</v>
      </c>
    </row>
    <row r="39" spans="1:7" ht="15" customHeight="1">
      <c r="A39" s="296" t="str">
        <f>A38</f>
        <v>삭제</v>
      </c>
      <c r="C39" s="38" t="s">
        <v>620</v>
      </c>
      <c r="D39" s="328"/>
      <c r="E39" s="205"/>
    </row>
    <row r="40" spans="1:7" ht="15" customHeight="1">
      <c r="A40" s="295" t="str">
        <f>IF(Calcu!B132=TRUE,"","삭제")</f>
        <v>삭제</v>
      </c>
    </row>
    <row r="41" spans="1:7" ht="15" customHeight="1">
      <c r="A41" s="295" t="str">
        <f>A40</f>
        <v>삭제</v>
      </c>
    </row>
    <row r="42" spans="1:7" ht="15" customHeight="1">
      <c r="A42" s="295" t="str">
        <f>A41</f>
        <v>삭제</v>
      </c>
      <c r="C42" s="38" t="s">
        <v>539</v>
      </c>
    </row>
    <row r="43" spans="1:7" ht="15" customHeight="1">
      <c r="A43" s="295" t="str">
        <f>A42</f>
        <v>삭제</v>
      </c>
      <c r="B43" s="44"/>
      <c r="C43" s="394" t="s">
        <v>129</v>
      </c>
      <c r="D43" s="394" t="s">
        <v>150</v>
      </c>
      <c r="E43" s="395"/>
    </row>
    <row r="44" spans="1:7" ht="15" customHeight="1">
      <c r="A44" s="295" t="str">
        <f>A43</f>
        <v>삭제</v>
      </c>
      <c r="B44" s="43"/>
      <c r="C44" s="399"/>
      <c r="D44" s="396"/>
      <c r="E44" s="397"/>
    </row>
    <row r="45" spans="1:7" ht="15" customHeight="1">
      <c r="A45" s="44" t="str">
        <f>IF(Calcu!B132=TRUE,"","삭제")</f>
        <v>삭제</v>
      </c>
      <c r="B45" s="43"/>
      <c r="C45" s="294" t="e">
        <f ca="1">Calcu!AA132</f>
        <v>#N/A</v>
      </c>
      <c r="D45" s="392" t="e">
        <f ca="1">Calcu!AB132</f>
        <v>#N/A</v>
      </c>
      <c r="E45" s="393"/>
    </row>
    <row r="46" spans="1:7" ht="15" customHeight="1">
      <c r="A46" s="44" t="str">
        <f>IF(Calcu!B133=TRUE,"","삭제")</f>
        <v>삭제</v>
      </c>
      <c r="B46" s="43"/>
      <c r="C46" s="294" t="e">
        <f ca="1">Calcu!AA133</f>
        <v>#N/A</v>
      </c>
      <c r="D46" s="392" t="e">
        <f ca="1">Calcu!AB133</f>
        <v>#N/A</v>
      </c>
      <c r="E46" s="393"/>
    </row>
    <row r="47" spans="1:7" ht="15" customHeight="1">
      <c r="A47" s="44" t="str">
        <f>IF(Calcu!B134=TRUE,"","삭제")</f>
        <v>삭제</v>
      </c>
      <c r="B47" s="43"/>
      <c r="C47" s="294" t="e">
        <f ca="1">Calcu!AA134</f>
        <v>#N/A</v>
      </c>
      <c r="D47" s="392" t="e">
        <f ca="1">Calcu!AB134</f>
        <v>#N/A</v>
      </c>
      <c r="E47" s="393"/>
    </row>
    <row r="48" spans="1:7" ht="15" customHeight="1">
      <c r="A48" s="44" t="str">
        <f>IF(Calcu!B135=TRUE,"","삭제")</f>
        <v>삭제</v>
      </c>
      <c r="B48" s="43"/>
      <c r="C48" s="294" t="e">
        <f ca="1">Calcu!AA135</f>
        <v>#N/A</v>
      </c>
      <c r="D48" s="392" t="e">
        <f ca="1">Calcu!AB135</f>
        <v>#N/A</v>
      </c>
      <c r="E48" s="393"/>
    </row>
    <row r="49" spans="1:5" ht="15" customHeight="1">
      <c r="A49" s="44" t="str">
        <f>IF(Calcu!B136=TRUE,"","삭제")</f>
        <v>삭제</v>
      </c>
      <c r="B49" s="43"/>
      <c r="C49" s="294" t="e">
        <f ca="1">Calcu!AA136</f>
        <v>#N/A</v>
      </c>
      <c r="D49" s="392" t="e">
        <f ca="1">Calcu!AB136</f>
        <v>#N/A</v>
      </c>
      <c r="E49" s="393"/>
    </row>
    <row r="50" spans="1:5" ht="15" customHeight="1">
      <c r="A50" s="44" t="str">
        <f>IF(Calcu!B137=TRUE,"","삭제")</f>
        <v>삭제</v>
      </c>
      <c r="B50" s="43"/>
      <c r="C50" s="294" t="e">
        <f ca="1">Calcu!AA137</f>
        <v>#N/A</v>
      </c>
      <c r="D50" s="392" t="e">
        <f ca="1">Calcu!AB137</f>
        <v>#N/A</v>
      </c>
      <c r="E50" s="393"/>
    </row>
    <row r="51" spans="1:5" ht="15" customHeight="1">
      <c r="A51" s="44" t="str">
        <f>IF(Calcu!B138=TRUE,"","삭제")</f>
        <v>삭제</v>
      </c>
      <c r="B51" s="43"/>
      <c r="C51" s="294" t="e">
        <f ca="1">Calcu!AA138</f>
        <v>#N/A</v>
      </c>
      <c r="D51" s="392" t="e">
        <f ca="1">Calcu!AB138</f>
        <v>#N/A</v>
      </c>
      <c r="E51" s="393"/>
    </row>
    <row r="52" spans="1:5" ht="15" customHeight="1">
      <c r="A52" s="44" t="str">
        <f>IF(Calcu!B139=TRUE,"","삭제")</f>
        <v>삭제</v>
      </c>
      <c r="B52" s="43"/>
      <c r="C52" s="294" t="e">
        <f ca="1">Calcu!AA139</f>
        <v>#N/A</v>
      </c>
      <c r="D52" s="392" t="e">
        <f ca="1">Calcu!AB139</f>
        <v>#N/A</v>
      </c>
      <c r="E52" s="393"/>
    </row>
    <row r="53" spans="1:5" ht="15" customHeight="1">
      <c r="A53" s="44" t="str">
        <f>IF(Calcu!B140=TRUE,"","삭제")</f>
        <v>삭제</v>
      </c>
      <c r="B53" s="43"/>
      <c r="C53" s="294" t="e">
        <f ca="1">Calcu!AA140</f>
        <v>#N/A</v>
      </c>
      <c r="D53" s="392" t="e">
        <f ca="1">Calcu!AB140</f>
        <v>#N/A</v>
      </c>
      <c r="E53" s="393"/>
    </row>
    <row r="54" spans="1:5" ht="15" customHeight="1">
      <c r="A54" s="44" t="str">
        <f>IF(Calcu!B141=TRUE,"","삭제")</f>
        <v>삭제</v>
      </c>
      <c r="B54" s="43"/>
      <c r="C54" s="294" t="e">
        <f ca="1">Calcu!AA141</f>
        <v>#N/A</v>
      </c>
      <c r="D54" s="392" t="e">
        <f ca="1">Calcu!AB141</f>
        <v>#N/A</v>
      </c>
      <c r="E54" s="393"/>
    </row>
    <row r="55" spans="1:5" ht="15" customHeight="1">
      <c r="A55" s="44" t="str">
        <f>IF(Calcu!B142=TRUE,"","삭제")</f>
        <v>삭제</v>
      </c>
      <c r="B55" s="43"/>
      <c r="C55" s="294" t="e">
        <f ca="1">Calcu!AA142</f>
        <v>#N/A</v>
      </c>
      <c r="D55" s="392" t="e">
        <f ca="1">Calcu!AB142</f>
        <v>#N/A</v>
      </c>
      <c r="E55" s="393"/>
    </row>
    <row r="56" spans="1:5" ht="15" customHeight="1">
      <c r="A56" s="44" t="str">
        <f>IF(Calcu!B143=TRUE,"","삭제")</f>
        <v>삭제</v>
      </c>
      <c r="B56" s="43"/>
      <c r="C56" s="294" t="e">
        <f ca="1">Calcu!AA143</f>
        <v>#N/A</v>
      </c>
      <c r="D56" s="392" t="e">
        <f ca="1">Calcu!AB143</f>
        <v>#N/A</v>
      </c>
      <c r="E56" s="393"/>
    </row>
    <row r="57" spans="1:5" ht="15" customHeight="1">
      <c r="A57" s="44" t="str">
        <f>IF(Calcu!B144=TRUE,"","삭제")</f>
        <v>삭제</v>
      </c>
      <c r="B57" s="43"/>
      <c r="C57" s="294" t="e">
        <f ca="1">Calcu!AA144</f>
        <v>#N/A</v>
      </c>
      <c r="D57" s="392" t="e">
        <f ca="1">Calcu!AB144</f>
        <v>#N/A</v>
      </c>
      <c r="E57" s="393"/>
    </row>
    <row r="58" spans="1:5" ht="15" customHeight="1">
      <c r="A58" s="44" t="str">
        <f>IF(Calcu!B145=TRUE,"","삭제")</f>
        <v>삭제</v>
      </c>
      <c r="B58" s="43"/>
      <c r="C58" s="294" t="e">
        <f ca="1">Calcu!AA145</f>
        <v>#N/A</v>
      </c>
      <c r="D58" s="392" t="e">
        <f ca="1">Calcu!AB145</f>
        <v>#N/A</v>
      </c>
      <c r="E58" s="393"/>
    </row>
    <row r="59" spans="1:5" ht="15" customHeight="1">
      <c r="A59" s="44" t="str">
        <f>IF(Calcu!B146=TRUE,"","삭제")</f>
        <v>삭제</v>
      </c>
      <c r="B59" s="43"/>
      <c r="C59" s="294" t="e">
        <f ca="1">Calcu!AA146</f>
        <v>#N/A</v>
      </c>
      <c r="D59" s="392" t="e">
        <f ca="1">Calcu!AB146</f>
        <v>#N/A</v>
      </c>
      <c r="E59" s="393"/>
    </row>
    <row r="60" spans="1:5" ht="15" customHeight="1">
      <c r="A60" s="44" t="str">
        <f>IF(Calcu!B147=TRUE,"","삭제")</f>
        <v>삭제</v>
      </c>
      <c r="B60" s="43"/>
      <c r="C60" s="294" t="e">
        <f ca="1">Calcu!AA147</f>
        <v>#N/A</v>
      </c>
      <c r="D60" s="392" t="e">
        <f ca="1">Calcu!AB147</f>
        <v>#N/A</v>
      </c>
      <c r="E60" s="393"/>
    </row>
    <row r="61" spans="1:5" ht="15" customHeight="1">
      <c r="A61" s="44" t="str">
        <f>IF(Calcu!B148=TRUE,"","삭제")</f>
        <v>삭제</v>
      </c>
      <c r="B61" s="43"/>
      <c r="C61" s="294" t="e">
        <f ca="1">Calcu!AA148</f>
        <v>#N/A</v>
      </c>
      <c r="D61" s="392" t="e">
        <f ca="1">Calcu!AB148</f>
        <v>#N/A</v>
      </c>
      <c r="E61" s="393"/>
    </row>
    <row r="62" spans="1:5" ht="15" customHeight="1">
      <c r="A62" s="44" t="str">
        <f>IF(Calcu!B149=TRUE,"","삭제")</f>
        <v>삭제</v>
      </c>
      <c r="B62" s="43"/>
      <c r="C62" s="294" t="e">
        <f ca="1">Calcu!AA149</f>
        <v>#N/A</v>
      </c>
      <c r="D62" s="392" t="e">
        <f ca="1">Calcu!AB149</f>
        <v>#N/A</v>
      </c>
      <c r="E62" s="393"/>
    </row>
    <row r="63" spans="1:5" ht="15" customHeight="1">
      <c r="A63" s="44" t="str">
        <f>IF(Calcu!B150=TRUE,"","삭제")</f>
        <v>삭제</v>
      </c>
      <c r="B63" s="43"/>
      <c r="C63" s="294" t="e">
        <f ca="1">Calcu!AA150</f>
        <v>#N/A</v>
      </c>
      <c r="D63" s="392" t="e">
        <f ca="1">Calcu!AB150</f>
        <v>#N/A</v>
      </c>
      <c r="E63" s="393"/>
    </row>
    <row r="64" spans="1:5" ht="15" customHeight="1">
      <c r="A64" s="44" t="str">
        <f>IF(Calcu!B151=TRUE,"","삭제")</f>
        <v>삭제</v>
      </c>
      <c r="B64" s="43"/>
      <c r="C64" s="294" t="e">
        <f ca="1">Calcu!AA151</f>
        <v>#N/A</v>
      </c>
      <c r="D64" s="392" t="e">
        <f ca="1">Calcu!AB151</f>
        <v>#N/A</v>
      </c>
      <c r="E64" s="393"/>
    </row>
    <row r="65" spans="1:8" ht="15" customHeight="1">
      <c r="A65" s="296" t="str">
        <f>A40</f>
        <v>삭제</v>
      </c>
      <c r="C65" s="169"/>
      <c r="D65" s="169"/>
      <c r="E65" s="51"/>
    </row>
    <row r="66" spans="1:8" ht="15" customHeight="1">
      <c r="A66" s="296" t="str">
        <f>A65</f>
        <v>삭제</v>
      </c>
      <c r="C66" s="38" t="s">
        <v>467</v>
      </c>
      <c r="D66" s="328" t="e">
        <f ca="1">Calcu!T169</f>
        <v>#N/A</v>
      </c>
      <c r="E66" s="205" t="e">
        <f ca="1">Calcu!U169</f>
        <v>#N/A</v>
      </c>
    </row>
    <row r="67" spans="1:8" ht="15" customHeight="1">
      <c r="A67" s="296" t="str">
        <f>A66</f>
        <v>삭제</v>
      </c>
      <c r="D67" s="53" t="e">
        <f ca="1">IF(Calcu!E178="사다리꼴","(신뢰수준 95 %,","(신뢰수준 약 95 %,")</f>
        <v>#N/A</v>
      </c>
      <c r="E67" s="205" t="e">
        <f ca="1">Calcu!E179&amp;IF(Calcu!E178="사다리꼴",", 사다리꼴 확률분포)",")")</f>
        <v>#N/A</v>
      </c>
      <c r="G67" s="50"/>
    </row>
    <row r="68" spans="1:8" ht="15" customHeight="1">
      <c r="A68" s="296" t="str">
        <f>A67</f>
        <v>삭제</v>
      </c>
      <c r="C68" s="38" t="s">
        <v>620</v>
      </c>
      <c r="D68" s="328"/>
      <c r="E68" s="205"/>
    </row>
    <row r="69" spans="1:8" ht="15" customHeight="1">
      <c r="C69" s="73"/>
      <c r="D69" s="73"/>
      <c r="E69" s="73"/>
      <c r="F69" s="73"/>
      <c r="G69" s="73"/>
      <c r="H69" s="74"/>
    </row>
  </sheetData>
  <mergeCells count="49">
    <mergeCell ref="D25:E25"/>
    <mergeCell ref="D20:E20"/>
    <mergeCell ref="D21:E21"/>
    <mergeCell ref="D22:E22"/>
    <mergeCell ref="D23:E23"/>
    <mergeCell ref="D24:E24"/>
    <mergeCell ref="C43:C44"/>
    <mergeCell ref="D63:E63"/>
    <mergeCell ref="D64:E64"/>
    <mergeCell ref="A1:I2"/>
    <mergeCell ref="C14:C15"/>
    <mergeCell ref="C13:E13"/>
    <mergeCell ref="D14:E15"/>
    <mergeCell ref="F13:G13"/>
    <mergeCell ref="F14:F15"/>
    <mergeCell ref="G14:G15"/>
    <mergeCell ref="D16:E16"/>
    <mergeCell ref="D17:E17"/>
    <mergeCell ref="D18:E18"/>
    <mergeCell ref="D31:E31"/>
    <mergeCell ref="D32:E32"/>
    <mergeCell ref="D19:E19"/>
    <mergeCell ref="D26:E26"/>
    <mergeCell ref="D27:E27"/>
    <mergeCell ref="D28:E28"/>
    <mergeCell ref="D29:E29"/>
    <mergeCell ref="D30:E30"/>
    <mergeCell ref="D46:E46"/>
    <mergeCell ref="D47:E47"/>
    <mergeCell ref="D45:E45"/>
    <mergeCell ref="D43:E44"/>
    <mergeCell ref="D33:E33"/>
    <mergeCell ref="D34:E34"/>
    <mergeCell ref="D35:E35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70"/>
  <sheetViews>
    <sheetView showGridLines="0" showWhiteSpace="0" zoomScaleNormal="100" zoomScaleSheetLayoutView="100" workbookViewId="0">
      <selection sqref="A1:I2"/>
    </sheetView>
  </sheetViews>
  <sheetFormatPr defaultColWidth="10.77734375" defaultRowHeight="15" customHeight="1"/>
  <cols>
    <col min="1" max="2" width="6.77734375" style="37" customWidth="1"/>
    <col min="3" max="3" width="12.77734375" style="37" customWidth="1"/>
    <col min="4" max="4" width="9.77734375" style="37" customWidth="1"/>
    <col min="5" max="5" width="3.77734375" style="37" customWidth="1"/>
    <col min="6" max="7" width="12.77734375" style="37" customWidth="1"/>
    <col min="8" max="9" width="6.77734375" style="37" customWidth="1"/>
    <col min="10" max="16384" width="10.77734375" style="37"/>
  </cols>
  <sheetData>
    <row r="1" spans="1:9" s="78" customFormat="1" ht="33" customHeight="1">
      <c r="A1" s="411" t="s">
        <v>58</v>
      </c>
      <c r="B1" s="411"/>
      <c r="C1" s="411"/>
      <c r="D1" s="411"/>
      <c r="E1" s="411"/>
      <c r="F1" s="411"/>
      <c r="G1" s="411"/>
      <c r="H1" s="411"/>
      <c r="I1" s="411"/>
    </row>
    <row r="2" spans="1:9" s="78" customFormat="1" ht="33" customHeight="1">
      <c r="A2" s="411"/>
      <c r="B2" s="411"/>
      <c r="C2" s="411"/>
      <c r="D2" s="411"/>
      <c r="E2" s="411"/>
      <c r="F2" s="411"/>
      <c r="G2" s="411"/>
      <c r="H2" s="411"/>
      <c r="I2" s="411"/>
    </row>
    <row r="3" spans="1:9" s="47" customFormat="1" ht="12.75" customHeight="1">
      <c r="A3" s="48" t="s">
        <v>57</v>
      </c>
      <c r="B3" s="48"/>
      <c r="C3" s="22"/>
      <c r="D3" s="22"/>
      <c r="E3" s="22"/>
      <c r="F3" s="22"/>
      <c r="G3" s="22"/>
      <c r="H3" s="22"/>
      <c r="I3" s="22"/>
    </row>
    <row r="4" spans="1:9" s="49" customFormat="1" ht="13.5" customHeight="1">
      <c r="A4" s="77" t="str">
        <f>" 교   정   번   호(Calibration No) : "&amp;기본정보!H3</f>
        <v xml:space="preserve"> 교   정   번   호(Calibration No) : </v>
      </c>
      <c r="B4" s="88"/>
      <c r="C4" s="76"/>
      <c r="D4" s="253"/>
      <c r="E4" s="76"/>
      <c r="F4" s="76"/>
      <c r="G4" s="90"/>
      <c r="H4" s="90"/>
      <c r="I4" s="75"/>
    </row>
    <row r="5" spans="1:9" s="36" customFormat="1" ht="15" customHeight="1"/>
    <row r="6" spans="1:9" ht="15" customHeight="1">
      <c r="C6" s="54" t="str">
        <f>"○ Description : "&amp;기본정보!C$5</f>
        <v xml:space="preserve">○ Description : </v>
      </c>
      <c r="D6" s="54"/>
    </row>
    <row r="7" spans="1:9" ht="15" customHeight="1">
      <c r="C7" s="54" t="str">
        <f>"○ Manufacturer  : "&amp;기본정보!C$6</f>
        <v xml:space="preserve">○ Manufacturer  : </v>
      </c>
      <c r="D7" s="54"/>
    </row>
    <row r="8" spans="1:9" ht="15" customHeight="1">
      <c r="C8" s="54" t="str">
        <f>"○ Model Name : "&amp;기본정보!C$7</f>
        <v xml:space="preserve">○ Model Name : </v>
      </c>
      <c r="D8" s="54"/>
    </row>
    <row r="9" spans="1:9" ht="15" customHeight="1">
      <c r="C9" s="54" t="str">
        <f>"○ Serial Number : "&amp;기본정보!C$8</f>
        <v xml:space="preserve">○ Serial Number : </v>
      </c>
      <c r="D9" s="54"/>
    </row>
    <row r="10" spans="1:9" ht="15" customHeight="1">
      <c r="C10" s="54" t="str">
        <f ca="1">"○ Resolution : "&amp;Calcu!N4&amp;" mm"</f>
        <v>○ Resolution : 0 mm</v>
      </c>
      <c r="D10" s="54"/>
    </row>
    <row r="12" spans="1:9" ht="15" customHeight="1">
      <c r="A12" s="295" t="str">
        <f>IF(OR(Calcu!B10,Calcu!B71)=TRUE,"","삭제")</f>
        <v>삭제</v>
      </c>
      <c r="C12" s="38" t="s">
        <v>527</v>
      </c>
      <c r="D12" s="38"/>
      <c r="F12" s="38"/>
    </row>
    <row r="13" spans="1:9" ht="15" customHeight="1">
      <c r="A13" s="296" t="str">
        <f>A12</f>
        <v>삭제</v>
      </c>
      <c r="C13" s="392" t="s">
        <v>505</v>
      </c>
      <c r="D13" s="401"/>
      <c r="E13" s="398"/>
      <c r="F13" s="401" t="s">
        <v>506</v>
      </c>
      <c r="G13" s="393"/>
    </row>
    <row r="14" spans="1:9" ht="15" customHeight="1">
      <c r="A14" s="296" t="str">
        <f>A13</f>
        <v>삭제</v>
      </c>
      <c r="C14" s="408" t="s">
        <v>130</v>
      </c>
      <c r="D14" s="394" t="s">
        <v>151</v>
      </c>
      <c r="E14" s="402"/>
      <c r="F14" s="395" t="s">
        <v>130</v>
      </c>
      <c r="G14" s="395" t="s">
        <v>522</v>
      </c>
    </row>
    <row r="15" spans="1:9" ht="15" customHeight="1">
      <c r="A15" s="296" t="str">
        <f>A14</f>
        <v>삭제</v>
      </c>
      <c r="C15" s="412"/>
      <c r="D15" s="399"/>
      <c r="E15" s="403"/>
      <c r="F15" s="413"/>
      <c r="G15" s="410"/>
    </row>
    <row r="16" spans="1:9" ht="15" customHeight="1">
      <c r="A16" s="44" t="str">
        <f>IF(OR(Calcu!B10,Calcu!B71)=TRUE,"","삭제")</f>
        <v>삭제</v>
      </c>
      <c r="B16" s="43"/>
      <c r="C16" s="343" t="e">
        <f ca="1">Calcu!AA10</f>
        <v>#N/A</v>
      </c>
      <c r="D16" s="392" t="e">
        <f ca="1">Calcu!AB10</f>
        <v>#N/A</v>
      </c>
      <c r="E16" s="398"/>
      <c r="F16" s="341" t="e">
        <f ca="1">Calcu!AA71</f>
        <v>#N/A</v>
      </c>
      <c r="G16" s="298" t="e">
        <f ca="1">Calcu!AB71</f>
        <v>#N/A</v>
      </c>
    </row>
    <row r="17" spans="1:7" ht="15" customHeight="1">
      <c r="A17" s="44" t="str">
        <f>IF(OR(Calcu!B11,Calcu!B72)=TRUE,"","삭제")</f>
        <v>삭제</v>
      </c>
      <c r="B17" s="43"/>
      <c r="C17" s="343" t="e">
        <f ca="1">Calcu!AA11</f>
        <v>#N/A</v>
      </c>
      <c r="D17" s="392" t="e">
        <f ca="1">Calcu!AB11</f>
        <v>#N/A</v>
      </c>
      <c r="E17" s="398"/>
      <c r="F17" s="341" t="e">
        <f ca="1">Calcu!AA72</f>
        <v>#N/A</v>
      </c>
      <c r="G17" s="298" t="e">
        <f ca="1">Calcu!AB72</f>
        <v>#N/A</v>
      </c>
    </row>
    <row r="18" spans="1:7" ht="15" customHeight="1">
      <c r="A18" s="44" t="str">
        <f>IF(OR(Calcu!B12,Calcu!B73)=TRUE,"","삭제")</f>
        <v>삭제</v>
      </c>
      <c r="B18" s="43"/>
      <c r="C18" s="343" t="e">
        <f ca="1">Calcu!AA12</f>
        <v>#N/A</v>
      </c>
      <c r="D18" s="392" t="e">
        <f ca="1">Calcu!AB12</f>
        <v>#N/A</v>
      </c>
      <c r="E18" s="398"/>
      <c r="F18" s="341" t="e">
        <f ca="1">Calcu!AA73</f>
        <v>#N/A</v>
      </c>
      <c r="G18" s="298" t="e">
        <f ca="1">Calcu!AB73</f>
        <v>#N/A</v>
      </c>
    </row>
    <row r="19" spans="1:7" ht="15" customHeight="1">
      <c r="A19" s="44" t="str">
        <f>IF(OR(Calcu!B13,Calcu!B74)=TRUE,"","삭제")</f>
        <v>삭제</v>
      </c>
      <c r="B19" s="43"/>
      <c r="C19" s="343" t="e">
        <f ca="1">Calcu!AA13</f>
        <v>#N/A</v>
      </c>
      <c r="D19" s="392" t="e">
        <f ca="1">Calcu!AB13</f>
        <v>#N/A</v>
      </c>
      <c r="E19" s="398"/>
      <c r="F19" s="341" t="e">
        <f ca="1">Calcu!AA74</f>
        <v>#N/A</v>
      </c>
      <c r="G19" s="298" t="e">
        <f ca="1">Calcu!AB74</f>
        <v>#N/A</v>
      </c>
    </row>
    <row r="20" spans="1:7" ht="15" customHeight="1">
      <c r="A20" s="44" t="str">
        <f>IF(OR(Calcu!B14,Calcu!B75)=TRUE,"","삭제")</f>
        <v>삭제</v>
      </c>
      <c r="B20" s="43"/>
      <c r="C20" s="343" t="e">
        <f ca="1">Calcu!AA14</f>
        <v>#N/A</v>
      </c>
      <c r="D20" s="392" t="e">
        <f ca="1">Calcu!AB14</f>
        <v>#N/A</v>
      </c>
      <c r="E20" s="398"/>
      <c r="F20" s="341" t="e">
        <f ca="1">Calcu!AA75</f>
        <v>#N/A</v>
      </c>
      <c r="G20" s="298" t="e">
        <f ca="1">Calcu!AB75</f>
        <v>#N/A</v>
      </c>
    </row>
    <row r="21" spans="1:7" ht="15" customHeight="1">
      <c r="A21" s="44" t="str">
        <f>IF(OR(Calcu!B15,Calcu!B76)=TRUE,"","삭제")</f>
        <v>삭제</v>
      </c>
      <c r="B21" s="43"/>
      <c r="C21" s="343" t="e">
        <f ca="1">Calcu!AA15</f>
        <v>#N/A</v>
      </c>
      <c r="D21" s="392" t="e">
        <f ca="1">Calcu!AB15</f>
        <v>#N/A</v>
      </c>
      <c r="E21" s="398"/>
      <c r="F21" s="341" t="e">
        <f ca="1">Calcu!AA76</f>
        <v>#N/A</v>
      </c>
      <c r="G21" s="298" t="e">
        <f ca="1">Calcu!AB76</f>
        <v>#N/A</v>
      </c>
    </row>
    <row r="22" spans="1:7" ht="15" customHeight="1">
      <c r="A22" s="44" t="str">
        <f>IF(OR(Calcu!B16,Calcu!B77)=TRUE,"","삭제")</f>
        <v>삭제</v>
      </c>
      <c r="B22" s="43"/>
      <c r="C22" s="343" t="e">
        <f ca="1">Calcu!AA16</f>
        <v>#N/A</v>
      </c>
      <c r="D22" s="392" t="e">
        <f ca="1">Calcu!AB16</f>
        <v>#N/A</v>
      </c>
      <c r="E22" s="398"/>
      <c r="F22" s="341" t="e">
        <f ca="1">Calcu!AA77</f>
        <v>#N/A</v>
      </c>
      <c r="G22" s="298" t="e">
        <f ca="1">Calcu!AB77</f>
        <v>#N/A</v>
      </c>
    </row>
    <row r="23" spans="1:7" ht="15" customHeight="1">
      <c r="A23" s="44" t="str">
        <f>IF(OR(Calcu!B17,Calcu!B78)=TRUE,"","삭제")</f>
        <v>삭제</v>
      </c>
      <c r="B23" s="43"/>
      <c r="C23" s="343" t="e">
        <f ca="1">Calcu!AA17</f>
        <v>#N/A</v>
      </c>
      <c r="D23" s="392" t="e">
        <f ca="1">Calcu!AB17</f>
        <v>#N/A</v>
      </c>
      <c r="E23" s="398"/>
      <c r="F23" s="341" t="e">
        <f ca="1">Calcu!AA78</f>
        <v>#N/A</v>
      </c>
      <c r="G23" s="298" t="e">
        <f ca="1">Calcu!AB78</f>
        <v>#N/A</v>
      </c>
    </row>
    <row r="24" spans="1:7" ht="15" customHeight="1">
      <c r="A24" s="44" t="str">
        <f>IF(OR(Calcu!B18,Calcu!B79)=TRUE,"","삭제")</f>
        <v>삭제</v>
      </c>
      <c r="B24" s="43"/>
      <c r="C24" s="343" t="e">
        <f ca="1">Calcu!AA18</f>
        <v>#N/A</v>
      </c>
      <c r="D24" s="392" t="e">
        <f ca="1">Calcu!AB18</f>
        <v>#N/A</v>
      </c>
      <c r="E24" s="398"/>
      <c r="F24" s="341" t="e">
        <f ca="1">Calcu!AA79</f>
        <v>#N/A</v>
      </c>
      <c r="G24" s="298" t="e">
        <f ca="1">Calcu!AB79</f>
        <v>#N/A</v>
      </c>
    </row>
    <row r="25" spans="1:7" ht="15" customHeight="1">
      <c r="A25" s="44" t="str">
        <f>IF(OR(Calcu!B19,Calcu!B80)=TRUE,"","삭제")</f>
        <v>삭제</v>
      </c>
      <c r="B25" s="43"/>
      <c r="C25" s="343" t="e">
        <f ca="1">Calcu!AA19</f>
        <v>#N/A</v>
      </c>
      <c r="D25" s="392" t="e">
        <f ca="1">Calcu!AB19</f>
        <v>#N/A</v>
      </c>
      <c r="E25" s="398"/>
      <c r="F25" s="341" t="e">
        <f ca="1">Calcu!AA80</f>
        <v>#N/A</v>
      </c>
      <c r="G25" s="298" t="e">
        <f ca="1">Calcu!AB80</f>
        <v>#N/A</v>
      </c>
    </row>
    <row r="26" spans="1:7" ht="15" customHeight="1">
      <c r="A26" s="44" t="str">
        <f>IF(OR(Calcu!B20,Calcu!B81)=TRUE,"","삭제")</f>
        <v>삭제</v>
      </c>
      <c r="B26" s="43"/>
      <c r="C26" s="343" t="e">
        <f ca="1">Calcu!AA20</f>
        <v>#N/A</v>
      </c>
      <c r="D26" s="392" t="e">
        <f ca="1">Calcu!AB20</f>
        <v>#N/A</v>
      </c>
      <c r="E26" s="398"/>
      <c r="F26" s="341" t="e">
        <f ca="1">Calcu!AA81</f>
        <v>#N/A</v>
      </c>
      <c r="G26" s="298" t="e">
        <f ca="1">Calcu!AB81</f>
        <v>#N/A</v>
      </c>
    </row>
    <row r="27" spans="1:7" ht="15" customHeight="1">
      <c r="A27" s="44" t="str">
        <f>IF(OR(Calcu!B21,Calcu!B82)=TRUE,"","삭제")</f>
        <v>삭제</v>
      </c>
      <c r="B27" s="43"/>
      <c r="C27" s="343" t="e">
        <f ca="1">Calcu!AA21</f>
        <v>#N/A</v>
      </c>
      <c r="D27" s="392" t="e">
        <f ca="1">Calcu!AB21</f>
        <v>#N/A</v>
      </c>
      <c r="E27" s="398"/>
      <c r="F27" s="341" t="e">
        <f ca="1">Calcu!AA82</f>
        <v>#N/A</v>
      </c>
      <c r="G27" s="298" t="e">
        <f ca="1">Calcu!AB82</f>
        <v>#N/A</v>
      </c>
    </row>
    <row r="28" spans="1:7" ht="15" customHeight="1">
      <c r="A28" s="44" t="str">
        <f>IF(OR(Calcu!B22,Calcu!B83)=TRUE,"","삭제")</f>
        <v>삭제</v>
      </c>
      <c r="B28" s="43"/>
      <c r="C28" s="343" t="e">
        <f ca="1">Calcu!AA22</f>
        <v>#N/A</v>
      </c>
      <c r="D28" s="392" t="e">
        <f ca="1">Calcu!AB22</f>
        <v>#N/A</v>
      </c>
      <c r="E28" s="398"/>
      <c r="F28" s="341" t="e">
        <f ca="1">Calcu!AA83</f>
        <v>#N/A</v>
      </c>
      <c r="G28" s="298" t="e">
        <f ca="1">Calcu!AB83</f>
        <v>#N/A</v>
      </c>
    </row>
    <row r="29" spans="1:7" ht="15" customHeight="1">
      <c r="A29" s="44" t="str">
        <f>IF(OR(Calcu!B23,Calcu!B84)=TRUE,"","삭제")</f>
        <v>삭제</v>
      </c>
      <c r="B29" s="43"/>
      <c r="C29" s="343" t="e">
        <f ca="1">Calcu!AA23</f>
        <v>#N/A</v>
      </c>
      <c r="D29" s="392" t="e">
        <f ca="1">Calcu!AB23</f>
        <v>#N/A</v>
      </c>
      <c r="E29" s="398"/>
      <c r="F29" s="341" t="e">
        <f ca="1">Calcu!AA84</f>
        <v>#N/A</v>
      </c>
      <c r="G29" s="298" t="e">
        <f ca="1">Calcu!AB84</f>
        <v>#N/A</v>
      </c>
    </row>
    <row r="30" spans="1:7" ht="15" customHeight="1">
      <c r="A30" s="44" t="str">
        <f>IF(OR(Calcu!B24,Calcu!B85)=TRUE,"","삭제")</f>
        <v>삭제</v>
      </c>
      <c r="B30" s="43"/>
      <c r="C30" s="343" t="e">
        <f ca="1">Calcu!AA24</f>
        <v>#N/A</v>
      </c>
      <c r="D30" s="392" t="e">
        <f ca="1">Calcu!AB24</f>
        <v>#N/A</v>
      </c>
      <c r="E30" s="398"/>
      <c r="F30" s="341" t="e">
        <f ca="1">Calcu!AA85</f>
        <v>#N/A</v>
      </c>
      <c r="G30" s="298" t="e">
        <f ca="1">Calcu!AB85</f>
        <v>#N/A</v>
      </c>
    </row>
    <row r="31" spans="1:7" ht="15" customHeight="1">
      <c r="A31" s="44" t="str">
        <f>IF(OR(Calcu!B25,Calcu!B86)=TRUE,"","삭제")</f>
        <v>삭제</v>
      </c>
      <c r="B31" s="43"/>
      <c r="C31" s="343" t="e">
        <f ca="1">Calcu!AA25</f>
        <v>#N/A</v>
      </c>
      <c r="D31" s="392" t="e">
        <f ca="1">Calcu!AB25</f>
        <v>#N/A</v>
      </c>
      <c r="E31" s="398"/>
      <c r="F31" s="341" t="e">
        <f ca="1">Calcu!AA86</f>
        <v>#N/A</v>
      </c>
      <c r="G31" s="298" t="e">
        <f ca="1">Calcu!AB86</f>
        <v>#N/A</v>
      </c>
    </row>
    <row r="32" spans="1:7" ht="15" customHeight="1">
      <c r="A32" s="44" t="str">
        <f>IF(OR(Calcu!B26,Calcu!B87)=TRUE,"","삭제")</f>
        <v>삭제</v>
      </c>
      <c r="B32" s="43"/>
      <c r="C32" s="343" t="e">
        <f ca="1">Calcu!AA26</f>
        <v>#N/A</v>
      </c>
      <c r="D32" s="392" t="e">
        <f ca="1">Calcu!AB26</f>
        <v>#N/A</v>
      </c>
      <c r="E32" s="398"/>
      <c r="F32" s="341" t="e">
        <f ca="1">Calcu!AA87</f>
        <v>#N/A</v>
      </c>
      <c r="G32" s="298" t="e">
        <f ca="1">Calcu!AB87</f>
        <v>#N/A</v>
      </c>
    </row>
    <row r="33" spans="1:9" ht="15" customHeight="1">
      <c r="A33" s="44" t="str">
        <f>IF(OR(Calcu!B27,Calcu!B88)=TRUE,"","삭제")</f>
        <v>삭제</v>
      </c>
      <c r="B33" s="43"/>
      <c r="C33" s="343" t="e">
        <f ca="1">Calcu!AA27</f>
        <v>#N/A</v>
      </c>
      <c r="D33" s="392" t="e">
        <f ca="1">Calcu!AB27</f>
        <v>#N/A</v>
      </c>
      <c r="E33" s="398"/>
      <c r="F33" s="341" t="e">
        <f ca="1">Calcu!AA88</f>
        <v>#N/A</v>
      </c>
      <c r="G33" s="298" t="e">
        <f ca="1">Calcu!AB88</f>
        <v>#N/A</v>
      </c>
    </row>
    <row r="34" spans="1:9" ht="15" customHeight="1">
      <c r="A34" s="44" t="str">
        <f>IF(OR(Calcu!B28,Calcu!B89)=TRUE,"","삭제")</f>
        <v>삭제</v>
      </c>
      <c r="B34" s="43"/>
      <c r="C34" s="343" t="e">
        <f ca="1">Calcu!AA28</f>
        <v>#N/A</v>
      </c>
      <c r="D34" s="392" t="e">
        <f ca="1">Calcu!AB28</f>
        <v>#N/A</v>
      </c>
      <c r="E34" s="398"/>
      <c r="F34" s="341" t="e">
        <f ca="1">Calcu!AA89</f>
        <v>#N/A</v>
      </c>
      <c r="G34" s="298" t="e">
        <f ca="1">Calcu!AB89</f>
        <v>#N/A</v>
      </c>
    </row>
    <row r="35" spans="1:9" ht="15" customHeight="1">
      <c r="A35" s="44" t="str">
        <f>IF(OR(Calcu!B29,Calcu!B90)=TRUE,"","삭제")</f>
        <v>삭제</v>
      </c>
      <c r="B35" s="43"/>
      <c r="C35" s="343" t="e">
        <f ca="1">Calcu!AA29</f>
        <v>#N/A</v>
      </c>
      <c r="D35" s="392" t="e">
        <f ca="1">Calcu!AB29</f>
        <v>#N/A</v>
      </c>
      <c r="E35" s="398"/>
      <c r="F35" s="341" t="e">
        <f ca="1">Calcu!AA90</f>
        <v>#N/A</v>
      </c>
      <c r="G35" s="298" t="e">
        <f ca="1">Calcu!AB90</f>
        <v>#N/A</v>
      </c>
    </row>
    <row r="36" spans="1:9" ht="15" customHeight="1">
      <c r="A36" s="296" t="str">
        <f>A12</f>
        <v>삭제</v>
      </c>
      <c r="I36" s="50"/>
    </row>
    <row r="37" spans="1:9" ht="15" customHeight="1">
      <c r="A37" s="296" t="str">
        <f>A36</f>
        <v>삭제</v>
      </c>
      <c r="C37" s="38" t="s">
        <v>468</v>
      </c>
      <c r="E37" s="53" t="e">
        <f ca="1">Calcu!Y113</f>
        <v>#N/A</v>
      </c>
      <c r="F37" s="205" t="e">
        <f ca="1">Calcu!Z113</f>
        <v>#N/A</v>
      </c>
      <c r="I37" s="50"/>
    </row>
    <row r="38" spans="1:9" ht="15" customHeight="1">
      <c r="A38" s="296" t="str">
        <f>A37</f>
        <v>삭제</v>
      </c>
      <c r="E38" s="53" t="e">
        <f ca="1">IF(Calcu!W113="사다리꼴","(Confidence level 95 %,","(Confidence level about 95 %,")</f>
        <v>#N/A</v>
      </c>
      <c r="F38" s="205" t="e">
        <f ca="1">Calcu!X113&amp;")"</f>
        <v>#N/A</v>
      </c>
      <c r="H38" s="50"/>
      <c r="I38" s="50"/>
    </row>
    <row r="39" spans="1:9" ht="15" customHeight="1">
      <c r="A39" s="44" t="str">
        <f ca="1">IFERROR(IF(Calcu!E118="사다리꼴",A38,"삭제"),"삭제")</f>
        <v>삭제</v>
      </c>
      <c r="C39" s="50" t="e">
        <f ca="1">IF(Calcu!W113="사다리꼴","※ Trapezoid probability distribution.","")</f>
        <v>#N/A</v>
      </c>
      <c r="D39" s="50"/>
      <c r="H39" s="50"/>
      <c r="I39" s="50"/>
    </row>
    <row r="40" spans="1:9" ht="15" customHeight="1">
      <c r="A40" s="37" t="str">
        <f>A38</f>
        <v>삭제</v>
      </c>
      <c r="C40" s="38" t="s">
        <v>621</v>
      </c>
    </row>
    <row r="41" spans="1:9" ht="15" customHeight="1">
      <c r="A41" s="295" t="str">
        <f>IF(Calcu!B132=TRUE,"","삭제")</f>
        <v>삭제</v>
      </c>
    </row>
    <row r="42" spans="1:9" ht="15" customHeight="1">
      <c r="A42" s="295" t="str">
        <f>A41</f>
        <v>삭제</v>
      </c>
      <c r="C42" s="38" t="s">
        <v>528</v>
      </c>
      <c r="D42" s="38"/>
    </row>
    <row r="43" spans="1:9" ht="15" customHeight="1">
      <c r="A43" s="295" t="str">
        <f>A42</f>
        <v>삭제</v>
      </c>
      <c r="C43" s="408" t="s">
        <v>130</v>
      </c>
      <c r="D43" s="394" t="s">
        <v>151</v>
      </c>
      <c r="E43" s="395"/>
    </row>
    <row r="44" spans="1:9" ht="15" customHeight="1">
      <c r="A44" s="295" t="str">
        <f t="shared" ref="A44" si="0">A43</f>
        <v>삭제</v>
      </c>
      <c r="C44" s="409"/>
      <c r="D44" s="399"/>
      <c r="E44" s="410"/>
    </row>
    <row r="45" spans="1:9" ht="15" customHeight="1">
      <c r="A45" s="44" t="str">
        <f>IF(Calcu!B132=TRUE,"","삭제")</f>
        <v>삭제</v>
      </c>
      <c r="B45" s="43"/>
      <c r="C45" s="290" t="e">
        <f ca="1">Calcu!AA132</f>
        <v>#N/A</v>
      </c>
      <c r="D45" s="392" t="e">
        <f ca="1">Calcu!AB132</f>
        <v>#N/A</v>
      </c>
      <c r="E45" s="393"/>
    </row>
    <row r="46" spans="1:9" ht="15" customHeight="1">
      <c r="A46" s="44" t="str">
        <f>IF(Calcu!B133=TRUE,"","삭제")</f>
        <v>삭제</v>
      </c>
      <c r="B46" s="43"/>
      <c r="C46" s="290" t="e">
        <f ca="1">Calcu!AA133</f>
        <v>#N/A</v>
      </c>
      <c r="D46" s="392" t="e">
        <f ca="1">Calcu!AB133</f>
        <v>#N/A</v>
      </c>
      <c r="E46" s="393"/>
    </row>
    <row r="47" spans="1:9" ht="15" customHeight="1">
      <c r="A47" s="44" t="str">
        <f>IF(Calcu!B134=TRUE,"","삭제")</f>
        <v>삭제</v>
      </c>
      <c r="B47" s="43"/>
      <c r="C47" s="290" t="e">
        <f ca="1">Calcu!AA134</f>
        <v>#N/A</v>
      </c>
      <c r="D47" s="392" t="e">
        <f ca="1">Calcu!AB134</f>
        <v>#N/A</v>
      </c>
      <c r="E47" s="393"/>
    </row>
    <row r="48" spans="1:9" ht="15" customHeight="1">
      <c r="A48" s="44" t="str">
        <f>IF(Calcu!B135=TRUE,"","삭제")</f>
        <v>삭제</v>
      </c>
      <c r="B48" s="43"/>
      <c r="C48" s="290" t="e">
        <f ca="1">Calcu!AA135</f>
        <v>#N/A</v>
      </c>
      <c r="D48" s="392" t="e">
        <f ca="1">Calcu!AB135</f>
        <v>#N/A</v>
      </c>
      <c r="E48" s="393"/>
    </row>
    <row r="49" spans="1:5" ht="15" customHeight="1">
      <c r="A49" s="44" t="str">
        <f>IF(Calcu!B136=TRUE,"","삭제")</f>
        <v>삭제</v>
      </c>
      <c r="B49" s="43"/>
      <c r="C49" s="290" t="e">
        <f ca="1">Calcu!AA136</f>
        <v>#N/A</v>
      </c>
      <c r="D49" s="392" t="e">
        <f ca="1">Calcu!AB136</f>
        <v>#N/A</v>
      </c>
      <c r="E49" s="393"/>
    </row>
    <row r="50" spans="1:5" ht="15" customHeight="1">
      <c r="A50" s="44" t="str">
        <f>IF(Calcu!B137=TRUE,"","삭제")</f>
        <v>삭제</v>
      </c>
      <c r="B50" s="43"/>
      <c r="C50" s="290" t="e">
        <f ca="1">Calcu!AA137</f>
        <v>#N/A</v>
      </c>
      <c r="D50" s="392" t="e">
        <f ca="1">Calcu!AB137</f>
        <v>#N/A</v>
      </c>
      <c r="E50" s="393"/>
    </row>
    <row r="51" spans="1:5" ht="15" customHeight="1">
      <c r="A51" s="44" t="str">
        <f>IF(Calcu!B138=TRUE,"","삭제")</f>
        <v>삭제</v>
      </c>
      <c r="B51" s="43"/>
      <c r="C51" s="290" t="e">
        <f ca="1">Calcu!AA138</f>
        <v>#N/A</v>
      </c>
      <c r="D51" s="392" t="e">
        <f ca="1">Calcu!AB138</f>
        <v>#N/A</v>
      </c>
      <c r="E51" s="393"/>
    </row>
    <row r="52" spans="1:5" ht="15" customHeight="1">
      <c r="A52" s="44" t="str">
        <f>IF(Calcu!B139=TRUE,"","삭제")</f>
        <v>삭제</v>
      </c>
      <c r="B52" s="43"/>
      <c r="C52" s="290" t="e">
        <f ca="1">Calcu!AA139</f>
        <v>#N/A</v>
      </c>
      <c r="D52" s="392" t="e">
        <f ca="1">Calcu!AB139</f>
        <v>#N/A</v>
      </c>
      <c r="E52" s="393"/>
    </row>
    <row r="53" spans="1:5" ht="15" customHeight="1">
      <c r="A53" s="44" t="str">
        <f>IF(Calcu!B140=TRUE,"","삭제")</f>
        <v>삭제</v>
      </c>
      <c r="B53" s="43"/>
      <c r="C53" s="290" t="e">
        <f ca="1">Calcu!AA140</f>
        <v>#N/A</v>
      </c>
      <c r="D53" s="392" t="e">
        <f ca="1">Calcu!AB140</f>
        <v>#N/A</v>
      </c>
      <c r="E53" s="393"/>
    </row>
    <row r="54" spans="1:5" ht="15" customHeight="1">
      <c r="A54" s="44" t="str">
        <f>IF(Calcu!B141=TRUE,"","삭제")</f>
        <v>삭제</v>
      </c>
      <c r="B54" s="43"/>
      <c r="C54" s="290" t="e">
        <f ca="1">Calcu!AA141</f>
        <v>#N/A</v>
      </c>
      <c r="D54" s="392" t="e">
        <f ca="1">Calcu!AB141</f>
        <v>#N/A</v>
      </c>
      <c r="E54" s="393"/>
    </row>
    <row r="55" spans="1:5" ht="15" customHeight="1">
      <c r="A55" s="44" t="str">
        <f>IF(Calcu!B142=TRUE,"","삭제")</f>
        <v>삭제</v>
      </c>
      <c r="B55" s="43"/>
      <c r="C55" s="290" t="e">
        <f ca="1">Calcu!AA142</f>
        <v>#N/A</v>
      </c>
      <c r="D55" s="392" t="e">
        <f ca="1">Calcu!AB142</f>
        <v>#N/A</v>
      </c>
      <c r="E55" s="393"/>
    </row>
    <row r="56" spans="1:5" ht="15" customHeight="1">
      <c r="A56" s="44" t="str">
        <f>IF(Calcu!B143=TRUE,"","삭제")</f>
        <v>삭제</v>
      </c>
      <c r="B56" s="43"/>
      <c r="C56" s="290" t="e">
        <f ca="1">Calcu!AA143</f>
        <v>#N/A</v>
      </c>
      <c r="D56" s="392" t="e">
        <f ca="1">Calcu!AB143</f>
        <v>#N/A</v>
      </c>
      <c r="E56" s="393"/>
    </row>
    <row r="57" spans="1:5" ht="15" customHeight="1">
      <c r="A57" s="44" t="str">
        <f>IF(Calcu!B144=TRUE,"","삭제")</f>
        <v>삭제</v>
      </c>
      <c r="B57" s="43"/>
      <c r="C57" s="290" t="e">
        <f ca="1">Calcu!AA144</f>
        <v>#N/A</v>
      </c>
      <c r="D57" s="392" t="e">
        <f ca="1">Calcu!AB144</f>
        <v>#N/A</v>
      </c>
      <c r="E57" s="393"/>
    </row>
    <row r="58" spans="1:5" ht="15" customHeight="1">
      <c r="A58" s="44" t="str">
        <f>IF(Calcu!B145=TRUE,"","삭제")</f>
        <v>삭제</v>
      </c>
      <c r="B58" s="43"/>
      <c r="C58" s="290" t="e">
        <f ca="1">Calcu!AA145</f>
        <v>#N/A</v>
      </c>
      <c r="D58" s="392" t="e">
        <f ca="1">Calcu!AB145</f>
        <v>#N/A</v>
      </c>
      <c r="E58" s="393"/>
    </row>
    <row r="59" spans="1:5" ht="15" customHeight="1">
      <c r="A59" s="44" t="str">
        <f>IF(Calcu!B146=TRUE,"","삭제")</f>
        <v>삭제</v>
      </c>
      <c r="B59" s="43"/>
      <c r="C59" s="290" t="e">
        <f ca="1">Calcu!AA146</f>
        <v>#N/A</v>
      </c>
      <c r="D59" s="392" t="e">
        <f ca="1">Calcu!AB146</f>
        <v>#N/A</v>
      </c>
      <c r="E59" s="393"/>
    </row>
    <row r="60" spans="1:5" ht="15" customHeight="1">
      <c r="A60" s="44" t="str">
        <f>IF(Calcu!B147=TRUE,"","삭제")</f>
        <v>삭제</v>
      </c>
      <c r="B60" s="43"/>
      <c r="C60" s="290" t="e">
        <f ca="1">Calcu!AA147</f>
        <v>#N/A</v>
      </c>
      <c r="D60" s="392" t="e">
        <f ca="1">Calcu!AB147</f>
        <v>#N/A</v>
      </c>
      <c r="E60" s="393"/>
    </row>
    <row r="61" spans="1:5" ht="15" customHeight="1">
      <c r="A61" s="44" t="str">
        <f>IF(Calcu!B148=TRUE,"","삭제")</f>
        <v>삭제</v>
      </c>
      <c r="B61" s="43"/>
      <c r="C61" s="290" t="e">
        <f ca="1">Calcu!AA148</f>
        <v>#N/A</v>
      </c>
      <c r="D61" s="392" t="e">
        <f ca="1">Calcu!AB148</f>
        <v>#N/A</v>
      </c>
      <c r="E61" s="393"/>
    </row>
    <row r="62" spans="1:5" ht="15" customHeight="1">
      <c r="A62" s="44" t="str">
        <f>IF(Calcu!B149=TRUE,"","삭제")</f>
        <v>삭제</v>
      </c>
      <c r="B62" s="43"/>
      <c r="C62" s="290" t="e">
        <f ca="1">Calcu!AA149</f>
        <v>#N/A</v>
      </c>
      <c r="D62" s="392" t="e">
        <f ca="1">Calcu!AB149</f>
        <v>#N/A</v>
      </c>
      <c r="E62" s="393"/>
    </row>
    <row r="63" spans="1:5" ht="15" customHeight="1">
      <c r="A63" s="44" t="str">
        <f>IF(Calcu!B150=TRUE,"","삭제")</f>
        <v>삭제</v>
      </c>
      <c r="B63" s="43"/>
      <c r="C63" s="290" t="e">
        <f ca="1">Calcu!AA150</f>
        <v>#N/A</v>
      </c>
      <c r="D63" s="392" t="e">
        <f ca="1">Calcu!AB150</f>
        <v>#N/A</v>
      </c>
      <c r="E63" s="393"/>
    </row>
    <row r="64" spans="1:5" ht="15" customHeight="1">
      <c r="A64" s="44" t="str">
        <f>IF(Calcu!B151=TRUE,"","삭제")</f>
        <v>삭제</v>
      </c>
      <c r="B64" s="43"/>
      <c r="C64" s="290" t="e">
        <f ca="1">Calcu!AA151</f>
        <v>#N/A</v>
      </c>
      <c r="D64" s="392" t="e">
        <f ca="1">Calcu!AB151</f>
        <v>#N/A</v>
      </c>
      <c r="E64" s="393"/>
    </row>
    <row r="65" spans="1:9" ht="15" customHeight="1">
      <c r="A65" s="296" t="str">
        <f>A41</f>
        <v>삭제</v>
      </c>
      <c r="F65" s="38"/>
      <c r="I65" s="50"/>
    </row>
    <row r="66" spans="1:9" ht="15" customHeight="1">
      <c r="A66" s="296" t="str">
        <f>A42</f>
        <v>삭제</v>
      </c>
      <c r="C66" s="38" t="s">
        <v>468</v>
      </c>
      <c r="E66" s="53" t="e">
        <f ca="1">Calcu!T169</f>
        <v>#N/A</v>
      </c>
      <c r="F66" s="205" t="e">
        <f ca="1">Calcu!U169</f>
        <v>#N/A</v>
      </c>
      <c r="I66" s="50"/>
    </row>
    <row r="67" spans="1:9" ht="15" customHeight="1">
      <c r="A67" s="296" t="str">
        <f>A66</f>
        <v>삭제</v>
      </c>
      <c r="E67" s="53" t="e">
        <f ca="1">IF(Calcu!E178="사다리꼴","(Confidence level 95 %,","(Confidence level about 95 %,")</f>
        <v>#N/A</v>
      </c>
      <c r="F67" s="205" t="e">
        <f ca="1">Calcu!E179&amp;")"</f>
        <v>#N/A</v>
      </c>
      <c r="G67" s="53"/>
      <c r="H67" s="50"/>
      <c r="I67" s="50"/>
    </row>
    <row r="68" spans="1:9" ht="15" customHeight="1">
      <c r="A68" s="44" t="str">
        <f ca="1">IFERROR(IF(Calcu!E178="사다리꼴",A67,"삭제"),"삭제")</f>
        <v>삭제</v>
      </c>
      <c r="C68" s="50" t="e">
        <f ca="1">IF(Calcu!E178="사다리꼴","※ Trapezoid probability distribution.","")</f>
        <v>#N/A</v>
      </c>
      <c r="D68" s="50"/>
      <c r="G68" s="53"/>
      <c r="H68" s="50"/>
      <c r="I68" s="50"/>
    </row>
    <row r="69" spans="1:9" ht="15" customHeight="1">
      <c r="A69" s="37" t="str">
        <f>A67</f>
        <v>삭제</v>
      </c>
      <c r="C69" s="38" t="s">
        <v>621</v>
      </c>
    </row>
    <row r="70" spans="1:9" ht="15" customHeight="1">
      <c r="C70" s="73"/>
      <c r="D70" s="73"/>
      <c r="E70" s="73"/>
      <c r="F70" s="73"/>
      <c r="G70" s="73"/>
      <c r="H70" s="73"/>
    </row>
  </sheetData>
  <mergeCells count="49">
    <mergeCell ref="D27:E27"/>
    <mergeCell ref="D33:E33"/>
    <mergeCell ref="D34:E34"/>
    <mergeCell ref="D35:E35"/>
    <mergeCell ref="D28:E28"/>
    <mergeCell ref="D30:E30"/>
    <mergeCell ref="D31:E31"/>
    <mergeCell ref="D22:E22"/>
    <mergeCell ref="D23:E23"/>
    <mergeCell ref="D24:E24"/>
    <mergeCell ref="D25:E25"/>
    <mergeCell ref="D26:E26"/>
    <mergeCell ref="D64:E64"/>
    <mergeCell ref="A1:I2"/>
    <mergeCell ref="C14:C15"/>
    <mergeCell ref="D14:E15"/>
    <mergeCell ref="D16:E16"/>
    <mergeCell ref="D17:E17"/>
    <mergeCell ref="D32:E32"/>
    <mergeCell ref="C13:E13"/>
    <mergeCell ref="F13:G13"/>
    <mergeCell ref="D18:E18"/>
    <mergeCell ref="D19:E19"/>
    <mergeCell ref="D20:E20"/>
    <mergeCell ref="D21:E21"/>
    <mergeCell ref="D29:E29"/>
    <mergeCell ref="F14:F15"/>
    <mergeCell ref="G14:G15"/>
    <mergeCell ref="D60:E60"/>
    <mergeCell ref="D61:E61"/>
    <mergeCell ref="D62:E62"/>
    <mergeCell ref="D63:E63"/>
    <mergeCell ref="D59:E59"/>
    <mergeCell ref="D58:E58"/>
    <mergeCell ref="C43:C44"/>
    <mergeCell ref="D43:E44"/>
    <mergeCell ref="D45:E45"/>
    <mergeCell ref="D46:E46"/>
    <mergeCell ref="D47:E47"/>
    <mergeCell ref="D53:E53"/>
    <mergeCell ref="D54:E54"/>
    <mergeCell ref="D55:E55"/>
    <mergeCell ref="D56:E56"/>
    <mergeCell ref="D57:E57"/>
    <mergeCell ref="D48:E48"/>
    <mergeCell ref="D49:E49"/>
    <mergeCell ref="D50:E50"/>
    <mergeCell ref="D51:E51"/>
    <mergeCell ref="D52:E5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0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4" width="1.77734375" style="37" hidden="1" customWidth="1"/>
    <col min="5" max="5" width="8" style="37" bestFit="1" customWidth="1"/>
    <col min="6" max="6" width="9.21875" style="37" customWidth="1"/>
    <col min="7" max="7" width="4.44140625" style="37" bestFit="1" customWidth="1"/>
    <col min="8" max="8" width="7.33203125" style="37" bestFit="1" customWidth="1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5.21875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400" t="s">
        <v>34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</row>
    <row r="2" spans="1:17" s="47" customFormat="1" ht="33" customHeight="1">
      <c r="A2" s="400"/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</row>
    <row r="3" spans="1:17" s="47" customFormat="1" ht="12.75" customHeight="1">
      <c r="A3" s="48" t="s">
        <v>57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  <c r="M3" s="22"/>
    </row>
    <row r="4" spans="1:17" s="49" customFormat="1" ht="13.5" customHeight="1">
      <c r="A4" s="88" t="str">
        <f>" 교   정   번   호(Calibration No) : "&amp;기본정보!H3</f>
        <v xml:space="preserve"> 교   정   번   호(Calibration No) : </v>
      </c>
      <c r="B4" s="88"/>
      <c r="C4" s="88"/>
      <c r="D4" s="88"/>
      <c r="E4" s="88"/>
      <c r="F4" s="89"/>
      <c r="G4" s="253"/>
      <c r="H4" s="89"/>
      <c r="I4" s="89"/>
      <c r="J4" s="89"/>
      <c r="K4" s="98"/>
      <c r="L4" s="90"/>
      <c r="M4" s="97"/>
      <c r="N4" s="97"/>
      <c r="O4" s="97"/>
      <c r="P4" s="97"/>
      <c r="Q4" s="97"/>
    </row>
    <row r="5" spans="1:17" s="36" customFormat="1" ht="15" customHeight="1"/>
    <row r="6" spans="1:17" ht="15" customHeight="1">
      <c r="E6" s="54" t="str">
        <f>"○ 품명 : "&amp;기본정보!C$5</f>
        <v xml:space="preserve">○ 품명 : </v>
      </c>
      <c r="G6" s="54"/>
    </row>
    <row r="7" spans="1:17" ht="15" customHeight="1">
      <c r="E7" s="54" t="str">
        <f>"○ 제작회사 : "&amp;기본정보!C$6</f>
        <v xml:space="preserve">○ 제작회사 : </v>
      </c>
      <c r="G7" s="54"/>
    </row>
    <row r="8" spans="1:17" ht="15" customHeight="1">
      <c r="E8" s="54" t="str">
        <f>"○ 형식 : "&amp;기본정보!C$7</f>
        <v xml:space="preserve">○ 형식 : </v>
      </c>
      <c r="G8" s="54"/>
    </row>
    <row r="9" spans="1:17" ht="15" customHeight="1">
      <c r="E9" s="54" t="str">
        <f>"○ 기기번호 : "&amp;기본정보!C$8</f>
        <v xml:space="preserve">○ 기기번호 : </v>
      </c>
      <c r="G9" s="54"/>
    </row>
    <row r="10" spans="1:17" ht="15" customHeight="1">
      <c r="E10" s="54" t="str">
        <f ca="1">"○ 최소눈금 : "&amp;Calcu!N4&amp;" mm"</f>
        <v>○ 최소눈금 : 0 mm</v>
      </c>
      <c r="G10" s="54"/>
    </row>
    <row r="12" spans="1:17" ht="15" customHeight="1">
      <c r="E12" s="38" t="s">
        <v>83</v>
      </c>
      <c r="G12" s="38"/>
    </row>
    <row r="13" spans="1:17" s="260" customFormat="1" ht="15" customHeight="1">
      <c r="B13" s="418"/>
      <c r="C13" s="420"/>
      <c r="D13" s="420"/>
      <c r="E13" s="422" t="s">
        <v>507</v>
      </c>
      <c r="F13" s="424" t="s">
        <v>485</v>
      </c>
      <c r="G13" s="426" t="s">
        <v>477</v>
      </c>
      <c r="H13" s="428" t="s">
        <v>478</v>
      </c>
      <c r="I13" s="430"/>
      <c r="J13" s="431" t="s">
        <v>479</v>
      </c>
      <c r="K13" s="431"/>
      <c r="L13" s="431"/>
      <c r="M13" s="432" t="s">
        <v>480</v>
      </c>
      <c r="N13" s="432"/>
      <c r="O13" s="432"/>
      <c r="P13" s="414"/>
      <c r="Q13" s="416" t="s">
        <v>482</v>
      </c>
    </row>
    <row r="14" spans="1:17" s="259" customFormat="1" ht="22.5">
      <c r="B14" s="419"/>
      <c r="C14" s="421"/>
      <c r="D14" s="421"/>
      <c r="E14" s="423"/>
      <c r="F14" s="425"/>
      <c r="G14" s="427"/>
      <c r="H14" s="429"/>
      <c r="I14" s="421"/>
      <c r="J14" s="261" t="s">
        <v>487</v>
      </c>
      <c r="K14" s="263" t="s">
        <v>488</v>
      </c>
      <c r="L14" s="263" t="s">
        <v>489</v>
      </c>
      <c r="M14" s="261" t="s">
        <v>487</v>
      </c>
      <c r="N14" s="263" t="s">
        <v>488</v>
      </c>
      <c r="O14" s="263" t="s">
        <v>489</v>
      </c>
      <c r="P14" s="415"/>
      <c r="Q14" s="417"/>
    </row>
    <row r="15" spans="1:17" ht="15" customHeight="1">
      <c r="A15" s="44" t="str">
        <f>IF(Calcu!B10=TRUE,"","삭제")</f>
        <v>삭제</v>
      </c>
      <c r="B15" s="43"/>
      <c r="C15" s="43"/>
      <c r="D15" s="43"/>
      <c r="E15" s="37" t="s">
        <v>508</v>
      </c>
      <c r="F15" s="51" t="e">
        <f ca="1">Calcu!AA10</f>
        <v>#N/A</v>
      </c>
      <c r="G15" s="51" t="s">
        <v>184</v>
      </c>
      <c r="H15" s="51" t="e">
        <f ca="1">Calcu!AD10</f>
        <v>#VALUE!</v>
      </c>
      <c r="J15" s="37" t="e">
        <f ca="1">Calcu!AC10</f>
        <v>#N/A</v>
      </c>
      <c r="K15" s="37" t="e">
        <f ca="1">Calcu!AB10</f>
        <v>#N/A</v>
      </c>
      <c r="L15" s="37" t="str">
        <f>LEFT(Calcu!AE10,1)</f>
        <v/>
      </c>
      <c r="M15" s="37" t="s">
        <v>481</v>
      </c>
      <c r="N15" s="37" t="s">
        <v>483</v>
      </c>
      <c r="O15" s="37" t="s">
        <v>484</v>
      </c>
      <c r="Q15" s="37" t="e">
        <f ca="1">Calcu!AF10</f>
        <v>#N/A</v>
      </c>
    </row>
    <row r="16" spans="1:17" ht="15" customHeight="1">
      <c r="A16" s="44" t="str">
        <f>IF(Calcu!B11=TRUE,"","삭제")</f>
        <v>삭제</v>
      </c>
      <c r="B16" s="43"/>
      <c r="C16" s="43"/>
      <c r="D16" s="43"/>
      <c r="E16" s="37" t="s">
        <v>508</v>
      </c>
      <c r="F16" s="51" t="e">
        <f ca="1">Calcu!AA11</f>
        <v>#N/A</v>
      </c>
      <c r="G16" s="51" t="s">
        <v>184</v>
      </c>
      <c r="H16" s="51" t="e">
        <f ca="1">Calcu!AD11</f>
        <v>#VALUE!</v>
      </c>
      <c r="J16" s="37" t="e">
        <f ca="1">Calcu!AC11</f>
        <v>#N/A</v>
      </c>
      <c r="K16" s="37" t="e">
        <f ca="1">Calcu!AB11</f>
        <v>#N/A</v>
      </c>
      <c r="L16" s="37" t="str">
        <f>LEFT(Calcu!AE11,1)</f>
        <v/>
      </c>
      <c r="M16" s="37" t="s">
        <v>481</v>
      </c>
      <c r="N16" s="37" t="s">
        <v>483</v>
      </c>
      <c r="O16" s="37" t="s">
        <v>484</v>
      </c>
      <c r="Q16" s="37" t="e">
        <f ca="1">Calcu!AF11</f>
        <v>#N/A</v>
      </c>
    </row>
    <row r="17" spans="1:17" ht="15" customHeight="1">
      <c r="A17" s="44" t="str">
        <f>IF(Calcu!B12=TRUE,"","삭제")</f>
        <v>삭제</v>
      </c>
      <c r="B17" s="43"/>
      <c r="C17" s="43"/>
      <c r="D17" s="43"/>
      <c r="E17" s="37" t="s">
        <v>508</v>
      </c>
      <c r="F17" s="51" t="e">
        <f ca="1">Calcu!AA12</f>
        <v>#N/A</v>
      </c>
      <c r="G17" s="51" t="s">
        <v>184</v>
      </c>
      <c r="H17" s="51" t="e">
        <f ca="1">Calcu!AD12</f>
        <v>#VALUE!</v>
      </c>
      <c r="J17" s="37" t="e">
        <f ca="1">Calcu!AC12</f>
        <v>#N/A</v>
      </c>
      <c r="K17" s="37" t="e">
        <f ca="1">Calcu!AB12</f>
        <v>#N/A</v>
      </c>
      <c r="L17" s="37" t="str">
        <f>LEFT(Calcu!AE12,1)</f>
        <v/>
      </c>
      <c r="M17" s="37" t="s">
        <v>481</v>
      </c>
      <c r="N17" s="37" t="s">
        <v>483</v>
      </c>
      <c r="O17" s="37" t="s">
        <v>484</v>
      </c>
      <c r="Q17" s="37" t="e">
        <f ca="1">Calcu!AF12</f>
        <v>#N/A</v>
      </c>
    </row>
    <row r="18" spans="1:17" ht="15" customHeight="1">
      <c r="A18" s="44" t="str">
        <f>IF(Calcu!B13=TRUE,"","삭제")</f>
        <v>삭제</v>
      </c>
      <c r="B18" s="43"/>
      <c r="C18" s="43"/>
      <c r="D18" s="43"/>
      <c r="E18" s="37" t="s">
        <v>508</v>
      </c>
      <c r="F18" s="51" t="e">
        <f ca="1">Calcu!AA13</f>
        <v>#N/A</v>
      </c>
      <c r="G18" s="51" t="s">
        <v>184</v>
      </c>
      <c r="H18" s="51" t="e">
        <f ca="1">Calcu!AD13</f>
        <v>#VALUE!</v>
      </c>
      <c r="J18" s="37" t="e">
        <f ca="1">Calcu!AC13</f>
        <v>#N/A</v>
      </c>
      <c r="K18" s="37" t="e">
        <f ca="1">Calcu!AB13</f>
        <v>#N/A</v>
      </c>
      <c r="L18" s="37" t="str">
        <f>LEFT(Calcu!AE13,1)</f>
        <v/>
      </c>
      <c r="M18" s="37" t="s">
        <v>481</v>
      </c>
      <c r="N18" s="37" t="s">
        <v>483</v>
      </c>
      <c r="O18" s="37" t="s">
        <v>484</v>
      </c>
      <c r="Q18" s="37" t="e">
        <f ca="1">Calcu!AF13</f>
        <v>#N/A</v>
      </c>
    </row>
    <row r="19" spans="1:17" ht="15" customHeight="1">
      <c r="A19" s="44" t="str">
        <f>IF(Calcu!B14=TRUE,"","삭제")</f>
        <v>삭제</v>
      </c>
      <c r="B19" s="43"/>
      <c r="C19" s="43"/>
      <c r="D19" s="43"/>
      <c r="E19" s="37" t="s">
        <v>508</v>
      </c>
      <c r="F19" s="51" t="e">
        <f ca="1">Calcu!AA14</f>
        <v>#N/A</v>
      </c>
      <c r="G19" s="51" t="s">
        <v>184</v>
      </c>
      <c r="H19" s="51" t="e">
        <f ca="1">Calcu!AD14</f>
        <v>#VALUE!</v>
      </c>
      <c r="J19" s="37" t="e">
        <f ca="1">Calcu!AC14</f>
        <v>#N/A</v>
      </c>
      <c r="K19" s="37" t="e">
        <f ca="1">Calcu!AB14</f>
        <v>#N/A</v>
      </c>
      <c r="L19" s="37" t="str">
        <f>LEFT(Calcu!AE14,1)</f>
        <v/>
      </c>
      <c r="M19" s="37" t="s">
        <v>481</v>
      </c>
      <c r="N19" s="37" t="s">
        <v>483</v>
      </c>
      <c r="O19" s="37" t="s">
        <v>484</v>
      </c>
      <c r="Q19" s="37" t="e">
        <f ca="1">Calcu!AF14</f>
        <v>#N/A</v>
      </c>
    </row>
    <row r="20" spans="1:17" ht="15" customHeight="1">
      <c r="A20" s="44" t="str">
        <f>IF(Calcu!B15=TRUE,"","삭제")</f>
        <v>삭제</v>
      </c>
      <c r="B20" s="43"/>
      <c r="C20" s="43"/>
      <c r="D20" s="43"/>
      <c r="E20" s="37" t="s">
        <v>508</v>
      </c>
      <c r="F20" s="51" t="e">
        <f ca="1">Calcu!AA15</f>
        <v>#N/A</v>
      </c>
      <c r="G20" s="51" t="s">
        <v>184</v>
      </c>
      <c r="H20" s="51" t="e">
        <f ca="1">Calcu!AD15</f>
        <v>#VALUE!</v>
      </c>
      <c r="J20" s="37" t="e">
        <f ca="1">Calcu!AC15</f>
        <v>#N/A</v>
      </c>
      <c r="K20" s="37" t="e">
        <f ca="1">Calcu!AB15</f>
        <v>#N/A</v>
      </c>
      <c r="L20" s="37" t="str">
        <f>LEFT(Calcu!AE15,1)</f>
        <v/>
      </c>
      <c r="M20" s="37" t="s">
        <v>481</v>
      </c>
      <c r="N20" s="37" t="s">
        <v>483</v>
      </c>
      <c r="O20" s="37" t="s">
        <v>484</v>
      </c>
      <c r="Q20" s="37" t="e">
        <f ca="1">Calcu!AF15</f>
        <v>#N/A</v>
      </c>
    </row>
    <row r="21" spans="1:17" ht="15" customHeight="1">
      <c r="A21" s="44" t="str">
        <f>IF(Calcu!B16=TRUE,"","삭제")</f>
        <v>삭제</v>
      </c>
      <c r="B21" s="43"/>
      <c r="C21" s="43"/>
      <c r="D21" s="43"/>
      <c r="E21" s="37" t="s">
        <v>508</v>
      </c>
      <c r="F21" s="51" t="e">
        <f ca="1">Calcu!AA16</f>
        <v>#N/A</v>
      </c>
      <c r="G21" s="51" t="s">
        <v>184</v>
      </c>
      <c r="H21" s="51" t="e">
        <f ca="1">Calcu!AD16</f>
        <v>#VALUE!</v>
      </c>
      <c r="J21" s="37" t="e">
        <f ca="1">Calcu!AC16</f>
        <v>#N/A</v>
      </c>
      <c r="K21" s="37" t="e">
        <f ca="1">Calcu!AB16</f>
        <v>#N/A</v>
      </c>
      <c r="L21" s="37" t="str">
        <f>LEFT(Calcu!AE16,1)</f>
        <v/>
      </c>
      <c r="M21" s="37" t="s">
        <v>481</v>
      </c>
      <c r="N21" s="37" t="s">
        <v>483</v>
      </c>
      <c r="O21" s="37" t="s">
        <v>484</v>
      </c>
      <c r="Q21" s="37" t="e">
        <f ca="1">Calcu!AF16</f>
        <v>#N/A</v>
      </c>
    </row>
    <row r="22" spans="1:17" ht="15" customHeight="1">
      <c r="A22" s="44" t="str">
        <f>IF(Calcu!B17=TRUE,"","삭제")</f>
        <v>삭제</v>
      </c>
      <c r="B22" s="43"/>
      <c r="C22" s="43"/>
      <c r="D22" s="43"/>
      <c r="E22" s="37" t="s">
        <v>508</v>
      </c>
      <c r="F22" s="51" t="e">
        <f ca="1">Calcu!AA17</f>
        <v>#N/A</v>
      </c>
      <c r="G22" s="51" t="s">
        <v>184</v>
      </c>
      <c r="H22" s="51" t="e">
        <f ca="1">Calcu!AD17</f>
        <v>#VALUE!</v>
      </c>
      <c r="J22" s="37" t="e">
        <f ca="1">Calcu!AC17</f>
        <v>#N/A</v>
      </c>
      <c r="K22" s="37" t="e">
        <f ca="1">Calcu!AB17</f>
        <v>#N/A</v>
      </c>
      <c r="L22" s="37" t="str">
        <f>LEFT(Calcu!AE17,1)</f>
        <v/>
      </c>
      <c r="M22" s="37" t="s">
        <v>481</v>
      </c>
      <c r="N22" s="37" t="s">
        <v>483</v>
      </c>
      <c r="O22" s="37" t="s">
        <v>484</v>
      </c>
      <c r="Q22" s="37" t="e">
        <f ca="1">Calcu!AF17</f>
        <v>#N/A</v>
      </c>
    </row>
    <row r="23" spans="1:17" ht="15" customHeight="1">
      <c r="A23" s="44" t="str">
        <f>IF(Calcu!B18=TRUE,"","삭제")</f>
        <v>삭제</v>
      </c>
      <c r="B23" s="43"/>
      <c r="C23" s="43"/>
      <c r="D23" s="43"/>
      <c r="E23" s="37" t="s">
        <v>508</v>
      </c>
      <c r="F23" s="51" t="e">
        <f ca="1">Calcu!AA18</f>
        <v>#N/A</v>
      </c>
      <c r="G23" s="51" t="s">
        <v>184</v>
      </c>
      <c r="H23" s="51" t="e">
        <f ca="1">Calcu!AD18</f>
        <v>#VALUE!</v>
      </c>
      <c r="J23" s="37" t="e">
        <f ca="1">Calcu!AC18</f>
        <v>#N/A</v>
      </c>
      <c r="K23" s="37" t="e">
        <f ca="1">Calcu!AB18</f>
        <v>#N/A</v>
      </c>
      <c r="L23" s="37" t="str">
        <f>LEFT(Calcu!AE18,1)</f>
        <v/>
      </c>
      <c r="M23" s="37" t="s">
        <v>481</v>
      </c>
      <c r="N23" s="37" t="s">
        <v>483</v>
      </c>
      <c r="O23" s="37" t="s">
        <v>484</v>
      </c>
      <c r="Q23" s="37" t="e">
        <f ca="1">Calcu!AF18</f>
        <v>#N/A</v>
      </c>
    </row>
    <row r="24" spans="1:17" ht="15" customHeight="1">
      <c r="A24" s="44" t="str">
        <f>IF(Calcu!B19=TRUE,"","삭제")</f>
        <v>삭제</v>
      </c>
      <c r="B24" s="43"/>
      <c r="C24" s="43"/>
      <c r="D24" s="43"/>
      <c r="E24" s="37" t="s">
        <v>508</v>
      </c>
      <c r="F24" s="51" t="e">
        <f ca="1">Calcu!AA19</f>
        <v>#N/A</v>
      </c>
      <c r="G24" s="51" t="s">
        <v>184</v>
      </c>
      <c r="H24" s="51" t="e">
        <f ca="1">Calcu!AD19</f>
        <v>#VALUE!</v>
      </c>
      <c r="J24" s="37" t="e">
        <f ca="1">Calcu!AC19</f>
        <v>#N/A</v>
      </c>
      <c r="K24" s="37" t="e">
        <f ca="1">Calcu!AB19</f>
        <v>#N/A</v>
      </c>
      <c r="L24" s="37" t="str">
        <f>LEFT(Calcu!AE19,1)</f>
        <v/>
      </c>
      <c r="M24" s="37" t="s">
        <v>481</v>
      </c>
      <c r="N24" s="37" t="s">
        <v>483</v>
      </c>
      <c r="O24" s="37" t="s">
        <v>484</v>
      </c>
      <c r="Q24" s="37" t="e">
        <f ca="1">Calcu!AF19</f>
        <v>#N/A</v>
      </c>
    </row>
    <row r="25" spans="1:17" ht="15" customHeight="1">
      <c r="A25" s="44" t="str">
        <f>IF(Calcu!B20=TRUE,"","삭제")</f>
        <v>삭제</v>
      </c>
      <c r="B25" s="43"/>
      <c r="C25" s="43"/>
      <c r="D25" s="43"/>
      <c r="E25" s="37" t="s">
        <v>508</v>
      </c>
      <c r="F25" s="51" t="e">
        <f ca="1">Calcu!AA20</f>
        <v>#N/A</v>
      </c>
      <c r="G25" s="51" t="s">
        <v>184</v>
      </c>
      <c r="H25" s="51" t="e">
        <f ca="1">Calcu!AD20</f>
        <v>#VALUE!</v>
      </c>
      <c r="J25" s="37" t="e">
        <f ca="1">Calcu!AC20</f>
        <v>#N/A</v>
      </c>
      <c r="K25" s="37" t="e">
        <f ca="1">Calcu!AB20</f>
        <v>#N/A</v>
      </c>
      <c r="L25" s="37" t="str">
        <f>LEFT(Calcu!AE20,1)</f>
        <v/>
      </c>
      <c r="M25" s="37" t="s">
        <v>481</v>
      </c>
      <c r="N25" s="37" t="s">
        <v>483</v>
      </c>
      <c r="O25" s="37" t="s">
        <v>484</v>
      </c>
      <c r="Q25" s="37" t="e">
        <f ca="1">Calcu!AF20</f>
        <v>#N/A</v>
      </c>
    </row>
    <row r="26" spans="1:17" ht="15" customHeight="1">
      <c r="A26" s="44" t="str">
        <f>IF(Calcu!B21=TRUE,"","삭제")</f>
        <v>삭제</v>
      </c>
      <c r="B26" s="43"/>
      <c r="C26" s="43"/>
      <c r="D26" s="43"/>
      <c r="E26" s="37" t="s">
        <v>508</v>
      </c>
      <c r="F26" s="51" t="e">
        <f ca="1">Calcu!AA21</f>
        <v>#N/A</v>
      </c>
      <c r="G26" s="51" t="s">
        <v>184</v>
      </c>
      <c r="H26" s="51" t="e">
        <f ca="1">Calcu!AD21</f>
        <v>#VALUE!</v>
      </c>
      <c r="J26" s="37" t="e">
        <f ca="1">Calcu!AC21</f>
        <v>#N/A</v>
      </c>
      <c r="K26" s="37" t="e">
        <f ca="1">Calcu!AB21</f>
        <v>#N/A</v>
      </c>
      <c r="L26" s="37" t="str">
        <f>LEFT(Calcu!AE21,1)</f>
        <v/>
      </c>
      <c r="M26" s="37" t="s">
        <v>481</v>
      </c>
      <c r="N26" s="37" t="s">
        <v>483</v>
      </c>
      <c r="O26" s="37" t="s">
        <v>484</v>
      </c>
      <c r="Q26" s="37" t="e">
        <f ca="1">Calcu!AF21</f>
        <v>#N/A</v>
      </c>
    </row>
    <row r="27" spans="1:17" ht="15" customHeight="1">
      <c r="A27" s="44" t="str">
        <f>IF(Calcu!B22=TRUE,"","삭제")</f>
        <v>삭제</v>
      </c>
      <c r="B27" s="43"/>
      <c r="C27" s="43"/>
      <c r="D27" s="43"/>
      <c r="E27" s="37" t="s">
        <v>508</v>
      </c>
      <c r="F27" s="51" t="e">
        <f ca="1">Calcu!AA22</f>
        <v>#N/A</v>
      </c>
      <c r="G27" s="51" t="s">
        <v>184</v>
      </c>
      <c r="H27" s="51" t="e">
        <f ca="1">Calcu!AD22</f>
        <v>#VALUE!</v>
      </c>
      <c r="J27" s="37" t="e">
        <f ca="1">Calcu!AC22</f>
        <v>#N/A</v>
      </c>
      <c r="K27" s="37" t="e">
        <f ca="1">Calcu!AB22</f>
        <v>#N/A</v>
      </c>
      <c r="L27" s="37" t="str">
        <f>LEFT(Calcu!AE22,1)</f>
        <v/>
      </c>
      <c r="M27" s="37" t="s">
        <v>481</v>
      </c>
      <c r="N27" s="37" t="s">
        <v>483</v>
      </c>
      <c r="O27" s="37" t="s">
        <v>484</v>
      </c>
      <c r="Q27" s="37" t="e">
        <f ca="1">Calcu!AF22</f>
        <v>#N/A</v>
      </c>
    </row>
    <row r="28" spans="1:17" ht="15" customHeight="1">
      <c r="A28" s="44" t="str">
        <f>IF(Calcu!B23=TRUE,"","삭제")</f>
        <v>삭제</v>
      </c>
      <c r="B28" s="43"/>
      <c r="C28" s="43"/>
      <c r="D28" s="43"/>
      <c r="E28" s="37" t="s">
        <v>508</v>
      </c>
      <c r="F28" s="51" t="e">
        <f ca="1">Calcu!AA23</f>
        <v>#N/A</v>
      </c>
      <c r="G28" s="51" t="s">
        <v>184</v>
      </c>
      <c r="H28" s="51" t="e">
        <f ca="1">Calcu!AD23</f>
        <v>#VALUE!</v>
      </c>
      <c r="J28" s="37" t="e">
        <f ca="1">Calcu!AC23</f>
        <v>#N/A</v>
      </c>
      <c r="K28" s="37" t="e">
        <f ca="1">Calcu!AB23</f>
        <v>#N/A</v>
      </c>
      <c r="L28" s="37" t="str">
        <f>LEFT(Calcu!AE23,1)</f>
        <v/>
      </c>
      <c r="M28" s="37" t="s">
        <v>481</v>
      </c>
      <c r="N28" s="37" t="s">
        <v>483</v>
      </c>
      <c r="O28" s="37" t="s">
        <v>484</v>
      </c>
      <c r="Q28" s="37" t="e">
        <f ca="1">Calcu!AF23</f>
        <v>#N/A</v>
      </c>
    </row>
    <row r="29" spans="1:17" ht="15" customHeight="1">
      <c r="A29" s="44" t="str">
        <f>IF(Calcu!B24=TRUE,"","삭제")</f>
        <v>삭제</v>
      </c>
      <c r="B29" s="43"/>
      <c r="C29" s="43"/>
      <c r="D29" s="43"/>
      <c r="E29" s="37" t="s">
        <v>508</v>
      </c>
      <c r="F29" s="51" t="e">
        <f ca="1">Calcu!AA24</f>
        <v>#N/A</v>
      </c>
      <c r="G29" s="51" t="s">
        <v>184</v>
      </c>
      <c r="H29" s="51" t="e">
        <f ca="1">Calcu!AD24</f>
        <v>#VALUE!</v>
      </c>
      <c r="J29" s="37" t="e">
        <f ca="1">Calcu!AC24</f>
        <v>#N/A</v>
      </c>
      <c r="K29" s="37" t="e">
        <f ca="1">Calcu!AB24</f>
        <v>#N/A</v>
      </c>
      <c r="L29" s="37" t="str">
        <f>LEFT(Calcu!AE24,1)</f>
        <v/>
      </c>
      <c r="M29" s="37" t="s">
        <v>481</v>
      </c>
      <c r="N29" s="37" t="s">
        <v>483</v>
      </c>
      <c r="O29" s="37" t="s">
        <v>484</v>
      </c>
      <c r="Q29" s="37" t="e">
        <f ca="1">Calcu!AF24</f>
        <v>#N/A</v>
      </c>
    </row>
    <row r="30" spans="1:17" ht="15" customHeight="1">
      <c r="A30" s="44" t="str">
        <f>IF(Calcu!B25=TRUE,"","삭제")</f>
        <v>삭제</v>
      </c>
      <c r="B30" s="43"/>
      <c r="C30" s="43"/>
      <c r="D30" s="43"/>
      <c r="E30" s="37" t="s">
        <v>508</v>
      </c>
      <c r="F30" s="51" t="e">
        <f ca="1">Calcu!AA25</f>
        <v>#N/A</v>
      </c>
      <c r="G30" s="51" t="s">
        <v>184</v>
      </c>
      <c r="H30" s="51" t="e">
        <f ca="1">Calcu!AD25</f>
        <v>#VALUE!</v>
      </c>
      <c r="J30" s="37" t="e">
        <f ca="1">Calcu!AC25</f>
        <v>#N/A</v>
      </c>
      <c r="K30" s="37" t="e">
        <f ca="1">Calcu!AB25</f>
        <v>#N/A</v>
      </c>
      <c r="L30" s="37" t="str">
        <f>LEFT(Calcu!AE25,1)</f>
        <v/>
      </c>
      <c r="M30" s="37" t="s">
        <v>481</v>
      </c>
      <c r="N30" s="37" t="s">
        <v>483</v>
      </c>
      <c r="O30" s="37" t="s">
        <v>484</v>
      </c>
      <c r="Q30" s="37" t="e">
        <f ca="1">Calcu!AF25</f>
        <v>#N/A</v>
      </c>
    </row>
    <row r="31" spans="1:17" ht="15" customHeight="1">
      <c r="A31" s="44" t="str">
        <f>IF(Calcu!B26=TRUE,"","삭제")</f>
        <v>삭제</v>
      </c>
      <c r="B31" s="43"/>
      <c r="C31" s="43"/>
      <c r="D31" s="43"/>
      <c r="E31" s="37" t="s">
        <v>508</v>
      </c>
      <c r="F31" s="51" t="e">
        <f ca="1">Calcu!AA26</f>
        <v>#N/A</v>
      </c>
      <c r="G31" s="51" t="s">
        <v>184</v>
      </c>
      <c r="H31" s="51" t="e">
        <f ca="1">Calcu!AD26</f>
        <v>#VALUE!</v>
      </c>
      <c r="J31" s="37" t="e">
        <f ca="1">Calcu!AC26</f>
        <v>#N/A</v>
      </c>
      <c r="K31" s="37" t="e">
        <f ca="1">Calcu!AB26</f>
        <v>#N/A</v>
      </c>
      <c r="L31" s="37" t="str">
        <f>LEFT(Calcu!AE26,1)</f>
        <v/>
      </c>
      <c r="M31" s="37" t="s">
        <v>481</v>
      </c>
      <c r="N31" s="37" t="s">
        <v>483</v>
      </c>
      <c r="O31" s="37" t="s">
        <v>484</v>
      </c>
      <c r="Q31" s="37" t="e">
        <f ca="1">Calcu!AF26</f>
        <v>#N/A</v>
      </c>
    </row>
    <row r="32" spans="1:17" ht="15" customHeight="1">
      <c r="A32" s="44" t="str">
        <f>IF(Calcu!B27=TRUE,"","삭제")</f>
        <v>삭제</v>
      </c>
      <c r="B32" s="43"/>
      <c r="C32" s="43"/>
      <c r="D32" s="43"/>
      <c r="E32" s="37" t="s">
        <v>508</v>
      </c>
      <c r="F32" s="51" t="e">
        <f ca="1">Calcu!AA27</f>
        <v>#N/A</v>
      </c>
      <c r="G32" s="51" t="s">
        <v>184</v>
      </c>
      <c r="H32" s="51" t="e">
        <f ca="1">Calcu!AD27</f>
        <v>#VALUE!</v>
      </c>
      <c r="J32" s="37" t="e">
        <f ca="1">Calcu!AC27</f>
        <v>#N/A</v>
      </c>
      <c r="K32" s="37" t="e">
        <f ca="1">Calcu!AB27</f>
        <v>#N/A</v>
      </c>
      <c r="L32" s="37" t="str">
        <f>LEFT(Calcu!AE27,1)</f>
        <v/>
      </c>
      <c r="M32" s="37" t="s">
        <v>481</v>
      </c>
      <c r="N32" s="37" t="s">
        <v>483</v>
      </c>
      <c r="O32" s="37" t="s">
        <v>484</v>
      </c>
      <c r="Q32" s="37" t="e">
        <f ca="1">Calcu!AF27</f>
        <v>#N/A</v>
      </c>
    </row>
    <row r="33" spans="1:17" ht="15" customHeight="1">
      <c r="A33" s="44" t="str">
        <f>IF(Calcu!B28=TRUE,"","삭제")</f>
        <v>삭제</v>
      </c>
      <c r="B33" s="43"/>
      <c r="C33" s="43"/>
      <c r="D33" s="43"/>
      <c r="E33" s="37" t="s">
        <v>508</v>
      </c>
      <c r="F33" s="51" t="e">
        <f ca="1">Calcu!AA28</f>
        <v>#N/A</v>
      </c>
      <c r="G33" s="51" t="s">
        <v>184</v>
      </c>
      <c r="H33" s="51" t="e">
        <f ca="1">Calcu!AD28</f>
        <v>#VALUE!</v>
      </c>
      <c r="J33" s="37" t="e">
        <f ca="1">Calcu!AC28</f>
        <v>#N/A</v>
      </c>
      <c r="K33" s="37" t="e">
        <f ca="1">Calcu!AB28</f>
        <v>#N/A</v>
      </c>
      <c r="L33" s="37" t="str">
        <f>LEFT(Calcu!AE28,1)</f>
        <v/>
      </c>
      <c r="M33" s="37" t="s">
        <v>481</v>
      </c>
      <c r="N33" s="37" t="s">
        <v>483</v>
      </c>
      <c r="O33" s="37" t="s">
        <v>484</v>
      </c>
      <c r="Q33" s="37" t="e">
        <f ca="1">Calcu!AF28</f>
        <v>#N/A</v>
      </c>
    </row>
    <row r="34" spans="1:17" ht="15" customHeight="1">
      <c r="A34" s="44" t="str">
        <f>IF(Calcu!B29=TRUE,"","삭제")</f>
        <v>삭제</v>
      </c>
      <c r="B34" s="43"/>
      <c r="C34" s="43"/>
      <c r="D34" s="43"/>
      <c r="E34" s="37" t="s">
        <v>508</v>
      </c>
      <c r="F34" s="51" t="e">
        <f ca="1">Calcu!AA29</f>
        <v>#N/A</v>
      </c>
      <c r="G34" s="51" t="s">
        <v>184</v>
      </c>
      <c r="H34" s="51" t="e">
        <f ca="1">Calcu!AD29</f>
        <v>#VALUE!</v>
      </c>
      <c r="J34" s="37" t="e">
        <f ca="1">Calcu!AC29</f>
        <v>#N/A</v>
      </c>
      <c r="K34" s="37" t="e">
        <f ca="1">Calcu!AB29</f>
        <v>#N/A</v>
      </c>
      <c r="L34" s="37" t="str">
        <f>LEFT(Calcu!AE29,1)</f>
        <v/>
      </c>
      <c r="M34" s="37" t="s">
        <v>481</v>
      </c>
      <c r="N34" s="37" t="s">
        <v>483</v>
      </c>
      <c r="O34" s="37" t="s">
        <v>484</v>
      </c>
      <c r="Q34" s="37" t="e">
        <f ca="1">Calcu!AF29</f>
        <v>#N/A</v>
      </c>
    </row>
    <row r="35" spans="1:17" ht="15" customHeight="1">
      <c r="A35" s="296" t="str">
        <f>A15</f>
        <v>삭제</v>
      </c>
      <c r="G35" s="53" t="e">
        <f ca="1">IF(Calcu!E56="사다리꼴","※ 신뢰수준 95 %,","※ 신뢰수준 약 95 %,")</f>
        <v>#N/A</v>
      </c>
      <c r="H35" s="205" t="e">
        <f ca="1">Calcu!E57&amp;IF(Calcu!E56="사다리꼴",", 사다리꼴 확률분포","")</f>
        <v>#N/A</v>
      </c>
      <c r="K35" s="50"/>
      <c r="Q35" s="53"/>
    </row>
    <row r="36" spans="1:17" ht="15" customHeight="1">
      <c r="A36" s="296" t="str">
        <f>A37</f>
        <v>삭제</v>
      </c>
      <c r="G36" s="53"/>
      <c r="H36" s="205"/>
      <c r="K36" s="50"/>
      <c r="Q36" s="53"/>
    </row>
    <row r="37" spans="1:17" ht="15" customHeight="1">
      <c r="A37" s="44" t="str">
        <f>IF(Calcu!B71=TRUE,"","삭제")</f>
        <v>삭제</v>
      </c>
      <c r="B37" s="43"/>
      <c r="C37" s="43"/>
      <c r="D37" s="43"/>
      <c r="E37" s="37" t="s">
        <v>509</v>
      </c>
      <c r="F37" s="51" t="e">
        <f ca="1">Calcu!AA71</f>
        <v>#N/A</v>
      </c>
      <c r="G37" s="51" t="s">
        <v>184</v>
      </c>
      <c r="H37" s="51" t="e">
        <f ca="1">Calcu!AD71</f>
        <v>#VALUE!</v>
      </c>
      <c r="J37" s="37" t="e">
        <f ca="1">Calcu!AC71</f>
        <v>#N/A</v>
      </c>
      <c r="K37" s="37" t="e">
        <f ca="1">Calcu!AB71</f>
        <v>#N/A</v>
      </c>
      <c r="L37" s="37" t="str">
        <f>LEFT(Calcu!AE71,1)</f>
        <v/>
      </c>
      <c r="M37" s="37" t="s">
        <v>481</v>
      </c>
      <c r="N37" s="37" t="s">
        <v>481</v>
      </c>
      <c r="O37" s="37" t="s">
        <v>481</v>
      </c>
      <c r="Q37" s="37" t="e">
        <f ca="1">Calcu!AF71</f>
        <v>#N/A</v>
      </c>
    </row>
    <row r="38" spans="1:17" ht="15" customHeight="1">
      <c r="A38" s="44" t="str">
        <f>IF(Calcu!B72=TRUE,"","삭제")</f>
        <v>삭제</v>
      </c>
      <c r="B38" s="43"/>
      <c r="C38" s="43"/>
      <c r="D38" s="43"/>
      <c r="E38" s="37" t="s">
        <v>509</v>
      </c>
      <c r="F38" s="51" t="e">
        <f ca="1">Calcu!AA72</f>
        <v>#N/A</v>
      </c>
      <c r="G38" s="51" t="s">
        <v>184</v>
      </c>
      <c r="H38" s="51" t="e">
        <f ca="1">Calcu!AD72</f>
        <v>#VALUE!</v>
      </c>
      <c r="J38" s="37" t="e">
        <f ca="1">Calcu!AC72</f>
        <v>#N/A</v>
      </c>
      <c r="K38" s="37" t="e">
        <f ca="1">Calcu!AB72</f>
        <v>#N/A</v>
      </c>
      <c r="L38" s="37" t="str">
        <f>LEFT(Calcu!AE72,1)</f>
        <v/>
      </c>
      <c r="M38" s="37" t="s">
        <v>481</v>
      </c>
      <c r="N38" s="37" t="s">
        <v>481</v>
      </c>
      <c r="O38" s="37" t="s">
        <v>481</v>
      </c>
      <c r="Q38" s="37" t="e">
        <f ca="1">Calcu!AF72</f>
        <v>#N/A</v>
      </c>
    </row>
    <row r="39" spans="1:17" ht="15" customHeight="1">
      <c r="A39" s="44" t="str">
        <f>IF(Calcu!B73=TRUE,"","삭제")</f>
        <v>삭제</v>
      </c>
      <c r="B39" s="43"/>
      <c r="C39" s="43"/>
      <c r="D39" s="43"/>
      <c r="E39" s="37" t="s">
        <v>509</v>
      </c>
      <c r="F39" s="51" t="e">
        <f ca="1">Calcu!AA73</f>
        <v>#N/A</v>
      </c>
      <c r="G39" s="51" t="s">
        <v>184</v>
      </c>
      <c r="H39" s="51" t="e">
        <f ca="1">Calcu!AD73</f>
        <v>#VALUE!</v>
      </c>
      <c r="J39" s="37" t="e">
        <f ca="1">Calcu!AC73</f>
        <v>#N/A</v>
      </c>
      <c r="K39" s="37" t="e">
        <f ca="1">Calcu!AB73</f>
        <v>#N/A</v>
      </c>
      <c r="L39" s="37" t="str">
        <f>LEFT(Calcu!AE73,1)</f>
        <v/>
      </c>
      <c r="M39" s="37" t="s">
        <v>481</v>
      </c>
      <c r="N39" s="37" t="s">
        <v>481</v>
      </c>
      <c r="O39" s="37" t="s">
        <v>481</v>
      </c>
      <c r="Q39" s="37" t="e">
        <f ca="1">Calcu!AF73</f>
        <v>#N/A</v>
      </c>
    </row>
    <row r="40" spans="1:17" ht="15" customHeight="1">
      <c r="A40" s="44" t="str">
        <f>IF(Calcu!B74=TRUE,"","삭제")</f>
        <v>삭제</v>
      </c>
      <c r="B40" s="43"/>
      <c r="C40" s="43"/>
      <c r="D40" s="43"/>
      <c r="E40" s="37" t="s">
        <v>509</v>
      </c>
      <c r="F40" s="51" t="e">
        <f ca="1">Calcu!AA74</f>
        <v>#N/A</v>
      </c>
      <c r="G40" s="51" t="s">
        <v>184</v>
      </c>
      <c r="H40" s="51" t="e">
        <f ca="1">Calcu!AD74</f>
        <v>#VALUE!</v>
      </c>
      <c r="J40" s="37" t="e">
        <f ca="1">Calcu!AC74</f>
        <v>#N/A</v>
      </c>
      <c r="K40" s="37" t="e">
        <f ca="1">Calcu!AB74</f>
        <v>#N/A</v>
      </c>
      <c r="L40" s="37" t="str">
        <f>LEFT(Calcu!AE74,1)</f>
        <v/>
      </c>
      <c r="M40" s="37" t="s">
        <v>481</v>
      </c>
      <c r="N40" s="37" t="s">
        <v>481</v>
      </c>
      <c r="O40" s="37" t="s">
        <v>481</v>
      </c>
      <c r="Q40" s="37" t="e">
        <f ca="1">Calcu!AF74</f>
        <v>#N/A</v>
      </c>
    </row>
    <row r="41" spans="1:17" ht="15" customHeight="1">
      <c r="A41" s="44" t="str">
        <f>IF(Calcu!B75=TRUE,"","삭제")</f>
        <v>삭제</v>
      </c>
      <c r="B41" s="43"/>
      <c r="C41" s="43"/>
      <c r="D41" s="43"/>
      <c r="E41" s="37" t="s">
        <v>509</v>
      </c>
      <c r="F41" s="51" t="e">
        <f ca="1">Calcu!AA75</f>
        <v>#N/A</v>
      </c>
      <c r="G41" s="51" t="s">
        <v>184</v>
      </c>
      <c r="H41" s="51" t="e">
        <f ca="1">Calcu!AD75</f>
        <v>#VALUE!</v>
      </c>
      <c r="J41" s="37" t="e">
        <f ca="1">Calcu!AC75</f>
        <v>#N/A</v>
      </c>
      <c r="K41" s="37" t="e">
        <f ca="1">Calcu!AB75</f>
        <v>#N/A</v>
      </c>
      <c r="L41" s="37" t="str">
        <f>LEFT(Calcu!AE75,1)</f>
        <v/>
      </c>
      <c r="M41" s="37" t="s">
        <v>481</v>
      </c>
      <c r="N41" s="37" t="s">
        <v>481</v>
      </c>
      <c r="O41" s="37" t="s">
        <v>481</v>
      </c>
      <c r="Q41" s="37" t="e">
        <f ca="1">Calcu!AF75</f>
        <v>#N/A</v>
      </c>
    </row>
    <row r="42" spans="1:17" ht="15" customHeight="1">
      <c r="A42" s="44" t="str">
        <f>IF(Calcu!B76=TRUE,"","삭제")</f>
        <v>삭제</v>
      </c>
      <c r="B42" s="43"/>
      <c r="C42" s="43"/>
      <c r="D42" s="43"/>
      <c r="E42" s="37" t="s">
        <v>509</v>
      </c>
      <c r="F42" s="51" t="e">
        <f ca="1">Calcu!AA76</f>
        <v>#N/A</v>
      </c>
      <c r="G42" s="51" t="s">
        <v>184</v>
      </c>
      <c r="H42" s="51" t="e">
        <f ca="1">Calcu!AD76</f>
        <v>#VALUE!</v>
      </c>
      <c r="J42" s="37" t="e">
        <f ca="1">Calcu!AC76</f>
        <v>#N/A</v>
      </c>
      <c r="K42" s="37" t="e">
        <f ca="1">Calcu!AB76</f>
        <v>#N/A</v>
      </c>
      <c r="L42" s="37" t="str">
        <f>LEFT(Calcu!AE76,1)</f>
        <v/>
      </c>
      <c r="M42" s="37" t="s">
        <v>481</v>
      </c>
      <c r="N42" s="37" t="s">
        <v>481</v>
      </c>
      <c r="O42" s="37" t="s">
        <v>481</v>
      </c>
      <c r="Q42" s="37" t="e">
        <f ca="1">Calcu!AF76</f>
        <v>#N/A</v>
      </c>
    </row>
    <row r="43" spans="1:17" ht="15" customHeight="1">
      <c r="A43" s="44" t="str">
        <f>IF(Calcu!B77=TRUE,"","삭제")</f>
        <v>삭제</v>
      </c>
      <c r="B43" s="43"/>
      <c r="C43" s="43"/>
      <c r="D43" s="43"/>
      <c r="E43" s="37" t="s">
        <v>509</v>
      </c>
      <c r="F43" s="51" t="e">
        <f ca="1">Calcu!AA77</f>
        <v>#N/A</v>
      </c>
      <c r="G43" s="51" t="s">
        <v>184</v>
      </c>
      <c r="H43" s="51" t="e">
        <f ca="1">Calcu!AD77</f>
        <v>#VALUE!</v>
      </c>
      <c r="J43" s="37" t="e">
        <f ca="1">Calcu!AC77</f>
        <v>#N/A</v>
      </c>
      <c r="K43" s="37" t="e">
        <f ca="1">Calcu!AB77</f>
        <v>#N/A</v>
      </c>
      <c r="L43" s="37" t="str">
        <f>LEFT(Calcu!AE77,1)</f>
        <v/>
      </c>
      <c r="M43" s="37" t="s">
        <v>481</v>
      </c>
      <c r="N43" s="37" t="s">
        <v>481</v>
      </c>
      <c r="O43" s="37" t="s">
        <v>481</v>
      </c>
      <c r="Q43" s="37" t="e">
        <f ca="1">Calcu!AF77</f>
        <v>#N/A</v>
      </c>
    </row>
    <row r="44" spans="1:17" ht="15" customHeight="1">
      <c r="A44" s="44" t="str">
        <f>IF(Calcu!B78=TRUE,"","삭제")</f>
        <v>삭제</v>
      </c>
      <c r="B44" s="43"/>
      <c r="C44" s="43"/>
      <c r="D44" s="43"/>
      <c r="E44" s="37" t="s">
        <v>509</v>
      </c>
      <c r="F44" s="51" t="e">
        <f ca="1">Calcu!AA78</f>
        <v>#N/A</v>
      </c>
      <c r="G44" s="51" t="s">
        <v>184</v>
      </c>
      <c r="H44" s="51" t="e">
        <f ca="1">Calcu!AD78</f>
        <v>#VALUE!</v>
      </c>
      <c r="J44" s="37" t="e">
        <f ca="1">Calcu!AC78</f>
        <v>#N/A</v>
      </c>
      <c r="K44" s="37" t="e">
        <f ca="1">Calcu!AB78</f>
        <v>#N/A</v>
      </c>
      <c r="L44" s="37" t="str">
        <f>LEFT(Calcu!AE78,1)</f>
        <v/>
      </c>
      <c r="M44" s="37" t="s">
        <v>481</v>
      </c>
      <c r="N44" s="37" t="s">
        <v>481</v>
      </c>
      <c r="O44" s="37" t="s">
        <v>481</v>
      </c>
      <c r="Q44" s="37" t="e">
        <f ca="1">Calcu!AF78</f>
        <v>#N/A</v>
      </c>
    </row>
    <row r="45" spans="1:17" ht="15" customHeight="1">
      <c r="A45" s="44" t="str">
        <f>IF(Calcu!B79=TRUE,"","삭제")</f>
        <v>삭제</v>
      </c>
      <c r="B45" s="43"/>
      <c r="C45" s="43"/>
      <c r="D45" s="43"/>
      <c r="E45" s="37" t="s">
        <v>509</v>
      </c>
      <c r="F45" s="51" t="e">
        <f ca="1">Calcu!AA79</f>
        <v>#N/A</v>
      </c>
      <c r="G45" s="51" t="s">
        <v>184</v>
      </c>
      <c r="H45" s="51" t="e">
        <f ca="1">Calcu!AD79</f>
        <v>#VALUE!</v>
      </c>
      <c r="J45" s="37" t="e">
        <f ca="1">Calcu!AC79</f>
        <v>#N/A</v>
      </c>
      <c r="K45" s="37" t="e">
        <f ca="1">Calcu!AB79</f>
        <v>#N/A</v>
      </c>
      <c r="L45" s="37" t="str">
        <f>LEFT(Calcu!AE79,1)</f>
        <v/>
      </c>
      <c r="M45" s="37" t="s">
        <v>481</v>
      </c>
      <c r="N45" s="37" t="s">
        <v>481</v>
      </c>
      <c r="O45" s="37" t="s">
        <v>481</v>
      </c>
      <c r="Q45" s="37" t="e">
        <f ca="1">Calcu!AF79</f>
        <v>#N/A</v>
      </c>
    </row>
    <row r="46" spans="1:17" ht="15" customHeight="1">
      <c r="A46" s="44" t="str">
        <f>IF(Calcu!B80=TRUE,"","삭제")</f>
        <v>삭제</v>
      </c>
      <c r="B46" s="43"/>
      <c r="C46" s="43"/>
      <c r="D46" s="43"/>
      <c r="E46" s="37" t="s">
        <v>509</v>
      </c>
      <c r="F46" s="51" t="e">
        <f ca="1">Calcu!AA80</f>
        <v>#N/A</v>
      </c>
      <c r="G46" s="51" t="s">
        <v>184</v>
      </c>
      <c r="H46" s="51" t="e">
        <f ca="1">Calcu!AD80</f>
        <v>#VALUE!</v>
      </c>
      <c r="J46" s="37" t="e">
        <f ca="1">Calcu!AC80</f>
        <v>#N/A</v>
      </c>
      <c r="K46" s="37" t="e">
        <f ca="1">Calcu!AB80</f>
        <v>#N/A</v>
      </c>
      <c r="L46" s="37" t="str">
        <f>LEFT(Calcu!AE80,1)</f>
        <v/>
      </c>
      <c r="M46" s="37" t="s">
        <v>481</v>
      </c>
      <c r="N46" s="37" t="s">
        <v>481</v>
      </c>
      <c r="O46" s="37" t="s">
        <v>481</v>
      </c>
      <c r="Q46" s="37" t="e">
        <f ca="1">Calcu!AF80</f>
        <v>#N/A</v>
      </c>
    </row>
    <row r="47" spans="1:17" ht="15" customHeight="1">
      <c r="A47" s="44" t="str">
        <f>IF(Calcu!B81=TRUE,"","삭제")</f>
        <v>삭제</v>
      </c>
      <c r="B47" s="43"/>
      <c r="C47" s="43"/>
      <c r="D47" s="43"/>
      <c r="E47" s="37" t="s">
        <v>509</v>
      </c>
      <c r="F47" s="51" t="e">
        <f ca="1">Calcu!AA81</f>
        <v>#N/A</v>
      </c>
      <c r="G47" s="51" t="s">
        <v>184</v>
      </c>
      <c r="H47" s="51" t="e">
        <f ca="1">Calcu!AD81</f>
        <v>#VALUE!</v>
      </c>
      <c r="J47" s="37" t="e">
        <f ca="1">Calcu!AC81</f>
        <v>#N/A</v>
      </c>
      <c r="K47" s="37" t="e">
        <f ca="1">Calcu!AB81</f>
        <v>#N/A</v>
      </c>
      <c r="L47" s="37" t="str">
        <f>LEFT(Calcu!AE81,1)</f>
        <v/>
      </c>
      <c r="M47" s="37" t="s">
        <v>481</v>
      </c>
      <c r="N47" s="37" t="s">
        <v>481</v>
      </c>
      <c r="O47" s="37" t="s">
        <v>481</v>
      </c>
      <c r="Q47" s="37" t="e">
        <f ca="1">Calcu!AF81</f>
        <v>#N/A</v>
      </c>
    </row>
    <row r="48" spans="1:17" ht="15" customHeight="1">
      <c r="A48" s="44" t="str">
        <f>IF(Calcu!B82=TRUE,"","삭제")</f>
        <v>삭제</v>
      </c>
      <c r="B48" s="43"/>
      <c r="C48" s="43"/>
      <c r="D48" s="43"/>
      <c r="E48" s="37" t="s">
        <v>509</v>
      </c>
      <c r="F48" s="51" t="e">
        <f ca="1">Calcu!AA82</f>
        <v>#N/A</v>
      </c>
      <c r="G48" s="51" t="s">
        <v>184</v>
      </c>
      <c r="H48" s="51" t="e">
        <f ca="1">Calcu!AD82</f>
        <v>#VALUE!</v>
      </c>
      <c r="J48" s="37" t="e">
        <f ca="1">Calcu!AC82</f>
        <v>#N/A</v>
      </c>
      <c r="K48" s="37" t="e">
        <f ca="1">Calcu!AB82</f>
        <v>#N/A</v>
      </c>
      <c r="L48" s="37" t="str">
        <f>LEFT(Calcu!AE82,1)</f>
        <v/>
      </c>
      <c r="M48" s="37" t="s">
        <v>481</v>
      </c>
      <c r="N48" s="37" t="s">
        <v>481</v>
      </c>
      <c r="O48" s="37" t="s">
        <v>481</v>
      </c>
      <c r="Q48" s="37" t="e">
        <f ca="1">Calcu!AF82</f>
        <v>#N/A</v>
      </c>
    </row>
    <row r="49" spans="1:17" ht="15" customHeight="1">
      <c r="A49" s="44" t="str">
        <f>IF(Calcu!B83=TRUE,"","삭제")</f>
        <v>삭제</v>
      </c>
      <c r="B49" s="43"/>
      <c r="C49" s="43"/>
      <c r="D49" s="43"/>
      <c r="E49" s="37" t="s">
        <v>509</v>
      </c>
      <c r="F49" s="51" t="e">
        <f ca="1">Calcu!AA83</f>
        <v>#N/A</v>
      </c>
      <c r="G49" s="51" t="s">
        <v>184</v>
      </c>
      <c r="H49" s="51" t="e">
        <f ca="1">Calcu!AD83</f>
        <v>#VALUE!</v>
      </c>
      <c r="J49" s="37" t="e">
        <f ca="1">Calcu!AC83</f>
        <v>#N/A</v>
      </c>
      <c r="K49" s="37" t="e">
        <f ca="1">Calcu!AB83</f>
        <v>#N/A</v>
      </c>
      <c r="L49" s="37" t="str">
        <f>LEFT(Calcu!AE83,1)</f>
        <v/>
      </c>
      <c r="M49" s="37" t="s">
        <v>481</v>
      </c>
      <c r="N49" s="37" t="s">
        <v>481</v>
      </c>
      <c r="O49" s="37" t="s">
        <v>481</v>
      </c>
      <c r="Q49" s="37" t="e">
        <f ca="1">Calcu!AF83</f>
        <v>#N/A</v>
      </c>
    </row>
    <row r="50" spans="1:17" ht="15" customHeight="1">
      <c r="A50" s="44" t="str">
        <f>IF(Calcu!B84=TRUE,"","삭제")</f>
        <v>삭제</v>
      </c>
      <c r="B50" s="43"/>
      <c r="C50" s="43"/>
      <c r="D50" s="43"/>
      <c r="E50" s="37" t="s">
        <v>509</v>
      </c>
      <c r="F50" s="51" t="e">
        <f ca="1">Calcu!AA84</f>
        <v>#N/A</v>
      </c>
      <c r="G50" s="51" t="s">
        <v>184</v>
      </c>
      <c r="H50" s="51" t="e">
        <f ca="1">Calcu!AD84</f>
        <v>#VALUE!</v>
      </c>
      <c r="J50" s="37" t="e">
        <f ca="1">Calcu!AC84</f>
        <v>#N/A</v>
      </c>
      <c r="K50" s="37" t="e">
        <f ca="1">Calcu!AB84</f>
        <v>#N/A</v>
      </c>
      <c r="L50" s="37" t="str">
        <f>LEFT(Calcu!AE84,1)</f>
        <v/>
      </c>
      <c r="M50" s="37" t="s">
        <v>481</v>
      </c>
      <c r="N50" s="37" t="s">
        <v>481</v>
      </c>
      <c r="O50" s="37" t="s">
        <v>481</v>
      </c>
      <c r="Q50" s="37" t="e">
        <f ca="1">Calcu!AF84</f>
        <v>#N/A</v>
      </c>
    </row>
    <row r="51" spans="1:17" ht="15" customHeight="1">
      <c r="A51" s="44" t="str">
        <f>IF(Calcu!B85=TRUE,"","삭제")</f>
        <v>삭제</v>
      </c>
      <c r="B51" s="43"/>
      <c r="C51" s="43"/>
      <c r="D51" s="43"/>
      <c r="E51" s="37" t="s">
        <v>509</v>
      </c>
      <c r="F51" s="51" t="e">
        <f ca="1">Calcu!AA85</f>
        <v>#N/A</v>
      </c>
      <c r="G51" s="51" t="s">
        <v>184</v>
      </c>
      <c r="H51" s="51" t="e">
        <f ca="1">Calcu!AD85</f>
        <v>#VALUE!</v>
      </c>
      <c r="J51" s="37" t="e">
        <f ca="1">Calcu!AC85</f>
        <v>#N/A</v>
      </c>
      <c r="K51" s="37" t="e">
        <f ca="1">Calcu!AB85</f>
        <v>#N/A</v>
      </c>
      <c r="L51" s="37" t="str">
        <f>LEFT(Calcu!AE85,1)</f>
        <v/>
      </c>
      <c r="M51" s="37" t="s">
        <v>481</v>
      </c>
      <c r="N51" s="37" t="s">
        <v>481</v>
      </c>
      <c r="O51" s="37" t="s">
        <v>481</v>
      </c>
      <c r="Q51" s="37" t="e">
        <f ca="1">Calcu!AF85</f>
        <v>#N/A</v>
      </c>
    </row>
    <row r="52" spans="1:17" ht="15" customHeight="1">
      <c r="A52" s="44" t="str">
        <f>IF(Calcu!B86=TRUE,"","삭제")</f>
        <v>삭제</v>
      </c>
      <c r="B52" s="43"/>
      <c r="C52" s="43"/>
      <c r="D52" s="43"/>
      <c r="E52" s="37" t="s">
        <v>509</v>
      </c>
      <c r="F52" s="51" t="e">
        <f ca="1">Calcu!AA86</f>
        <v>#N/A</v>
      </c>
      <c r="G52" s="51" t="s">
        <v>184</v>
      </c>
      <c r="H52" s="51" t="e">
        <f ca="1">Calcu!AD86</f>
        <v>#VALUE!</v>
      </c>
      <c r="J52" s="37" t="e">
        <f ca="1">Calcu!AC86</f>
        <v>#N/A</v>
      </c>
      <c r="K52" s="37" t="e">
        <f ca="1">Calcu!AB86</f>
        <v>#N/A</v>
      </c>
      <c r="L52" s="37" t="str">
        <f>LEFT(Calcu!AE86,1)</f>
        <v/>
      </c>
      <c r="M52" s="37" t="s">
        <v>481</v>
      </c>
      <c r="N52" s="37" t="s">
        <v>481</v>
      </c>
      <c r="O52" s="37" t="s">
        <v>481</v>
      </c>
      <c r="Q52" s="37" t="e">
        <f ca="1">Calcu!AF86</f>
        <v>#N/A</v>
      </c>
    </row>
    <row r="53" spans="1:17" ht="15" customHeight="1">
      <c r="A53" s="44" t="str">
        <f>IF(Calcu!B87=TRUE,"","삭제")</f>
        <v>삭제</v>
      </c>
      <c r="B53" s="43"/>
      <c r="C53" s="43"/>
      <c r="D53" s="43"/>
      <c r="E53" s="37" t="s">
        <v>509</v>
      </c>
      <c r="F53" s="51" t="e">
        <f ca="1">Calcu!AA87</f>
        <v>#N/A</v>
      </c>
      <c r="G53" s="51" t="s">
        <v>184</v>
      </c>
      <c r="H53" s="51" t="e">
        <f ca="1">Calcu!AD87</f>
        <v>#VALUE!</v>
      </c>
      <c r="J53" s="37" t="e">
        <f ca="1">Calcu!AC87</f>
        <v>#N/A</v>
      </c>
      <c r="K53" s="37" t="e">
        <f ca="1">Calcu!AB87</f>
        <v>#N/A</v>
      </c>
      <c r="L53" s="37" t="str">
        <f>LEFT(Calcu!AE87,1)</f>
        <v/>
      </c>
      <c r="M53" s="37" t="s">
        <v>481</v>
      </c>
      <c r="N53" s="37" t="s">
        <v>481</v>
      </c>
      <c r="O53" s="37" t="s">
        <v>481</v>
      </c>
      <c r="Q53" s="37" t="e">
        <f ca="1">Calcu!AF87</f>
        <v>#N/A</v>
      </c>
    </row>
    <row r="54" spans="1:17" ht="15" customHeight="1">
      <c r="A54" s="44" t="str">
        <f>IF(Calcu!B88=TRUE,"","삭제")</f>
        <v>삭제</v>
      </c>
      <c r="B54" s="43"/>
      <c r="C54" s="43"/>
      <c r="D54" s="43"/>
      <c r="E54" s="37" t="s">
        <v>509</v>
      </c>
      <c r="F54" s="51" t="e">
        <f ca="1">Calcu!AA88</f>
        <v>#N/A</v>
      </c>
      <c r="G54" s="51" t="s">
        <v>184</v>
      </c>
      <c r="H54" s="51" t="e">
        <f ca="1">Calcu!AD88</f>
        <v>#VALUE!</v>
      </c>
      <c r="J54" s="37" t="e">
        <f ca="1">Calcu!AC88</f>
        <v>#N/A</v>
      </c>
      <c r="K54" s="37" t="e">
        <f ca="1">Calcu!AB88</f>
        <v>#N/A</v>
      </c>
      <c r="L54" s="37" t="str">
        <f>LEFT(Calcu!AE88,1)</f>
        <v/>
      </c>
      <c r="M54" s="37" t="s">
        <v>481</v>
      </c>
      <c r="N54" s="37" t="s">
        <v>481</v>
      </c>
      <c r="O54" s="37" t="s">
        <v>481</v>
      </c>
      <c r="Q54" s="37" t="e">
        <f ca="1">Calcu!AF88</f>
        <v>#N/A</v>
      </c>
    </row>
    <row r="55" spans="1:17" ht="15" customHeight="1">
      <c r="A55" s="44" t="str">
        <f>IF(Calcu!B89=TRUE,"","삭제")</f>
        <v>삭제</v>
      </c>
      <c r="B55" s="43"/>
      <c r="C55" s="43"/>
      <c r="D55" s="43"/>
      <c r="E55" s="37" t="s">
        <v>509</v>
      </c>
      <c r="F55" s="51" t="e">
        <f ca="1">Calcu!AA89</f>
        <v>#N/A</v>
      </c>
      <c r="G55" s="51" t="s">
        <v>184</v>
      </c>
      <c r="H55" s="51" t="e">
        <f ca="1">Calcu!AD89</f>
        <v>#VALUE!</v>
      </c>
      <c r="J55" s="37" t="e">
        <f ca="1">Calcu!AC89</f>
        <v>#N/A</v>
      </c>
      <c r="K55" s="37" t="e">
        <f ca="1">Calcu!AB89</f>
        <v>#N/A</v>
      </c>
      <c r="L55" s="37" t="str">
        <f>LEFT(Calcu!AE89,1)</f>
        <v/>
      </c>
      <c r="M55" s="37" t="s">
        <v>481</v>
      </c>
      <c r="N55" s="37" t="s">
        <v>481</v>
      </c>
      <c r="O55" s="37" t="s">
        <v>481</v>
      </c>
      <c r="Q55" s="37" t="e">
        <f ca="1">Calcu!AF89</f>
        <v>#N/A</v>
      </c>
    </row>
    <row r="56" spans="1:17" ht="15" customHeight="1">
      <c r="A56" s="44" t="str">
        <f>IF(Calcu!B90=TRUE,"","삭제")</f>
        <v>삭제</v>
      </c>
      <c r="B56" s="43"/>
      <c r="C56" s="43"/>
      <c r="D56" s="43"/>
      <c r="E56" s="37" t="s">
        <v>509</v>
      </c>
      <c r="F56" s="51" t="e">
        <f ca="1">Calcu!AA90</f>
        <v>#N/A</v>
      </c>
      <c r="G56" s="51" t="s">
        <v>184</v>
      </c>
      <c r="H56" s="51" t="e">
        <f ca="1">Calcu!AD90</f>
        <v>#VALUE!</v>
      </c>
      <c r="J56" s="37" t="e">
        <f ca="1">Calcu!AC90</f>
        <v>#N/A</v>
      </c>
      <c r="K56" s="37" t="e">
        <f ca="1">Calcu!AB90</f>
        <v>#N/A</v>
      </c>
      <c r="L56" s="37" t="str">
        <f>LEFT(Calcu!AE90,1)</f>
        <v/>
      </c>
      <c r="M56" s="37" t="s">
        <v>481</v>
      </c>
      <c r="N56" s="37" t="s">
        <v>481</v>
      </c>
      <c r="O56" s="37" t="s">
        <v>481</v>
      </c>
      <c r="Q56" s="37" t="e">
        <f ca="1">Calcu!AF90</f>
        <v>#N/A</v>
      </c>
    </row>
    <row r="57" spans="1:17" ht="15" customHeight="1">
      <c r="A57" s="296" t="str">
        <f>A37</f>
        <v>삭제</v>
      </c>
      <c r="G57" s="53" t="e">
        <f ca="1">IF(Calcu!E117="사다리꼴","※ 신뢰수준 95 %,","※ 신뢰수준 약 95 %,")</f>
        <v>#N/A</v>
      </c>
      <c r="H57" s="205" t="e">
        <f ca="1">Calcu!E118&amp;IF(Calcu!E117="사다리꼴",", 사다리꼴 확률분포","")</f>
        <v>#N/A</v>
      </c>
      <c r="K57" s="50"/>
      <c r="Q57" s="53"/>
    </row>
    <row r="58" spans="1:17" ht="15" customHeight="1">
      <c r="A58" s="296" t="str">
        <f>A59</f>
        <v>삭제</v>
      </c>
      <c r="G58" s="53"/>
      <c r="H58" s="205"/>
      <c r="K58" s="50"/>
      <c r="Q58" s="53"/>
    </row>
    <row r="59" spans="1:17" ht="15" customHeight="1">
      <c r="A59" s="44" t="str">
        <f>IF(Calcu!B132=TRUE,"","삭제")</f>
        <v>삭제</v>
      </c>
      <c r="B59" s="43"/>
      <c r="C59" s="43"/>
      <c r="D59" s="43"/>
      <c r="E59" s="37" t="s">
        <v>510</v>
      </c>
      <c r="F59" s="51" t="e">
        <f ca="1">Calcu!AA132</f>
        <v>#N/A</v>
      </c>
      <c r="G59" s="51" t="s">
        <v>184</v>
      </c>
      <c r="H59" s="51" t="e">
        <f ca="1">Calcu!AD132</f>
        <v>#VALUE!</v>
      </c>
      <c r="J59" s="37" t="e">
        <f ca="1">Calcu!AC132</f>
        <v>#N/A</v>
      </c>
      <c r="K59" s="37" t="e">
        <f ca="1">Calcu!AB132</f>
        <v>#N/A</v>
      </c>
      <c r="L59" s="37" t="str">
        <f>LEFT(Calcu!AE132,1)</f>
        <v/>
      </c>
      <c r="M59" s="37" t="s">
        <v>481</v>
      </c>
      <c r="N59" s="37" t="s">
        <v>481</v>
      </c>
      <c r="O59" s="37" t="s">
        <v>481</v>
      </c>
      <c r="Q59" s="37" t="e">
        <f ca="1">Calcu!AF132</f>
        <v>#N/A</v>
      </c>
    </row>
    <row r="60" spans="1:17" ht="15" customHeight="1">
      <c r="A60" s="44" t="str">
        <f>IF(Calcu!B133=TRUE,"","삭제")</f>
        <v>삭제</v>
      </c>
      <c r="B60" s="43"/>
      <c r="C60" s="43"/>
      <c r="D60" s="43"/>
      <c r="E60" s="37" t="s">
        <v>510</v>
      </c>
      <c r="F60" s="51" t="e">
        <f ca="1">Calcu!AA133</f>
        <v>#N/A</v>
      </c>
      <c r="G60" s="51" t="s">
        <v>184</v>
      </c>
      <c r="H60" s="51" t="e">
        <f ca="1">Calcu!AD133</f>
        <v>#VALUE!</v>
      </c>
      <c r="J60" s="37" t="e">
        <f ca="1">Calcu!AC133</f>
        <v>#N/A</v>
      </c>
      <c r="K60" s="37" t="e">
        <f ca="1">Calcu!AB133</f>
        <v>#N/A</v>
      </c>
      <c r="L60" s="37" t="str">
        <f>LEFT(Calcu!AE133,1)</f>
        <v/>
      </c>
      <c r="M60" s="37" t="s">
        <v>481</v>
      </c>
      <c r="N60" s="37" t="s">
        <v>481</v>
      </c>
      <c r="O60" s="37" t="s">
        <v>481</v>
      </c>
      <c r="Q60" s="37" t="e">
        <f ca="1">Calcu!AF133</f>
        <v>#N/A</v>
      </c>
    </row>
    <row r="61" spans="1:17" ht="15" customHeight="1">
      <c r="A61" s="44" t="str">
        <f>IF(Calcu!B134=TRUE,"","삭제")</f>
        <v>삭제</v>
      </c>
      <c r="B61" s="43"/>
      <c r="C61" s="43"/>
      <c r="D61" s="43"/>
      <c r="E61" s="37" t="s">
        <v>510</v>
      </c>
      <c r="F61" s="51" t="e">
        <f ca="1">Calcu!AA134</f>
        <v>#N/A</v>
      </c>
      <c r="G61" s="51" t="s">
        <v>184</v>
      </c>
      <c r="H61" s="51" t="e">
        <f ca="1">Calcu!AD134</f>
        <v>#VALUE!</v>
      </c>
      <c r="J61" s="37" t="e">
        <f ca="1">Calcu!AC134</f>
        <v>#N/A</v>
      </c>
      <c r="K61" s="37" t="e">
        <f ca="1">Calcu!AB134</f>
        <v>#N/A</v>
      </c>
      <c r="L61" s="37" t="str">
        <f>LEFT(Calcu!AE134,1)</f>
        <v/>
      </c>
      <c r="M61" s="37" t="s">
        <v>481</v>
      </c>
      <c r="N61" s="37" t="s">
        <v>481</v>
      </c>
      <c r="O61" s="37" t="s">
        <v>481</v>
      </c>
      <c r="Q61" s="37" t="e">
        <f ca="1">Calcu!AF134</f>
        <v>#N/A</v>
      </c>
    </row>
    <row r="62" spans="1:17" ht="15" customHeight="1">
      <c r="A62" s="44" t="str">
        <f>IF(Calcu!B135=TRUE,"","삭제")</f>
        <v>삭제</v>
      </c>
      <c r="B62" s="43"/>
      <c r="C62" s="43"/>
      <c r="D62" s="43"/>
      <c r="E62" s="37" t="s">
        <v>510</v>
      </c>
      <c r="F62" s="51" t="e">
        <f ca="1">Calcu!AA135</f>
        <v>#N/A</v>
      </c>
      <c r="G62" s="51" t="s">
        <v>184</v>
      </c>
      <c r="H62" s="51" t="e">
        <f ca="1">Calcu!AD135</f>
        <v>#VALUE!</v>
      </c>
      <c r="J62" s="37" t="e">
        <f ca="1">Calcu!AC135</f>
        <v>#N/A</v>
      </c>
      <c r="K62" s="37" t="e">
        <f ca="1">Calcu!AB135</f>
        <v>#N/A</v>
      </c>
      <c r="L62" s="37" t="str">
        <f>LEFT(Calcu!AE135,1)</f>
        <v/>
      </c>
      <c r="M62" s="37" t="s">
        <v>481</v>
      </c>
      <c r="N62" s="37" t="s">
        <v>481</v>
      </c>
      <c r="O62" s="37" t="s">
        <v>481</v>
      </c>
      <c r="Q62" s="37" t="e">
        <f ca="1">Calcu!AF135</f>
        <v>#N/A</v>
      </c>
    </row>
    <row r="63" spans="1:17" ht="15" customHeight="1">
      <c r="A63" s="44" t="str">
        <f>IF(Calcu!B136=TRUE,"","삭제")</f>
        <v>삭제</v>
      </c>
      <c r="B63" s="43"/>
      <c r="C63" s="43"/>
      <c r="D63" s="43"/>
      <c r="E63" s="37" t="s">
        <v>510</v>
      </c>
      <c r="F63" s="51" t="e">
        <f ca="1">Calcu!AA136</f>
        <v>#N/A</v>
      </c>
      <c r="G63" s="51" t="s">
        <v>184</v>
      </c>
      <c r="H63" s="51" t="e">
        <f ca="1">Calcu!AD136</f>
        <v>#VALUE!</v>
      </c>
      <c r="J63" s="37" t="e">
        <f ca="1">Calcu!AC136</f>
        <v>#N/A</v>
      </c>
      <c r="K63" s="37" t="e">
        <f ca="1">Calcu!AB136</f>
        <v>#N/A</v>
      </c>
      <c r="L63" s="37" t="str">
        <f>LEFT(Calcu!AE136,1)</f>
        <v/>
      </c>
      <c r="M63" s="37" t="s">
        <v>481</v>
      </c>
      <c r="N63" s="37" t="s">
        <v>481</v>
      </c>
      <c r="O63" s="37" t="s">
        <v>481</v>
      </c>
      <c r="Q63" s="37" t="e">
        <f ca="1">Calcu!AF136</f>
        <v>#N/A</v>
      </c>
    </row>
    <row r="64" spans="1:17" ht="15" customHeight="1">
      <c r="A64" s="44" t="str">
        <f>IF(Calcu!B137=TRUE,"","삭제")</f>
        <v>삭제</v>
      </c>
      <c r="B64" s="43"/>
      <c r="C64" s="43"/>
      <c r="D64" s="43"/>
      <c r="E64" s="37" t="s">
        <v>510</v>
      </c>
      <c r="F64" s="51" t="e">
        <f ca="1">Calcu!AA137</f>
        <v>#N/A</v>
      </c>
      <c r="G64" s="51" t="s">
        <v>184</v>
      </c>
      <c r="H64" s="51" t="e">
        <f ca="1">Calcu!AD137</f>
        <v>#VALUE!</v>
      </c>
      <c r="J64" s="37" t="e">
        <f ca="1">Calcu!AC137</f>
        <v>#N/A</v>
      </c>
      <c r="K64" s="37" t="e">
        <f ca="1">Calcu!AB137</f>
        <v>#N/A</v>
      </c>
      <c r="L64" s="37" t="str">
        <f>LEFT(Calcu!AE137,1)</f>
        <v/>
      </c>
      <c r="M64" s="37" t="s">
        <v>481</v>
      </c>
      <c r="N64" s="37" t="s">
        <v>481</v>
      </c>
      <c r="O64" s="37" t="s">
        <v>481</v>
      </c>
      <c r="Q64" s="37" t="e">
        <f ca="1">Calcu!AF137</f>
        <v>#N/A</v>
      </c>
    </row>
    <row r="65" spans="1:17" ht="15" customHeight="1">
      <c r="A65" s="44" t="str">
        <f>IF(Calcu!B138=TRUE,"","삭제")</f>
        <v>삭제</v>
      </c>
      <c r="B65" s="43"/>
      <c r="C65" s="43"/>
      <c r="D65" s="43"/>
      <c r="E65" s="37" t="s">
        <v>510</v>
      </c>
      <c r="F65" s="51" t="e">
        <f ca="1">Calcu!AA138</f>
        <v>#N/A</v>
      </c>
      <c r="G65" s="51" t="s">
        <v>184</v>
      </c>
      <c r="H65" s="51" t="e">
        <f ca="1">Calcu!AD138</f>
        <v>#VALUE!</v>
      </c>
      <c r="J65" s="37" t="e">
        <f ca="1">Calcu!AC138</f>
        <v>#N/A</v>
      </c>
      <c r="K65" s="37" t="e">
        <f ca="1">Calcu!AB138</f>
        <v>#N/A</v>
      </c>
      <c r="L65" s="37" t="str">
        <f>LEFT(Calcu!AE138,1)</f>
        <v/>
      </c>
      <c r="M65" s="37" t="s">
        <v>481</v>
      </c>
      <c r="N65" s="37" t="s">
        <v>481</v>
      </c>
      <c r="O65" s="37" t="s">
        <v>481</v>
      </c>
      <c r="Q65" s="37" t="e">
        <f ca="1">Calcu!AF138</f>
        <v>#N/A</v>
      </c>
    </row>
    <row r="66" spans="1:17" ht="15" customHeight="1">
      <c r="A66" s="44" t="str">
        <f>IF(Calcu!B139=TRUE,"","삭제")</f>
        <v>삭제</v>
      </c>
      <c r="B66" s="43"/>
      <c r="C66" s="43"/>
      <c r="D66" s="43"/>
      <c r="E66" s="37" t="s">
        <v>510</v>
      </c>
      <c r="F66" s="51" t="e">
        <f ca="1">Calcu!AA139</f>
        <v>#N/A</v>
      </c>
      <c r="G66" s="51" t="s">
        <v>184</v>
      </c>
      <c r="H66" s="51" t="e">
        <f ca="1">Calcu!AD139</f>
        <v>#VALUE!</v>
      </c>
      <c r="J66" s="37" t="e">
        <f ca="1">Calcu!AC139</f>
        <v>#N/A</v>
      </c>
      <c r="K66" s="37" t="e">
        <f ca="1">Calcu!AB139</f>
        <v>#N/A</v>
      </c>
      <c r="L66" s="37" t="str">
        <f>LEFT(Calcu!AE139,1)</f>
        <v/>
      </c>
      <c r="M66" s="37" t="s">
        <v>481</v>
      </c>
      <c r="N66" s="37" t="s">
        <v>481</v>
      </c>
      <c r="O66" s="37" t="s">
        <v>481</v>
      </c>
      <c r="Q66" s="37" t="e">
        <f ca="1">Calcu!AF139</f>
        <v>#N/A</v>
      </c>
    </row>
    <row r="67" spans="1:17" ht="15" customHeight="1">
      <c r="A67" s="44" t="str">
        <f>IF(Calcu!B140=TRUE,"","삭제")</f>
        <v>삭제</v>
      </c>
      <c r="B67" s="43"/>
      <c r="C67" s="43"/>
      <c r="D67" s="43"/>
      <c r="E67" s="37" t="s">
        <v>510</v>
      </c>
      <c r="F67" s="51" t="e">
        <f ca="1">Calcu!AA140</f>
        <v>#N/A</v>
      </c>
      <c r="G67" s="51" t="s">
        <v>184</v>
      </c>
      <c r="H67" s="51" t="e">
        <f ca="1">Calcu!AD140</f>
        <v>#VALUE!</v>
      </c>
      <c r="J67" s="37" t="e">
        <f ca="1">Calcu!AC140</f>
        <v>#N/A</v>
      </c>
      <c r="K67" s="37" t="e">
        <f ca="1">Calcu!AB140</f>
        <v>#N/A</v>
      </c>
      <c r="L67" s="37" t="str">
        <f>LEFT(Calcu!AE140,1)</f>
        <v/>
      </c>
      <c r="M67" s="37" t="s">
        <v>481</v>
      </c>
      <c r="N67" s="37" t="s">
        <v>481</v>
      </c>
      <c r="O67" s="37" t="s">
        <v>481</v>
      </c>
      <c r="Q67" s="37" t="e">
        <f ca="1">Calcu!AF140</f>
        <v>#N/A</v>
      </c>
    </row>
    <row r="68" spans="1:17" ht="15" customHeight="1">
      <c r="A68" s="44" t="str">
        <f>IF(Calcu!B141=TRUE,"","삭제")</f>
        <v>삭제</v>
      </c>
      <c r="B68" s="43"/>
      <c r="C68" s="43"/>
      <c r="D68" s="43"/>
      <c r="E68" s="37" t="s">
        <v>510</v>
      </c>
      <c r="F68" s="51" t="e">
        <f ca="1">Calcu!AA141</f>
        <v>#N/A</v>
      </c>
      <c r="G68" s="51" t="s">
        <v>184</v>
      </c>
      <c r="H68" s="51" t="e">
        <f ca="1">Calcu!AD141</f>
        <v>#VALUE!</v>
      </c>
      <c r="J68" s="37" t="e">
        <f ca="1">Calcu!AC141</f>
        <v>#N/A</v>
      </c>
      <c r="K68" s="37" t="e">
        <f ca="1">Calcu!AB141</f>
        <v>#N/A</v>
      </c>
      <c r="L68" s="37" t="str">
        <f>LEFT(Calcu!AE141,1)</f>
        <v/>
      </c>
      <c r="M68" s="37" t="s">
        <v>481</v>
      </c>
      <c r="N68" s="37" t="s">
        <v>481</v>
      </c>
      <c r="O68" s="37" t="s">
        <v>481</v>
      </c>
      <c r="Q68" s="37" t="e">
        <f ca="1">Calcu!AF141</f>
        <v>#N/A</v>
      </c>
    </row>
    <row r="69" spans="1:17" ht="15" customHeight="1">
      <c r="A69" s="44" t="str">
        <f>IF(Calcu!B142=TRUE,"","삭제")</f>
        <v>삭제</v>
      </c>
      <c r="B69" s="43"/>
      <c r="C69" s="43"/>
      <c r="D69" s="43"/>
      <c r="E69" s="37" t="s">
        <v>510</v>
      </c>
      <c r="F69" s="51" t="e">
        <f ca="1">Calcu!AA142</f>
        <v>#N/A</v>
      </c>
      <c r="G69" s="51" t="s">
        <v>184</v>
      </c>
      <c r="H69" s="51" t="e">
        <f ca="1">Calcu!AD142</f>
        <v>#VALUE!</v>
      </c>
      <c r="J69" s="37" t="e">
        <f ca="1">Calcu!AC142</f>
        <v>#N/A</v>
      </c>
      <c r="K69" s="37" t="e">
        <f ca="1">Calcu!AB142</f>
        <v>#N/A</v>
      </c>
      <c r="L69" s="37" t="str">
        <f>LEFT(Calcu!AE142,1)</f>
        <v/>
      </c>
      <c r="M69" s="37" t="s">
        <v>481</v>
      </c>
      <c r="N69" s="37" t="s">
        <v>481</v>
      </c>
      <c r="O69" s="37" t="s">
        <v>481</v>
      </c>
      <c r="Q69" s="37" t="e">
        <f ca="1">Calcu!AF142</f>
        <v>#N/A</v>
      </c>
    </row>
    <row r="70" spans="1:17" ht="15" customHeight="1">
      <c r="A70" s="44" t="str">
        <f>IF(Calcu!B143=TRUE,"","삭제")</f>
        <v>삭제</v>
      </c>
      <c r="B70" s="43"/>
      <c r="C70" s="43"/>
      <c r="D70" s="43"/>
      <c r="E70" s="37" t="s">
        <v>510</v>
      </c>
      <c r="F70" s="51" t="e">
        <f ca="1">Calcu!AA143</f>
        <v>#N/A</v>
      </c>
      <c r="G70" s="51" t="s">
        <v>184</v>
      </c>
      <c r="H70" s="51" t="e">
        <f ca="1">Calcu!AD143</f>
        <v>#VALUE!</v>
      </c>
      <c r="J70" s="37" t="e">
        <f ca="1">Calcu!AC143</f>
        <v>#N/A</v>
      </c>
      <c r="K70" s="37" t="e">
        <f ca="1">Calcu!AB143</f>
        <v>#N/A</v>
      </c>
      <c r="L70" s="37" t="str">
        <f>LEFT(Calcu!AE143,1)</f>
        <v/>
      </c>
      <c r="M70" s="37" t="s">
        <v>481</v>
      </c>
      <c r="N70" s="37" t="s">
        <v>481</v>
      </c>
      <c r="O70" s="37" t="s">
        <v>481</v>
      </c>
      <c r="Q70" s="37" t="e">
        <f ca="1">Calcu!AF143</f>
        <v>#N/A</v>
      </c>
    </row>
    <row r="71" spans="1:17" ht="15" customHeight="1">
      <c r="A71" s="44" t="str">
        <f>IF(Calcu!B144=TRUE,"","삭제")</f>
        <v>삭제</v>
      </c>
      <c r="B71" s="43"/>
      <c r="C71" s="43"/>
      <c r="D71" s="43"/>
      <c r="E71" s="37" t="s">
        <v>510</v>
      </c>
      <c r="F71" s="51" t="e">
        <f ca="1">Calcu!AA144</f>
        <v>#N/A</v>
      </c>
      <c r="G71" s="51" t="s">
        <v>184</v>
      </c>
      <c r="H71" s="51" t="e">
        <f ca="1">Calcu!AD144</f>
        <v>#VALUE!</v>
      </c>
      <c r="J71" s="37" t="e">
        <f ca="1">Calcu!AC144</f>
        <v>#N/A</v>
      </c>
      <c r="K71" s="37" t="e">
        <f ca="1">Calcu!AB144</f>
        <v>#N/A</v>
      </c>
      <c r="L71" s="37" t="str">
        <f>LEFT(Calcu!AE144,1)</f>
        <v/>
      </c>
      <c r="M71" s="37" t="s">
        <v>481</v>
      </c>
      <c r="N71" s="37" t="s">
        <v>481</v>
      </c>
      <c r="O71" s="37" t="s">
        <v>481</v>
      </c>
      <c r="Q71" s="37" t="e">
        <f ca="1">Calcu!AF144</f>
        <v>#N/A</v>
      </c>
    </row>
    <row r="72" spans="1:17" ht="15" customHeight="1">
      <c r="A72" s="44" t="str">
        <f>IF(Calcu!B145=TRUE,"","삭제")</f>
        <v>삭제</v>
      </c>
      <c r="B72" s="43"/>
      <c r="C72" s="43"/>
      <c r="D72" s="43"/>
      <c r="E72" s="37" t="s">
        <v>510</v>
      </c>
      <c r="F72" s="51" t="e">
        <f ca="1">Calcu!AA145</f>
        <v>#N/A</v>
      </c>
      <c r="G72" s="51" t="s">
        <v>184</v>
      </c>
      <c r="H72" s="51" t="e">
        <f ca="1">Calcu!AD145</f>
        <v>#VALUE!</v>
      </c>
      <c r="J72" s="37" t="e">
        <f ca="1">Calcu!AC145</f>
        <v>#N/A</v>
      </c>
      <c r="K72" s="37" t="e">
        <f ca="1">Calcu!AB145</f>
        <v>#N/A</v>
      </c>
      <c r="L72" s="37" t="str">
        <f>LEFT(Calcu!AE145,1)</f>
        <v/>
      </c>
      <c r="M72" s="37" t="s">
        <v>481</v>
      </c>
      <c r="N72" s="37" t="s">
        <v>481</v>
      </c>
      <c r="O72" s="37" t="s">
        <v>481</v>
      </c>
      <c r="Q72" s="37" t="e">
        <f ca="1">Calcu!AF145</f>
        <v>#N/A</v>
      </c>
    </row>
    <row r="73" spans="1:17" ht="15" customHeight="1">
      <c r="A73" s="44" t="str">
        <f>IF(Calcu!B146=TRUE,"","삭제")</f>
        <v>삭제</v>
      </c>
      <c r="B73" s="43"/>
      <c r="C73" s="43"/>
      <c r="D73" s="43"/>
      <c r="E73" s="37" t="s">
        <v>510</v>
      </c>
      <c r="F73" s="51" t="e">
        <f ca="1">Calcu!AA146</f>
        <v>#N/A</v>
      </c>
      <c r="G73" s="51" t="s">
        <v>184</v>
      </c>
      <c r="H73" s="51" t="e">
        <f ca="1">Calcu!AD146</f>
        <v>#VALUE!</v>
      </c>
      <c r="J73" s="37" t="e">
        <f ca="1">Calcu!AC146</f>
        <v>#N/A</v>
      </c>
      <c r="K73" s="37" t="e">
        <f ca="1">Calcu!AB146</f>
        <v>#N/A</v>
      </c>
      <c r="L73" s="37" t="str">
        <f>LEFT(Calcu!AE146,1)</f>
        <v/>
      </c>
      <c r="M73" s="37" t="s">
        <v>481</v>
      </c>
      <c r="N73" s="37" t="s">
        <v>481</v>
      </c>
      <c r="O73" s="37" t="s">
        <v>481</v>
      </c>
      <c r="Q73" s="37" t="e">
        <f ca="1">Calcu!AF146</f>
        <v>#N/A</v>
      </c>
    </row>
    <row r="74" spans="1:17" ht="15" customHeight="1">
      <c r="A74" s="44" t="str">
        <f>IF(Calcu!B147=TRUE,"","삭제")</f>
        <v>삭제</v>
      </c>
      <c r="B74" s="43"/>
      <c r="C74" s="43"/>
      <c r="D74" s="43"/>
      <c r="E74" s="37" t="s">
        <v>510</v>
      </c>
      <c r="F74" s="51" t="e">
        <f ca="1">Calcu!AA147</f>
        <v>#N/A</v>
      </c>
      <c r="G74" s="51" t="s">
        <v>184</v>
      </c>
      <c r="H74" s="51" t="e">
        <f ca="1">Calcu!AD147</f>
        <v>#VALUE!</v>
      </c>
      <c r="J74" s="37" t="e">
        <f ca="1">Calcu!AC147</f>
        <v>#N/A</v>
      </c>
      <c r="K74" s="37" t="e">
        <f ca="1">Calcu!AB147</f>
        <v>#N/A</v>
      </c>
      <c r="L74" s="37" t="str">
        <f>LEFT(Calcu!AE147,1)</f>
        <v/>
      </c>
      <c r="M74" s="37" t="s">
        <v>481</v>
      </c>
      <c r="N74" s="37" t="s">
        <v>481</v>
      </c>
      <c r="O74" s="37" t="s">
        <v>481</v>
      </c>
      <c r="Q74" s="37" t="e">
        <f ca="1">Calcu!AF147</f>
        <v>#N/A</v>
      </c>
    </row>
    <row r="75" spans="1:17" ht="15" customHeight="1">
      <c r="A75" s="44" t="str">
        <f>IF(Calcu!B148=TRUE,"","삭제")</f>
        <v>삭제</v>
      </c>
      <c r="B75" s="43"/>
      <c r="C75" s="43"/>
      <c r="D75" s="43"/>
      <c r="E75" s="37" t="s">
        <v>510</v>
      </c>
      <c r="F75" s="51" t="e">
        <f ca="1">Calcu!AA148</f>
        <v>#N/A</v>
      </c>
      <c r="G75" s="51" t="s">
        <v>184</v>
      </c>
      <c r="H75" s="51" t="e">
        <f ca="1">Calcu!AD148</f>
        <v>#VALUE!</v>
      </c>
      <c r="J75" s="37" t="e">
        <f ca="1">Calcu!AC148</f>
        <v>#N/A</v>
      </c>
      <c r="K75" s="37" t="e">
        <f ca="1">Calcu!AB148</f>
        <v>#N/A</v>
      </c>
      <c r="L75" s="37" t="str">
        <f>LEFT(Calcu!AE148,1)</f>
        <v/>
      </c>
      <c r="M75" s="37" t="s">
        <v>481</v>
      </c>
      <c r="N75" s="37" t="s">
        <v>481</v>
      </c>
      <c r="O75" s="37" t="s">
        <v>481</v>
      </c>
      <c r="Q75" s="37" t="e">
        <f ca="1">Calcu!AF148</f>
        <v>#N/A</v>
      </c>
    </row>
    <row r="76" spans="1:17" ht="15" customHeight="1">
      <c r="A76" s="44" t="str">
        <f>IF(Calcu!B149=TRUE,"","삭제")</f>
        <v>삭제</v>
      </c>
      <c r="B76" s="43"/>
      <c r="C76" s="43"/>
      <c r="D76" s="43"/>
      <c r="E76" s="37" t="s">
        <v>510</v>
      </c>
      <c r="F76" s="51" t="e">
        <f ca="1">Calcu!AA149</f>
        <v>#N/A</v>
      </c>
      <c r="G76" s="51" t="s">
        <v>184</v>
      </c>
      <c r="H76" s="51" t="e">
        <f ca="1">Calcu!AD149</f>
        <v>#VALUE!</v>
      </c>
      <c r="J76" s="37" t="e">
        <f ca="1">Calcu!AC149</f>
        <v>#N/A</v>
      </c>
      <c r="K76" s="37" t="e">
        <f ca="1">Calcu!AB149</f>
        <v>#N/A</v>
      </c>
      <c r="L76" s="37" t="str">
        <f>LEFT(Calcu!AE149,1)</f>
        <v/>
      </c>
      <c r="M76" s="37" t="s">
        <v>481</v>
      </c>
      <c r="N76" s="37" t="s">
        <v>481</v>
      </c>
      <c r="O76" s="37" t="s">
        <v>481</v>
      </c>
      <c r="Q76" s="37" t="e">
        <f ca="1">Calcu!AF149</f>
        <v>#N/A</v>
      </c>
    </row>
    <row r="77" spans="1:17" ht="15" customHeight="1">
      <c r="A77" s="44" t="str">
        <f>IF(Calcu!B150=TRUE,"","삭제")</f>
        <v>삭제</v>
      </c>
      <c r="B77" s="43"/>
      <c r="C77" s="43"/>
      <c r="D77" s="43"/>
      <c r="E77" s="37" t="s">
        <v>510</v>
      </c>
      <c r="F77" s="51" t="e">
        <f ca="1">Calcu!AA150</f>
        <v>#N/A</v>
      </c>
      <c r="G77" s="51" t="s">
        <v>184</v>
      </c>
      <c r="H77" s="51" t="e">
        <f ca="1">Calcu!AD150</f>
        <v>#VALUE!</v>
      </c>
      <c r="J77" s="37" t="e">
        <f ca="1">Calcu!AC150</f>
        <v>#N/A</v>
      </c>
      <c r="K77" s="37" t="e">
        <f ca="1">Calcu!AB150</f>
        <v>#N/A</v>
      </c>
      <c r="L77" s="37" t="str">
        <f>LEFT(Calcu!AE150,1)</f>
        <v/>
      </c>
      <c r="M77" s="37" t="s">
        <v>481</v>
      </c>
      <c r="N77" s="37" t="s">
        <v>481</v>
      </c>
      <c r="O77" s="37" t="s">
        <v>481</v>
      </c>
      <c r="Q77" s="37" t="e">
        <f ca="1">Calcu!AF150</f>
        <v>#N/A</v>
      </c>
    </row>
    <row r="78" spans="1:17" ht="15" customHeight="1">
      <c r="A78" s="44" t="str">
        <f>IF(Calcu!B151=TRUE,"","삭제")</f>
        <v>삭제</v>
      </c>
      <c r="B78" s="43"/>
      <c r="C78" s="43"/>
      <c r="D78" s="43"/>
      <c r="E78" s="37" t="s">
        <v>510</v>
      </c>
      <c r="F78" s="51" t="e">
        <f ca="1">Calcu!AA151</f>
        <v>#N/A</v>
      </c>
      <c r="G78" s="51" t="s">
        <v>184</v>
      </c>
      <c r="H78" s="51" t="e">
        <f ca="1">Calcu!AD151</f>
        <v>#VALUE!</v>
      </c>
      <c r="J78" s="37" t="e">
        <f ca="1">Calcu!AC151</f>
        <v>#N/A</v>
      </c>
      <c r="K78" s="37" t="e">
        <f ca="1">Calcu!AB151</f>
        <v>#N/A</v>
      </c>
      <c r="L78" s="37" t="str">
        <f>LEFT(Calcu!AE151,1)</f>
        <v/>
      </c>
      <c r="M78" s="37" t="s">
        <v>481</v>
      </c>
      <c r="N78" s="37" t="s">
        <v>481</v>
      </c>
      <c r="O78" s="37" t="s">
        <v>481</v>
      </c>
      <c r="Q78" s="37" t="e">
        <f ca="1">Calcu!AF151</f>
        <v>#N/A</v>
      </c>
    </row>
    <row r="79" spans="1:17" ht="15" customHeight="1">
      <c r="A79" s="296" t="str">
        <f>A59</f>
        <v>삭제</v>
      </c>
      <c r="G79" s="53" t="e">
        <f ca="1">IF(Calcu!E178="사다리꼴","※ 신뢰수준 95 %,","※ 신뢰수준 약 95 %,")</f>
        <v>#N/A</v>
      </c>
      <c r="H79" s="205" t="e">
        <f ca="1">Calcu!E179&amp;IF(Calcu!E178="사다리꼴",", 사다리꼴 확률분포","")</f>
        <v>#N/A</v>
      </c>
      <c r="K79" s="50"/>
      <c r="Q79" s="53"/>
    </row>
    <row r="80" spans="1:17" ht="15" customHeight="1"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4"/>
    </row>
  </sheetData>
  <mergeCells count="13">
    <mergeCell ref="P13:P14"/>
    <mergeCell ref="Q13:Q14"/>
    <mergeCell ref="A1:Q2"/>
    <mergeCell ref="B13:B14"/>
    <mergeCell ref="C13:C14"/>
    <mergeCell ref="D13:D14"/>
    <mergeCell ref="E13:E14"/>
    <mergeCell ref="F13:F14"/>
    <mergeCell ref="G13:G14"/>
    <mergeCell ref="H13:H14"/>
    <mergeCell ref="I13:I14"/>
    <mergeCell ref="J13:L13"/>
    <mergeCell ref="M13:O13"/>
  </mergeCells>
  <phoneticPr fontId="4" type="noConversion"/>
  <printOptions horizontalCentered="1"/>
  <pageMargins left="0" right="0" top="0.35433070866141736" bottom="0.59055118110236227" header="0" footer="0"/>
  <pageSetup paperSize="9" scale="97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79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4.77734375" style="37" customWidth="1"/>
    <col min="5" max="8" width="9.77734375" style="37" customWidth="1"/>
    <col min="9" max="11" width="4.77734375" style="37" customWidth="1"/>
    <col min="12" max="12" width="4.77734375" style="91" customWidth="1"/>
    <col min="13" max="13" width="6.77734375" style="106" customWidth="1"/>
    <col min="14" max="16384" width="10.77734375" style="91"/>
  </cols>
  <sheetData>
    <row r="1" spans="1:13" s="78" customFormat="1" ht="33" customHeight="1">
      <c r="A1" s="434" t="s">
        <v>74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80"/>
    </row>
    <row r="2" spans="1:13" s="78" customFormat="1" ht="33" customHeight="1">
      <c r="A2" s="434"/>
      <c r="B2" s="434"/>
      <c r="C2" s="434"/>
      <c r="D2" s="434"/>
      <c r="E2" s="434"/>
      <c r="F2" s="434"/>
      <c r="G2" s="434"/>
      <c r="H2" s="434"/>
      <c r="I2" s="434"/>
      <c r="J2" s="434"/>
      <c r="K2" s="434"/>
      <c r="L2" s="434"/>
      <c r="M2" s="80"/>
    </row>
    <row r="3" spans="1:13" s="78" customFormat="1" ht="12.75" customHeight="1">
      <c r="A3" s="48"/>
      <c r="B3" s="48"/>
      <c r="C3" s="48"/>
      <c r="D3" s="22"/>
      <c r="E3" s="22"/>
      <c r="F3" s="22"/>
      <c r="G3" s="22"/>
      <c r="H3" s="22"/>
      <c r="I3" s="22"/>
      <c r="J3" s="22"/>
      <c r="K3" s="22"/>
      <c r="L3" s="79"/>
      <c r="M3" s="105"/>
    </row>
    <row r="4" spans="1:13" s="80" customFormat="1" ht="13.5" customHeight="1">
      <c r="A4" s="88"/>
      <c r="B4" s="88"/>
      <c r="C4" s="88"/>
      <c r="D4" s="89"/>
      <c r="E4" s="89"/>
      <c r="F4" s="97"/>
      <c r="G4" s="89"/>
      <c r="H4" s="89"/>
      <c r="I4" s="98"/>
      <c r="J4" s="90"/>
      <c r="K4" s="97"/>
      <c r="L4" s="88"/>
      <c r="M4" s="36"/>
    </row>
    <row r="5" spans="1:13" s="81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3" s="83" customFormat="1" ht="15" customHeight="1">
      <c r="A6" s="291" t="str">
        <f>IF(Calcu!B10=TRUE,"","삭제")</f>
        <v>삭제</v>
      </c>
      <c r="D6" s="43"/>
      <c r="E6" s="38" t="s">
        <v>529</v>
      </c>
      <c r="F6" s="37"/>
      <c r="G6" s="52"/>
      <c r="H6" s="52"/>
      <c r="I6" s="52"/>
      <c r="J6" s="51"/>
      <c r="K6" s="37"/>
      <c r="L6" s="92"/>
    </row>
    <row r="7" spans="1:13" s="83" customFormat="1" ht="15" customHeight="1">
      <c r="A7" s="291" t="str">
        <f>A6</f>
        <v>삭제</v>
      </c>
      <c r="D7" s="43"/>
      <c r="E7" s="136" t="s">
        <v>119</v>
      </c>
      <c r="F7" s="136" t="s">
        <v>89</v>
      </c>
      <c r="G7" s="168" t="s">
        <v>88</v>
      </c>
      <c r="H7" s="433" t="s">
        <v>90</v>
      </c>
      <c r="I7" s="51"/>
    </row>
    <row r="8" spans="1:13" s="83" customFormat="1" ht="15" customHeight="1">
      <c r="A8" s="291" t="str">
        <f>A7</f>
        <v>삭제</v>
      </c>
      <c r="D8" s="43"/>
      <c r="E8" s="135" t="s">
        <v>124</v>
      </c>
      <c r="F8" s="135" t="s">
        <v>124</v>
      </c>
      <c r="G8" s="135" t="s">
        <v>123</v>
      </c>
      <c r="H8" s="409"/>
      <c r="I8" s="51"/>
    </row>
    <row r="9" spans="1:13" s="83" customFormat="1" ht="15" customHeight="1">
      <c r="A9" s="43" t="str">
        <f>IF(Calcu!B10=TRUE,"","삭제")</f>
        <v>삭제</v>
      </c>
      <c r="D9" s="43"/>
      <c r="E9" s="198" t="e">
        <f ca="1">Calcu!AA10</f>
        <v>#N/A</v>
      </c>
      <c r="F9" s="198" t="e">
        <f ca="1">Calcu!AC10</f>
        <v>#N/A</v>
      </c>
      <c r="G9" s="198" t="e">
        <f ca="1">Calcu!AD10</f>
        <v>#VALUE!</v>
      </c>
      <c r="H9" s="198" t="str">
        <f>Calcu!AE10</f>
        <v/>
      </c>
      <c r="I9" s="51"/>
    </row>
    <row r="10" spans="1:13" s="83" customFormat="1" ht="15" customHeight="1">
      <c r="A10" s="43" t="str">
        <f>IF(Calcu!B11=TRUE,"","삭제")</f>
        <v>삭제</v>
      </c>
      <c r="D10" s="43"/>
      <c r="E10" s="198" t="e">
        <f ca="1">Calcu!AA11</f>
        <v>#N/A</v>
      </c>
      <c r="F10" s="198" t="e">
        <f ca="1">Calcu!AC11</f>
        <v>#N/A</v>
      </c>
      <c r="G10" s="198" t="e">
        <f ca="1">Calcu!AD11</f>
        <v>#VALUE!</v>
      </c>
      <c r="H10" s="198" t="str">
        <f>Calcu!AE11</f>
        <v/>
      </c>
      <c r="I10" s="51"/>
    </row>
    <row r="11" spans="1:13" s="83" customFormat="1" ht="15" customHeight="1">
      <c r="A11" s="43" t="str">
        <f>IF(Calcu!B12=TRUE,"","삭제")</f>
        <v>삭제</v>
      </c>
      <c r="D11" s="43"/>
      <c r="E11" s="198" t="e">
        <f ca="1">Calcu!AA12</f>
        <v>#N/A</v>
      </c>
      <c r="F11" s="198" t="e">
        <f ca="1">Calcu!AC12</f>
        <v>#N/A</v>
      </c>
      <c r="G11" s="198" t="e">
        <f ca="1">Calcu!AD12</f>
        <v>#VALUE!</v>
      </c>
      <c r="H11" s="198" t="str">
        <f>Calcu!AE12</f>
        <v/>
      </c>
      <c r="I11" s="51"/>
    </row>
    <row r="12" spans="1:13" s="83" customFormat="1" ht="15" customHeight="1">
      <c r="A12" s="43" t="str">
        <f>IF(Calcu!B13=TRUE,"","삭제")</f>
        <v>삭제</v>
      </c>
      <c r="D12" s="43"/>
      <c r="E12" s="198" t="e">
        <f ca="1">Calcu!AA13</f>
        <v>#N/A</v>
      </c>
      <c r="F12" s="198" t="e">
        <f ca="1">Calcu!AC13</f>
        <v>#N/A</v>
      </c>
      <c r="G12" s="198" t="e">
        <f ca="1">Calcu!AD13</f>
        <v>#VALUE!</v>
      </c>
      <c r="H12" s="198" t="str">
        <f>Calcu!AE13</f>
        <v/>
      </c>
      <c r="I12" s="51"/>
    </row>
    <row r="13" spans="1:13" s="83" customFormat="1" ht="15" customHeight="1">
      <c r="A13" s="43" t="str">
        <f>IF(Calcu!B14=TRUE,"","삭제")</f>
        <v>삭제</v>
      </c>
      <c r="D13" s="43"/>
      <c r="E13" s="198" t="e">
        <f ca="1">Calcu!AA14</f>
        <v>#N/A</v>
      </c>
      <c r="F13" s="198" t="e">
        <f ca="1">Calcu!AC14</f>
        <v>#N/A</v>
      </c>
      <c r="G13" s="198" t="e">
        <f ca="1">Calcu!AD14</f>
        <v>#VALUE!</v>
      </c>
      <c r="H13" s="198" t="str">
        <f>Calcu!AE14</f>
        <v/>
      </c>
      <c r="I13" s="51"/>
    </row>
    <row r="14" spans="1:13" s="83" customFormat="1" ht="15" customHeight="1">
      <c r="A14" s="43" t="str">
        <f>IF(Calcu!B15=TRUE,"","삭제")</f>
        <v>삭제</v>
      </c>
      <c r="D14" s="43"/>
      <c r="E14" s="198" t="e">
        <f ca="1">Calcu!AA15</f>
        <v>#N/A</v>
      </c>
      <c r="F14" s="198" t="e">
        <f ca="1">Calcu!AC15</f>
        <v>#N/A</v>
      </c>
      <c r="G14" s="198" t="e">
        <f ca="1">Calcu!AD15</f>
        <v>#VALUE!</v>
      </c>
      <c r="H14" s="198" t="str">
        <f>Calcu!AE15</f>
        <v/>
      </c>
      <c r="I14" s="51"/>
    </row>
    <row r="15" spans="1:13" s="83" customFormat="1" ht="15" customHeight="1">
      <c r="A15" s="43" t="str">
        <f>IF(Calcu!B16=TRUE,"","삭제")</f>
        <v>삭제</v>
      </c>
      <c r="D15" s="43"/>
      <c r="E15" s="198" t="e">
        <f ca="1">Calcu!AA16</f>
        <v>#N/A</v>
      </c>
      <c r="F15" s="198" t="e">
        <f ca="1">Calcu!AC16</f>
        <v>#N/A</v>
      </c>
      <c r="G15" s="198" t="e">
        <f ca="1">Calcu!AD16</f>
        <v>#VALUE!</v>
      </c>
      <c r="H15" s="198" t="str">
        <f>Calcu!AE16</f>
        <v/>
      </c>
      <c r="I15" s="51"/>
    </row>
    <row r="16" spans="1:13" s="83" customFormat="1" ht="15" customHeight="1">
      <c r="A16" s="43" t="str">
        <f>IF(Calcu!B17=TRUE,"","삭제")</f>
        <v>삭제</v>
      </c>
      <c r="D16" s="43"/>
      <c r="E16" s="198" t="e">
        <f ca="1">Calcu!AA17</f>
        <v>#N/A</v>
      </c>
      <c r="F16" s="198" t="e">
        <f ca="1">Calcu!AC17</f>
        <v>#N/A</v>
      </c>
      <c r="G16" s="198" t="e">
        <f ca="1">Calcu!AD17</f>
        <v>#VALUE!</v>
      </c>
      <c r="H16" s="198" t="str">
        <f>Calcu!AE17</f>
        <v/>
      </c>
      <c r="I16" s="51"/>
    </row>
    <row r="17" spans="1:12" s="83" customFormat="1" ht="15" customHeight="1">
      <c r="A17" s="43" t="str">
        <f>IF(Calcu!B18=TRUE,"","삭제")</f>
        <v>삭제</v>
      </c>
      <c r="D17" s="43"/>
      <c r="E17" s="198" t="e">
        <f ca="1">Calcu!AA18</f>
        <v>#N/A</v>
      </c>
      <c r="F17" s="198" t="e">
        <f ca="1">Calcu!AC18</f>
        <v>#N/A</v>
      </c>
      <c r="G17" s="198" t="e">
        <f ca="1">Calcu!AD18</f>
        <v>#VALUE!</v>
      </c>
      <c r="H17" s="198" t="str">
        <f>Calcu!AE18</f>
        <v/>
      </c>
      <c r="I17" s="51"/>
    </row>
    <row r="18" spans="1:12" s="83" customFormat="1" ht="15" customHeight="1">
      <c r="A18" s="43" t="str">
        <f>IF(Calcu!B19=TRUE,"","삭제")</f>
        <v>삭제</v>
      </c>
      <c r="D18" s="43"/>
      <c r="E18" s="198" t="e">
        <f ca="1">Calcu!AA19</f>
        <v>#N/A</v>
      </c>
      <c r="F18" s="198" t="e">
        <f ca="1">Calcu!AC19</f>
        <v>#N/A</v>
      </c>
      <c r="G18" s="198" t="e">
        <f ca="1">Calcu!AD19</f>
        <v>#VALUE!</v>
      </c>
      <c r="H18" s="198" t="str">
        <f>Calcu!AE19</f>
        <v/>
      </c>
      <c r="I18" s="51"/>
    </row>
    <row r="19" spans="1:12" s="83" customFormat="1" ht="15" customHeight="1">
      <c r="A19" s="43" t="str">
        <f>IF(Calcu!B20=TRUE,"","삭제")</f>
        <v>삭제</v>
      </c>
      <c r="D19" s="43"/>
      <c r="E19" s="198" t="e">
        <f ca="1">Calcu!AA20</f>
        <v>#N/A</v>
      </c>
      <c r="F19" s="198" t="e">
        <f ca="1">Calcu!AC20</f>
        <v>#N/A</v>
      </c>
      <c r="G19" s="198" t="e">
        <f ca="1">Calcu!AD20</f>
        <v>#VALUE!</v>
      </c>
      <c r="H19" s="198" t="str">
        <f>Calcu!AE20</f>
        <v/>
      </c>
      <c r="I19" s="51"/>
    </row>
    <row r="20" spans="1:12" s="83" customFormat="1" ht="15" customHeight="1">
      <c r="A20" s="43" t="str">
        <f>IF(Calcu!B21=TRUE,"","삭제")</f>
        <v>삭제</v>
      </c>
      <c r="D20" s="43"/>
      <c r="E20" s="198" t="e">
        <f ca="1">Calcu!AA21</f>
        <v>#N/A</v>
      </c>
      <c r="F20" s="198" t="e">
        <f ca="1">Calcu!AC21</f>
        <v>#N/A</v>
      </c>
      <c r="G20" s="198" t="e">
        <f ca="1">Calcu!AD21</f>
        <v>#VALUE!</v>
      </c>
      <c r="H20" s="198" t="str">
        <f>Calcu!AE21</f>
        <v/>
      </c>
      <c r="I20" s="51"/>
    </row>
    <row r="21" spans="1:12" s="83" customFormat="1" ht="15" customHeight="1">
      <c r="A21" s="43" t="str">
        <f>IF(Calcu!B22=TRUE,"","삭제")</f>
        <v>삭제</v>
      </c>
      <c r="D21" s="43"/>
      <c r="E21" s="198" t="e">
        <f ca="1">Calcu!AA22</f>
        <v>#N/A</v>
      </c>
      <c r="F21" s="198" t="e">
        <f ca="1">Calcu!AC22</f>
        <v>#N/A</v>
      </c>
      <c r="G21" s="198" t="e">
        <f ca="1">Calcu!AD22</f>
        <v>#VALUE!</v>
      </c>
      <c r="H21" s="198" t="str">
        <f>Calcu!AE22</f>
        <v/>
      </c>
      <c r="I21" s="51"/>
    </row>
    <row r="22" spans="1:12" s="83" customFormat="1" ht="15" customHeight="1">
      <c r="A22" s="43" t="str">
        <f>IF(Calcu!B23=TRUE,"","삭제")</f>
        <v>삭제</v>
      </c>
      <c r="D22" s="43"/>
      <c r="E22" s="198" t="e">
        <f ca="1">Calcu!AA23</f>
        <v>#N/A</v>
      </c>
      <c r="F22" s="198" t="e">
        <f ca="1">Calcu!AC23</f>
        <v>#N/A</v>
      </c>
      <c r="G22" s="198" t="e">
        <f ca="1">Calcu!AD23</f>
        <v>#VALUE!</v>
      </c>
      <c r="H22" s="198" t="str">
        <f>Calcu!AE23</f>
        <v/>
      </c>
      <c r="I22" s="51"/>
    </row>
    <row r="23" spans="1:12" s="83" customFormat="1" ht="15" customHeight="1">
      <c r="A23" s="43" t="str">
        <f>IF(Calcu!B24=TRUE,"","삭제")</f>
        <v>삭제</v>
      </c>
      <c r="D23" s="43"/>
      <c r="E23" s="198" t="e">
        <f ca="1">Calcu!AA24</f>
        <v>#N/A</v>
      </c>
      <c r="F23" s="198" t="e">
        <f ca="1">Calcu!AC24</f>
        <v>#N/A</v>
      </c>
      <c r="G23" s="198" t="e">
        <f ca="1">Calcu!AD24</f>
        <v>#VALUE!</v>
      </c>
      <c r="H23" s="198" t="str">
        <f>Calcu!AE24</f>
        <v/>
      </c>
      <c r="I23" s="51"/>
    </row>
    <row r="24" spans="1:12" s="83" customFormat="1" ht="15" customHeight="1">
      <c r="A24" s="43" t="str">
        <f>IF(Calcu!B25=TRUE,"","삭제")</f>
        <v>삭제</v>
      </c>
      <c r="D24" s="43"/>
      <c r="E24" s="198" t="e">
        <f ca="1">Calcu!AA25</f>
        <v>#N/A</v>
      </c>
      <c r="F24" s="198" t="e">
        <f ca="1">Calcu!AC25</f>
        <v>#N/A</v>
      </c>
      <c r="G24" s="198" t="e">
        <f ca="1">Calcu!AD25</f>
        <v>#VALUE!</v>
      </c>
      <c r="H24" s="198" t="str">
        <f>Calcu!AE25</f>
        <v/>
      </c>
      <c r="I24" s="51"/>
    </row>
    <row r="25" spans="1:12" s="83" customFormat="1" ht="15" customHeight="1">
      <c r="A25" s="43" t="str">
        <f>IF(Calcu!B26=TRUE,"","삭제")</f>
        <v>삭제</v>
      </c>
      <c r="D25" s="43"/>
      <c r="E25" s="198" t="e">
        <f ca="1">Calcu!AA26</f>
        <v>#N/A</v>
      </c>
      <c r="F25" s="198" t="e">
        <f ca="1">Calcu!AC26</f>
        <v>#N/A</v>
      </c>
      <c r="G25" s="198" t="e">
        <f ca="1">Calcu!AD26</f>
        <v>#VALUE!</v>
      </c>
      <c r="H25" s="198" t="str">
        <f>Calcu!AE26</f>
        <v/>
      </c>
      <c r="I25" s="51"/>
    </row>
    <row r="26" spans="1:12" s="83" customFormat="1" ht="15" customHeight="1">
      <c r="A26" s="43" t="str">
        <f>IF(Calcu!B27=TRUE,"","삭제")</f>
        <v>삭제</v>
      </c>
      <c r="D26" s="43"/>
      <c r="E26" s="198" t="e">
        <f ca="1">Calcu!AA27</f>
        <v>#N/A</v>
      </c>
      <c r="F26" s="198" t="e">
        <f ca="1">Calcu!AC27</f>
        <v>#N/A</v>
      </c>
      <c r="G26" s="198" t="e">
        <f ca="1">Calcu!AD27</f>
        <v>#VALUE!</v>
      </c>
      <c r="H26" s="198" t="str">
        <f>Calcu!AE27</f>
        <v/>
      </c>
      <c r="I26" s="51"/>
    </row>
    <row r="27" spans="1:12" s="83" customFormat="1" ht="15" customHeight="1">
      <c r="A27" s="43" t="str">
        <f>IF(Calcu!B28=TRUE,"","삭제")</f>
        <v>삭제</v>
      </c>
      <c r="D27" s="43"/>
      <c r="E27" s="198" t="e">
        <f ca="1">Calcu!AA28</f>
        <v>#N/A</v>
      </c>
      <c r="F27" s="198" t="e">
        <f ca="1">Calcu!AC28</f>
        <v>#N/A</v>
      </c>
      <c r="G27" s="198" t="e">
        <f ca="1">Calcu!AD28</f>
        <v>#VALUE!</v>
      </c>
      <c r="H27" s="198" t="str">
        <f>Calcu!AE28</f>
        <v/>
      </c>
      <c r="I27" s="51"/>
    </row>
    <row r="28" spans="1:12" s="83" customFormat="1" ht="15" customHeight="1">
      <c r="A28" s="43" t="str">
        <f>IF(Calcu!B29=TRUE,"","삭제")</f>
        <v>삭제</v>
      </c>
      <c r="D28" s="43"/>
      <c r="E28" s="198" t="e">
        <f ca="1">Calcu!AA29</f>
        <v>#N/A</v>
      </c>
      <c r="F28" s="198" t="e">
        <f ca="1">Calcu!AC29</f>
        <v>#N/A</v>
      </c>
      <c r="G28" s="198" t="e">
        <f ca="1">Calcu!AD29</f>
        <v>#VALUE!</v>
      </c>
      <c r="H28" s="198" t="str">
        <f>Calcu!AE29</f>
        <v/>
      </c>
    </row>
    <row r="29" spans="1:12" s="81" customFormat="1" ht="15" customHeight="1">
      <c r="A29" s="292" t="str">
        <f>IF(Calcu!B71=TRUE,"","삭제")</f>
        <v>삭제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1:12" s="83" customFormat="1" ht="15" customHeight="1">
      <c r="A30" s="291" t="str">
        <f>A29</f>
        <v>삭제</v>
      </c>
      <c r="D30" s="43"/>
      <c r="E30" s="38" t="s">
        <v>530</v>
      </c>
      <c r="F30" s="37"/>
      <c r="G30" s="52"/>
      <c r="H30" s="52"/>
      <c r="I30" s="52"/>
      <c r="J30" s="51"/>
      <c r="K30" s="37"/>
      <c r="L30" s="92"/>
    </row>
    <row r="31" spans="1:12" s="83" customFormat="1" ht="15" customHeight="1">
      <c r="A31" s="291" t="str">
        <f>A30</f>
        <v>삭제</v>
      </c>
      <c r="D31" s="43"/>
      <c r="E31" s="136" t="s">
        <v>119</v>
      </c>
      <c r="F31" s="136" t="s">
        <v>89</v>
      </c>
      <c r="G31" s="289" t="s">
        <v>88</v>
      </c>
      <c r="H31" s="433" t="s">
        <v>90</v>
      </c>
      <c r="I31" s="51"/>
    </row>
    <row r="32" spans="1:12" s="83" customFormat="1" ht="15" customHeight="1">
      <c r="A32" s="291" t="str">
        <f>A31</f>
        <v>삭제</v>
      </c>
      <c r="D32" s="43"/>
      <c r="E32" s="135" t="s">
        <v>123</v>
      </c>
      <c r="F32" s="135" t="s">
        <v>123</v>
      </c>
      <c r="G32" s="135" t="s">
        <v>123</v>
      </c>
      <c r="H32" s="409"/>
      <c r="I32" s="51"/>
    </row>
    <row r="33" spans="1:9" s="83" customFormat="1" ht="15" customHeight="1">
      <c r="A33" s="43" t="str">
        <f>IF(Calcu!B71=TRUE,"","삭제")</f>
        <v>삭제</v>
      </c>
      <c r="D33" s="43"/>
      <c r="E33" s="198" t="e">
        <f ca="1">Calcu!AA71</f>
        <v>#N/A</v>
      </c>
      <c r="F33" s="198" t="e">
        <f ca="1">Calcu!AC71</f>
        <v>#N/A</v>
      </c>
      <c r="G33" s="198" t="e">
        <f ca="1">Calcu!AD71</f>
        <v>#VALUE!</v>
      </c>
      <c r="H33" s="198" t="str">
        <f>Calcu!AE71</f>
        <v/>
      </c>
      <c r="I33" s="51"/>
    </row>
    <row r="34" spans="1:9" s="83" customFormat="1" ht="15" customHeight="1">
      <c r="A34" s="43" t="str">
        <f>IF(Calcu!B72=TRUE,"","삭제")</f>
        <v>삭제</v>
      </c>
      <c r="D34" s="43"/>
      <c r="E34" s="198" t="e">
        <f ca="1">Calcu!AA72</f>
        <v>#N/A</v>
      </c>
      <c r="F34" s="198" t="e">
        <f ca="1">Calcu!AC72</f>
        <v>#N/A</v>
      </c>
      <c r="G34" s="198" t="e">
        <f ca="1">Calcu!AD72</f>
        <v>#VALUE!</v>
      </c>
      <c r="H34" s="198" t="str">
        <f>Calcu!AE72</f>
        <v/>
      </c>
      <c r="I34" s="51"/>
    </row>
    <row r="35" spans="1:9" s="83" customFormat="1" ht="15" customHeight="1">
      <c r="A35" s="43" t="str">
        <f>IF(Calcu!B73=TRUE,"","삭제")</f>
        <v>삭제</v>
      </c>
      <c r="D35" s="43"/>
      <c r="E35" s="198" t="e">
        <f ca="1">Calcu!AA73</f>
        <v>#N/A</v>
      </c>
      <c r="F35" s="198" t="e">
        <f ca="1">Calcu!AC73</f>
        <v>#N/A</v>
      </c>
      <c r="G35" s="198" t="e">
        <f ca="1">Calcu!AD73</f>
        <v>#VALUE!</v>
      </c>
      <c r="H35" s="198" t="str">
        <f>Calcu!AE73</f>
        <v/>
      </c>
      <c r="I35" s="51"/>
    </row>
    <row r="36" spans="1:9" s="83" customFormat="1" ht="15" customHeight="1">
      <c r="A36" s="43" t="str">
        <f>IF(Calcu!B74=TRUE,"","삭제")</f>
        <v>삭제</v>
      </c>
      <c r="D36" s="43"/>
      <c r="E36" s="198" t="e">
        <f ca="1">Calcu!AA74</f>
        <v>#N/A</v>
      </c>
      <c r="F36" s="198" t="e">
        <f ca="1">Calcu!AC74</f>
        <v>#N/A</v>
      </c>
      <c r="G36" s="198" t="e">
        <f ca="1">Calcu!AD74</f>
        <v>#VALUE!</v>
      </c>
      <c r="H36" s="198" t="str">
        <f>Calcu!AE74</f>
        <v/>
      </c>
      <c r="I36" s="51"/>
    </row>
    <row r="37" spans="1:9" s="83" customFormat="1" ht="15" customHeight="1">
      <c r="A37" s="43" t="str">
        <f>IF(Calcu!B75=TRUE,"","삭제")</f>
        <v>삭제</v>
      </c>
      <c r="D37" s="43"/>
      <c r="E37" s="198" t="e">
        <f ca="1">Calcu!AA75</f>
        <v>#N/A</v>
      </c>
      <c r="F37" s="198" t="e">
        <f ca="1">Calcu!AC75</f>
        <v>#N/A</v>
      </c>
      <c r="G37" s="198" t="e">
        <f ca="1">Calcu!AD75</f>
        <v>#VALUE!</v>
      </c>
      <c r="H37" s="198" t="str">
        <f>Calcu!AE75</f>
        <v/>
      </c>
      <c r="I37" s="51"/>
    </row>
    <row r="38" spans="1:9" s="83" customFormat="1" ht="15" customHeight="1">
      <c r="A38" s="43" t="str">
        <f>IF(Calcu!B76=TRUE,"","삭제")</f>
        <v>삭제</v>
      </c>
      <c r="D38" s="43"/>
      <c r="E38" s="198" t="e">
        <f ca="1">Calcu!AA76</f>
        <v>#N/A</v>
      </c>
      <c r="F38" s="198" t="e">
        <f ca="1">Calcu!AC76</f>
        <v>#N/A</v>
      </c>
      <c r="G38" s="198" t="e">
        <f ca="1">Calcu!AD76</f>
        <v>#VALUE!</v>
      </c>
      <c r="H38" s="198" t="str">
        <f>Calcu!AE76</f>
        <v/>
      </c>
      <c r="I38" s="51"/>
    </row>
    <row r="39" spans="1:9" s="83" customFormat="1" ht="15" customHeight="1">
      <c r="A39" s="43" t="str">
        <f>IF(Calcu!B77=TRUE,"","삭제")</f>
        <v>삭제</v>
      </c>
      <c r="D39" s="43"/>
      <c r="E39" s="198" t="e">
        <f ca="1">Calcu!AA77</f>
        <v>#N/A</v>
      </c>
      <c r="F39" s="198" t="e">
        <f ca="1">Calcu!AC77</f>
        <v>#N/A</v>
      </c>
      <c r="G39" s="198" t="e">
        <f ca="1">Calcu!AD77</f>
        <v>#VALUE!</v>
      </c>
      <c r="H39" s="198" t="str">
        <f>Calcu!AE77</f>
        <v/>
      </c>
      <c r="I39" s="51"/>
    </row>
    <row r="40" spans="1:9" s="83" customFormat="1" ht="15" customHeight="1">
      <c r="A40" s="43" t="str">
        <f>IF(Calcu!B78=TRUE,"","삭제")</f>
        <v>삭제</v>
      </c>
      <c r="D40" s="43"/>
      <c r="E40" s="198" t="e">
        <f ca="1">Calcu!AA78</f>
        <v>#N/A</v>
      </c>
      <c r="F40" s="198" t="e">
        <f ca="1">Calcu!AC78</f>
        <v>#N/A</v>
      </c>
      <c r="G40" s="198" t="e">
        <f ca="1">Calcu!AD78</f>
        <v>#VALUE!</v>
      </c>
      <c r="H40" s="198" t="str">
        <f>Calcu!AE78</f>
        <v/>
      </c>
      <c r="I40" s="51"/>
    </row>
    <row r="41" spans="1:9" s="83" customFormat="1" ht="15" customHeight="1">
      <c r="A41" s="43" t="str">
        <f>IF(Calcu!B79=TRUE,"","삭제")</f>
        <v>삭제</v>
      </c>
      <c r="D41" s="43"/>
      <c r="E41" s="198" t="e">
        <f ca="1">Calcu!AA79</f>
        <v>#N/A</v>
      </c>
      <c r="F41" s="198" t="e">
        <f ca="1">Calcu!AC79</f>
        <v>#N/A</v>
      </c>
      <c r="G41" s="198" t="e">
        <f ca="1">Calcu!AD79</f>
        <v>#VALUE!</v>
      </c>
      <c r="H41" s="198" t="str">
        <f>Calcu!AE79</f>
        <v/>
      </c>
      <c r="I41" s="51"/>
    </row>
    <row r="42" spans="1:9" s="83" customFormat="1" ht="15" customHeight="1">
      <c r="A42" s="43" t="str">
        <f>IF(Calcu!B80=TRUE,"","삭제")</f>
        <v>삭제</v>
      </c>
      <c r="D42" s="43"/>
      <c r="E42" s="198" t="e">
        <f ca="1">Calcu!AA80</f>
        <v>#N/A</v>
      </c>
      <c r="F42" s="198" t="e">
        <f ca="1">Calcu!AC80</f>
        <v>#N/A</v>
      </c>
      <c r="G42" s="198" t="e">
        <f ca="1">Calcu!AD80</f>
        <v>#VALUE!</v>
      </c>
      <c r="H42" s="198" t="str">
        <f>Calcu!AE80</f>
        <v/>
      </c>
      <c r="I42" s="51"/>
    </row>
    <row r="43" spans="1:9" s="83" customFormat="1" ht="15" customHeight="1">
      <c r="A43" s="43" t="str">
        <f>IF(Calcu!B81=TRUE,"","삭제")</f>
        <v>삭제</v>
      </c>
      <c r="D43" s="43"/>
      <c r="E43" s="198" t="e">
        <f ca="1">Calcu!AA81</f>
        <v>#N/A</v>
      </c>
      <c r="F43" s="198" t="e">
        <f ca="1">Calcu!AC81</f>
        <v>#N/A</v>
      </c>
      <c r="G43" s="198" t="e">
        <f ca="1">Calcu!AD81</f>
        <v>#VALUE!</v>
      </c>
      <c r="H43" s="198" t="str">
        <f>Calcu!AE81</f>
        <v/>
      </c>
      <c r="I43" s="51"/>
    </row>
    <row r="44" spans="1:9" s="83" customFormat="1" ht="15" customHeight="1">
      <c r="A44" s="43" t="str">
        <f>IF(Calcu!B82=TRUE,"","삭제")</f>
        <v>삭제</v>
      </c>
      <c r="D44" s="43"/>
      <c r="E44" s="198" t="e">
        <f ca="1">Calcu!AA82</f>
        <v>#N/A</v>
      </c>
      <c r="F44" s="198" t="e">
        <f ca="1">Calcu!AC82</f>
        <v>#N/A</v>
      </c>
      <c r="G44" s="198" t="e">
        <f ca="1">Calcu!AD82</f>
        <v>#VALUE!</v>
      </c>
      <c r="H44" s="198" t="str">
        <f>Calcu!AE82</f>
        <v/>
      </c>
      <c r="I44" s="51"/>
    </row>
    <row r="45" spans="1:9" s="83" customFormat="1" ht="15" customHeight="1">
      <c r="A45" s="43" t="str">
        <f>IF(Calcu!B83=TRUE,"","삭제")</f>
        <v>삭제</v>
      </c>
      <c r="D45" s="43"/>
      <c r="E45" s="198" t="e">
        <f ca="1">Calcu!AA83</f>
        <v>#N/A</v>
      </c>
      <c r="F45" s="198" t="e">
        <f ca="1">Calcu!AC83</f>
        <v>#N/A</v>
      </c>
      <c r="G45" s="198" t="e">
        <f ca="1">Calcu!AD83</f>
        <v>#VALUE!</v>
      </c>
      <c r="H45" s="198" t="str">
        <f>Calcu!AE83</f>
        <v/>
      </c>
      <c r="I45" s="51"/>
    </row>
    <row r="46" spans="1:9" s="83" customFormat="1" ht="15" customHeight="1">
      <c r="A46" s="43" t="str">
        <f>IF(Calcu!B84=TRUE,"","삭제")</f>
        <v>삭제</v>
      </c>
      <c r="D46" s="43"/>
      <c r="E46" s="198" t="e">
        <f ca="1">Calcu!AA84</f>
        <v>#N/A</v>
      </c>
      <c r="F46" s="198" t="e">
        <f ca="1">Calcu!AC84</f>
        <v>#N/A</v>
      </c>
      <c r="G46" s="198" t="e">
        <f ca="1">Calcu!AD84</f>
        <v>#VALUE!</v>
      </c>
      <c r="H46" s="198" t="str">
        <f>Calcu!AE84</f>
        <v/>
      </c>
      <c r="I46" s="51"/>
    </row>
    <row r="47" spans="1:9" s="83" customFormat="1" ht="15" customHeight="1">
      <c r="A47" s="43" t="str">
        <f>IF(Calcu!B85=TRUE,"","삭제")</f>
        <v>삭제</v>
      </c>
      <c r="D47" s="43"/>
      <c r="E47" s="198" t="e">
        <f ca="1">Calcu!AA85</f>
        <v>#N/A</v>
      </c>
      <c r="F47" s="198" t="e">
        <f ca="1">Calcu!AC85</f>
        <v>#N/A</v>
      </c>
      <c r="G47" s="198" t="e">
        <f ca="1">Calcu!AD85</f>
        <v>#VALUE!</v>
      </c>
      <c r="H47" s="198" t="str">
        <f>Calcu!AE85</f>
        <v/>
      </c>
      <c r="I47" s="51"/>
    </row>
    <row r="48" spans="1:9" s="83" customFormat="1" ht="15" customHeight="1">
      <c r="A48" s="43" t="str">
        <f>IF(Calcu!B86=TRUE,"","삭제")</f>
        <v>삭제</v>
      </c>
      <c r="D48" s="43"/>
      <c r="E48" s="198" t="e">
        <f ca="1">Calcu!AA86</f>
        <v>#N/A</v>
      </c>
      <c r="F48" s="198" t="e">
        <f ca="1">Calcu!AC86</f>
        <v>#N/A</v>
      </c>
      <c r="G48" s="198" t="e">
        <f ca="1">Calcu!AD86</f>
        <v>#VALUE!</v>
      </c>
      <c r="H48" s="198" t="str">
        <f>Calcu!AE86</f>
        <v/>
      </c>
      <c r="I48" s="51"/>
    </row>
    <row r="49" spans="1:12" s="83" customFormat="1" ht="15" customHeight="1">
      <c r="A49" s="43" t="str">
        <f>IF(Calcu!B87=TRUE,"","삭제")</f>
        <v>삭제</v>
      </c>
      <c r="D49" s="43"/>
      <c r="E49" s="198" t="e">
        <f ca="1">Calcu!AA87</f>
        <v>#N/A</v>
      </c>
      <c r="F49" s="198" t="e">
        <f ca="1">Calcu!AC87</f>
        <v>#N/A</v>
      </c>
      <c r="G49" s="198" t="e">
        <f ca="1">Calcu!AD87</f>
        <v>#VALUE!</v>
      </c>
      <c r="H49" s="198" t="str">
        <f>Calcu!AE87</f>
        <v/>
      </c>
      <c r="I49" s="51"/>
    </row>
    <row r="50" spans="1:12" s="83" customFormat="1" ht="15" customHeight="1">
      <c r="A50" s="43" t="str">
        <f>IF(Calcu!B88=TRUE,"","삭제")</f>
        <v>삭제</v>
      </c>
      <c r="D50" s="43"/>
      <c r="E50" s="198" t="e">
        <f ca="1">Calcu!AA88</f>
        <v>#N/A</v>
      </c>
      <c r="F50" s="198" t="e">
        <f ca="1">Calcu!AC88</f>
        <v>#N/A</v>
      </c>
      <c r="G50" s="198" t="e">
        <f ca="1">Calcu!AD88</f>
        <v>#VALUE!</v>
      </c>
      <c r="H50" s="198" t="str">
        <f>Calcu!AE88</f>
        <v/>
      </c>
      <c r="I50" s="51"/>
    </row>
    <row r="51" spans="1:12" s="83" customFormat="1" ht="15" customHeight="1">
      <c r="A51" s="43" t="str">
        <f>IF(Calcu!B89=TRUE,"","삭제")</f>
        <v>삭제</v>
      </c>
      <c r="D51" s="43"/>
      <c r="E51" s="198" t="e">
        <f ca="1">Calcu!AA89</f>
        <v>#N/A</v>
      </c>
      <c r="F51" s="198" t="e">
        <f ca="1">Calcu!AC89</f>
        <v>#N/A</v>
      </c>
      <c r="G51" s="198" t="e">
        <f ca="1">Calcu!AD89</f>
        <v>#VALUE!</v>
      </c>
      <c r="H51" s="198" t="str">
        <f>Calcu!AE89</f>
        <v/>
      </c>
      <c r="I51" s="51"/>
    </row>
    <row r="52" spans="1:12" s="83" customFormat="1" ht="15" customHeight="1">
      <c r="A52" s="43" t="str">
        <f>IF(Calcu!B90=TRUE,"","삭제")</f>
        <v>삭제</v>
      </c>
      <c r="D52" s="43"/>
      <c r="E52" s="198" t="e">
        <f ca="1">Calcu!AA90</f>
        <v>#N/A</v>
      </c>
      <c r="F52" s="198" t="e">
        <f ca="1">Calcu!AC90</f>
        <v>#N/A</v>
      </c>
      <c r="G52" s="198" t="e">
        <f ca="1">Calcu!AD90</f>
        <v>#VALUE!</v>
      </c>
      <c r="H52" s="198" t="str">
        <f>Calcu!AE90</f>
        <v/>
      </c>
    </row>
    <row r="53" spans="1:12" s="81" customFormat="1" ht="15" customHeight="1">
      <c r="A53" s="292" t="str">
        <f>IF(Calcu!B132=TRUE,"","삭제")</f>
        <v>삭제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</row>
    <row r="54" spans="1:12" s="83" customFormat="1" ht="15" customHeight="1">
      <c r="A54" s="291" t="str">
        <f>A53</f>
        <v>삭제</v>
      </c>
      <c r="D54" s="43"/>
      <c r="E54" s="38" t="s">
        <v>531</v>
      </c>
      <c r="F54" s="37"/>
      <c r="G54" s="52"/>
      <c r="H54" s="52"/>
      <c r="I54" s="52"/>
      <c r="J54" s="51"/>
      <c r="K54" s="37"/>
      <c r="L54" s="92"/>
    </row>
    <row r="55" spans="1:12" s="83" customFormat="1" ht="15" customHeight="1">
      <c r="A55" s="291" t="str">
        <f>A54</f>
        <v>삭제</v>
      </c>
      <c r="D55" s="43"/>
      <c r="E55" s="136" t="s">
        <v>119</v>
      </c>
      <c r="F55" s="136" t="s">
        <v>89</v>
      </c>
      <c r="G55" s="289" t="s">
        <v>88</v>
      </c>
      <c r="H55" s="433" t="s">
        <v>90</v>
      </c>
      <c r="I55" s="51"/>
    </row>
    <row r="56" spans="1:12" s="83" customFormat="1" ht="15" customHeight="1">
      <c r="A56" s="291" t="str">
        <f>A55</f>
        <v>삭제</v>
      </c>
      <c r="D56" s="43"/>
      <c r="E56" s="135" t="s">
        <v>123</v>
      </c>
      <c r="F56" s="135" t="s">
        <v>123</v>
      </c>
      <c r="G56" s="135" t="s">
        <v>123</v>
      </c>
      <c r="H56" s="409"/>
      <c r="I56" s="51"/>
    </row>
    <row r="57" spans="1:12" s="83" customFormat="1" ht="15" customHeight="1">
      <c r="A57" s="43" t="str">
        <f>IF(Calcu!B132=TRUE,"","삭제")</f>
        <v>삭제</v>
      </c>
      <c r="D57" s="43"/>
      <c r="E57" s="198" t="e">
        <f ca="1">Calcu!AA132</f>
        <v>#N/A</v>
      </c>
      <c r="F57" s="198" t="e">
        <f ca="1">Calcu!AC132</f>
        <v>#N/A</v>
      </c>
      <c r="G57" s="198" t="e">
        <f ca="1">Calcu!AD132</f>
        <v>#VALUE!</v>
      </c>
      <c r="H57" s="198" t="str">
        <f>Calcu!AE132</f>
        <v/>
      </c>
      <c r="I57" s="51"/>
    </row>
    <row r="58" spans="1:12" s="83" customFormat="1" ht="15" customHeight="1">
      <c r="A58" s="43" t="str">
        <f>IF(Calcu!B133=TRUE,"","삭제")</f>
        <v>삭제</v>
      </c>
      <c r="D58" s="43"/>
      <c r="E58" s="198" t="e">
        <f ca="1">Calcu!AA133</f>
        <v>#N/A</v>
      </c>
      <c r="F58" s="198" t="e">
        <f ca="1">Calcu!AC133</f>
        <v>#N/A</v>
      </c>
      <c r="G58" s="198" t="e">
        <f ca="1">Calcu!AD133</f>
        <v>#VALUE!</v>
      </c>
      <c r="H58" s="198" t="str">
        <f>Calcu!AE133</f>
        <v/>
      </c>
      <c r="I58" s="51"/>
    </row>
    <row r="59" spans="1:12" s="83" customFormat="1" ht="15" customHeight="1">
      <c r="A59" s="43" t="str">
        <f>IF(Calcu!B134=TRUE,"","삭제")</f>
        <v>삭제</v>
      </c>
      <c r="D59" s="43"/>
      <c r="E59" s="198" t="e">
        <f ca="1">Calcu!AA134</f>
        <v>#N/A</v>
      </c>
      <c r="F59" s="198" t="e">
        <f ca="1">Calcu!AC134</f>
        <v>#N/A</v>
      </c>
      <c r="G59" s="198" t="e">
        <f ca="1">Calcu!AD134</f>
        <v>#VALUE!</v>
      </c>
      <c r="H59" s="198" t="str">
        <f>Calcu!AE134</f>
        <v/>
      </c>
      <c r="I59" s="51"/>
    </row>
    <row r="60" spans="1:12" s="83" customFormat="1" ht="15" customHeight="1">
      <c r="A60" s="43" t="str">
        <f>IF(Calcu!B135=TRUE,"","삭제")</f>
        <v>삭제</v>
      </c>
      <c r="D60" s="43"/>
      <c r="E60" s="198" t="e">
        <f ca="1">Calcu!AA135</f>
        <v>#N/A</v>
      </c>
      <c r="F60" s="198" t="e">
        <f ca="1">Calcu!AC135</f>
        <v>#N/A</v>
      </c>
      <c r="G60" s="198" t="e">
        <f ca="1">Calcu!AD135</f>
        <v>#VALUE!</v>
      </c>
      <c r="H60" s="198" t="str">
        <f>Calcu!AE135</f>
        <v/>
      </c>
      <c r="I60" s="51"/>
    </row>
    <row r="61" spans="1:12" s="83" customFormat="1" ht="15" customHeight="1">
      <c r="A61" s="43" t="str">
        <f>IF(Calcu!B136=TRUE,"","삭제")</f>
        <v>삭제</v>
      </c>
      <c r="D61" s="43"/>
      <c r="E61" s="198" t="e">
        <f ca="1">Calcu!AA136</f>
        <v>#N/A</v>
      </c>
      <c r="F61" s="198" t="e">
        <f ca="1">Calcu!AC136</f>
        <v>#N/A</v>
      </c>
      <c r="G61" s="198" t="e">
        <f ca="1">Calcu!AD136</f>
        <v>#VALUE!</v>
      </c>
      <c r="H61" s="198" t="str">
        <f>Calcu!AE136</f>
        <v/>
      </c>
      <c r="I61" s="51"/>
    </row>
    <row r="62" spans="1:12" s="83" customFormat="1" ht="15" customHeight="1">
      <c r="A62" s="43" t="str">
        <f>IF(Calcu!B137=TRUE,"","삭제")</f>
        <v>삭제</v>
      </c>
      <c r="D62" s="43"/>
      <c r="E62" s="198" t="e">
        <f ca="1">Calcu!AA137</f>
        <v>#N/A</v>
      </c>
      <c r="F62" s="198" t="e">
        <f ca="1">Calcu!AC137</f>
        <v>#N/A</v>
      </c>
      <c r="G62" s="198" t="e">
        <f ca="1">Calcu!AD137</f>
        <v>#VALUE!</v>
      </c>
      <c r="H62" s="198" t="str">
        <f>Calcu!AE137</f>
        <v/>
      </c>
      <c r="I62" s="51"/>
    </row>
    <row r="63" spans="1:12" s="83" customFormat="1" ht="15" customHeight="1">
      <c r="A63" s="43" t="str">
        <f>IF(Calcu!B138=TRUE,"","삭제")</f>
        <v>삭제</v>
      </c>
      <c r="D63" s="43"/>
      <c r="E63" s="198" t="e">
        <f ca="1">Calcu!AA138</f>
        <v>#N/A</v>
      </c>
      <c r="F63" s="198" t="e">
        <f ca="1">Calcu!AC138</f>
        <v>#N/A</v>
      </c>
      <c r="G63" s="198" t="e">
        <f ca="1">Calcu!AD138</f>
        <v>#VALUE!</v>
      </c>
      <c r="H63" s="198" t="str">
        <f>Calcu!AE138</f>
        <v/>
      </c>
      <c r="I63" s="51"/>
    </row>
    <row r="64" spans="1:12" s="83" customFormat="1" ht="15" customHeight="1">
      <c r="A64" s="43" t="str">
        <f>IF(Calcu!B139=TRUE,"","삭제")</f>
        <v>삭제</v>
      </c>
      <c r="D64" s="43"/>
      <c r="E64" s="198" t="e">
        <f ca="1">Calcu!AA139</f>
        <v>#N/A</v>
      </c>
      <c r="F64" s="198" t="e">
        <f ca="1">Calcu!AC139</f>
        <v>#N/A</v>
      </c>
      <c r="G64" s="198" t="e">
        <f ca="1">Calcu!AD139</f>
        <v>#VALUE!</v>
      </c>
      <c r="H64" s="198" t="str">
        <f>Calcu!AE139</f>
        <v/>
      </c>
      <c r="I64" s="51"/>
    </row>
    <row r="65" spans="1:13" s="83" customFormat="1" ht="15" customHeight="1">
      <c r="A65" s="43" t="str">
        <f>IF(Calcu!B140=TRUE,"","삭제")</f>
        <v>삭제</v>
      </c>
      <c r="D65" s="43"/>
      <c r="E65" s="198" t="e">
        <f ca="1">Calcu!AA140</f>
        <v>#N/A</v>
      </c>
      <c r="F65" s="198" t="e">
        <f ca="1">Calcu!AC140</f>
        <v>#N/A</v>
      </c>
      <c r="G65" s="198" t="e">
        <f ca="1">Calcu!AD140</f>
        <v>#VALUE!</v>
      </c>
      <c r="H65" s="198" t="str">
        <f>Calcu!AE140</f>
        <v/>
      </c>
      <c r="I65" s="51"/>
    </row>
    <row r="66" spans="1:13" s="83" customFormat="1" ht="15" customHeight="1">
      <c r="A66" s="43" t="str">
        <f>IF(Calcu!B141=TRUE,"","삭제")</f>
        <v>삭제</v>
      </c>
      <c r="D66" s="43"/>
      <c r="E66" s="198" t="e">
        <f ca="1">Calcu!AA141</f>
        <v>#N/A</v>
      </c>
      <c r="F66" s="198" t="e">
        <f ca="1">Calcu!AC141</f>
        <v>#N/A</v>
      </c>
      <c r="G66" s="198" t="e">
        <f ca="1">Calcu!AD141</f>
        <v>#VALUE!</v>
      </c>
      <c r="H66" s="198" t="str">
        <f>Calcu!AE141</f>
        <v/>
      </c>
      <c r="I66" s="51"/>
    </row>
    <row r="67" spans="1:13" s="83" customFormat="1" ht="15" customHeight="1">
      <c r="A67" s="43" t="str">
        <f>IF(Calcu!B142=TRUE,"","삭제")</f>
        <v>삭제</v>
      </c>
      <c r="D67" s="43"/>
      <c r="E67" s="198" t="e">
        <f ca="1">Calcu!AA142</f>
        <v>#N/A</v>
      </c>
      <c r="F67" s="198" t="e">
        <f ca="1">Calcu!AC142</f>
        <v>#N/A</v>
      </c>
      <c r="G67" s="198" t="e">
        <f ca="1">Calcu!AD142</f>
        <v>#VALUE!</v>
      </c>
      <c r="H67" s="198" t="str">
        <f>Calcu!AE142</f>
        <v/>
      </c>
      <c r="I67" s="51"/>
    </row>
    <row r="68" spans="1:13" s="83" customFormat="1" ht="15" customHeight="1">
      <c r="A68" s="43" t="str">
        <f>IF(Calcu!B143=TRUE,"","삭제")</f>
        <v>삭제</v>
      </c>
      <c r="D68" s="43"/>
      <c r="E68" s="198" t="e">
        <f ca="1">Calcu!AA143</f>
        <v>#N/A</v>
      </c>
      <c r="F68" s="198" t="e">
        <f ca="1">Calcu!AC143</f>
        <v>#N/A</v>
      </c>
      <c r="G68" s="198" t="e">
        <f ca="1">Calcu!AD143</f>
        <v>#VALUE!</v>
      </c>
      <c r="H68" s="198" t="str">
        <f>Calcu!AE143</f>
        <v/>
      </c>
      <c r="I68" s="51"/>
    </row>
    <row r="69" spans="1:13" s="83" customFormat="1" ht="15" customHeight="1">
      <c r="A69" s="43" t="str">
        <f>IF(Calcu!B144=TRUE,"","삭제")</f>
        <v>삭제</v>
      </c>
      <c r="D69" s="43"/>
      <c r="E69" s="198" t="e">
        <f ca="1">Calcu!AA144</f>
        <v>#N/A</v>
      </c>
      <c r="F69" s="198" t="e">
        <f ca="1">Calcu!AC144</f>
        <v>#N/A</v>
      </c>
      <c r="G69" s="198" t="e">
        <f ca="1">Calcu!AD144</f>
        <v>#VALUE!</v>
      </c>
      <c r="H69" s="198" t="str">
        <f>Calcu!AE144</f>
        <v/>
      </c>
      <c r="I69" s="51"/>
    </row>
    <row r="70" spans="1:13" s="83" customFormat="1" ht="15" customHeight="1">
      <c r="A70" s="43" t="str">
        <f>IF(Calcu!B145=TRUE,"","삭제")</f>
        <v>삭제</v>
      </c>
      <c r="D70" s="43"/>
      <c r="E70" s="198" t="e">
        <f ca="1">Calcu!AA145</f>
        <v>#N/A</v>
      </c>
      <c r="F70" s="198" t="e">
        <f ca="1">Calcu!AC145</f>
        <v>#N/A</v>
      </c>
      <c r="G70" s="198" t="e">
        <f ca="1">Calcu!AD145</f>
        <v>#VALUE!</v>
      </c>
      <c r="H70" s="198" t="str">
        <f>Calcu!AE145</f>
        <v/>
      </c>
      <c r="I70" s="51"/>
    </row>
    <row r="71" spans="1:13" s="83" customFormat="1" ht="15" customHeight="1">
      <c r="A71" s="43" t="str">
        <f>IF(Calcu!B146=TRUE,"","삭제")</f>
        <v>삭제</v>
      </c>
      <c r="D71" s="43"/>
      <c r="E71" s="198" t="e">
        <f ca="1">Calcu!AA146</f>
        <v>#N/A</v>
      </c>
      <c r="F71" s="198" t="e">
        <f ca="1">Calcu!AC146</f>
        <v>#N/A</v>
      </c>
      <c r="G71" s="198" t="e">
        <f ca="1">Calcu!AD146</f>
        <v>#VALUE!</v>
      </c>
      <c r="H71" s="198" t="str">
        <f>Calcu!AE146</f>
        <v/>
      </c>
      <c r="I71" s="51"/>
    </row>
    <row r="72" spans="1:13" s="83" customFormat="1" ht="15" customHeight="1">
      <c r="A72" s="43" t="str">
        <f>IF(Calcu!B147=TRUE,"","삭제")</f>
        <v>삭제</v>
      </c>
      <c r="D72" s="43"/>
      <c r="E72" s="198" t="e">
        <f ca="1">Calcu!AA147</f>
        <v>#N/A</v>
      </c>
      <c r="F72" s="198" t="e">
        <f ca="1">Calcu!AC147</f>
        <v>#N/A</v>
      </c>
      <c r="G72" s="198" t="e">
        <f ca="1">Calcu!AD147</f>
        <v>#VALUE!</v>
      </c>
      <c r="H72" s="198" t="str">
        <f>Calcu!AE147</f>
        <v/>
      </c>
      <c r="I72" s="51"/>
    </row>
    <row r="73" spans="1:13" s="83" customFormat="1" ht="15" customHeight="1">
      <c r="A73" s="43" t="str">
        <f>IF(Calcu!B148=TRUE,"","삭제")</f>
        <v>삭제</v>
      </c>
      <c r="D73" s="43"/>
      <c r="E73" s="198" t="e">
        <f ca="1">Calcu!AA148</f>
        <v>#N/A</v>
      </c>
      <c r="F73" s="198" t="e">
        <f ca="1">Calcu!AC148</f>
        <v>#N/A</v>
      </c>
      <c r="G73" s="198" t="e">
        <f ca="1">Calcu!AD148</f>
        <v>#VALUE!</v>
      </c>
      <c r="H73" s="198" t="str">
        <f>Calcu!AE148</f>
        <v/>
      </c>
      <c r="I73" s="51"/>
    </row>
    <row r="74" spans="1:13" s="83" customFormat="1" ht="15" customHeight="1">
      <c r="A74" s="43" t="str">
        <f>IF(Calcu!B149=TRUE,"","삭제")</f>
        <v>삭제</v>
      </c>
      <c r="D74" s="43"/>
      <c r="E74" s="198" t="e">
        <f ca="1">Calcu!AA149</f>
        <v>#N/A</v>
      </c>
      <c r="F74" s="198" t="e">
        <f ca="1">Calcu!AC149</f>
        <v>#N/A</v>
      </c>
      <c r="G74" s="198" t="e">
        <f ca="1">Calcu!AD149</f>
        <v>#VALUE!</v>
      </c>
      <c r="H74" s="198" t="str">
        <f>Calcu!AE149</f>
        <v/>
      </c>
      <c r="I74" s="51"/>
    </row>
    <row r="75" spans="1:13" s="83" customFormat="1" ht="15" customHeight="1">
      <c r="A75" s="43" t="str">
        <f>IF(Calcu!B150=TRUE,"","삭제")</f>
        <v>삭제</v>
      </c>
      <c r="D75" s="43"/>
      <c r="E75" s="198" t="e">
        <f ca="1">Calcu!AA150</f>
        <v>#N/A</v>
      </c>
      <c r="F75" s="198" t="e">
        <f ca="1">Calcu!AC150</f>
        <v>#N/A</v>
      </c>
      <c r="G75" s="198" t="e">
        <f ca="1">Calcu!AD150</f>
        <v>#VALUE!</v>
      </c>
      <c r="H75" s="198" t="str">
        <f>Calcu!AE150</f>
        <v/>
      </c>
      <c r="I75" s="51"/>
    </row>
    <row r="76" spans="1:13" s="83" customFormat="1" ht="15" customHeight="1">
      <c r="A76" s="43" t="str">
        <f>IF(Calcu!B151=TRUE,"","삭제")</f>
        <v>삭제</v>
      </c>
      <c r="D76" s="43"/>
      <c r="E76" s="198" t="e">
        <f ca="1">Calcu!AA151</f>
        <v>#N/A</v>
      </c>
      <c r="F76" s="198" t="e">
        <f ca="1">Calcu!AC151</f>
        <v>#N/A</v>
      </c>
      <c r="G76" s="198" t="e">
        <f ca="1">Calcu!AD151</f>
        <v>#VALUE!</v>
      </c>
      <c r="H76" s="198" t="str">
        <f>Calcu!AE151</f>
        <v/>
      </c>
    </row>
    <row r="77" spans="1:13" ht="15" customHeight="1">
      <c r="B77" s="91"/>
      <c r="C77" s="91"/>
      <c r="E77" s="73"/>
      <c r="F77" s="107"/>
      <c r="G77" s="107"/>
      <c r="H77" s="107"/>
      <c r="I77" s="73"/>
      <c r="K77" s="106"/>
      <c r="M77" s="91"/>
    </row>
    <row r="78" spans="1:13" ht="15" customHeight="1">
      <c r="J78" s="91"/>
      <c r="K78" s="106"/>
      <c r="M78" s="91"/>
    </row>
    <row r="79" spans="1:13" ht="15" customHeight="1">
      <c r="J79" s="91"/>
      <c r="K79" s="106"/>
      <c r="M79" s="91"/>
    </row>
  </sheetData>
  <mergeCells count="4">
    <mergeCell ref="H55:H56"/>
    <mergeCell ref="H7:H8"/>
    <mergeCell ref="A1:L2"/>
    <mergeCell ref="H31:H3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91" customWidth="1"/>
    <col min="13" max="16384" width="10.77734375" style="83"/>
  </cols>
  <sheetData>
    <row r="1" spans="1:12" s="78" customFormat="1" ht="33" customHeight="1">
      <c r="A1" s="434" t="s">
        <v>59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</row>
    <row r="2" spans="1:12" s="78" customFormat="1" ht="33" customHeight="1">
      <c r="A2" s="434"/>
      <c r="B2" s="434"/>
      <c r="C2" s="434"/>
      <c r="D2" s="434"/>
      <c r="E2" s="434"/>
      <c r="F2" s="434"/>
      <c r="G2" s="434"/>
      <c r="H2" s="434"/>
      <c r="I2" s="434"/>
      <c r="J2" s="434"/>
      <c r="K2" s="434"/>
      <c r="L2" s="434"/>
    </row>
    <row r="3" spans="1:12" s="78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79"/>
    </row>
    <row r="4" spans="1:12" s="80" customFormat="1" ht="13.5" customHeight="1">
      <c r="A4" s="88"/>
      <c r="B4" s="88"/>
      <c r="C4" s="89"/>
      <c r="D4" s="89"/>
      <c r="E4" s="97"/>
      <c r="F4" s="89"/>
      <c r="G4" s="89"/>
      <c r="H4" s="98"/>
      <c r="I4" s="90"/>
      <c r="J4" s="97"/>
      <c r="K4" s="97"/>
      <c r="L4" s="88"/>
    </row>
    <row r="5" spans="1:12" s="82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81"/>
    </row>
    <row r="6" spans="1:12" s="37" customFormat="1" ht="15" customHeight="1">
      <c r="C6" s="54" t="str">
        <f>"○ 품명 : "&amp;기본정보!C$5</f>
        <v xml:space="preserve">○ 품명 : </v>
      </c>
      <c r="L6" s="91"/>
    </row>
    <row r="7" spans="1:12" s="37" customFormat="1" ht="15" customHeight="1">
      <c r="C7" s="54" t="str">
        <f>"○ 제작회사 : "&amp;기본정보!C$6</f>
        <v xml:space="preserve">○ 제작회사 : </v>
      </c>
      <c r="L7" s="91"/>
    </row>
    <row r="8" spans="1:12" s="37" customFormat="1" ht="15" customHeight="1">
      <c r="C8" s="54" t="str">
        <f>"○ 형식 : "&amp;기본정보!C$7</f>
        <v xml:space="preserve">○ 형식 : </v>
      </c>
      <c r="L8" s="91"/>
    </row>
    <row r="9" spans="1:12" s="37" customFormat="1" ht="15" customHeight="1">
      <c r="C9" s="54" t="str">
        <f>"○ 기기번호 : "&amp;기본정보!C$8</f>
        <v xml:space="preserve">○ 기기번호 : </v>
      </c>
      <c r="L9" s="91"/>
    </row>
    <row r="10" spans="1:12" s="37" customFormat="1" ht="15" customHeight="1">
      <c r="L10" s="91"/>
    </row>
    <row r="11" spans="1:12" ht="15" customHeight="1">
      <c r="B11" s="73"/>
      <c r="C11" s="107"/>
      <c r="D11" s="107"/>
      <c r="E11" s="107"/>
      <c r="F11" s="107"/>
      <c r="G11" s="107"/>
      <c r="H11" s="108"/>
      <c r="I11" s="108"/>
      <c r="J11" s="107"/>
      <c r="K11" s="73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34"/>
  <sheetViews>
    <sheetView showGridLines="0" zoomScaleNormal="100" workbookViewId="0"/>
  </sheetViews>
  <sheetFormatPr defaultColWidth="8.77734375" defaultRowHeight="13.5" customHeight="1"/>
  <cols>
    <col min="1" max="1" width="3.77734375" style="30" customWidth="1"/>
    <col min="2" max="2" width="8.77734375" style="30"/>
    <col min="3" max="4" width="8.77734375" style="31"/>
    <col min="5" max="5" width="8.77734375" style="26"/>
    <col min="6" max="8" width="8.77734375" style="27"/>
    <col min="9" max="9" width="3.77734375" style="27" customWidth="1"/>
    <col min="10" max="15" width="8.77734375" style="45"/>
    <col min="16" max="16" width="3.77734375" style="45" customWidth="1"/>
    <col min="17" max="19" width="8.77734375" style="45"/>
    <col min="20" max="16384" width="8.77734375" style="29"/>
  </cols>
  <sheetData>
    <row r="1" spans="1:30" s="66" customFormat="1" ht="25.5">
      <c r="A1" s="62" t="s">
        <v>61</v>
      </c>
      <c r="B1" s="31"/>
      <c r="C1" s="31"/>
      <c r="D1" s="31"/>
      <c r="E1" s="63"/>
      <c r="F1" s="27"/>
      <c r="G1" s="27"/>
      <c r="H1" s="27"/>
      <c r="I1" s="27"/>
      <c r="J1" s="27"/>
      <c r="K1" s="64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46"/>
      <c r="B3" s="99" t="s">
        <v>2</v>
      </c>
      <c r="C3" s="100">
        <f>기본정보!C3</f>
        <v>0</v>
      </c>
      <c r="D3" s="99" t="s">
        <v>84</v>
      </c>
      <c r="E3" s="437">
        <f>기본정보!H3</f>
        <v>0</v>
      </c>
      <c r="F3" s="438"/>
      <c r="G3" s="99" t="s">
        <v>87</v>
      </c>
      <c r="H3" s="102">
        <f>기본정보!H8</f>
        <v>0</v>
      </c>
      <c r="I3" s="25"/>
    </row>
    <row r="4" spans="1:30" s="28" customFormat="1" ht="15" customHeight="1">
      <c r="A4" s="46"/>
      <c r="B4" s="99" t="s">
        <v>32</v>
      </c>
      <c r="C4" s="101">
        <f>기본정보!C8</f>
        <v>0</v>
      </c>
      <c r="D4" s="99" t="s">
        <v>85</v>
      </c>
      <c r="E4" s="435">
        <f>기본정보!H4</f>
        <v>0</v>
      </c>
      <c r="F4" s="436"/>
      <c r="G4" s="99" t="s">
        <v>14</v>
      </c>
      <c r="H4" s="102">
        <f>기본정보!H9</f>
        <v>0</v>
      </c>
      <c r="I4" s="25"/>
    </row>
    <row r="5" spans="1:30" s="28" customFormat="1" ht="15" customHeight="1">
      <c r="A5" s="46"/>
      <c r="D5" s="25"/>
      <c r="E5" s="25"/>
      <c r="F5" s="25"/>
      <c r="G5" s="25"/>
      <c r="H5" s="25"/>
      <c r="I5" s="25"/>
    </row>
    <row r="6" spans="1:30" s="28" customFormat="1" ht="15" customHeight="1">
      <c r="A6" s="46"/>
      <c r="B6" s="46" t="s">
        <v>532</v>
      </c>
      <c r="D6" s="25"/>
      <c r="E6" s="25"/>
      <c r="F6" s="25"/>
      <c r="G6" s="25"/>
      <c r="H6" s="25"/>
      <c r="I6" s="25"/>
      <c r="J6" s="46" t="s">
        <v>533</v>
      </c>
      <c r="L6" s="25"/>
      <c r="M6" s="25"/>
      <c r="N6" s="25"/>
      <c r="O6" s="25"/>
      <c r="Q6" s="46" t="s">
        <v>534</v>
      </c>
      <c r="S6" s="25"/>
      <c r="T6" s="25"/>
      <c r="U6" s="25"/>
      <c r="V6" s="25"/>
    </row>
    <row r="7" spans="1:30" s="28" customFormat="1" ht="15" customHeight="1">
      <c r="A7" s="46"/>
      <c r="B7" s="99" t="s">
        <v>108</v>
      </c>
      <c r="C7" s="99" t="s">
        <v>62</v>
      </c>
      <c r="D7" s="99" t="s">
        <v>60</v>
      </c>
      <c r="E7" s="25"/>
      <c r="F7" s="25"/>
      <c r="G7" s="25"/>
      <c r="H7" s="25"/>
      <c r="I7" s="25"/>
      <c r="J7" s="99" t="s">
        <v>108</v>
      </c>
      <c r="K7" s="99" t="s">
        <v>62</v>
      </c>
      <c r="L7" s="99" t="s">
        <v>60</v>
      </c>
      <c r="M7" s="25"/>
      <c r="N7" s="25"/>
      <c r="O7" s="25"/>
      <c r="Q7" s="99" t="s">
        <v>108</v>
      </c>
      <c r="R7" s="99" t="s">
        <v>62</v>
      </c>
      <c r="S7" s="99" t="s">
        <v>60</v>
      </c>
      <c r="T7" s="25"/>
      <c r="U7" s="25"/>
      <c r="V7" s="25"/>
    </row>
    <row r="8" spans="1:30" s="28" customFormat="1" ht="15" customHeight="1">
      <c r="A8" s="46"/>
      <c r="B8" s="100">
        <f>Calcu!E4</f>
        <v>0</v>
      </c>
      <c r="C8" s="100">
        <f>Calcu!F4</f>
        <v>0</v>
      </c>
      <c r="D8" s="100">
        <f>Calcu!H4</f>
        <v>0</v>
      </c>
      <c r="E8" s="25"/>
      <c r="F8" s="25"/>
      <c r="G8" s="25"/>
      <c r="H8" s="25"/>
      <c r="I8" s="25"/>
      <c r="J8" s="100">
        <f>Calcu!E65</f>
        <v>0</v>
      </c>
      <c r="K8" s="100">
        <f>Calcu!F65</f>
        <v>0</v>
      </c>
      <c r="L8" s="100">
        <f>Calcu!H65</f>
        <v>0</v>
      </c>
      <c r="M8" s="25"/>
      <c r="N8" s="25"/>
      <c r="O8" s="25"/>
      <c r="Q8" s="100">
        <f>Calcu!E126</f>
        <v>0</v>
      </c>
      <c r="R8" s="100">
        <f>Calcu!F126</f>
        <v>0</v>
      </c>
      <c r="S8" s="100">
        <f>Calcu!H126</f>
        <v>0</v>
      </c>
      <c r="T8" s="25"/>
      <c r="U8" s="25"/>
      <c r="V8" s="25"/>
    </row>
    <row r="9" spans="1:30" s="28" customFormat="1" ht="15" customHeight="1">
      <c r="A9" s="46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Q9" s="25"/>
      <c r="R9" s="25"/>
      <c r="S9" s="25"/>
      <c r="T9" s="25"/>
      <c r="U9" s="25"/>
      <c r="V9" s="25"/>
    </row>
    <row r="10" spans="1:30" s="28" customFormat="1" ht="15" customHeight="1">
      <c r="A10" s="46"/>
      <c r="B10" s="103" t="s">
        <v>86</v>
      </c>
      <c r="C10" s="25"/>
      <c r="D10" s="25"/>
      <c r="E10" s="25"/>
      <c r="F10" s="25"/>
      <c r="G10" s="25"/>
      <c r="H10" s="25"/>
      <c r="I10" s="25"/>
      <c r="J10" s="103" t="s">
        <v>86</v>
      </c>
      <c r="K10" s="25"/>
      <c r="L10" s="25"/>
      <c r="M10" s="25"/>
      <c r="N10" s="25"/>
      <c r="O10" s="25"/>
      <c r="Q10" s="103" t="s">
        <v>86</v>
      </c>
      <c r="R10" s="25"/>
      <c r="S10" s="25"/>
      <c r="T10" s="25"/>
      <c r="U10" s="25"/>
      <c r="V10" s="25"/>
    </row>
    <row r="11" spans="1:30" ht="13.5" customHeight="1">
      <c r="A11" s="29"/>
      <c r="B11" s="104" t="s">
        <v>120</v>
      </c>
      <c r="F11" s="25"/>
      <c r="G11" s="25"/>
      <c r="H11" s="25"/>
      <c r="I11" s="25"/>
      <c r="J11" s="104" t="s">
        <v>120</v>
      </c>
      <c r="K11" s="31"/>
      <c r="L11" s="31"/>
      <c r="M11" s="26"/>
      <c r="N11" s="25"/>
      <c r="O11" s="25"/>
      <c r="Q11" s="104" t="s">
        <v>120</v>
      </c>
      <c r="R11" s="31"/>
      <c r="S11" s="31"/>
      <c r="T11" s="26"/>
      <c r="U11" s="25"/>
      <c r="V11" s="25"/>
    </row>
    <row r="12" spans="1:30" ht="13.5" customHeight="1">
      <c r="B12" s="439" t="s">
        <v>125</v>
      </c>
      <c r="C12" s="441" t="str">
        <f>Calcu!E7</f>
        <v>측정현미경 지시값</v>
      </c>
      <c r="D12" s="442"/>
      <c r="E12" s="442"/>
      <c r="F12" s="442"/>
      <c r="G12" s="443"/>
      <c r="H12" s="25"/>
      <c r="I12" s="25"/>
      <c r="J12" s="439" t="s">
        <v>92</v>
      </c>
      <c r="K12" s="441" t="str">
        <f>Calcu!E68</f>
        <v>측정현미경 지시값</v>
      </c>
      <c r="L12" s="442"/>
      <c r="M12" s="442"/>
      <c r="N12" s="442"/>
      <c r="O12" s="443"/>
      <c r="Q12" s="439" t="s">
        <v>92</v>
      </c>
      <c r="R12" s="441" t="str">
        <f>Calcu!E129</f>
        <v>측정현미경 지시값</v>
      </c>
      <c r="S12" s="442"/>
      <c r="T12" s="442"/>
      <c r="U12" s="442"/>
      <c r="V12" s="443"/>
    </row>
    <row r="13" spans="1:30" ht="13.5" customHeight="1">
      <c r="B13" s="440"/>
      <c r="C13" s="99" t="s">
        <v>81</v>
      </c>
      <c r="D13" s="99" t="s">
        <v>77</v>
      </c>
      <c r="E13" s="99" t="s">
        <v>78</v>
      </c>
      <c r="F13" s="99" t="s">
        <v>121</v>
      </c>
      <c r="G13" s="99" t="s">
        <v>122</v>
      </c>
      <c r="H13" s="25"/>
      <c r="I13" s="25"/>
      <c r="J13" s="440"/>
      <c r="K13" s="99" t="s">
        <v>81</v>
      </c>
      <c r="L13" s="99" t="s">
        <v>77</v>
      </c>
      <c r="M13" s="99" t="s">
        <v>78</v>
      </c>
      <c r="N13" s="99" t="s">
        <v>121</v>
      </c>
      <c r="O13" s="99" t="s">
        <v>122</v>
      </c>
      <c r="Q13" s="440"/>
      <c r="R13" s="99" t="s">
        <v>81</v>
      </c>
      <c r="S13" s="99" t="s">
        <v>77</v>
      </c>
      <c r="T13" s="99" t="s">
        <v>78</v>
      </c>
      <c r="U13" s="99" t="s">
        <v>121</v>
      </c>
      <c r="V13" s="99" t="s">
        <v>122</v>
      </c>
    </row>
    <row r="14" spans="1:30" ht="13.5" customHeight="1">
      <c r="B14" s="99">
        <f>D8</f>
        <v>0</v>
      </c>
      <c r="C14" s="99">
        <f t="shared" ref="C14:G14" si="0">B14</f>
        <v>0</v>
      </c>
      <c r="D14" s="99">
        <f t="shared" si="0"/>
        <v>0</v>
      </c>
      <c r="E14" s="99">
        <f t="shared" si="0"/>
        <v>0</v>
      </c>
      <c r="F14" s="99">
        <f t="shared" si="0"/>
        <v>0</v>
      </c>
      <c r="G14" s="99">
        <f t="shared" si="0"/>
        <v>0</v>
      </c>
      <c r="H14" s="25"/>
      <c r="I14" s="25"/>
      <c r="J14" s="99">
        <f>L8</f>
        <v>0</v>
      </c>
      <c r="K14" s="99">
        <f>J14</f>
        <v>0</v>
      </c>
      <c r="L14" s="99">
        <f>K14</f>
        <v>0</v>
      </c>
      <c r="M14" s="99">
        <f>L14</f>
        <v>0</v>
      </c>
      <c r="N14" s="99">
        <f>M14</f>
        <v>0</v>
      </c>
      <c r="O14" s="99">
        <f>N14</f>
        <v>0</v>
      </c>
      <c r="Q14" s="99">
        <f>S8</f>
        <v>0</v>
      </c>
      <c r="R14" s="99">
        <f>Q14</f>
        <v>0</v>
      </c>
      <c r="S14" s="99">
        <f>R14</f>
        <v>0</v>
      </c>
      <c r="T14" s="99">
        <f>S14</f>
        <v>0</v>
      </c>
      <c r="U14" s="99">
        <f>T14</f>
        <v>0</v>
      </c>
      <c r="V14" s="99">
        <f>U14</f>
        <v>0</v>
      </c>
    </row>
    <row r="15" spans="1:30" ht="13.5" customHeight="1">
      <c r="B15" s="100" t="str">
        <f>Calcu!C10</f>
        <v/>
      </c>
      <c r="C15" s="100" t="str">
        <f>IF(Calcu!$B10=FALSE,"",TEXT(Calcu!E10,Calcu!$Q$46))</f>
        <v/>
      </c>
      <c r="D15" s="100" t="str">
        <f>IF(Calcu!$B10=FALSE,"",TEXT(Calcu!F10,Calcu!$Q$46))</f>
        <v/>
      </c>
      <c r="E15" s="100" t="str">
        <f>IF(Calcu!$B10=FALSE,"",TEXT(Calcu!G10,Calcu!$Q$46))</f>
        <v/>
      </c>
      <c r="F15" s="100" t="str">
        <f>IF(Calcu!$B10=FALSE,"",TEXT(Calcu!H10,Calcu!$Q$46))</f>
        <v/>
      </c>
      <c r="G15" s="100" t="str">
        <f>IF(Calcu!$B10=FALSE,"",TEXT(Calcu!I10,Calcu!$Q$46))</f>
        <v/>
      </c>
      <c r="H15" s="25"/>
      <c r="I15" s="25"/>
      <c r="J15" s="100" t="str">
        <f>Calcu!C71</f>
        <v/>
      </c>
      <c r="K15" s="100" t="str">
        <f>IF(Calcu!$B71=FALSE,"",TEXT(Calcu!E71,Calcu!$Q$107))</f>
        <v/>
      </c>
      <c r="L15" s="100" t="str">
        <f>IF(Calcu!$B71=FALSE,"",TEXT(Calcu!F71,Calcu!$Q$107))</f>
        <v/>
      </c>
      <c r="M15" s="100" t="str">
        <f>IF(Calcu!$B71=FALSE,"",TEXT(Calcu!G71,Calcu!$Q$107))</f>
        <v/>
      </c>
      <c r="N15" s="100" t="str">
        <f>IF(Calcu!$B71=FALSE,"",TEXT(Calcu!H71,Calcu!$Q$107))</f>
        <v/>
      </c>
      <c r="O15" s="100" t="str">
        <f>IF(Calcu!$B71=FALSE,"",TEXT(Calcu!I71,Calcu!$Q$107))</f>
        <v/>
      </c>
      <c r="Q15" s="100" t="str">
        <f>Calcu!C132</f>
        <v/>
      </c>
      <c r="R15" s="100" t="str">
        <f>IF(Calcu!$B132=FALSE,"",TEXT(Calcu!E132,Calcu!$Q$168))</f>
        <v/>
      </c>
      <c r="S15" s="100" t="str">
        <f>IF(Calcu!$B132=FALSE,"",TEXT(Calcu!F132,Calcu!$Q$168))</f>
        <v/>
      </c>
      <c r="T15" s="100" t="str">
        <f>IF(Calcu!$B132=FALSE,"",TEXT(Calcu!G132,Calcu!$Q$168))</f>
        <v/>
      </c>
      <c r="U15" s="100" t="str">
        <f>IF(Calcu!$B132=FALSE,"",TEXT(Calcu!H132,Calcu!$Q$168))</f>
        <v/>
      </c>
      <c r="V15" s="100" t="str">
        <f>IF(Calcu!$B132=FALSE,"",TEXT(Calcu!I132,Calcu!$Q$168))</f>
        <v/>
      </c>
    </row>
    <row r="16" spans="1:30" ht="13.5" customHeight="1">
      <c r="B16" s="100" t="str">
        <f>Calcu!C11</f>
        <v/>
      </c>
      <c r="C16" s="100" t="str">
        <f>IF(Calcu!$B11=FALSE,"",TEXT(Calcu!E11,Calcu!$Q$46))</f>
        <v/>
      </c>
      <c r="D16" s="100" t="str">
        <f>IF(Calcu!$B11=FALSE,"",TEXT(Calcu!F11,Calcu!$Q$46))</f>
        <v/>
      </c>
      <c r="E16" s="100" t="str">
        <f>IF(Calcu!$B11=FALSE,"",TEXT(Calcu!G11,Calcu!$Q$46))</f>
        <v/>
      </c>
      <c r="F16" s="100" t="str">
        <f>IF(Calcu!$B11=FALSE,"",TEXT(Calcu!H11,Calcu!$Q$46))</f>
        <v/>
      </c>
      <c r="G16" s="100" t="str">
        <f>IF(Calcu!$B11=FALSE,"",TEXT(Calcu!I11,Calcu!$Q$46))</f>
        <v/>
      </c>
      <c r="H16" s="25"/>
      <c r="I16" s="25"/>
      <c r="J16" s="100" t="str">
        <f>Calcu!C72</f>
        <v/>
      </c>
      <c r="K16" s="100" t="str">
        <f>IF(Calcu!$B72=FALSE,"",TEXT(Calcu!E72,Calcu!$Q$107))</f>
        <v/>
      </c>
      <c r="L16" s="100" t="str">
        <f>IF(Calcu!$B72=FALSE,"",TEXT(Calcu!F72,Calcu!$Q$107))</f>
        <v/>
      </c>
      <c r="M16" s="100" t="str">
        <f>IF(Calcu!$B72=FALSE,"",TEXT(Calcu!G72,Calcu!$Q$107))</f>
        <v/>
      </c>
      <c r="N16" s="100" t="str">
        <f>IF(Calcu!$B72=FALSE,"",TEXT(Calcu!H72,Calcu!$Q$107))</f>
        <v/>
      </c>
      <c r="O16" s="100" t="str">
        <f>IF(Calcu!$B72=FALSE,"",TEXT(Calcu!I72,Calcu!$Q$107))</f>
        <v/>
      </c>
      <c r="Q16" s="100" t="str">
        <f>Calcu!C133</f>
        <v/>
      </c>
      <c r="R16" s="100" t="str">
        <f>IF(Calcu!$B133=FALSE,"",TEXT(Calcu!E133,Calcu!$Q$168))</f>
        <v/>
      </c>
      <c r="S16" s="100" t="str">
        <f>IF(Calcu!$B133=FALSE,"",TEXT(Calcu!F133,Calcu!$Q$168))</f>
        <v/>
      </c>
      <c r="T16" s="100" t="str">
        <f>IF(Calcu!$B133=FALSE,"",TEXT(Calcu!G133,Calcu!$Q$168))</f>
        <v/>
      </c>
      <c r="U16" s="100" t="str">
        <f>IF(Calcu!$B133=FALSE,"",TEXT(Calcu!H133,Calcu!$Q$168))</f>
        <v/>
      </c>
      <c r="V16" s="100" t="str">
        <f>IF(Calcu!$B133=FALSE,"",TEXT(Calcu!I133,Calcu!$Q$168))</f>
        <v/>
      </c>
    </row>
    <row r="17" spans="2:22" ht="13.5" customHeight="1">
      <c r="B17" s="100" t="str">
        <f>Calcu!C12</f>
        <v/>
      </c>
      <c r="C17" s="100" t="str">
        <f>IF(Calcu!$B12=FALSE,"",TEXT(Calcu!E12,Calcu!$Q$46))</f>
        <v/>
      </c>
      <c r="D17" s="100" t="str">
        <f>IF(Calcu!$B12=FALSE,"",TEXT(Calcu!F12,Calcu!$Q$46))</f>
        <v/>
      </c>
      <c r="E17" s="100" t="str">
        <f>IF(Calcu!$B12=FALSE,"",TEXT(Calcu!G12,Calcu!$Q$46))</f>
        <v/>
      </c>
      <c r="F17" s="100" t="str">
        <f>IF(Calcu!$B12=FALSE,"",TEXT(Calcu!H12,Calcu!$Q$46))</f>
        <v/>
      </c>
      <c r="G17" s="100" t="str">
        <f>IF(Calcu!$B12=FALSE,"",TEXT(Calcu!I12,Calcu!$Q$46))</f>
        <v/>
      </c>
      <c r="H17" s="25"/>
      <c r="I17" s="25"/>
      <c r="J17" s="100" t="str">
        <f>Calcu!C73</f>
        <v/>
      </c>
      <c r="K17" s="100" t="str">
        <f>IF(Calcu!$B73=FALSE,"",TEXT(Calcu!E73,Calcu!$Q$107))</f>
        <v/>
      </c>
      <c r="L17" s="100" t="str">
        <f>IF(Calcu!$B73=FALSE,"",TEXT(Calcu!F73,Calcu!$Q$107))</f>
        <v/>
      </c>
      <c r="M17" s="100" t="str">
        <f>IF(Calcu!$B73=FALSE,"",TEXT(Calcu!G73,Calcu!$Q$107))</f>
        <v/>
      </c>
      <c r="N17" s="100" t="str">
        <f>IF(Calcu!$B73=FALSE,"",TEXT(Calcu!H73,Calcu!$Q$107))</f>
        <v/>
      </c>
      <c r="O17" s="100" t="str">
        <f>IF(Calcu!$B73=FALSE,"",TEXT(Calcu!I73,Calcu!$Q$107))</f>
        <v/>
      </c>
      <c r="Q17" s="100" t="str">
        <f>Calcu!C134</f>
        <v/>
      </c>
      <c r="R17" s="100" t="str">
        <f>IF(Calcu!$B134=FALSE,"",TEXT(Calcu!E134,Calcu!$Q$168))</f>
        <v/>
      </c>
      <c r="S17" s="100" t="str">
        <f>IF(Calcu!$B134=FALSE,"",TEXT(Calcu!F134,Calcu!$Q$168))</f>
        <v/>
      </c>
      <c r="T17" s="100" t="str">
        <f>IF(Calcu!$B134=FALSE,"",TEXT(Calcu!G134,Calcu!$Q$168))</f>
        <v/>
      </c>
      <c r="U17" s="100" t="str">
        <f>IF(Calcu!$B134=FALSE,"",TEXT(Calcu!H134,Calcu!$Q$168))</f>
        <v/>
      </c>
      <c r="V17" s="100" t="str">
        <f>IF(Calcu!$B134=FALSE,"",TEXT(Calcu!I134,Calcu!$Q$168))</f>
        <v/>
      </c>
    </row>
    <row r="18" spans="2:22" ht="13.5" customHeight="1">
      <c r="B18" s="100" t="str">
        <f>Calcu!C13</f>
        <v/>
      </c>
      <c r="C18" s="100" t="str">
        <f>IF(Calcu!$B13=FALSE,"",TEXT(Calcu!E13,Calcu!$Q$46))</f>
        <v/>
      </c>
      <c r="D18" s="100" t="str">
        <f>IF(Calcu!$B13=FALSE,"",TEXT(Calcu!F13,Calcu!$Q$46))</f>
        <v/>
      </c>
      <c r="E18" s="100" t="str">
        <f>IF(Calcu!$B13=FALSE,"",TEXT(Calcu!G13,Calcu!$Q$46))</f>
        <v/>
      </c>
      <c r="F18" s="100" t="str">
        <f>IF(Calcu!$B13=FALSE,"",TEXT(Calcu!H13,Calcu!$Q$46))</f>
        <v/>
      </c>
      <c r="G18" s="100" t="str">
        <f>IF(Calcu!$B13=FALSE,"",TEXT(Calcu!I13,Calcu!$Q$46))</f>
        <v/>
      </c>
      <c r="H18" s="25"/>
      <c r="I18" s="25"/>
      <c r="J18" s="100" t="str">
        <f>Calcu!C74</f>
        <v/>
      </c>
      <c r="K18" s="100" t="str">
        <f>IF(Calcu!$B74=FALSE,"",TEXT(Calcu!E74,Calcu!$Q$107))</f>
        <v/>
      </c>
      <c r="L18" s="100" t="str">
        <f>IF(Calcu!$B74=FALSE,"",TEXT(Calcu!F74,Calcu!$Q$107))</f>
        <v/>
      </c>
      <c r="M18" s="100" t="str">
        <f>IF(Calcu!$B74=FALSE,"",TEXT(Calcu!G74,Calcu!$Q$107))</f>
        <v/>
      </c>
      <c r="N18" s="100" t="str">
        <f>IF(Calcu!$B74=FALSE,"",TEXT(Calcu!H74,Calcu!$Q$107))</f>
        <v/>
      </c>
      <c r="O18" s="100" t="str">
        <f>IF(Calcu!$B74=FALSE,"",TEXT(Calcu!I74,Calcu!$Q$107))</f>
        <v/>
      </c>
      <c r="Q18" s="100" t="str">
        <f>Calcu!C135</f>
        <v/>
      </c>
      <c r="R18" s="100" t="str">
        <f>IF(Calcu!$B135=FALSE,"",TEXT(Calcu!E135,Calcu!$Q$168))</f>
        <v/>
      </c>
      <c r="S18" s="100" t="str">
        <f>IF(Calcu!$B135=FALSE,"",TEXT(Calcu!F135,Calcu!$Q$168))</f>
        <v/>
      </c>
      <c r="T18" s="100" t="str">
        <f>IF(Calcu!$B135=FALSE,"",TEXT(Calcu!G135,Calcu!$Q$168))</f>
        <v/>
      </c>
      <c r="U18" s="100" t="str">
        <f>IF(Calcu!$B135=FALSE,"",TEXT(Calcu!H135,Calcu!$Q$168))</f>
        <v/>
      </c>
      <c r="V18" s="100" t="str">
        <f>IF(Calcu!$B135=FALSE,"",TEXT(Calcu!I135,Calcu!$Q$168))</f>
        <v/>
      </c>
    </row>
    <row r="19" spans="2:22" ht="13.5" customHeight="1">
      <c r="B19" s="100" t="str">
        <f>Calcu!C14</f>
        <v/>
      </c>
      <c r="C19" s="100" t="str">
        <f>IF(Calcu!$B14=FALSE,"",TEXT(Calcu!E14,Calcu!$Q$46))</f>
        <v/>
      </c>
      <c r="D19" s="100" t="str">
        <f>IF(Calcu!$B14=FALSE,"",TEXT(Calcu!F14,Calcu!$Q$46))</f>
        <v/>
      </c>
      <c r="E19" s="100" t="str">
        <f>IF(Calcu!$B14=FALSE,"",TEXT(Calcu!G14,Calcu!$Q$46))</f>
        <v/>
      </c>
      <c r="F19" s="100" t="str">
        <f>IF(Calcu!$B14=FALSE,"",TEXT(Calcu!H14,Calcu!$Q$46))</f>
        <v/>
      </c>
      <c r="G19" s="100" t="str">
        <f>IF(Calcu!$B14=FALSE,"",TEXT(Calcu!I14,Calcu!$Q$46))</f>
        <v/>
      </c>
      <c r="H19" s="25"/>
      <c r="I19" s="25"/>
      <c r="J19" s="100" t="str">
        <f>Calcu!C75</f>
        <v/>
      </c>
      <c r="K19" s="100" t="str">
        <f>IF(Calcu!$B75=FALSE,"",TEXT(Calcu!E75,Calcu!$Q$107))</f>
        <v/>
      </c>
      <c r="L19" s="100" t="str">
        <f>IF(Calcu!$B75=FALSE,"",TEXT(Calcu!F75,Calcu!$Q$107))</f>
        <v/>
      </c>
      <c r="M19" s="100" t="str">
        <f>IF(Calcu!$B75=FALSE,"",TEXT(Calcu!G75,Calcu!$Q$107))</f>
        <v/>
      </c>
      <c r="N19" s="100" t="str">
        <f>IF(Calcu!$B75=FALSE,"",TEXT(Calcu!H75,Calcu!$Q$107))</f>
        <v/>
      </c>
      <c r="O19" s="100" t="str">
        <f>IF(Calcu!$B75=FALSE,"",TEXT(Calcu!I75,Calcu!$Q$107))</f>
        <v/>
      </c>
      <c r="Q19" s="100" t="str">
        <f>Calcu!C136</f>
        <v/>
      </c>
      <c r="R19" s="100" t="str">
        <f>IF(Calcu!$B136=FALSE,"",TEXT(Calcu!E136,Calcu!$Q$168))</f>
        <v/>
      </c>
      <c r="S19" s="100" t="str">
        <f>IF(Calcu!$B136=FALSE,"",TEXT(Calcu!F136,Calcu!$Q$168))</f>
        <v/>
      </c>
      <c r="T19" s="100" t="str">
        <f>IF(Calcu!$B136=FALSE,"",TEXT(Calcu!G136,Calcu!$Q$168))</f>
        <v/>
      </c>
      <c r="U19" s="100" t="str">
        <f>IF(Calcu!$B136=FALSE,"",TEXT(Calcu!H136,Calcu!$Q$168))</f>
        <v/>
      </c>
      <c r="V19" s="100" t="str">
        <f>IF(Calcu!$B136=FALSE,"",TEXT(Calcu!I136,Calcu!$Q$168))</f>
        <v/>
      </c>
    </row>
    <row r="20" spans="2:22" ht="13.5" customHeight="1">
      <c r="B20" s="100" t="str">
        <f>Calcu!C15</f>
        <v/>
      </c>
      <c r="C20" s="100" t="str">
        <f>IF(Calcu!$B15=FALSE,"",TEXT(Calcu!E15,Calcu!$Q$46))</f>
        <v/>
      </c>
      <c r="D20" s="100" t="str">
        <f>IF(Calcu!$B15=FALSE,"",TEXT(Calcu!F15,Calcu!$Q$46))</f>
        <v/>
      </c>
      <c r="E20" s="100" t="str">
        <f>IF(Calcu!$B15=FALSE,"",TEXT(Calcu!G15,Calcu!$Q$46))</f>
        <v/>
      </c>
      <c r="F20" s="100" t="str">
        <f>IF(Calcu!$B15=FALSE,"",TEXT(Calcu!H15,Calcu!$Q$46))</f>
        <v/>
      </c>
      <c r="G20" s="100" t="str">
        <f>IF(Calcu!$B15=FALSE,"",TEXT(Calcu!I15,Calcu!$Q$46))</f>
        <v/>
      </c>
      <c r="H20" s="25"/>
      <c r="I20" s="25"/>
      <c r="J20" s="100" t="str">
        <f>Calcu!C76</f>
        <v/>
      </c>
      <c r="K20" s="100" t="str">
        <f>IF(Calcu!$B76=FALSE,"",TEXT(Calcu!E76,Calcu!$Q$107))</f>
        <v/>
      </c>
      <c r="L20" s="100" t="str">
        <f>IF(Calcu!$B76=FALSE,"",TEXT(Calcu!F76,Calcu!$Q$107))</f>
        <v/>
      </c>
      <c r="M20" s="100" t="str">
        <f>IF(Calcu!$B76=FALSE,"",TEXT(Calcu!G76,Calcu!$Q$107))</f>
        <v/>
      </c>
      <c r="N20" s="100" t="str">
        <f>IF(Calcu!$B76=FALSE,"",TEXT(Calcu!H76,Calcu!$Q$107))</f>
        <v/>
      </c>
      <c r="O20" s="100" t="str">
        <f>IF(Calcu!$B76=FALSE,"",TEXT(Calcu!I76,Calcu!$Q$107))</f>
        <v/>
      </c>
      <c r="Q20" s="100" t="str">
        <f>Calcu!C137</f>
        <v/>
      </c>
      <c r="R20" s="100" t="str">
        <f>IF(Calcu!$B137=FALSE,"",TEXT(Calcu!E137,Calcu!$Q$168))</f>
        <v/>
      </c>
      <c r="S20" s="100" t="str">
        <f>IF(Calcu!$B137=FALSE,"",TEXT(Calcu!F137,Calcu!$Q$168))</f>
        <v/>
      </c>
      <c r="T20" s="100" t="str">
        <f>IF(Calcu!$B137=FALSE,"",TEXT(Calcu!G137,Calcu!$Q$168))</f>
        <v/>
      </c>
      <c r="U20" s="100" t="str">
        <f>IF(Calcu!$B137=FALSE,"",TEXT(Calcu!H137,Calcu!$Q$168))</f>
        <v/>
      </c>
      <c r="V20" s="100" t="str">
        <f>IF(Calcu!$B137=FALSE,"",TEXT(Calcu!I137,Calcu!$Q$168))</f>
        <v/>
      </c>
    </row>
    <row r="21" spans="2:22" ht="13.5" customHeight="1">
      <c r="B21" s="100" t="str">
        <f>Calcu!C16</f>
        <v/>
      </c>
      <c r="C21" s="100" t="str">
        <f>IF(Calcu!$B16=FALSE,"",TEXT(Calcu!E16,Calcu!$Q$46))</f>
        <v/>
      </c>
      <c r="D21" s="100" t="str">
        <f>IF(Calcu!$B16=FALSE,"",TEXT(Calcu!F16,Calcu!$Q$46))</f>
        <v/>
      </c>
      <c r="E21" s="100" t="str">
        <f>IF(Calcu!$B16=FALSE,"",TEXT(Calcu!G16,Calcu!$Q$46))</f>
        <v/>
      </c>
      <c r="F21" s="100" t="str">
        <f>IF(Calcu!$B16=FALSE,"",TEXT(Calcu!H16,Calcu!$Q$46))</f>
        <v/>
      </c>
      <c r="G21" s="100" t="str">
        <f>IF(Calcu!$B16=FALSE,"",TEXT(Calcu!I16,Calcu!$Q$46))</f>
        <v/>
      </c>
      <c r="J21" s="100" t="str">
        <f>Calcu!C77</f>
        <v/>
      </c>
      <c r="K21" s="100" t="str">
        <f>IF(Calcu!$B77=FALSE,"",TEXT(Calcu!E77,Calcu!$Q$107))</f>
        <v/>
      </c>
      <c r="L21" s="100" t="str">
        <f>IF(Calcu!$B77=FALSE,"",TEXT(Calcu!F77,Calcu!$Q$107))</f>
        <v/>
      </c>
      <c r="M21" s="100" t="str">
        <f>IF(Calcu!$B77=FALSE,"",TEXT(Calcu!G77,Calcu!$Q$107))</f>
        <v/>
      </c>
      <c r="N21" s="100" t="str">
        <f>IF(Calcu!$B77=FALSE,"",TEXT(Calcu!H77,Calcu!$Q$107))</f>
        <v/>
      </c>
      <c r="O21" s="100" t="str">
        <f>IF(Calcu!$B77=FALSE,"",TEXT(Calcu!I77,Calcu!$Q$107))</f>
        <v/>
      </c>
      <c r="Q21" s="100" t="str">
        <f>Calcu!C138</f>
        <v/>
      </c>
      <c r="R21" s="100" t="str">
        <f>IF(Calcu!$B138=FALSE,"",TEXT(Calcu!E138,Calcu!$Q$168))</f>
        <v/>
      </c>
      <c r="S21" s="100" t="str">
        <f>IF(Calcu!$B138=FALSE,"",TEXT(Calcu!F138,Calcu!$Q$168))</f>
        <v/>
      </c>
      <c r="T21" s="100" t="str">
        <f>IF(Calcu!$B138=FALSE,"",TEXT(Calcu!G138,Calcu!$Q$168))</f>
        <v/>
      </c>
      <c r="U21" s="100" t="str">
        <f>IF(Calcu!$B138=FALSE,"",TEXT(Calcu!H138,Calcu!$Q$168))</f>
        <v/>
      </c>
      <c r="V21" s="100" t="str">
        <f>IF(Calcu!$B138=FALSE,"",TEXT(Calcu!I138,Calcu!$Q$168))</f>
        <v/>
      </c>
    </row>
    <row r="22" spans="2:22" ht="13.5" customHeight="1">
      <c r="B22" s="100" t="str">
        <f>Calcu!C17</f>
        <v/>
      </c>
      <c r="C22" s="100" t="str">
        <f>IF(Calcu!$B17=FALSE,"",TEXT(Calcu!E17,Calcu!$Q$46))</f>
        <v/>
      </c>
      <c r="D22" s="100" t="str">
        <f>IF(Calcu!$B17=FALSE,"",TEXT(Calcu!F17,Calcu!$Q$46))</f>
        <v/>
      </c>
      <c r="E22" s="100" t="str">
        <f>IF(Calcu!$B17=FALSE,"",TEXT(Calcu!G17,Calcu!$Q$46))</f>
        <v/>
      </c>
      <c r="F22" s="100" t="str">
        <f>IF(Calcu!$B17=FALSE,"",TEXT(Calcu!H17,Calcu!$Q$46))</f>
        <v/>
      </c>
      <c r="G22" s="100" t="str">
        <f>IF(Calcu!$B17=FALSE,"",TEXT(Calcu!I17,Calcu!$Q$46))</f>
        <v/>
      </c>
      <c r="J22" s="100" t="str">
        <f>Calcu!C78</f>
        <v/>
      </c>
      <c r="K22" s="100" t="str">
        <f>IF(Calcu!$B78=FALSE,"",TEXT(Calcu!E78,Calcu!$Q$107))</f>
        <v/>
      </c>
      <c r="L22" s="100" t="str">
        <f>IF(Calcu!$B78=FALSE,"",TEXT(Calcu!F78,Calcu!$Q$107))</f>
        <v/>
      </c>
      <c r="M22" s="100" t="str">
        <f>IF(Calcu!$B78=FALSE,"",TEXT(Calcu!G78,Calcu!$Q$107))</f>
        <v/>
      </c>
      <c r="N22" s="100" t="str">
        <f>IF(Calcu!$B78=FALSE,"",TEXT(Calcu!H78,Calcu!$Q$107))</f>
        <v/>
      </c>
      <c r="O22" s="100" t="str">
        <f>IF(Calcu!$B78=FALSE,"",TEXT(Calcu!I78,Calcu!$Q$107))</f>
        <v/>
      </c>
      <c r="Q22" s="100" t="str">
        <f>Calcu!C139</f>
        <v/>
      </c>
      <c r="R22" s="100" t="str">
        <f>IF(Calcu!$B139=FALSE,"",TEXT(Calcu!E139,Calcu!$Q$168))</f>
        <v/>
      </c>
      <c r="S22" s="100" t="str">
        <f>IF(Calcu!$B139=FALSE,"",TEXT(Calcu!F139,Calcu!$Q$168))</f>
        <v/>
      </c>
      <c r="T22" s="100" t="str">
        <f>IF(Calcu!$B139=FALSE,"",TEXT(Calcu!G139,Calcu!$Q$168))</f>
        <v/>
      </c>
      <c r="U22" s="100" t="str">
        <f>IF(Calcu!$B139=FALSE,"",TEXT(Calcu!H139,Calcu!$Q$168))</f>
        <v/>
      </c>
      <c r="V22" s="100" t="str">
        <f>IF(Calcu!$B139=FALSE,"",TEXT(Calcu!I139,Calcu!$Q$168))</f>
        <v/>
      </c>
    </row>
    <row r="23" spans="2:22" ht="13.5" customHeight="1">
      <c r="B23" s="100" t="str">
        <f>Calcu!C18</f>
        <v/>
      </c>
      <c r="C23" s="100" t="str">
        <f>IF(Calcu!$B18=FALSE,"",TEXT(Calcu!E18,Calcu!$Q$46))</f>
        <v/>
      </c>
      <c r="D23" s="100" t="str">
        <f>IF(Calcu!$B18=FALSE,"",TEXT(Calcu!F18,Calcu!$Q$46))</f>
        <v/>
      </c>
      <c r="E23" s="100" t="str">
        <f>IF(Calcu!$B18=FALSE,"",TEXT(Calcu!G18,Calcu!$Q$46))</f>
        <v/>
      </c>
      <c r="F23" s="100" t="str">
        <f>IF(Calcu!$B18=FALSE,"",TEXT(Calcu!H18,Calcu!$Q$46))</f>
        <v/>
      </c>
      <c r="G23" s="100" t="str">
        <f>IF(Calcu!$B18=FALSE,"",TEXT(Calcu!I18,Calcu!$Q$46))</f>
        <v/>
      </c>
      <c r="J23" s="100" t="str">
        <f>Calcu!C79</f>
        <v/>
      </c>
      <c r="K23" s="100" t="str">
        <f>IF(Calcu!$B79=FALSE,"",TEXT(Calcu!E79,Calcu!$Q$107))</f>
        <v/>
      </c>
      <c r="L23" s="100" t="str">
        <f>IF(Calcu!$B79=FALSE,"",TEXT(Calcu!F79,Calcu!$Q$107))</f>
        <v/>
      </c>
      <c r="M23" s="100" t="str">
        <f>IF(Calcu!$B79=FALSE,"",TEXT(Calcu!G79,Calcu!$Q$107))</f>
        <v/>
      </c>
      <c r="N23" s="100" t="str">
        <f>IF(Calcu!$B79=FALSE,"",TEXT(Calcu!H79,Calcu!$Q$107))</f>
        <v/>
      </c>
      <c r="O23" s="100" t="str">
        <f>IF(Calcu!$B79=FALSE,"",TEXT(Calcu!I79,Calcu!$Q$107))</f>
        <v/>
      </c>
      <c r="Q23" s="100" t="str">
        <f>Calcu!C140</f>
        <v/>
      </c>
      <c r="R23" s="100" t="str">
        <f>IF(Calcu!$B140=FALSE,"",TEXT(Calcu!E140,Calcu!$Q$168))</f>
        <v/>
      </c>
      <c r="S23" s="100" t="str">
        <f>IF(Calcu!$B140=FALSE,"",TEXT(Calcu!F140,Calcu!$Q$168))</f>
        <v/>
      </c>
      <c r="T23" s="100" t="str">
        <f>IF(Calcu!$B140=FALSE,"",TEXT(Calcu!G140,Calcu!$Q$168))</f>
        <v/>
      </c>
      <c r="U23" s="100" t="str">
        <f>IF(Calcu!$B140=FALSE,"",TEXT(Calcu!H140,Calcu!$Q$168))</f>
        <v/>
      </c>
      <c r="V23" s="100" t="str">
        <f>IF(Calcu!$B140=FALSE,"",TEXT(Calcu!I140,Calcu!$Q$168))</f>
        <v/>
      </c>
    </row>
    <row r="24" spans="2:22" ht="13.5" customHeight="1">
      <c r="B24" s="100" t="str">
        <f>Calcu!C19</f>
        <v/>
      </c>
      <c r="C24" s="100" t="str">
        <f>IF(Calcu!$B19=FALSE,"",TEXT(Calcu!E19,Calcu!$Q$46))</f>
        <v/>
      </c>
      <c r="D24" s="100" t="str">
        <f>IF(Calcu!$B19=FALSE,"",TEXT(Calcu!F19,Calcu!$Q$46))</f>
        <v/>
      </c>
      <c r="E24" s="100" t="str">
        <f>IF(Calcu!$B19=FALSE,"",TEXT(Calcu!G19,Calcu!$Q$46))</f>
        <v/>
      </c>
      <c r="F24" s="100" t="str">
        <f>IF(Calcu!$B19=FALSE,"",TEXT(Calcu!H19,Calcu!$Q$46))</f>
        <v/>
      </c>
      <c r="G24" s="100" t="str">
        <f>IF(Calcu!$B19=FALSE,"",TEXT(Calcu!I19,Calcu!$Q$46))</f>
        <v/>
      </c>
      <c r="J24" s="100" t="str">
        <f>Calcu!C80</f>
        <v/>
      </c>
      <c r="K24" s="100" t="str">
        <f>IF(Calcu!$B80=FALSE,"",TEXT(Calcu!E80,Calcu!$Q$107))</f>
        <v/>
      </c>
      <c r="L24" s="100" t="str">
        <f>IF(Calcu!$B80=FALSE,"",TEXT(Calcu!F80,Calcu!$Q$107))</f>
        <v/>
      </c>
      <c r="M24" s="100" t="str">
        <f>IF(Calcu!$B80=FALSE,"",TEXT(Calcu!G80,Calcu!$Q$107))</f>
        <v/>
      </c>
      <c r="N24" s="100" t="str">
        <f>IF(Calcu!$B80=FALSE,"",TEXT(Calcu!H80,Calcu!$Q$107))</f>
        <v/>
      </c>
      <c r="O24" s="100" t="str">
        <f>IF(Calcu!$B80=FALSE,"",TEXT(Calcu!I80,Calcu!$Q$107))</f>
        <v/>
      </c>
      <c r="Q24" s="100" t="str">
        <f>Calcu!C141</f>
        <v/>
      </c>
      <c r="R24" s="100" t="str">
        <f>IF(Calcu!$B141=FALSE,"",TEXT(Calcu!E141,Calcu!$Q$168))</f>
        <v/>
      </c>
      <c r="S24" s="100" t="str">
        <f>IF(Calcu!$B141=FALSE,"",TEXT(Calcu!F141,Calcu!$Q$168))</f>
        <v/>
      </c>
      <c r="T24" s="100" t="str">
        <f>IF(Calcu!$B141=FALSE,"",TEXT(Calcu!G141,Calcu!$Q$168))</f>
        <v/>
      </c>
      <c r="U24" s="100" t="str">
        <f>IF(Calcu!$B141=FALSE,"",TEXT(Calcu!H141,Calcu!$Q$168))</f>
        <v/>
      </c>
      <c r="V24" s="100" t="str">
        <f>IF(Calcu!$B141=FALSE,"",TEXT(Calcu!I141,Calcu!$Q$168))</f>
        <v/>
      </c>
    </row>
    <row r="25" spans="2:22" ht="13.5" customHeight="1">
      <c r="B25" s="100" t="str">
        <f>Calcu!C20</f>
        <v/>
      </c>
      <c r="C25" s="100" t="str">
        <f>IF(Calcu!$B20=FALSE,"",TEXT(Calcu!E20,Calcu!$Q$46))</f>
        <v/>
      </c>
      <c r="D25" s="100" t="str">
        <f>IF(Calcu!$B20=FALSE,"",TEXT(Calcu!F20,Calcu!$Q$46))</f>
        <v/>
      </c>
      <c r="E25" s="100" t="str">
        <f>IF(Calcu!$B20=FALSE,"",TEXT(Calcu!G20,Calcu!$Q$46))</f>
        <v/>
      </c>
      <c r="F25" s="100" t="str">
        <f>IF(Calcu!$B20=FALSE,"",TEXT(Calcu!H20,Calcu!$Q$46))</f>
        <v/>
      </c>
      <c r="G25" s="100" t="str">
        <f>IF(Calcu!$B20=FALSE,"",TEXT(Calcu!I20,Calcu!$Q$46))</f>
        <v/>
      </c>
      <c r="J25" s="100" t="str">
        <f>Calcu!C81</f>
        <v/>
      </c>
      <c r="K25" s="100" t="str">
        <f>IF(Calcu!$B81=FALSE,"",TEXT(Calcu!E81,Calcu!$Q$107))</f>
        <v/>
      </c>
      <c r="L25" s="100" t="str">
        <f>IF(Calcu!$B81=FALSE,"",TEXT(Calcu!F81,Calcu!$Q$107))</f>
        <v/>
      </c>
      <c r="M25" s="100" t="str">
        <f>IF(Calcu!$B81=FALSE,"",TEXT(Calcu!G81,Calcu!$Q$107))</f>
        <v/>
      </c>
      <c r="N25" s="100" t="str">
        <f>IF(Calcu!$B81=FALSE,"",TEXT(Calcu!H81,Calcu!$Q$107))</f>
        <v/>
      </c>
      <c r="O25" s="100" t="str">
        <f>IF(Calcu!$B81=FALSE,"",TEXT(Calcu!I81,Calcu!$Q$107))</f>
        <v/>
      </c>
      <c r="Q25" s="100" t="str">
        <f>Calcu!C142</f>
        <v/>
      </c>
      <c r="R25" s="100" t="str">
        <f>IF(Calcu!$B142=FALSE,"",TEXT(Calcu!E142,Calcu!$Q$168))</f>
        <v/>
      </c>
      <c r="S25" s="100" t="str">
        <f>IF(Calcu!$B142=FALSE,"",TEXT(Calcu!F142,Calcu!$Q$168))</f>
        <v/>
      </c>
      <c r="T25" s="100" t="str">
        <f>IF(Calcu!$B142=FALSE,"",TEXT(Calcu!G142,Calcu!$Q$168))</f>
        <v/>
      </c>
      <c r="U25" s="100" t="str">
        <f>IF(Calcu!$B142=FALSE,"",TEXT(Calcu!H142,Calcu!$Q$168))</f>
        <v/>
      </c>
      <c r="V25" s="100" t="str">
        <f>IF(Calcu!$B142=FALSE,"",TEXT(Calcu!I142,Calcu!$Q$168))</f>
        <v/>
      </c>
    </row>
    <row r="26" spans="2:22" ht="13.5" customHeight="1">
      <c r="B26" s="100" t="str">
        <f>Calcu!C21</f>
        <v/>
      </c>
      <c r="C26" s="100" t="str">
        <f>IF(Calcu!$B21=FALSE,"",TEXT(Calcu!E21,Calcu!$Q$46))</f>
        <v/>
      </c>
      <c r="D26" s="100" t="str">
        <f>IF(Calcu!$B21=FALSE,"",TEXT(Calcu!F21,Calcu!$Q$46))</f>
        <v/>
      </c>
      <c r="E26" s="100" t="str">
        <f>IF(Calcu!$B21=FALSE,"",TEXT(Calcu!G21,Calcu!$Q$46))</f>
        <v/>
      </c>
      <c r="F26" s="100" t="str">
        <f>IF(Calcu!$B21=FALSE,"",TEXT(Calcu!H21,Calcu!$Q$46))</f>
        <v/>
      </c>
      <c r="G26" s="100" t="str">
        <f>IF(Calcu!$B21=FALSE,"",TEXT(Calcu!I21,Calcu!$Q$46))</f>
        <v/>
      </c>
      <c r="J26" s="100" t="str">
        <f>Calcu!C82</f>
        <v/>
      </c>
      <c r="K26" s="100" t="str">
        <f>IF(Calcu!$B82=FALSE,"",TEXT(Calcu!E82,Calcu!$Q$107))</f>
        <v/>
      </c>
      <c r="L26" s="100" t="str">
        <f>IF(Calcu!$B82=FALSE,"",TEXT(Calcu!F82,Calcu!$Q$107))</f>
        <v/>
      </c>
      <c r="M26" s="100" t="str">
        <f>IF(Calcu!$B82=FALSE,"",TEXT(Calcu!G82,Calcu!$Q$107))</f>
        <v/>
      </c>
      <c r="N26" s="100" t="str">
        <f>IF(Calcu!$B82=FALSE,"",TEXT(Calcu!H82,Calcu!$Q$107))</f>
        <v/>
      </c>
      <c r="O26" s="100" t="str">
        <f>IF(Calcu!$B82=FALSE,"",TEXT(Calcu!I82,Calcu!$Q$107))</f>
        <v/>
      </c>
      <c r="Q26" s="100" t="str">
        <f>Calcu!C143</f>
        <v/>
      </c>
      <c r="R26" s="100" t="str">
        <f>IF(Calcu!$B143=FALSE,"",TEXT(Calcu!E143,Calcu!$Q$168))</f>
        <v/>
      </c>
      <c r="S26" s="100" t="str">
        <f>IF(Calcu!$B143=FALSE,"",TEXT(Calcu!F143,Calcu!$Q$168))</f>
        <v/>
      </c>
      <c r="T26" s="100" t="str">
        <f>IF(Calcu!$B143=FALSE,"",TEXT(Calcu!G143,Calcu!$Q$168))</f>
        <v/>
      </c>
      <c r="U26" s="100" t="str">
        <f>IF(Calcu!$B143=FALSE,"",TEXT(Calcu!H143,Calcu!$Q$168))</f>
        <v/>
      </c>
      <c r="V26" s="100" t="str">
        <f>IF(Calcu!$B143=FALSE,"",TEXT(Calcu!I143,Calcu!$Q$168))</f>
        <v/>
      </c>
    </row>
    <row r="27" spans="2:22" ht="13.5" customHeight="1">
      <c r="B27" s="100" t="str">
        <f>Calcu!C22</f>
        <v/>
      </c>
      <c r="C27" s="100" t="str">
        <f>IF(Calcu!$B22=FALSE,"",TEXT(Calcu!E22,Calcu!$Q$46))</f>
        <v/>
      </c>
      <c r="D27" s="100" t="str">
        <f>IF(Calcu!$B22=FALSE,"",TEXT(Calcu!F22,Calcu!$Q$46))</f>
        <v/>
      </c>
      <c r="E27" s="100" t="str">
        <f>IF(Calcu!$B22=FALSE,"",TEXT(Calcu!G22,Calcu!$Q$46))</f>
        <v/>
      </c>
      <c r="F27" s="100" t="str">
        <f>IF(Calcu!$B22=FALSE,"",TEXT(Calcu!H22,Calcu!$Q$46))</f>
        <v/>
      </c>
      <c r="G27" s="100" t="str">
        <f>IF(Calcu!$B22=FALSE,"",TEXT(Calcu!I22,Calcu!$Q$46))</f>
        <v/>
      </c>
      <c r="J27" s="100" t="str">
        <f>Calcu!C83</f>
        <v/>
      </c>
      <c r="K27" s="100" t="str">
        <f>IF(Calcu!$B83=FALSE,"",TEXT(Calcu!E83,Calcu!$Q$107))</f>
        <v/>
      </c>
      <c r="L27" s="100" t="str">
        <f>IF(Calcu!$B83=FALSE,"",TEXT(Calcu!F83,Calcu!$Q$107))</f>
        <v/>
      </c>
      <c r="M27" s="100" t="str">
        <f>IF(Calcu!$B83=FALSE,"",TEXT(Calcu!G83,Calcu!$Q$107))</f>
        <v/>
      </c>
      <c r="N27" s="100" t="str">
        <f>IF(Calcu!$B83=FALSE,"",TEXT(Calcu!H83,Calcu!$Q$107))</f>
        <v/>
      </c>
      <c r="O27" s="100" t="str">
        <f>IF(Calcu!$B83=FALSE,"",TEXT(Calcu!I83,Calcu!$Q$107))</f>
        <v/>
      </c>
      <c r="Q27" s="100" t="str">
        <f>Calcu!C144</f>
        <v/>
      </c>
      <c r="R27" s="100" t="str">
        <f>IF(Calcu!$B144=FALSE,"",TEXT(Calcu!E144,Calcu!$Q$168))</f>
        <v/>
      </c>
      <c r="S27" s="100" t="str">
        <f>IF(Calcu!$B144=FALSE,"",TEXT(Calcu!F144,Calcu!$Q$168))</f>
        <v/>
      </c>
      <c r="T27" s="100" t="str">
        <f>IF(Calcu!$B144=FALSE,"",TEXT(Calcu!G144,Calcu!$Q$168))</f>
        <v/>
      </c>
      <c r="U27" s="100" t="str">
        <f>IF(Calcu!$B144=FALSE,"",TEXT(Calcu!H144,Calcu!$Q$168))</f>
        <v/>
      </c>
      <c r="V27" s="100" t="str">
        <f>IF(Calcu!$B144=FALSE,"",TEXT(Calcu!I144,Calcu!$Q$168))</f>
        <v/>
      </c>
    </row>
    <row r="28" spans="2:22" ht="13.5" customHeight="1">
      <c r="B28" s="100" t="str">
        <f>Calcu!C23</f>
        <v/>
      </c>
      <c r="C28" s="100" t="str">
        <f>IF(Calcu!$B23=FALSE,"",TEXT(Calcu!E23,Calcu!$Q$46))</f>
        <v/>
      </c>
      <c r="D28" s="100" t="str">
        <f>IF(Calcu!$B23=FALSE,"",TEXT(Calcu!F23,Calcu!$Q$46))</f>
        <v/>
      </c>
      <c r="E28" s="100" t="str">
        <f>IF(Calcu!$B23=FALSE,"",TEXT(Calcu!G23,Calcu!$Q$46))</f>
        <v/>
      </c>
      <c r="F28" s="100" t="str">
        <f>IF(Calcu!$B23=FALSE,"",TEXT(Calcu!H23,Calcu!$Q$46))</f>
        <v/>
      </c>
      <c r="G28" s="100" t="str">
        <f>IF(Calcu!$B23=FALSE,"",TEXT(Calcu!I23,Calcu!$Q$46))</f>
        <v/>
      </c>
      <c r="J28" s="100" t="str">
        <f>Calcu!C84</f>
        <v/>
      </c>
      <c r="K28" s="100" t="str">
        <f>IF(Calcu!$B84=FALSE,"",TEXT(Calcu!E84,Calcu!$Q$107))</f>
        <v/>
      </c>
      <c r="L28" s="100" t="str">
        <f>IF(Calcu!$B84=FALSE,"",TEXT(Calcu!F84,Calcu!$Q$107))</f>
        <v/>
      </c>
      <c r="M28" s="100" t="str">
        <f>IF(Calcu!$B84=FALSE,"",TEXT(Calcu!G84,Calcu!$Q$107))</f>
        <v/>
      </c>
      <c r="N28" s="100" t="str">
        <f>IF(Calcu!$B84=FALSE,"",TEXT(Calcu!H84,Calcu!$Q$107))</f>
        <v/>
      </c>
      <c r="O28" s="100" t="str">
        <f>IF(Calcu!$B84=FALSE,"",TEXT(Calcu!I84,Calcu!$Q$107))</f>
        <v/>
      </c>
      <c r="Q28" s="100" t="str">
        <f>Calcu!C145</f>
        <v/>
      </c>
      <c r="R28" s="100" t="str">
        <f>IF(Calcu!$B145=FALSE,"",TEXT(Calcu!E145,Calcu!$Q$168))</f>
        <v/>
      </c>
      <c r="S28" s="100" t="str">
        <f>IF(Calcu!$B145=FALSE,"",TEXT(Calcu!F145,Calcu!$Q$168))</f>
        <v/>
      </c>
      <c r="T28" s="100" t="str">
        <f>IF(Calcu!$B145=FALSE,"",TEXT(Calcu!G145,Calcu!$Q$168))</f>
        <v/>
      </c>
      <c r="U28" s="100" t="str">
        <f>IF(Calcu!$B145=FALSE,"",TEXT(Calcu!H145,Calcu!$Q$168))</f>
        <v/>
      </c>
      <c r="V28" s="100" t="str">
        <f>IF(Calcu!$B145=FALSE,"",TEXT(Calcu!I145,Calcu!$Q$168))</f>
        <v/>
      </c>
    </row>
    <row r="29" spans="2:22" ht="13.5" customHeight="1">
      <c r="B29" s="100" t="str">
        <f>Calcu!C24</f>
        <v/>
      </c>
      <c r="C29" s="100" t="str">
        <f>IF(Calcu!$B24=FALSE,"",TEXT(Calcu!E24,Calcu!$Q$46))</f>
        <v/>
      </c>
      <c r="D29" s="100" t="str">
        <f>IF(Calcu!$B24=FALSE,"",TEXT(Calcu!F24,Calcu!$Q$46))</f>
        <v/>
      </c>
      <c r="E29" s="100" t="str">
        <f>IF(Calcu!$B24=FALSE,"",TEXT(Calcu!G24,Calcu!$Q$46))</f>
        <v/>
      </c>
      <c r="F29" s="100" t="str">
        <f>IF(Calcu!$B24=FALSE,"",TEXT(Calcu!H24,Calcu!$Q$46))</f>
        <v/>
      </c>
      <c r="G29" s="100" t="str">
        <f>IF(Calcu!$B24=FALSE,"",TEXT(Calcu!I24,Calcu!$Q$46))</f>
        <v/>
      </c>
      <c r="J29" s="100" t="str">
        <f>Calcu!C85</f>
        <v/>
      </c>
      <c r="K29" s="100" t="str">
        <f>IF(Calcu!$B85=FALSE,"",TEXT(Calcu!E85,Calcu!$Q$107))</f>
        <v/>
      </c>
      <c r="L29" s="100" t="str">
        <f>IF(Calcu!$B85=FALSE,"",TEXT(Calcu!F85,Calcu!$Q$107))</f>
        <v/>
      </c>
      <c r="M29" s="100" t="str">
        <f>IF(Calcu!$B85=FALSE,"",TEXT(Calcu!G85,Calcu!$Q$107))</f>
        <v/>
      </c>
      <c r="N29" s="100" t="str">
        <f>IF(Calcu!$B85=FALSE,"",TEXT(Calcu!H85,Calcu!$Q$107))</f>
        <v/>
      </c>
      <c r="O29" s="100" t="str">
        <f>IF(Calcu!$B85=FALSE,"",TEXT(Calcu!I85,Calcu!$Q$107))</f>
        <v/>
      </c>
      <c r="Q29" s="100" t="str">
        <f>Calcu!C146</f>
        <v/>
      </c>
      <c r="R29" s="100" t="str">
        <f>IF(Calcu!$B146=FALSE,"",TEXT(Calcu!E146,Calcu!$Q$168))</f>
        <v/>
      </c>
      <c r="S29" s="100" t="str">
        <f>IF(Calcu!$B146=FALSE,"",TEXT(Calcu!F146,Calcu!$Q$168))</f>
        <v/>
      </c>
      <c r="T29" s="100" t="str">
        <f>IF(Calcu!$B146=FALSE,"",TEXT(Calcu!G146,Calcu!$Q$168))</f>
        <v/>
      </c>
      <c r="U29" s="100" t="str">
        <f>IF(Calcu!$B146=FALSE,"",TEXT(Calcu!H146,Calcu!$Q$168))</f>
        <v/>
      </c>
      <c r="V29" s="100" t="str">
        <f>IF(Calcu!$B146=FALSE,"",TEXT(Calcu!I146,Calcu!$Q$168))</f>
        <v/>
      </c>
    </row>
    <row r="30" spans="2:22" ht="13.5" customHeight="1">
      <c r="B30" s="100" t="str">
        <f>Calcu!C25</f>
        <v/>
      </c>
      <c r="C30" s="100" t="str">
        <f>IF(Calcu!$B25=FALSE,"",TEXT(Calcu!E25,Calcu!$Q$46))</f>
        <v/>
      </c>
      <c r="D30" s="100" t="str">
        <f>IF(Calcu!$B25=FALSE,"",TEXT(Calcu!F25,Calcu!$Q$46))</f>
        <v/>
      </c>
      <c r="E30" s="100" t="str">
        <f>IF(Calcu!$B25=FALSE,"",TEXT(Calcu!G25,Calcu!$Q$46))</f>
        <v/>
      </c>
      <c r="F30" s="100" t="str">
        <f>IF(Calcu!$B25=FALSE,"",TEXT(Calcu!H25,Calcu!$Q$46))</f>
        <v/>
      </c>
      <c r="G30" s="100" t="str">
        <f>IF(Calcu!$B25=FALSE,"",TEXT(Calcu!I25,Calcu!$Q$46))</f>
        <v/>
      </c>
      <c r="J30" s="100" t="str">
        <f>Calcu!C86</f>
        <v/>
      </c>
      <c r="K30" s="100" t="str">
        <f>IF(Calcu!$B86=FALSE,"",TEXT(Calcu!E86,Calcu!$Q$107))</f>
        <v/>
      </c>
      <c r="L30" s="100" t="str">
        <f>IF(Calcu!$B86=FALSE,"",TEXT(Calcu!F86,Calcu!$Q$107))</f>
        <v/>
      </c>
      <c r="M30" s="100" t="str">
        <f>IF(Calcu!$B86=FALSE,"",TEXT(Calcu!G86,Calcu!$Q$107))</f>
        <v/>
      </c>
      <c r="N30" s="100" t="str">
        <f>IF(Calcu!$B86=FALSE,"",TEXT(Calcu!H86,Calcu!$Q$107))</f>
        <v/>
      </c>
      <c r="O30" s="100" t="str">
        <f>IF(Calcu!$B86=FALSE,"",TEXT(Calcu!I86,Calcu!$Q$107))</f>
        <v/>
      </c>
      <c r="Q30" s="100" t="str">
        <f>Calcu!C147</f>
        <v/>
      </c>
      <c r="R30" s="100" t="str">
        <f>IF(Calcu!$B147=FALSE,"",TEXT(Calcu!E147,Calcu!$Q$168))</f>
        <v/>
      </c>
      <c r="S30" s="100" t="str">
        <f>IF(Calcu!$B147=FALSE,"",TEXT(Calcu!F147,Calcu!$Q$168))</f>
        <v/>
      </c>
      <c r="T30" s="100" t="str">
        <f>IF(Calcu!$B147=FALSE,"",TEXT(Calcu!G147,Calcu!$Q$168))</f>
        <v/>
      </c>
      <c r="U30" s="100" t="str">
        <f>IF(Calcu!$B147=FALSE,"",TEXT(Calcu!H147,Calcu!$Q$168))</f>
        <v/>
      </c>
      <c r="V30" s="100" t="str">
        <f>IF(Calcu!$B147=FALSE,"",TEXT(Calcu!I147,Calcu!$Q$168))</f>
        <v/>
      </c>
    </row>
    <row r="31" spans="2:22" ht="13.5" customHeight="1">
      <c r="B31" s="100" t="str">
        <f>Calcu!C26</f>
        <v/>
      </c>
      <c r="C31" s="100" t="str">
        <f>IF(Calcu!$B26=FALSE,"",TEXT(Calcu!E26,Calcu!$Q$46))</f>
        <v/>
      </c>
      <c r="D31" s="100" t="str">
        <f>IF(Calcu!$B26=FALSE,"",TEXT(Calcu!F26,Calcu!$Q$46))</f>
        <v/>
      </c>
      <c r="E31" s="100" t="str">
        <f>IF(Calcu!$B26=FALSE,"",TEXT(Calcu!G26,Calcu!$Q$46))</f>
        <v/>
      </c>
      <c r="F31" s="100" t="str">
        <f>IF(Calcu!$B26=FALSE,"",TEXT(Calcu!H26,Calcu!$Q$46))</f>
        <v/>
      </c>
      <c r="G31" s="100" t="str">
        <f>IF(Calcu!$B26=FALSE,"",TEXT(Calcu!I26,Calcu!$Q$46))</f>
        <v/>
      </c>
      <c r="J31" s="100" t="str">
        <f>Calcu!C87</f>
        <v/>
      </c>
      <c r="K31" s="100" t="str">
        <f>IF(Calcu!$B87=FALSE,"",TEXT(Calcu!E87,Calcu!$Q$107))</f>
        <v/>
      </c>
      <c r="L31" s="100" t="str">
        <f>IF(Calcu!$B87=FALSE,"",TEXT(Calcu!F87,Calcu!$Q$107))</f>
        <v/>
      </c>
      <c r="M31" s="100" t="str">
        <f>IF(Calcu!$B87=FALSE,"",TEXT(Calcu!G87,Calcu!$Q$107))</f>
        <v/>
      </c>
      <c r="N31" s="100" t="str">
        <f>IF(Calcu!$B87=FALSE,"",TEXT(Calcu!H87,Calcu!$Q$107))</f>
        <v/>
      </c>
      <c r="O31" s="100" t="str">
        <f>IF(Calcu!$B87=FALSE,"",TEXT(Calcu!I87,Calcu!$Q$107))</f>
        <v/>
      </c>
      <c r="Q31" s="100" t="str">
        <f>Calcu!C148</f>
        <v/>
      </c>
      <c r="R31" s="100" t="str">
        <f>IF(Calcu!$B148=FALSE,"",TEXT(Calcu!E148,Calcu!$Q$168))</f>
        <v/>
      </c>
      <c r="S31" s="100" t="str">
        <f>IF(Calcu!$B148=FALSE,"",TEXT(Calcu!F148,Calcu!$Q$168))</f>
        <v/>
      </c>
      <c r="T31" s="100" t="str">
        <f>IF(Calcu!$B148=FALSE,"",TEXT(Calcu!G148,Calcu!$Q$168))</f>
        <v/>
      </c>
      <c r="U31" s="100" t="str">
        <f>IF(Calcu!$B148=FALSE,"",TEXT(Calcu!H148,Calcu!$Q$168))</f>
        <v/>
      </c>
      <c r="V31" s="100" t="str">
        <f>IF(Calcu!$B148=FALSE,"",TEXT(Calcu!I148,Calcu!$Q$168))</f>
        <v/>
      </c>
    </row>
    <row r="32" spans="2:22" ht="13.5" customHeight="1">
      <c r="B32" s="100" t="str">
        <f>Calcu!C27</f>
        <v/>
      </c>
      <c r="C32" s="100" t="str">
        <f>IF(Calcu!$B27=FALSE,"",TEXT(Calcu!E27,Calcu!$Q$46))</f>
        <v/>
      </c>
      <c r="D32" s="100" t="str">
        <f>IF(Calcu!$B27=FALSE,"",TEXT(Calcu!F27,Calcu!$Q$46))</f>
        <v/>
      </c>
      <c r="E32" s="100" t="str">
        <f>IF(Calcu!$B27=FALSE,"",TEXT(Calcu!G27,Calcu!$Q$46))</f>
        <v/>
      </c>
      <c r="F32" s="100" t="str">
        <f>IF(Calcu!$B27=FALSE,"",TEXT(Calcu!H27,Calcu!$Q$46))</f>
        <v/>
      </c>
      <c r="G32" s="100" t="str">
        <f>IF(Calcu!$B27=FALSE,"",TEXT(Calcu!I27,Calcu!$Q$46))</f>
        <v/>
      </c>
      <c r="J32" s="100" t="str">
        <f>Calcu!C88</f>
        <v/>
      </c>
      <c r="K32" s="100" t="str">
        <f>IF(Calcu!$B88=FALSE,"",TEXT(Calcu!E88,Calcu!$Q$107))</f>
        <v/>
      </c>
      <c r="L32" s="100" t="str">
        <f>IF(Calcu!$B88=FALSE,"",TEXT(Calcu!F88,Calcu!$Q$107))</f>
        <v/>
      </c>
      <c r="M32" s="100" t="str">
        <f>IF(Calcu!$B88=FALSE,"",TEXT(Calcu!G88,Calcu!$Q$107))</f>
        <v/>
      </c>
      <c r="N32" s="100" t="str">
        <f>IF(Calcu!$B88=FALSE,"",TEXT(Calcu!H88,Calcu!$Q$107))</f>
        <v/>
      </c>
      <c r="O32" s="100" t="str">
        <f>IF(Calcu!$B88=FALSE,"",TEXT(Calcu!I88,Calcu!$Q$107))</f>
        <v/>
      </c>
      <c r="Q32" s="100" t="str">
        <f>Calcu!C149</f>
        <v/>
      </c>
      <c r="R32" s="100" t="str">
        <f>IF(Calcu!$B149=FALSE,"",TEXT(Calcu!E149,Calcu!$Q$168))</f>
        <v/>
      </c>
      <c r="S32" s="100" t="str">
        <f>IF(Calcu!$B149=FALSE,"",TEXT(Calcu!F149,Calcu!$Q$168))</f>
        <v/>
      </c>
      <c r="T32" s="100" t="str">
        <f>IF(Calcu!$B149=FALSE,"",TEXT(Calcu!G149,Calcu!$Q$168))</f>
        <v/>
      </c>
      <c r="U32" s="100" t="str">
        <f>IF(Calcu!$B149=FALSE,"",TEXT(Calcu!H149,Calcu!$Q$168))</f>
        <v/>
      </c>
      <c r="V32" s="100" t="str">
        <f>IF(Calcu!$B149=FALSE,"",TEXT(Calcu!I149,Calcu!$Q$168))</f>
        <v/>
      </c>
    </row>
    <row r="33" spans="2:22" ht="13.5" customHeight="1">
      <c r="B33" s="100" t="str">
        <f>Calcu!C28</f>
        <v/>
      </c>
      <c r="C33" s="100" t="str">
        <f>IF(Calcu!$B28=FALSE,"",TEXT(Calcu!E28,Calcu!$Q$46))</f>
        <v/>
      </c>
      <c r="D33" s="100" t="str">
        <f>IF(Calcu!$B28=FALSE,"",TEXT(Calcu!F28,Calcu!$Q$46))</f>
        <v/>
      </c>
      <c r="E33" s="100" t="str">
        <f>IF(Calcu!$B28=FALSE,"",TEXT(Calcu!G28,Calcu!$Q$46))</f>
        <v/>
      </c>
      <c r="F33" s="100" t="str">
        <f>IF(Calcu!$B28=FALSE,"",TEXT(Calcu!H28,Calcu!$Q$46))</f>
        <v/>
      </c>
      <c r="G33" s="100" t="str">
        <f>IF(Calcu!$B28=FALSE,"",TEXT(Calcu!I28,Calcu!$Q$46))</f>
        <v/>
      </c>
      <c r="J33" s="100" t="str">
        <f>Calcu!C89</f>
        <v/>
      </c>
      <c r="K33" s="100" t="str">
        <f>IF(Calcu!$B89=FALSE,"",TEXT(Calcu!E89,Calcu!$Q$107))</f>
        <v/>
      </c>
      <c r="L33" s="100" t="str">
        <f>IF(Calcu!$B89=FALSE,"",TEXT(Calcu!F89,Calcu!$Q$107))</f>
        <v/>
      </c>
      <c r="M33" s="100" t="str">
        <f>IF(Calcu!$B89=FALSE,"",TEXT(Calcu!G89,Calcu!$Q$107))</f>
        <v/>
      </c>
      <c r="N33" s="100" t="str">
        <f>IF(Calcu!$B89=FALSE,"",TEXT(Calcu!H89,Calcu!$Q$107))</f>
        <v/>
      </c>
      <c r="O33" s="100" t="str">
        <f>IF(Calcu!$B89=FALSE,"",TEXT(Calcu!I89,Calcu!$Q$107))</f>
        <v/>
      </c>
      <c r="Q33" s="100" t="str">
        <f>Calcu!C150</f>
        <v/>
      </c>
      <c r="R33" s="100" t="str">
        <f>IF(Calcu!$B150=FALSE,"",TEXT(Calcu!E150,Calcu!$Q$168))</f>
        <v/>
      </c>
      <c r="S33" s="100" t="str">
        <f>IF(Calcu!$B150=FALSE,"",TEXT(Calcu!F150,Calcu!$Q$168))</f>
        <v/>
      </c>
      <c r="T33" s="100" t="str">
        <f>IF(Calcu!$B150=FALSE,"",TEXT(Calcu!G150,Calcu!$Q$168))</f>
        <v/>
      </c>
      <c r="U33" s="100" t="str">
        <f>IF(Calcu!$B150=FALSE,"",TEXT(Calcu!H150,Calcu!$Q$168))</f>
        <v/>
      </c>
      <c r="V33" s="100" t="str">
        <f>IF(Calcu!$B150=FALSE,"",TEXT(Calcu!I150,Calcu!$Q$168))</f>
        <v/>
      </c>
    </row>
    <row r="34" spans="2:22" ht="13.5" customHeight="1">
      <c r="B34" s="100" t="str">
        <f>Calcu!C29</f>
        <v/>
      </c>
      <c r="C34" s="100" t="str">
        <f>IF(Calcu!$B29=FALSE,"",TEXT(Calcu!E29,Calcu!$Q$46))</f>
        <v/>
      </c>
      <c r="D34" s="100" t="str">
        <f>IF(Calcu!$B29=FALSE,"",TEXT(Calcu!F29,Calcu!$Q$46))</f>
        <v/>
      </c>
      <c r="E34" s="100" t="str">
        <f>IF(Calcu!$B29=FALSE,"",TEXT(Calcu!G29,Calcu!$Q$46))</f>
        <v/>
      </c>
      <c r="F34" s="100" t="str">
        <f>IF(Calcu!$B29=FALSE,"",TEXT(Calcu!H29,Calcu!$Q$46))</f>
        <v/>
      </c>
      <c r="G34" s="100" t="str">
        <f>IF(Calcu!$B29=FALSE,"",TEXT(Calcu!I29,Calcu!$Q$46))</f>
        <v/>
      </c>
      <c r="J34" s="100" t="str">
        <f>Calcu!C90</f>
        <v/>
      </c>
      <c r="K34" s="100" t="str">
        <f>IF(Calcu!$B90=FALSE,"",TEXT(Calcu!E90,Calcu!$Q$107))</f>
        <v/>
      </c>
      <c r="L34" s="100" t="str">
        <f>IF(Calcu!$B90=FALSE,"",TEXT(Calcu!F90,Calcu!$Q$107))</f>
        <v/>
      </c>
      <c r="M34" s="100" t="str">
        <f>IF(Calcu!$B90=FALSE,"",TEXT(Calcu!G90,Calcu!$Q$107))</f>
        <v/>
      </c>
      <c r="N34" s="100" t="str">
        <f>IF(Calcu!$B90=FALSE,"",TEXT(Calcu!H90,Calcu!$Q$107))</f>
        <v/>
      </c>
      <c r="O34" s="100" t="str">
        <f>IF(Calcu!$B90=FALSE,"",TEXT(Calcu!I90,Calcu!$Q$107))</f>
        <v/>
      </c>
      <c r="Q34" s="100" t="str">
        <f>Calcu!C151</f>
        <v/>
      </c>
      <c r="R34" s="100" t="str">
        <f>IF(Calcu!$B151=FALSE,"",TEXT(Calcu!E151,Calcu!$Q$168))</f>
        <v/>
      </c>
      <c r="S34" s="100" t="str">
        <f>IF(Calcu!$B151=FALSE,"",TEXT(Calcu!F151,Calcu!$Q$168))</f>
        <v/>
      </c>
      <c r="T34" s="100" t="str">
        <f>IF(Calcu!$B151=FALSE,"",TEXT(Calcu!G151,Calcu!$Q$168))</f>
        <v/>
      </c>
      <c r="U34" s="100" t="str">
        <f>IF(Calcu!$B151=FALSE,"",TEXT(Calcu!H151,Calcu!$Q$168))</f>
        <v/>
      </c>
      <c r="V34" s="100" t="str">
        <f>IF(Calcu!$B151=FALSE,"",TEXT(Calcu!I151,Calcu!$Q$168))</f>
        <v/>
      </c>
    </row>
  </sheetData>
  <sortState ref="T5:U14">
    <sortCondition descending="1" ref="T5"/>
  </sortState>
  <mergeCells count="8">
    <mergeCell ref="B12:B13"/>
    <mergeCell ref="C12:G12"/>
    <mergeCell ref="E4:F4"/>
    <mergeCell ref="E3:F3"/>
    <mergeCell ref="J12:J13"/>
    <mergeCell ref="K12:O12"/>
    <mergeCell ref="R12:V12"/>
    <mergeCell ref="Q12:Q13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339"/>
  <sheetViews>
    <sheetView showGridLines="0" zoomScaleNormal="100" zoomScaleSheetLayoutView="100" workbookViewId="0"/>
  </sheetViews>
  <sheetFormatPr defaultColWidth="1.77734375" defaultRowHeight="18.75" customHeight="1"/>
  <cols>
    <col min="1" max="11" width="1.77734375" style="56"/>
    <col min="12" max="12" width="1.77734375" style="56" customWidth="1"/>
    <col min="13" max="19" width="1.77734375" style="56"/>
    <col min="20" max="20" width="1.77734375" style="56" customWidth="1"/>
    <col min="21" max="26" width="1.77734375" style="56"/>
    <col min="27" max="27" width="1.77734375" style="56" customWidth="1"/>
    <col min="28" max="28" width="1.77734375" style="56"/>
    <col min="29" max="29" width="1.77734375" style="56" customWidth="1"/>
    <col min="30" max="16384" width="1.77734375" style="56"/>
  </cols>
  <sheetData>
    <row r="1" spans="1:44" s="68" customFormat="1" ht="31.5">
      <c r="A1" s="67" t="s">
        <v>500</v>
      </c>
    </row>
    <row r="2" spans="1:44" s="68" customFormat="1" ht="18.75" customHeight="1"/>
    <row r="3" spans="1:44" s="68" customFormat="1" ht="18.75" customHeight="1">
      <c r="A3" s="69" t="s">
        <v>294</v>
      </c>
    </row>
    <row r="4" spans="1:44" s="68" customFormat="1" ht="18.75" customHeight="1">
      <c r="B4" s="533" t="s">
        <v>60</v>
      </c>
      <c r="C4" s="533"/>
      <c r="D4" s="533"/>
      <c r="E4" s="533"/>
      <c r="F4" s="533"/>
      <c r="G4" s="533"/>
      <c r="H4" s="534" t="s">
        <v>295</v>
      </c>
      <c r="I4" s="534"/>
      <c r="J4" s="534"/>
      <c r="K4" s="534"/>
      <c r="L4" s="534"/>
      <c r="M4" s="534"/>
      <c r="N4" s="533" t="s">
        <v>296</v>
      </c>
      <c r="O4" s="533"/>
      <c r="P4" s="533"/>
      <c r="Q4" s="533"/>
      <c r="R4" s="533"/>
      <c r="S4" s="533"/>
      <c r="T4" s="533" t="s">
        <v>297</v>
      </c>
      <c r="U4" s="533"/>
      <c r="V4" s="533"/>
      <c r="W4" s="533"/>
      <c r="X4" s="533"/>
      <c r="Y4" s="533"/>
    </row>
    <row r="5" spans="1:44" s="68" customFormat="1" ht="18.75" customHeight="1">
      <c r="B5" s="535">
        <f>Calcu!H4</f>
        <v>0</v>
      </c>
      <c r="C5" s="535"/>
      <c r="D5" s="535"/>
      <c r="E5" s="535"/>
      <c r="F5" s="535"/>
      <c r="G5" s="535"/>
      <c r="H5" s="536">
        <f>Calcu!I4</f>
        <v>1</v>
      </c>
      <c r="I5" s="536"/>
      <c r="J5" s="536"/>
      <c r="K5" s="536"/>
      <c r="L5" s="536"/>
      <c r="M5" s="536"/>
      <c r="N5" s="535" t="s">
        <v>526</v>
      </c>
      <c r="O5" s="535"/>
      <c r="P5" s="535"/>
      <c r="Q5" s="535"/>
      <c r="R5" s="535"/>
      <c r="S5" s="535"/>
      <c r="T5" s="535" t="s">
        <v>496</v>
      </c>
      <c r="U5" s="535"/>
      <c r="V5" s="535"/>
      <c r="W5" s="535"/>
      <c r="X5" s="535"/>
      <c r="Y5" s="535"/>
    </row>
    <row r="6" spans="1:44" s="68" customFormat="1" ht="18.75" customHeight="1"/>
    <row r="7" spans="1:44" ht="18.75" customHeight="1">
      <c r="A7" s="57" t="s">
        <v>298</v>
      </c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</row>
    <row r="8" spans="1:44" ht="18.75" customHeight="1">
      <c r="A8" s="57"/>
      <c r="B8" s="520" t="s">
        <v>299</v>
      </c>
      <c r="C8" s="521"/>
      <c r="D8" s="521"/>
      <c r="E8" s="521"/>
      <c r="F8" s="522"/>
      <c r="G8" s="537" t="str">
        <f>N5&amp;" 지시값"</f>
        <v>측정현미경 지시값</v>
      </c>
      <c r="H8" s="538"/>
      <c r="I8" s="538"/>
      <c r="J8" s="538"/>
      <c r="K8" s="538"/>
      <c r="L8" s="538"/>
      <c r="M8" s="538"/>
      <c r="N8" s="538"/>
      <c r="O8" s="538"/>
      <c r="P8" s="538"/>
      <c r="Q8" s="538"/>
      <c r="R8" s="538"/>
      <c r="S8" s="538"/>
      <c r="T8" s="538"/>
      <c r="U8" s="538"/>
      <c r="V8" s="538"/>
      <c r="W8" s="538"/>
      <c r="X8" s="538"/>
      <c r="Y8" s="538"/>
      <c r="Z8" s="538"/>
      <c r="AA8" s="538"/>
      <c r="AB8" s="538"/>
      <c r="AC8" s="538"/>
      <c r="AD8" s="538"/>
      <c r="AE8" s="539"/>
      <c r="AF8" s="520" t="s">
        <v>300</v>
      </c>
      <c r="AG8" s="521"/>
      <c r="AH8" s="521"/>
      <c r="AI8" s="521"/>
      <c r="AJ8" s="522"/>
      <c r="AK8" s="520" t="s">
        <v>235</v>
      </c>
      <c r="AL8" s="521"/>
      <c r="AM8" s="521"/>
      <c r="AN8" s="521"/>
      <c r="AO8" s="522"/>
    </row>
    <row r="9" spans="1:44" ht="18.75" customHeight="1">
      <c r="A9" s="57"/>
      <c r="B9" s="523"/>
      <c r="C9" s="524"/>
      <c r="D9" s="524"/>
      <c r="E9" s="524"/>
      <c r="F9" s="525"/>
      <c r="G9" s="537" t="s">
        <v>301</v>
      </c>
      <c r="H9" s="538"/>
      <c r="I9" s="538"/>
      <c r="J9" s="538"/>
      <c r="K9" s="539"/>
      <c r="L9" s="537" t="s">
        <v>302</v>
      </c>
      <c r="M9" s="538"/>
      <c r="N9" s="538"/>
      <c r="O9" s="538"/>
      <c r="P9" s="539"/>
      <c r="Q9" s="537" t="s">
        <v>303</v>
      </c>
      <c r="R9" s="538"/>
      <c r="S9" s="538"/>
      <c r="T9" s="538"/>
      <c r="U9" s="539"/>
      <c r="V9" s="537" t="s">
        <v>304</v>
      </c>
      <c r="W9" s="538"/>
      <c r="X9" s="538"/>
      <c r="Y9" s="538"/>
      <c r="Z9" s="539"/>
      <c r="AA9" s="537" t="s">
        <v>305</v>
      </c>
      <c r="AB9" s="538"/>
      <c r="AC9" s="538"/>
      <c r="AD9" s="538"/>
      <c r="AE9" s="539"/>
      <c r="AF9" s="523"/>
      <c r="AG9" s="524"/>
      <c r="AH9" s="524"/>
      <c r="AI9" s="524"/>
      <c r="AJ9" s="525"/>
      <c r="AK9" s="523"/>
      <c r="AL9" s="524"/>
      <c r="AM9" s="524"/>
      <c r="AN9" s="524"/>
      <c r="AO9" s="525"/>
    </row>
    <row r="10" spans="1:44" ht="18.75" customHeight="1">
      <c r="A10" s="57"/>
      <c r="B10" s="537" t="s">
        <v>307</v>
      </c>
      <c r="C10" s="538"/>
      <c r="D10" s="538"/>
      <c r="E10" s="538"/>
      <c r="F10" s="539"/>
      <c r="G10" s="537" t="str">
        <f>B10</f>
        <v>mm</v>
      </c>
      <c r="H10" s="538"/>
      <c r="I10" s="538"/>
      <c r="J10" s="538"/>
      <c r="K10" s="539"/>
      <c r="L10" s="537" t="str">
        <f>G10</f>
        <v>mm</v>
      </c>
      <c r="M10" s="538"/>
      <c r="N10" s="538"/>
      <c r="O10" s="538"/>
      <c r="P10" s="539"/>
      <c r="Q10" s="537" t="str">
        <f>L10</f>
        <v>mm</v>
      </c>
      <c r="R10" s="538"/>
      <c r="S10" s="538"/>
      <c r="T10" s="538"/>
      <c r="U10" s="539"/>
      <c r="V10" s="537" t="str">
        <f>Q10</f>
        <v>mm</v>
      </c>
      <c r="W10" s="538"/>
      <c r="X10" s="538"/>
      <c r="Y10" s="538"/>
      <c r="Z10" s="539"/>
      <c r="AA10" s="537" t="str">
        <f>V10</f>
        <v>mm</v>
      </c>
      <c r="AB10" s="538"/>
      <c r="AC10" s="538"/>
      <c r="AD10" s="538"/>
      <c r="AE10" s="539"/>
      <c r="AF10" s="537" t="s">
        <v>306</v>
      </c>
      <c r="AG10" s="538"/>
      <c r="AH10" s="538"/>
      <c r="AI10" s="538"/>
      <c r="AJ10" s="539"/>
      <c r="AK10" s="537" t="s">
        <v>307</v>
      </c>
      <c r="AL10" s="538"/>
      <c r="AM10" s="538"/>
      <c r="AN10" s="538"/>
      <c r="AO10" s="539"/>
    </row>
    <row r="11" spans="1:44" ht="18.75" customHeight="1">
      <c r="A11" s="57"/>
      <c r="B11" s="518" t="str">
        <f>Calcu!T10</f>
        <v/>
      </c>
      <c r="C11" s="484"/>
      <c r="D11" s="484"/>
      <c r="E11" s="484"/>
      <c r="F11" s="519"/>
      <c r="G11" s="518" t="str">
        <f>IF(Calcu!B10=TRUE,Calcu!E10*$H$5,"")</f>
        <v/>
      </c>
      <c r="H11" s="484"/>
      <c r="I11" s="484"/>
      <c r="J11" s="484"/>
      <c r="K11" s="519"/>
      <c r="L11" s="518" t="str">
        <f>IF(Calcu!B10=TRUE,Calcu!F10*H$5,"")</f>
        <v/>
      </c>
      <c r="M11" s="484"/>
      <c r="N11" s="484"/>
      <c r="O11" s="484"/>
      <c r="P11" s="519"/>
      <c r="Q11" s="518" t="str">
        <f>IF(Calcu!B10=TRUE,Calcu!G10*H$5,"")</f>
        <v/>
      </c>
      <c r="R11" s="484"/>
      <c r="S11" s="484"/>
      <c r="T11" s="484"/>
      <c r="U11" s="519"/>
      <c r="V11" s="518" t="str">
        <f>IF(Calcu!B10=TRUE,Calcu!H10*H$5,"")</f>
        <v/>
      </c>
      <c r="W11" s="484"/>
      <c r="X11" s="484"/>
      <c r="Y11" s="484"/>
      <c r="Z11" s="519"/>
      <c r="AA11" s="518" t="str">
        <f>IF(Calcu!B10=TRUE,Calcu!I10*H$5,"")</f>
        <v/>
      </c>
      <c r="AB11" s="484"/>
      <c r="AC11" s="484"/>
      <c r="AD11" s="484"/>
      <c r="AE11" s="519"/>
      <c r="AF11" s="518" t="str">
        <f>Calcu!M10</f>
        <v/>
      </c>
      <c r="AG11" s="484"/>
      <c r="AH11" s="484"/>
      <c r="AI11" s="484"/>
      <c r="AJ11" s="519"/>
      <c r="AK11" s="518" t="str">
        <f>Calcu!K10</f>
        <v/>
      </c>
      <c r="AL11" s="484"/>
      <c r="AM11" s="484"/>
      <c r="AN11" s="484"/>
      <c r="AO11" s="519"/>
    </row>
    <row r="12" spans="1:44" ht="18.75" customHeight="1">
      <c r="A12" s="57"/>
      <c r="B12" s="518" t="str">
        <f>Calcu!T11</f>
        <v/>
      </c>
      <c r="C12" s="484"/>
      <c r="D12" s="484"/>
      <c r="E12" s="484"/>
      <c r="F12" s="519"/>
      <c r="G12" s="518" t="str">
        <f>IF(Calcu!B11=TRUE,Calcu!E11*$H$5,"")</f>
        <v/>
      </c>
      <c r="H12" s="484"/>
      <c r="I12" s="484"/>
      <c r="J12" s="484"/>
      <c r="K12" s="519"/>
      <c r="L12" s="518" t="str">
        <f>IF(Calcu!B11=TRUE,Calcu!F11*H$5,"")</f>
        <v/>
      </c>
      <c r="M12" s="484"/>
      <c r="N12" s="484"/>
      <c r="O12" s="484"/>
      <c r="P12" s="519"/>
      <c r="Q12" s="518" t="str">
        <f>IF(Calcu!B11=TRUE,Calcu!G11*H$5,"")</f>
        <v/>
      </c>
      <c r="R12" s="484"/>
      <c r="S12" s="484"/>
      <c r="T12" s="484"/>
      <c r="U12" s="519"/>
      <c r="V12" s="518" t="str">
        <f>IF(Calcu!B11=TRUE,Calcu!H11*H$5,"")</f>
        <v/>
      </c>
      <c r="W12" s="484"/>
      <c r="X12" s="484"/>
      <c r="Y12" s="484"/>
      <c r="Z12" s="519"/>
      <c r="AA12" s="518" t="str">
        <f>IF(Calcu!B11=TRUE,Calcu!I11*H$5,"")</f>
        <v/>
      </c>
      <c r="AB12" s="484"/>
      <c r="AC12" s="484"/>
      <c r="AD12" s="484"/>
      <c r="AE12" s="519"/>
      <c r="AF12" s="518" t="str">
        <f>Calcu!M11</f>
        <v/>
      </c>
      <c r="AG12" s="484"/>
      <c r="AH12" s="484"/>
      <c r="AI12" s="484"/>
      <c r="AJ12" s="519"/>
      <c r="AK12" s="518" t="str">
        <f>Calcu!K11</f>
        <v/>
      </c>
      <c r="AL12" s="484"/>
      <c r="AM12" s="484"/>
      <c r="AN12" s="484"/>
      <c r="AO12" s="519"/>
    </row>
    <row r="13" spans="1:44" ht="18.75" customHeight="1">
      <c r="A13" s="57"/>
      <c r="B13" s="518" t="str">
        <f>Calcu!T12</f>
        <v/>
      </c>
      <c r="C13" s="484"/>
      <c r="D13" s="484"/>
      <c r="E13" s="484"/>
      <c r="F13" s="519"/>
      <c r="G13" s="518" t="str">
        <f>IF(Calcu!B12=TRUE,Calcu!E12*$H$5,"")</f>
        <v/>
      </c>
      <c r="H13" s="484"/>
      <c r="I13" s="484"/>
      <c r="J13" s="484"/>
      <c r="K13" s="519"/>
      <c r="L13" s="518" t="str">
        <f>IF(Calcu!B12=TRUE,Calcu!F12*H$5,"")</f>
        <v/>
      </c>
      <c r="M13" s="484"/>
      <c r="N13" s="484"/>
      <c r="O13" s="484"/>
      <c r="P13" s="519"/>
      <c r="Q13" s="518" t="str">
        <f>IF(Calcu!B12=TRUE,Calcu!G12*H$5,"")</f>
        <v/>
      </c>
      <c r="R13" s="484"/>
      <c r="S13" s="484"/>
      <c r="T13" s="484"/>
      <c r="U13" s="519"/>
      <c r="V13" s="518" t="str">
        <f>IF(Calcu!B12=TRUE,Calcu!H12*H$5,"")</f>
        <v/>
      </c>
      <c r="W13" s="484"/>
      <c r="X13" s="484"/>
      <c r="Y13" s="484"/>
      <c r="Z13" s="519"/>
      <c r="AA13" s="518" t="str">
        <f>IF(Calcu!B12=TRUE,Calcu!I12*H$5,"")</f>
        <v/>
      </c>
      <c r="AB13" s="484"/>
      <c r="AC13" s="484"/>
      <c r="AD13" s="484"/>
      <c r="AE13" s="519"/>
      <c r="AF13" s="518" t="str">
        <f>Calcu!M12</f>
        <v/>
      </c>
      <c r="AG13" s="484"/>
      <c r="AH13" s="484"/>
      <c r="AI13" s="484"/>
      <c r="AJ13" s="519"/>
      <c r="AK13" s="518" t="str">
        <f>Calcu!K12</f>
        <v/>
      </c>
      <c r="AL13" s="484"/>
      <c r="AM13" s="484"/>
      <c r="AN13" s="484"/>
      <c r="AO13" s="519"/>
    </row>
    <row r="14" spans="1:44" ht="18.75" customHeight="1">
      <c r="A14" s="57"/>
      <c r="B14" s="518" t="str">
        <f>Calcu!T13</f>
        <v/>
      </c>
      <c r="C14" s="484"/>
      <c r="D14" s="484"/>
      <c r="E14" s="484"/>
      <c r="F14" s="519"/>
      <c r="G14" s="518" t="str">
        <f>IF(Calcu!B13=TRUE,Calcu!E13*$H$5,"")</f>
        <v/>
      </c>
      <c r="H14" s="484"/>
      <c r="I14" s="484"/>
      <c r="J14" s="484"/>
      <c r="K14" s="519"/>
      <c r="L14" s="518" t="str">
        <f>IF(Calcu!B13=TRUE,Calcu!F13*H$5,"")</f>
        <v/>
      </c>
      <c r="M14" s="484"/>
      <c r="N14" s="484"/>
      <c r="O14" s="484"/>
      <c r="P14" s="519"/>
      <c r="Q14" s="518" t="str">
        <f>IF(Calcu!B13=TRUE,Calcu!G13*H$5,"")</f>
        <v/>
      </c>
      <c r="R14" s="484"/>
      <c r="S14" s="484"/>
      <c r="T14" s="484"/>
      <c r="U14" s="519"/>
      <c r="V14" s="518" t="str">
        <f>IF(Calcu!B13=TRUE,Calcu!H13*H$5,"")</f>
        <v/>
      </c>
      <c r="W14" s="484"/>
      <c r="X14" s="484"/>
      <c r="Y14" s="484"/>
      <c r="Z14" s="519"/>
      <c r="AA14" s="518" t="str">
        <f>IF(Calcu!B13=TRUE,Calcu!I13*H$5,"")</f>
        <v/>
      </c>
      <c r="AB14" s="484"/>
      <c r="AC14" s="484"/>
      <c r="AD14" s="484"/>
      <c r="AE14" s="519"/>
      <c r="AF14" s="518" t="str">
        <f>Calcu!M13</f>
        <v/>
      </c>
      <c r="AG14" s="484"/>
      <c r="AH14" s="484"/>
      <c r="AI14" s="484"/>
      <c r="AJ14" s="519"/>
      <c r="AK14" s="518" t="str">
        <f>Calcu!K13</f>
        <v/>
      </c>
      <c r="AL14" s="484"/>
      <c r="AM14" s="484"/>
      <c r="AN14" s="484"/>
      <c r="AO14" s="519"/>
    </row>
    <row r="15" spans="1:44" ht="18.75" customHeight="1">
      <c r="A15" s="57"/>
      <c r="B15" s="518" t="str">
        <f>Calcu!T14</f>
        <v/>
      </c>
      <c r="C15" s="484"/>
      <c r="D15" s="484"/>
      <c r="E15" s="484"/>
      <c r="F15" s="519"/>
      <c r="G15" s="518" t="str">
        <f>IF(Calcu!B14=TRUE,Calcu!E14*$H$5,"")</f>
        <v/>
      </c>
      <c r="H15" s="484"/>
      <c r="I15" s="484"/>
      <c r="J15" s="484"/>
      <c r="K15" s="519"/>
      <c r="L15" s="518" t="str">
        <f>IF(Calcu!B14=TRUE,Calcu!F14*H$5,"")</f>
        <v/>
      </c>
      <c r="M15" s="484"/>
      <c r="N15" s="484"/>
      <c r="O15" s="484"/>
      <c r="P15" s="519"/>
      <c r="Q15" s="518" t="str">
        <f>IF(Calcu!B14=TRUE,Calcu!G14*H$5,"")</f>
        <v/>
      </c>
      <c r="R15" s="484"/>
      <c r="S15" s="484"/>
      <c r="T15" s="484"/>
      <c r="U15" s="519"/>
      <c r="V15" s="518" t="str">
        <f>IF(Calcu!B14=TRUE,Calcu!H14*H$5,"")</f>
        <v/>
      </c>
      <c r="W15" s="484"/>
      <c r="X15" s="484"/>
      <c r="Y15" s="484"/>
      <c r="Z15" s="519"/>
      <c r="AA15" s="518" t="str">
        <f>IF(Calcu!B14=TRUE,Calcu!I14*H$5,"")</f>
        <v/>
      </c>
      <c r="AB15" s="484"/>
      <c r="AC15" s="484"/>
      <c r="AD15" s="484"/>
      <c r="AE15" s="519"/>
      <c r="AF15" s="518" t="str">
        <f>Calcu!M14</f>
        <v/>
      </c>
      <c r="AG15" s="484"/>
      <c r="AH15" s="484"/>
      <c r="AI15" s="484"/>
      <c r="AJ15" s="519"/>
      <c r="AK15" s="518" t="str">
        <f>Calcu!K14</f>
        <v/>
      </c>
      <c r="AL15" s="484"/>
      <c r="AM15" s="484"/>
      <c r="AN15" s="484"/>
      <c r="AO15" s="519"/>
    </row>
    <row r="16" spans="1:44" ht="18.75" customHeight="1">
      <c r="A16" s="57"/>
      <c r="B16" s="518" t="str">
        <f>Calcu!T15</f>
        <v/>
      </c>
      <c r="C16" s="484"/>
      <c r="D16" s="484"/>
      <c r="E16" s="484"/>
      <c r="F16" s="519"/>
      <c r="G16" s="518" t="str">
        <f>IF(Calcu!B15=TRUE,Calcu!E15*$H$5,"")</f>
        <v/>
      </c>
      <c r="H16" s="484"/>
      <c r="I16" s="484"/>
      <c r="J16" s="484"/>
      <c r="K16" s="519"/>
      <c r="L16" s="518" t="str">
        <f>IF(Calcu!B15=TRUE,Calcu!F15*H$5,"")</f>
        <v/>
      </c>
      <c r="M16" s="484"/>
      <c r="N16" s="484"/>
      <c r="O16" s="484"/>
      <c r="P16" s="519"/>
      <c r="Q16" s="518" t="str">
        <f>IF(Calcu!B15=TRUE,Calcu!G15*H$5,"")</f>
        <v/>
      </c>
      <c r="R16" s="484"/>
      <c r="S16" s="484"/>
      <c r="T16" s="484"/>
      <c r="U16" s="519"/>
      <c r="V16" s="518" t="str">
        <f>IF(Calcu!B15=TRUE,Calcu!H15*H$5,"")</f>
        <v/>
      </c>
      <c r="W16" s="484"/>
      <c r="X16" s="484"/>
      <c r="Y16" s="484"/>
      <c r="Z16" s="519"/>
      <c r="AA16" s="518" t="str">
        <f>IF(Calcu!B15=TRUE,Calcu!I15*H$5,"")</f>
        <v/>
      </c>
      <c r="AB16" s="484"/>
      <c r="AC16" s="484"/>
      <c r="AD16" s="484"/>
      <c r="AE16" s="519"/>
      <c r="AF16" s="518" t="str">
        <f>Calcu!M15</f>
        <v/>
      </c>
      <c r="AG16" s="484"/>
      <c r="AH16" s="484"/>
      <c r="AI16" s="484"/>
      <c r="AJ16" s="519"/>
      <c r="AK16" s="518" t="str">
        <f>Calcu!K15</f>
        <v/>
      </c>
      <c r="AL16" s="484"/>
      <c r="AM16" s="484"/>
      <c r="AN16" s="484"/>
      <c r="AO16" s="519"/>
    </row>
    <row r="17" spans="1:46" ht="18.75" customHeight="1">
      <c r="A17" s="57"/>
      <c r="B17" s="518" t="str">
        <f>Calcu!T16</f>
        <v/>
      </c>
      <c r="C17" s="484"/>
      <c r="D17" s="484"/>
      <c r="E17" s="484"/>
      <c r="F17" s="519"/>
      <c r="G17" s="518" t="str">
        <f>IF(Calcu!B16=TRUE,Calcu!E16*$H$5,"")</f>
        <v/>
      </c>
      <c r="H17" s="484"/>
      <c r="I17" s="484"/>
      <c r="J17" s="484"/>
      <c r="K17" s="519"/>
      <c r="L17" s="518" t="str">
        <f>IF(Calcu!B16=TRUE,Calcu!F16*H$5,"")</f>
        <v/>
      </c>
      <c r="M17" s="484"/>
      <c r="N17" s="484"/>
      <c r="O17" s="484"/>
      <c r="P17" s="519"/>
      <c r="Q17" s="518" t="str">
        <f>IF(Calcu!B16=TRUE,Calcu!G16*H$5,"")</f>
        <v/>
      </c>
      <c r="R17" s="484"/>
      <c r="S17" s="484"/>
      <c r="T17" s="484"/>
      <c r="U17" s="519"/>
      <c r="V17" s="518" t="str">
        <f>IF(Calcu!B16=TRUE,Calcu!H16*H$5,"")</f>
        <v/>
      </c>
      <c r="W17" s="484"/>
      <c r="X17" s="484"/>
      <c r="Y17" s="484"/>
      <c r="Z17" s="519"/>
      <c r="AA17" s="518" t="str">
        <f>IF(Calcu!B16=TRUE,Calcu!I16*H$5,"")</f>
        <v/>
      </c>
      <c r="AB17" s="484"/>
      <c r="AC17" s="484"/>
      <c r="AD17" s="484"/>
      <c r="AE17" s="519"/>
      <c r="AF17" s="518" t="str">
        <f>Calcu!M16</f>
        <v/>
      </c>
      <c r="AG17" s="484"/>
      <c r="AH17" s="484"/>
      <c r="AI17" s="484"/>
      <c r="AJ17" s="519"/>
      <c r="AK17" s="518" t="str">
        <f>Calcu!K16</f>
        <v/>
      </c>
      <c r="AL17" s="484"/>
      <c r="AM17" s="484"/>
      <c r="AN17" s="484"/>
      <c r="AO17" s="519"/>
    </row>
    <row r="18" spans="1:46" ht="18.75" customHeight="1">
      <c r="A18" s="57"/>
      <c r="B18" s="518" t="str">
        <f>Calcu!T17</f>
        <v/>
      </c>
      <c r="C18" s="484"/>
      <c r="D18" s="484"/>
      <c r="E18" s="484"/>
      <c r="F18" s="519"/>
      <c r="G18" s="518" t="str">
        <f>IF(Calcu!B17=TRUE,Calcu!E17*$H$5,"")</f>
        <v/>
      </c>
      <c r="H18" s="484"/>
      <c r="I18" s="484"/>
      <c r="J18" s="484"/>
      <c r="K18" s="519"/>
      <c r="L18" s="518" t="str">
        <f>IF(Calcu!B17=TRUE,Calcu!F17*H$5,"")</f>
        <v/>
      </c>
      <c r="M18" s="484"/>
      <c r="N18" s="484"/>
      <c r="O18" s="484"/>
      <c r="P18" s="519"/>
      <c r="Q18" s="518" t="str">
        <f>IF(Calcu!B17=TRUE,Calcu!G17*H$5,"")</f>
        <v/>
      </c>
      <c r="R18" s="484"/>
      <c r="S18" s="484"/>
      <c r="T18" s="484"/>
      <c r="U18" s="519"/>
      <c r="V18" s="518" t="str">
        <f>IF(Calcu!B17=TRUE,Calcu!H17*H$5,"")</f>
        <v/>
      </c>
      <c r="W18" s="484"/>
      <c r="X18" s="484"/>
      <c r="Y18" s="484"/>
      <c r="Z18" s="519"/>
      <c r="AA18" s="518" t="str">
        <f>IF(Calcu!B17=TRUE,Calcu!I17*H$5,"")</f>
        <v/>
      </c>
      <c r="AB18" s="484"/>
      <c r="AC18" s="484"/>
      <c r="AD18" s="484"/>
      <c r="AE18" s="519"/>
      <c r="AF18" s="518" t="str">
        <f>Calcu!M17</f>
        <v/>
      </c>
      <c r="AG18" s="484"/>
      <c r="AH18" s="484"/>
      <c r="AI18" s="484"/>
      <c r="AJ18" s="519"/>
      <c r="AK18" s="518" t="str">
        <f>Calcu!K17</f>
        <v/>
      </c>
      <c r="AL18" s="484"/>
      <c r="AM18" s="484"/>
      <c r="AN18" s="484"/>
      <c r="AO18" s="519"/>
    </row>
    <row r="19" spans="1:46" ht="18.75" customHeight="1">
      <c r="A19" s="57"/>
      <c r="B19" s="518" t="str">
        <f>Calcu!T18</f>
        <v/>
      </c>
      <c r="C19" s="484"/>
      <c r="D19" s="484"/>
      <c r="E19" s="484"/>
      <c r="F19" s="519"/>
      <c r="G19" s="518" t="str">
        <f>IF(Calcu!B18=TRUE,Calcu!E18*$H$5,"")</f>
        <v/>
      </c>
      <c r="H19" s="484"/>
      <c r="I19" s="484"/>
      <c r="J19" s="484"/>
      <c r="K19" s="519"/>
      <c r="L19" s="518" t="str">
        <f>IF(Calcu!B18=TRUE,Calcu!F18*H$5,"")</f>
        <v/>
      </c>
      <c r="M19" s="484"/>
      <c r="N19" s="484"/>
      <c r="O19" s="484"/>
      <c r="P19" s="519"/>
      <c r="Q19" s="518" t="str">
        <f>IF(Calcu!B18=TRUE,Calcu!G18*H$5,"")</f>
        <v/>
      </c>
      <c r="R19" s="484"/>
      <c r="S19" s="484"/>
      <c r="T19" s="484"/>
      <c r="U19" s="519"/>
      <c r="V19" s="518" t="str">
        <f>IF(Calcu!B18=TRUE,Calcu!H18*H$5,"")</f>
        <v/>
      </c>
      <c r="W19" s="484"/>
      <c r="X19" s="484"/>
      <c r="Y19" s="484"/>
      <c r="Z19" s="519"/>
      <c r="AA19" s="518" t="str">
        <f>IF(Calcu!B18=TRUE,Calcu!I18*H$5,"")</f>
        <v/>
      </c>
      <c r="AB19" s="484"/>
      <c r="AC19" s="484"/>
      <c r="AD19" s="484"/>
      <c r="AE19" s="519"/>
      <c r="AF19" s="518" t="str">
        <f>Calcu!M18</f>
        <v/>
      </c>
      <c r="AG19" s="484"/>
      <c r="AH19" s="484"/>
      <c r="AI19" s="484"/>
      <c r="AJ19" s="519"/>
      <c r="AK19" s="518" t="str">
        <f>Calcu!K18</f>
        <v/>
      </c>
      <c r="AL19" s="484"/>
      <c r="AM19" s="484"/>
      <c r="AN19" s="484"/>
      <c r="AO19" s="519"/>
    </row>
    <row r="20" spans="1:46" ht="18.75" customHeight="1">
      <c r="A20" s="57"/>
      <c r="B20" s="518" t="str">
        <f>Calcu!T19</f>
        <v/>
      </c>
      <c r="C20" s="484"/>
      <c r="D20" s="484"/>
      <c r="E20" s="484"/>
      <c r="F20" s="519"/>
      <c r="G20" s="518" t="str">
        <f>IF(Calcu!B19=TRUE,Calcu!E19*$H$5,"")</f>
        <v/>
      </c>
      <c r="H20" s="484"/>
      <c r="I20" s="484"/>
      <c r="J20" s="484"/>
      <c r="K20" s="519"/>
      <c r="L20" s="518" t="str">
        <f>IF(Calcu!B19=TRUE,Calcu!F19*H$5,"")</f>
        <v/>
      </c>
      <c r="M20" s="484"/>
      <c r="N20" s="484"/>
      <c r="O20" s="484"/>
      <c r="P20" s="519"/>
      <c r="Q20" s="518" t="str">
        <f>IF(Calcu!B19=TRUE,Calcu!G19*H$5,"")</f>
        <v/>
      </c>
      <c r="R20" s="484"/>
      <c r="S20" s="484"/>
      <c r="T20" s="484"/>
      <c r="U20" s="519"/>
      <c r="V20" s="518" t="str">
        <f>IF(Calcu!B19=TRUE,Calcu!H19*H$5,"")</f>
        <v/>
      </c>
      <c r="W20" s="484"/>
      <c r="X20" s="484"/>
      <c r="Y20" s="484"/>
      <c r="Z20" s="519"/>
      <c r="AA20" s="518" t="str">
        <f>IF(Calcu!B19=TRUE,Calcu!I19*H$5,"")</f>
        <v/>
      </c>
      <c r="AB20" s="484"/>
      <c r="AC20" s="484"/>
      <c r="AD20" s="484"/>
      <c r="AE20" s="519"/>
      <c r="AF20" s="518" t="str">
        <f>Calcu!M19</f>
        <v/>
      </c>
      <c r="AG20" s="484"/>
      <c r="AH20" s="484"/>
      <c r="AI20" s="484"/>
      <c r="AJ20" s="519"/>
      <c r="AK20" s="518" t="str">
        <f>Calcu!K19</f>
        <v/>
      </c>
      <c r="AL20" s="484"/>
      <c r="AM20" s="484"/>
      <c r="AN20" s="484"/>
      <c r="AO20" s="519"/>
    </row>
    <row r="21" spans="1:46" ht="18.75" customHeight="1">
      <c r="A21" s="57"/>
      <c r="B21" s="518" t="str">
        <f>Calcu!T20</f>
        <v/>
      </c>
      <c r="C21" s="484"/>
      <c r="D21" s="484"/>
      <c r="E21" s="484"/>
      <c r="F21" s="519"/>
      <c r="G21" s="518" t="str">
        <f>IF(Calcu!B20=TRUE,Calcu!E20*$H$5,"")</f>
        <v/>
      </c>
      <c r="H21" s="484"/>
      <c r="I21" s="484"/>
      <c r="J21" s="484"/>
      <c r="K21" s="519"/>
      <c r="L21" s="518" t="str">
        <f>IF(Calcu!B20=TRUE,Calcu!F20*H$5,"")</f>
        <v/>
      </c>
      <c r="M21" s="484"/>
      <c r="N21" s="484"/>
      <c r="O21" s="484"/>
      <c r="P21" s="519"/>
      <c r="Q21" s="518" t="str">
        <f>IF(Calcu!B20=TRUE,Calcu!G20*H$5,"")</f>
        <v/>
      </c>
      <c r="R21" s="484"/>
      <c r="S21" s="484"/>
      <c r="T21" s="484"/>
      <c r="U21" s="519"/>
      <c r="V21" s="518" t="str">
        <f>IF(Calcu!B20=TRUE,Calcu!H20*H$5,"")</f>
        <v/>
      </c>
      <c r="W21" s="484"/>
      <c r="X21" s="484"/>
      <c r="Y21" s="484"/>
      <c r="Z21" s="519"/>
      <c r="AA21" s="518" t="str">
        <f>IF(Calcu!B20=TRUE,Calcu!I20*H$5,"")</f>
        <v/>
      </c>
      <c r="AB21" s="484"/>
      <c r="AC21" s="484"/>
      <c r="AD21" s="484"/>
      <c r="AE21" s="519"/>
      <c r="AF21" s="518" t="str">
        <f>Calcu!M20</f>
        <v/>
      </c>
      <c r="AG21" s="484"/>
      <c r="AH21" s="484"/>
      <c r="AI21" s="484"/>
      <c r="AJ21" s="519"/>
      <c r="AK21" s="518" t="str">
        <f>Calcu!K20</f>
        <v/>
      </c>
      <c r="AL21" s="484"/>
      <c r="AM21" s="484"/>
      <c r="AN21" s="484"/>
      <c r="AO21" s="519"/>
    </row>
    <row r="22" spans="1:46" ht="18.75" customHeight="1">
      <c r="A22" s="57"/>
      <c r="B22" s="518" t="str">
        <f>Calcu!T21</f>
        <v/>
      </c>
      <c r="C22" s="484"/>
      <c r="D22" s="484"/>
      <c r="E22" s="484"/>
      <c r="F22" s="519"/>
      <c r="G22" s="518" t="str">
        <f>IF(Calcu!B21=TRUE,Calcu!E21*$H$5,"")</f>
        <v/>
      </c>
      <c r="H22" s="484"/>
      <c r="I22" s="484"/>
      <c r="J22" s="484"/>
      <c r="K22" s="519"/>
      <c r="L22" s="518" t="str">
        <f>IF(Calcu!B21=TRUE,Calcu!F21*H$5,"")</f>
        <v/>
      </c>
      <c r="M22" s="484"/>
      <c r="N22" s="484"/>
      <c r="O22" s="484"/>
      <c r="P22" s="519"/>
      <c r="Q22" s="518" t="str">
        <f>IF(Calcu!B21=TRUE,Calcu!G21*H$5,"")</f>
        <v/>
      </c>
      <c r="R22" s="484"/>
      <c r="S22" s="484"/>
      <c r="T22" s="484"/>
      <c r="U22" s="519"/>
      <c r="V22" s="518" t="str">
        <f>IF(Calcu!B21=TRUE,Calcu!H21*H$5,"")</f>
        <v/>
      </c>
      <c r="W22" s="484"/>
      <c r="X22" s="484"/>
      <c r="Y22" s="484"/>
      <c r="Z22" s="519"/>
      <c r="AA22" s="518" t="str">
        <f>IF(Calcu!B21=TRUE,Calcu!I21*H$5,"")</f>
        <v/>
      </c>
      <c r="AB22" s="484"/>
      <c r="AC22" s="484"/>
      <c r="AD22" s="484"/>
      <c r="AE22" s="519"/>
      <c r="AF22" s="518" t="str">
        <f>Calcu!M21</f>
        <v/>
      </c>
      <c r="AG22" s="484"/>
      <c r="AH22" s="484"/>
      <c r="AI22" s="484"/>
      <c r="AJ22" s="519"/>
      <c r="AK22" s="518" t="str">
        <f>Calcu!K21</f>
        <v/>
      </c>
      <c r="AL22" s="484"/>
      <c r="AM22" s="484"/>
      <c r="AN22" s="484"/>
      <c r="AO22" s="519"/>
    </row>
    <row r="23" spans="1:46" ht="18.75" customHeight="1">
      <c r="A23" s="57"/>
      <c r="B23" s="518" t="str">
        <f>Calcu!T22</f>
        <v/>
      </c>
      <c r="C23" s="484"/>
      <c r="D23" s="484"/>
      <c r="E23" s="484"/>
      <c r="F23" s="519"/>
      <c r="G23" s="518" t="str">
        <f>IF(Calcu!B22=TRUE,Calcu!E22*$H$5,"")</f>
        <v/>
      </c>
      <c r="H23" s="484"/>
      <c r="I23" s="484"/>
      <c r="J23" s="484"/>
      <c r="K23" s="519"/>
      <c r="L23" s="518" t="str">
        <f>IF(Calcu!B22=TRUE,Calcu!F22*H$5,"")</f>
        <v/>
      </c>
      <c r="M23" s="484"/>
      <c r="N23" s="484"/>
      <c r="O23" s="484"/>
      <c r="P23" s="519"/>
      <c r="Q23" s="518" t="str">
        <f>IF(Calcu!B22=TRUE,Calcu!G22*H$5,"")</f>
        <v/>
      </c>
      <c r="R23" s="484"/>
      <c r="S23" s="484"/>
      <c r="T23" s="484"/>
      <c r="U23" s="519"/>
      <c r="V23" s="518" t="str">
        <f>IF(Calcu!B22=TRUE,Calcu!H22*H$5,"")</f>
        <v/>
      </c>
      <c r="W23" s="484"/>
      <c r="X23" s="484"/>
      <c r="Y23" s="484"/>
      <c r="Z23" s="519"/>
      <c r="AA23" s="518" t="str">
        <f>IF(Calcu!B22=TRUE,Calcu!I22*H$5,"")</f>
        <v/>
      </c>
      <c r="AB23" s="484"/>
      <c r="AC23" s="484"/>
      <c r="AD23" s="484"/>
      <c r="AE23" s="519"/>
      <c r="AF23" s="518" t="str">
        <f>Calcu!M22</f>
        <v/>
      </c>
      <c r="AG23" s="484"/>
      <c r="AH23" s="484"/>
      <c r="AI23" s="484"/>
      <c r="AJ23" s="519"/>
      <c r="AK23" s="518" t="str">
        <f>Calcu!K22</f>
        <v/>
      </c>
      <c r="AL23" s="484"/>
      <c r="AM23" s="484"/>
      <c r="AN23" s="484"/>
      <c r="AO23" s="519"/>
    </row>
    <row r="24" spans="1:46" ht="18.75" customHeight="1">
      <c r="A24" s="57"/>
      <c r="B24" s="518" t="str">
        <f>Calcu!T23</f>
        <v/>
      </c>
      <c r="C24" s="484"/>
      <c r="D24" s="484"/>
      <c r="E24" s="484"/>
      <c r="F24" s="519"/>
      <c r="G24" s="518" t="str">
        <f>IF(Calcu!B23=TRUE,Calcu!E23*$H$5,"")</f>
        <v/>
      </c>
      <c r="H24" s="484"/>
      <c r="I24" s="484"/>
      <c r="J24" s="484"/>
      <c r="K24" s="519"/>
      <c r="L24" s="518" t="str">
        <f>IF(Calcu!B23=TRUE,Calcu!F23*H$5,"")</f>
        <v/>
      </c>
      <c r="M24" s="484"/>
      <c r="N24" s="484"/>
      <c r="O24" s="484"/>
      <c r="P24" s="519"/>
      <c r="Q24" s="518" t="str">
        <f>IF(Calcu!B23=TRUE,Calcu!G23*H$5,"")</f>
        <v/>
      </c>
      <c r="R24" s="484"/>
      <c r="S24" s="484"/>
      <c r="T24" s="484"/>
      <c r="U24" s="519"/>
      <c r="V24" s="518" t="str">
        <f>IF(Calcu!B23=TRUE,Calcu!H23*H$5,"")</f>
        <v/>
      </c>
      <c r="W24" s="484"/>
      <c r="X24" s="484"/>
      <c r="Y24" s="484"/>
      <c r="Z24" s="519"/>
      <c r="AA24" s="518" t="str">
        <f>IF(Calcu!B23=TRUE,Calcu!I23*H$5,"")</f>
        <v/>
      </c>
      <c r="AB24" s="484"/>
      <c r="AC24" s="484"/>
      <c r="AD24" s="484"/>
      <c r="AE24" s="519"/>
      <c r="AF24" s="518" t="str">
        <f>Calcu!M23</f>
        <v/>
      </c>
      <c r="AG24" s="484"/>
      <c r="AH24" s="484"/>
      <c r="AI24" s="484"/>
      <c r="AJ24" s="519"/>
      <c r="AK24" s="518" t="str">
        <f>Calcu!K23</f>
        <v/>
      </c>
      <c r="AL24" s="484"/>
      <c r="AM24" s="484"/>
      <c r="AN24" s="484"/>
      <c r="AO24" s="519"/>
    </row>
    <row r="25" spans="1:46" ht="18.75" customHeight="1">
      <c r="A25" s="57"/>
      <c r="B25" s="518" t="str">
        <f>Calcu!T24</f>
        <v/>
      </c>
      <c r="C25" s="484"/>
      <c r="D25" s="484"/>
      <c r="E25" s="484"/>
      <c r="F25" s="519"/>
      <c r="G25" s="518" t="str">
        <f>IF(Calcu!B24=TRUE,Calcu!E24*$H$5,"")</f>
        <v/>
      </c>
      <c r="H25" s="484"/>
      <c r="I25" s="484"/>
      <c r="J25" s="484"/>
      <c r="K25" s="519"/>
      <c r="L25" s="518" t="str">
        <f>IF(Calcu!B24=TRUE,Calcu!F24*H$5,"")</f>
        <v/>
      </c>
      <c r="M25" s="484"/>
      <c r="N25" s="484"/>
      <c r="O25" s="484"/>
      <c r="P25" s="519"/>
      <c r="Q25" s="518" t="str">
        <f>IF(Calcu!B24=TRUE,Calcu!G24*H$5,"")</f>
        <v/>
      </c>
      <c r="R25" s="484"/>
      <c r="S25" s="484"/>
      <c r="T25" s="484"/>
      <c r="U25" s="519"/>
      <c r="V25" s="518" t="str">
        <f>IF(Calcu!B24=TRUE,Calcu!H24*H$5,"")</f>
        <v/>
      </c>
      <c r="W25" s="484"/>
      <c r="X25" s="484"/>
      <c r="Y25" s="484"/>
      <c r="Z25" s="519"/>
      <c r="AA25" s="518" t="str">
        <f>IF(Calcu!B24=TRUE,Calcu!I24*H$5,"")</f>
        <v/>
      </c>
      <c r="AB25" s="484"/>
      <c r="AC25" s="484"/>
      <c r="AD25" s="484"/>
      <c r="AE25" s="519"/>
      <c r="AF25" s="518" t="str">
        <f>Calcu!M24</f>
        <v/>
      </c>
      <c r="AG25" s="484"/>
      <c r="AH25" s="484"/>
      <c r="AI25" s="484"/>
      <c r="AJ25" s="519"/>
      <c r="AK25" s="518" t="str">
        <f>Calcu!K24</f>
        <v/>
      </c>
      <c r="AL25" s="484"/>
      <c r="AM25" s="484"/>
      <c r="AN25" s="484"/>
      <c r="AO25" s="519"/>
    </row>
    <row r="26" spans="1:46" ht="18.75" customHeight="1">
      <c r="A26" s="57"/>
      <c r="B26" s="518" t="str">
        <f>Calcu!T25</f>
        <v/>
      </c>
      <c r="C26" s="484"/>
      <c r="D26" s="484"/>
      <c r="E26" s="484"/>
      <c r="F26" s="519"/>
      <c r="G26" s="518" t="str">
        <f>IF(Calcu!B25=TRUE,Calcu!E25*$H$5,"")</f>
        <v/>
      </c>
      <c r="H26" s="484"/>
      <c r="I26" s="484"/>
      <c r="J26" s="484"/>
      <c r="K26" s="519"/>
      <c r="L26" s="518" t="str">
        <f>IF(Calcu!B25=TRUE,Calcu!F25*H$5,"")</f>
        <v/>
      </c>
      <c r="M26" s="484"/>
      <c r="N26" s="484"/>
      <c r="O26" s="484"/>
      <c r="P26" s="519"/>
      <c r="Q26" s="518" t="str">
        <f>IF(Calcu!B25=TRUE,Calcu!G25*H$5,"")</f>
        <v/>
      </c>
      <c r="R26" s="484"/>
      <c r="S26" s="484"/>
      <c r="T26" s="484"/>
      <c r="U26" s="519"/>
      <c r="V26" s="518" t="str">
        <f>IF(Calcu!B25=TRUE,Calcu!H25*H$5,"")</f>
        <v/>
      </c>
      <c r="W26" s="484"/>
      <c r="X26" s="484"/>
      <c r="Y26" s="484"/>
      <c r="Z26" s="519"/>
      <c r="AA26" s="518" t="str">
        <f>IF(Calcu!B25=TRUE,Calcu!I25*H$5,"")</f>
        <v/>
      </c>
      <c r="AB26" s="484"/>
      <c r="AC26" s="484"/>
      <c r="AD26" s="484"/>
      <c r="AE26" s="519"/>
      <c r="AF26" s="518" t="str">
        <f>Calcu!M25</f>
        <v/>
      </c>
      <c r="AG26" s="484"/>
      <c r="AH26" s="484"/>
      <c r="AI26" s="484"/>
      <c r="AJ26" s="519"/>
      <c r="AK26" s="518" t="str">
        <f>Calcu!K25</f>
        <v/>
      </c>
      <c r="AL26" s="484"/>
      <c r="AM26" s="484"/>
      <c r="AN26" s="484"/>
      <c r="AO26" s="519"/>
    </row>
    <row r="27" spans="1:46" ht="18.75" customHeight="1">
      <c r="A27" s="57"/>
      <c r="B27" s="518" t="str">
        <f>Calcu!T26</f>
        <v/>
      </c>
      <c r="C27" s="484"/>
      <c r="D27" s="484"/>
      <c r="E27" s="484"/>
      <c r="F27" s="519"/>
      <c r="G27" s="518" t="str">
        <f>IF(Calcu!B26=TRUE,Calcu!E26*$H$5,"")</f>
        <v/>
      </c>
      <c r="H27" s="484"/>
      <c r="I27" s="484"/>
      <c r="J27" s="484"/>
      <c r="K27" s="519"/>
      <c r="L27" s="518" t="str">
        <f>IF(Calcu!B26=TRUE,Calcu!F26*H$5,"")</f>
        <v/>
      </c>
      <c r="M27" s="484"/>
      <c r="N27" s="484"/>
      <c r="O27" s="484"/>
      <c r="P27" s="519"/>
      <c r="Q27" s="518" t="str">
        <f>IF(Calcu!B26=TRUE,Calcu!G26*H$5,"")</f>
        <v/>
      </c>
      <c r="R27" s="484"/>
      <c r="S27" s="484"/>
      <c r="T27" s="484"/>
      <c r="U27" s="519"/>
      <c r="V27" s="518" t="str">
        <f>IF(Calcu!B26=TRUE,Calcu!H26*H$5,"")</f>
        <v/>
      </c>
      <c r="W27" s="484"/>
      <c r="X27" s="484"/>
      <c r="Y27" s="484"/>
      <c r="Z27" s="519"/>
      <c r="AA27" s="518" t="str">
        <f>IF(Calcu!B26=TRUE,Calcu!I26*H$5,"")</f>
        <v/>
      </c>
      <c r="AB27" s="484"/>
      <c r="AC27" s="484"/>
      <c r="AD27" s="484"/>
      <c r="AE27" s="519"/>
      <c r="AF27" s="518" t="str">
        <f>Calcu!M26</f>
        <v/>
      </c>
      <c r="AG27" s="484"/>
      <c r="AH27" s="484"/>
      <c r="AI27" s="484"/>
      <c r="AJ27" s="519"/>
      <c r="AK27" s="518" t="str">
        <f>Calcu!K26</f>
        <v/>
      </c>
      <c r="AL27" s="484"/>
      <c r="AM27" s="484"/>
      <c r="AN27" s="484"/>
      <c r="AO27" s="519"/>
    </row>
    <row r="28" spans="1:46" ht="18.75" customHeight="1">
      <c r="A28" s="57"/>
      <c r="B28" s="518" t="str">
        <f>Calcu!T27</f>
        <v/>
      </c>
      <c r="C28" s="484"/>
      <c r="D28" s="484"/>
      <c r="E28" s="484"/>
      <c r="F28" s="519"/>
      <c r="G28" s="518" t="str">
        <f>IF(Calcu!B27=TRUE,Calcu!E27*$H$5,"")</f>
        <v/>
      </c>
      <c r="H28" s="484"/>
      <c r="I28" s="484"/>
      <c r="J28" s="484"/>
      <c r="K28" s="519"/>
      <c r="L28" s="518" t="str">
        <f>IF(Calcu!B27=TRUE,Calcu!F27*H$5,"")</f>
        <v/>
      </c>
      <c r="M28" s="484"/>
      <c r="N28" s="484"/>
      <c r="O28" s="484"/>
      <c r="P28" s="519"/>
      <c r="Q28" s="518" t="str">
        <f>IF(Calcu!B27=TRUE,Calcu!G27*H$5,"")</f>
        <v/>
      </c>
      <c r="R28" s="484"/>
      <c r="S28" s="484"/>
      <c r="T28" s="484"/>
      <c r="U28" s="519"/>
      <c r="V28" s="518" t="str">
        <f>IF(Calcu!B27=TRUE,Calcu!H27*H$5,"")</f>
        <v/>
      </c>
      <c r="W28" s="484"/>
      <c r="X28" s="484"/>
      <c r="Y28" s="484"/>
      <c r="Z28" s="519"/>
      <c r="AA28" s="518" t="str">
        <f>IF(Calcu!B27=TRUE,Calcu!I27*H$5,"")</f>
        <v/>
      </c>
      <c r="AB28" s="484"/>
      <c r="AC28" s="484"/>
      <c r="AD28" s="484"/>
      <c r="AE28" s="519"/>
      <c r="AF28" s="518" t="str">
        <f>Calcu!M27</f>
        <v/>
      </c>
      <c r="AG28" s="484"/>
      <c r="AH28" s="484"/>
      <c r="AI28" s="484"/>
      <c r="AJ28" s="519"/>
      <c r="AK28" s="518" t="str">
        <f>Calcu!K27</f>
        <v/>
      </c>
      <c r="AL28" s="484"/>
      <c r="AM28" s="484"/>
      <c r="AN28" s="484"/>
      <c r="AO28" s="519"/>
    </row>
    <row r="29" spans="1:46" ht="18.75" customHeight="1">
      <c r="A29" s="57"/>
      <c r="B29" s="518" t="str">
        <f>Calcu!T28</f>
        <v/>
      </c>
      <c r="C29" s="484"/>
      <c r="D29" s="484"/>
      <c r="E29" s="484"/>
      <c r="F29" s="519"/>
      <c r="G29" s="518" t="str">
        <f>IF(Calcu!B28=TRUE,Calcu!E28*$H$5,"")</f>
        <v/>
      </c>
      <c r="H29" s="484"/>
      <c r="I29" s="484"/>
      <c r="J29" s="484"/>
      <c r="K29" s="519"/>
      <c r="L29" s="518" t="str">
        <f>IF(Calcu!B28=TRUE,Calcu!F28*H$5,"")</f>
        <v/>
      </c>
      <c r="M29" s="484"/>
      <c r="N29" s="484"/>
      <c r="O29" s="484"/>
      <c r="P29" s="519"/>
      <c r="Q29" s="518" t="str">
        <f>IF(Calcu!B28=TRUE,Calcu!G28*H$5,"")</f>
        <v/>
      </c>
      <c r="R29" s="484"/>
      <c r="S29" s="484"/>
      <c r="T29" s="484"/>
      <c r="U29" s="519"/>
      <c r="V29" s="518" t="str">
        <f>IF(Calcu!B28=TRUE,Calcu!H28*H$5,"")</f>
        <v/>
      </c>
      <c r="W29" s="484"/>
      <c r="X29" s="484"/>
      <c r="Y29" s="484"/>
      <c r="Z29" s="519"/>
      <c r="AA29" s="518" t="str">
        <f>IF(Calcu!B28=TRUE,Calcu!I28*H$5,"")</f>
        <v/>
      </c>
      <c r="AB29" s="484"/>
      <c r="AC29" s="484"/>
      <c r="AD29" s="484"/>
      <c r="AE29" s="519"/>
      <c r="AF29" s="518" t="str">
        <f>Calcu!M28</f>
        <v/>
      </c>
      <c r="AG29" s="484"/>
      <c r="AH29" s="484"/>
      <c r="AI29" s="484"/>
      <c r="AJ29" s="519"/>
      <c r="AK29" s="518" t="str">
        <f>Calcu!K28</f>
        <v/>
      </c>
      <c r="AL29" s="484"/>
      <c r="AM29" s="484"/>
      <c r="AN29" s="484"/>
      <c r="AO29" s="519"/>
    </row>
    <row r="30" spans="1:46" ht="18.75" customHeight="1">
      <c r="A30" s="57"/>
      <c r="B30" s="518" t="str">
        <f>Calcu!T29</f>
        <v/>
      </c>
      <c r="C30" s="484"/>
      <c r="D30" s="484"/>
      <c r="E30" s="484"/>
      <c r="F30" s="519"/>
      <c r="G30" s="518" t="str">
        <f>IF(Calcu!B29=TRUE,Calcu!E29*$H$5,"")</f>
        <v/>
      </c>
      <c r="H30" s="484"/>
      <c r="I30" s="484"/>
      <c r="J30" s="484"/>
      <c r="K30" s="519"/>
      <c r="L30" s="518" t="str">
        <f>IF(Calcu!B29=TRUE,Calcu!F29*H$5,"")</f>
        <v/>
      </c>
      <c r="M30" s="484"/>
      <c r="N30" s="484"/>
      <c r="O30" s="484"/>
      <c r="P30" s="519"/>
      <c r="Q30" s="518" t="str">
        <f>IF(Calcu!B29=TRUE,Calcu!G29*H$5,"")</f>
        <v/>
      </c>
      <c r="R30" s="484"/>
      <c r="S30" s="484"/>
      <c r="T30" s="484"/>
      <c r="U30" s="519"/>
      <c r="V30" s="518" t="str">
        <f>IF(Calcu!B29=TRUE,Calcu!H29*H$5,"")</f>
        <v/>
      </c>
      <c r="W30" s="484"/>
      <c r="X30" s="484"/>
      <c r="Y30" s="484"/>
      <c r="Z30" s="519"/>
      <c r="AA30" s="518" t="str">
        <f>IF(Calcu!B29=TRUE,Calcu!I29*H$5,"")</f>
        <v/>
      </c>
      <c r="AB30" s="484"/>
      <c r="AC30" s="484"/>
      <c r="AD30" s="484"/>
      <c r="AE30" s="519"/>
      <c r="AF30" s="518" t="str">
        <f>Calcu!M29</f>
        <v/>
      </c>
      <c r="AG30" s="484"/>
      <c r="AH30" s="484"/>
      <c r="AI30" s="484"/>
      <c r="AJ30" s="519"/>
      <c r="AK30" s="518" t="str">
        <f>Calcu!K29</f>
        <v/>
      </c>
      <c r="AL30" s="484"/>
      <c r="AM30" s="484"/>
      <c r="AN30" s="484"/>
      <c r="AO30" s="519"/>
    </row>
    <row r="31" spans="1:46" ht="18.75" customHeight="1">
      <c r="A31" s="57"/>
      <c r="B31" s="221"/>
      <c r="C31" s="221"/>
      <c r="D31" s="221"/>
      <c r="E31" s="221"/>
      <c r="F31" s="221"/>
      <c r="G31" s="221"/>
      <c r="H31" s="221"/>
      <c r="I31" s="221"/>
      <c r="J31" s="221"/>
      <c r="K31" s="221"/>
      <c r="L31" s="221"/>
      <c r="M31" s="221"/>
      <c r="N31" s="221"/>
      <c r="O31" s="221"/>
      <c r="P31" s="221"/>
      <c r="Q31" s="221"/>
      <c r="R31" s="221"/>
      <c r="S31" s="221"/>
      <c r="T31" s="221"/>
      <c r="U31" s="221"/>
      <c r="V31" s="221"/>
      <c r="W31" s="221"/>
      <c r="X31" s="221"/>
      <c r="Y31" s="221"/>
      <c r="Z31" s="221"/>
      <c r="AA31" s="221"/>
      <c r="AB31" s="221"/>
      <c r="AC31" s="221"/>
      <c r="AD31" s="221"/>
      <c r="AE31" s="221"/>
      <c r="AF31" s="221"/>
      <c r="AG31" s="221"/>
      <c r="AH31" s="221"/>
      <c r="AI31" s="221"/>
      <c r="AJ31" s="221"/>
      <c r="AK31" s="221"/>
      <c r="AL31" s="221"/>
      <c r="AM31" s="221"/>
      <c r="AN31" s="221"/>
      <c r="AO31" s="221"/>
      <c r="AP31" s="221"/>
      <c r="AQ31" s="221"/>
      <c r="AR31" s="221"/>
      <c r="AS31" s="221"/>
      <c r="AT31" s="221"/>
    </row>
    <row r="32" spans="1:46" ht="18.75" customHeight="1">
      <c r="A32" s="57" t="s">
        <v>308</v>
      </c>
      <c r="B32" s="230"/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230"/>
      <c r="AA32" s="230"/>
      <c r="AB32" s="230"/>
      <c r="AC32" s="230"/>
      <c r="AD32" s="230"/>
      <c r="AE32" s="230"/>
      <c r="AF32" s="230"/>
      <c r="AG32" s="230"/>
      <c r="AH32" s="230"/>
      <c r="AI32" s="230"/>
      <c r="AJ32" s="230"/>
      <c r="AK32" s="230"/>
      <c r="AL32" s="230"/>
      <c r="AM32" s="230"/>
      <c r="AN32" s="230"/>
      <c r="AO32" s="230"/>
      <c r="AP32" s="230"/>
      <c r="AQ32" s="230"/>
      <c r="AR32" s="230"/>
      <c r="AS32" s="230"/>
      <c r="AT32" s="230"/>
    </row>
    <row r="33" spans="1:69" ht="18.75" customHeight="1">
      <c r="A33" s="70"/>
      <c r="B33" s="230"/>
      <c r="C33" s="230"/>
      <c r="D33" s="230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230"/>
      <c r="AL33" s="230"/>
      <c r="AM33" s="230"/>
      <c r="AN33" s="230"/>
      <c r="AO33" s="230"/>
      <c r="AP33" s="230"/>
      <c r="AQ33" s="230"/>
      <c r="AR33" s="230"/>
      <c r="AS33" s="230"/>
      <c r="AT33" s="230"/>
    </row>
    <row r="34" spans="1:69" ht="18.75" customHeight="1">
      <c r="A34" s="70"/>
      <c r="B34" s="230"/>
      <c r="C34" s="230"/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230"/>
      <c r="O34" s="230"/>
      <c r="P34" s="230"/>
      <c r="Q34" s="230"/>
      <c r="R34" s="230"/>
      <c r="S34" s="230"/>
      <c r="T34" s="230"/>
      <c r="U34" s="230"/>
      <c r="V34" s="230"/>
      <c r="W34" s="230"/>
      <c r="X34" s="230"/>
      <c r="Y34" s="230"/>
      <c r="Z34" s="230"/>
      <c r="AA34" s="230"/>
      <c r="AB34" s="230"/>
      <c r="AC34" s="230"/>
      <c r="AD34" s="230"/>
      <c r="AE34" s="230"/>
      <c r="AF34" s="230"/>
      <c r="AG34" s="230"/>
      <c r="AH34" s="230"/>
      <c r="AI34" s="230"/>
      <c r="AJ34" s="230"/>
      <c r="AK34" s="230"/>
      <c r="AL34" s="230"/>
      <c r="AM34" s="230"/>
      <c r="AN34" s="230"/>
      <c r="AO34" s="230"/>
      <c r="AP34" s="230"/>
      <c r="AQ34" s="230"/>
      <c r="AR34" s="230"/>
      <c r="AS34" s="230"/>
      <c r="AT34" s="230"/>
    </row>
    <row r="35" spans="1:69" ht="18.75" customHeight="1">
      <c r="A35" s="70"/>
      <c r="B35" s="230"/>
      <c r="C35" s="527" t="s">
        <v>309</v>
      </c>
      <c r="D35" s="527"/>
      <c r="E35" s="527"/>
      <c r="F35" s="221" t="s">
        <v>310</v>
      </c>
      <c r="G35" s="230" t="str">
        <f>"표준온도에서 "&amp;N5&amp;"의 보정값"</f>
        <v>표준온도에서 측정현미경의 보정값</v>
      </c>
      <c r="H35" s="230"/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W35" s="59"/>
      <c r="X35" s="59"/>
      <c r="Y35" s="59"/>
      <c r="Z35" s="230"/>
      <c r="AA35" s="230"/>
      <c r="AB35" s="230"/>
      <c r="AC35" s="230"/>
      <c r="AD35" s="230"/>
      <c r="AE35" s="230"/>
      <c r="AF35" s="230"/>
      <c r="AG35" s="230"/>
      <c r="AH35" s="230"/>
      <c r="AI35" s="230"/>
      <c r="AJ35" s="230"/>
      <c r="AK35" s="230"/>
      <c r="AL35" s="230"/>
      <c r="AM35" s="230"/>
      <c r="AN35" s="230"/>
      <c r="AO35" s="230"/>
      <c r="AP35" s="230"/>
      <c r="AQ35" s="230"/>
      <c r="AR35" s="230"/>
      <c r="AS35" s="230"/>
      <c r="AT35" s="230"/>
    </row>
    <row r="36" spans="1:69" ht="18.75" customHeight="1">
      <c r="A36" s="70"/>
      <c r="B36" s="230"/>
      <c r="C36" s="527" t="s">
        <v>311</v>
      </c>
      <c r="D36" s="527"/>
      <c r="E36" s="527"/>
      <c r="F36" s="221" t="s">
        <v>312</v>
      </c>
      <c r="G36" s="230" t="str">
        <f>T5&amp;"의 교정값"</f>
        <v>표준자의 교정값</v>
      </c>
      <c r="H36" s="230"/>
      <c r="I36" s="230"/>
      <c r="J36" s="230"/>
      <c r="K36" s="230"/>
      <c r="L36" s="230"/>
      <c r="M36" s="230"/>
      <c r="N36" s="230"/>
      <c r="O36" s="230"/>
      <c r="P36" s="230"/>
      <c r="Q36" s="230"/>
      <c r="R36" s="230"/>
      <c r="S36" s="230"/>
      <c r="T36" s="230"/>
      <c r="U36" s="230"/>
      <c r="V36" s="230"/>
      <c r="W36" s="230"/>
      <c r="X36" s="230"/>
      <c r="Y36" s="230"/>
      <c r="Z36" s="230"/>
      <c r="AA36" s="230"/>
      <c r="AB36" s="230"/>
      <c r="AC36" s="230"/>
      <c r="AD36" s="230"/>
      <c r="AE36" s="230"/>
      <c r="AF36" s="230"/>
      <c r="AG36" s="230"/>
      <c r="AH36" s="230"/>
      <c r="AI36" s="230"/>
      <c r="AJ36" s="230"/>
      <c r="AK36" s="230"/>
      <c r="AL36" s="230"/>
      <c r="AM36" s="230"/>
      <c r="AN36" s="230"/>
      <c r="AO36" s="230"/>
      <c r="AP36" s="230"/>
      <c r="AQ36" s="230"/>
      <c r="AR36" s="230"/>
      <c r="AS36" s="230"/>
      <c r="AT36" s="230"/>
      <c r="AU36" s="230"/>
      <c r="AV36" s="230"/>
      <c r="AW36" s="230"/>
      <c r="AX36" s="230"/>
      <c r="AY36" s="230"/>
      <c r="AZ36" s="230"/>
      <c r="BA36" s="230"/>
      <c r="BB36" s="230"/>
    </row>
    <row r="37" spans="1:69" ht="18.75" customHeight="1">
      <c r="A37" s="70"/>
      <c r="B37" s="230"/>
      <c r="C37" s="527" t="s">
        <v>313</v>
      </c>
      <c r="D37" s="527"/>
      <c r="E37" s="527"/>
      <c r="F37" s="221" t="s">
        <v>314</v>
      </c>
      <c r="G37" s="230" t="str">
        <f>N5&amp;"의 지시값"</f>
        <v>측정현미경의 지시값</v>
      </c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U37" s="230"/>
      <c r="V37" s="230"/>
      <c r="W37" s="230"/>
      <c r="X37" s="230"/>
      <c r="Y37" s="230"/>
      <c r="Z37" s="230"/>
      <c r="AA37" s="230"/>
      <c r="AB37" s="230"/>
      <c r="AC37" s="230"/>
      <c r="AD37" s="230"/>
      <c r="AE37" s="230"/>
      <c r="AF37" s="230"/>
      <c r="AG37" s="230"/>
      <c r="AH37" s="230"/>
      <c r="AI37" s="230"/>
      <c r="AJ37" s="230"/>
      <c r="AK37" s="230"/>
      <c r="AL37" s="230"/>
      <c r="AM37" s="230"/>
      <c r="AN37" s="230"/>
      <c r="AO37" s="230"/>
      <c r="AP37" s="230"/>
      <c r="AQ37" s="230"/>
      <c r="AR37" s="230"/>
      <c r="AS37" s="230"/>
      <c r="AT37" s="230"/>
      <c r="AU37" s="230"/>
      <c r="AV37" s="230"/>
      <c r="AW37" s="230"/>
      <c r="AX37" s="230"/>
      <c r="AY37" s="230"/>
      <c r="AZ37" s="230"/>
      <c r="BA37" s="230"/>
      <c r="BB37" s="230"/>
    </row>
    <row r="38" spans="1:69" ht="18.75" customHeight="1">
      <c r="A38" s="70"/>
      <c r="B38" s="230"/>
      <c r="C38" s="527" t="s">
        <v>315</v>
      </c>
      <c r="D38" s="527"/>
      <c r="E38" s="527"/>
      <c r="F38" s="221" t="s">
        <v>310</v>
      </c>
      <c r="G38" s="230" t="str">
        <f>T5&amp;"의 명목값"</f>
        <v>표준자의 명목값</v>
      </c>
      <c r="H38" s="230"/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T38" s="230"/>
      <c r="U38" s="230"/>
      <c r="V38" s="230"/>
      <c r="W38" s="230"/>
      <c r="X38" s="230"/>
      <c r="Y38" s="230"/>
      <c r="Z38" s="230"/>
      <c r="AA38" s="230"/>
      <c r="AB38" s="230"/>
      <c r="AC38" s="230"/>
      <c r="AD38" s="230"/>
      <c r="AE38" s="230"/>
      <c r="AF38" s="230"/>
      <c r="AG38" s="230"/>
      <c r="AH38" s="230"/>
      <c r="AI38" s="230"/>
      <c r="AJ38" s="230"/>
      <c r="AK38" s="230"/>
      <c r="AL38" s="230"/>
      <c r="AM38" s="230"/>
      <c r="AN38" s="230"/>
      <c r="AO38" s="230"/>
      <c r="AP38" s="230"/>
      <c r="AQ38" s="230"/>
      <c r="AR38" s="230"/>
      <c r="AS38" s="230"/>
      <c r="AT38" s="230"/>
      <c r="AU38" s="230"/>
      <c r="AV38" s="230"/>
      <c r="AW38" s="230"/>
      <c r="AX38" s="230"/>
      <c r="AY38" s="230"/>
      <c r="AZ38" s="230"/>
      <c r="BA38" s="230"/>
      <c r="BB38" s="230"/>
    </row>
    <row r="39" spans="1:69" ht="18.75" customHeight="1">
      <c r="A39" s="70"/>
      <c r="B39" s="230"/>
      <c r="C39" s="527"/>
      <c r="D39" s="527"/>
      <c r="E39" s="527"/>
      <c r="F39" s="221" t="s">
        <v>312</v>
      </c>
      <c r="G39" s="230" t="str">
        <f>N5&amp;"와 "&amp;T5&amp;"의 평균열팽창계수"</f>
        <v>측정현미경와 표준자의 평균열팽창계수</v>
      </c>
      <c r="H39" s="230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230"/>
      <c r="U39" s="230"/>
      <c r="V39" s="230"/>
      <c r="W39" s="230"/>
      <c r="X39" s="230"/>
      <c r="Y39" s="230"/>
      <c r="Z39" s="230"/>
      <c r="AA39" s="230"/>
      <c r="AB39" s="230"/>
      <c r="AC39" s="230"/>
      <c r="AD39" s="230"/>
      <c r="AE39" s="230"/>
      <c r="AF39" s="230"/>
      <c r="AG39" s="230"/>
      <c r="AH39" s="230"/>
      <c r="AI39" s="230"/>
      <c r="AJ39" s="230"/>
      <c r="AK39" s="230"/>
      <c r="AL39" s="230"/>
      <c r="AM39" s="230"/>
      <c r="AN39" s="230"/>
      <c r="AO39" s="230"/>
      <c r="AP39" s="230"/>
      <c r="AQ39" s="230"/>
      <c r="AR39" s="230"/>
      <c r="AS39" s="230"/>
      <c r="AT39" s="230"/>
      <c r="AU39" s="230"/>
      <c r="AV39" s="230"/>
      <c r="AW39" s="230"/>
      <c r="AX39" s="230"/>
      <c r="AY39" s="230"/>
      <c r="AZ39" s="230"/>
      <c r="BA39" s="230"/>
      <c r="BB39" s="230"/>
    </row>
    <row r="40" spans="1:69" ht="18.75" customHeight="1">
      <c r="A40" s="70"/>
      <c r="B40" s="230"/>
      <c r="C40" s="527" t="s">
        <v>316</v>
      </c>
      <c r="D40" s="527"/>
      <c r="E40" s="527"/>
      <c r="F40" s="221" t="s">
        <v>310</v>
      </c>
      <c r="G40" s="230" t="str">
        <f>N5&amp;"와 "&amp;T5&amp;"의 온도차이"</f>
        <v>측정현미경와 표준자의 온도차이</v>
      </c>
      <c r="H40" s="230"/>
      <c r="I40" s="230"/>
      <c r="J40" s="230"/>
      <c r="K40" s="230"/>
      <c r="L40" s="230"/>
      <c r="M40" s="230"/>
      <c r="N40" s="230"/>
      <c r="O40" s="230"/>
      <c r="P40" s="230"/>
      <c r="Q40" s="230"/>
      <c r="R40" s="230"/>
      <c r="S40" s="230"/>
      <c r="T40" s="230"/>
      <c r="U40" s="230"/>
      <c r="V40" s="230"/>
      <c r="W40" s="230"/>
      <c r="X40" s="230"/>
      <c r="Y40" s="230"/>
      <c r="Z40" s="230"/>
      <c r="AA40" s="230"/>
      <c r="AB40" s="230"/>
      <c r="AC40" s="230"/>
      <c r="AD40" s="230"/>
      <c r="AE40" s="230"/>
      <c r="AF40" s="230"/>
      <c r="AG40" s="230"/>
      <c r="AH40" s="230"/>
      <c r="AI40" s="230"/>
      <c r="AJ40" s="230"/>
      <c r="AK40" s="230"/>
      <c r="AL40" s="230"/>
      <c r="AM40" s="230"/>
      <c r="AN40" s="230"/>
      <c r="AO40" s="230"/>
      <c r="AP40" s="230"/>
      <c r="AQ40" s="230"/>
      <c r="AR40" s="230"/>
      <c r="AS40" s="230"/>
      <c r="AT40" s="230"/>
      <c r="AU40" s="230"/>
      <c r="AV40" s="230"/>
      <c r="AW40" s="230"/>
      <c r="AX40" s="230"/>
      <c r="AY40" s="230"/>
      <c r="AZ40" s="230"/>
      <c r="BA40" s="230"/>
      <c r="BB40" s="230"/>
    </row>
    <row r="41" spans="1:69" ht="18.75" customHeight="1">
      <c r="A41" s="70"/>
      <c r="B41" s="230"/>
      <c r="C41" s="527" t="s">
        <v>317</v>
      </c>
      <c r="D41" s="527"/>
      <c r="E41" s="527"/>
      <c r="F41" s="221" t="s">
        <v>312</v>
      </c>
      <c r="G41" s="230" t="str">
        <f>N5&amp;"와 "&amp;T5&amp;"의 열팽창계수 차이"</f>
        <v>측정현미경와 표준자의 열팽창계수 차이</v>
      </c>
      <c r="H41" s="230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  <c r="V41" s="230"/>
      <c r="W41" s="230"/>
      <c r="X41" s="230"/>
      <c r="Y41" s="230"/>
      <c r="Z41" s="230"/>
      <c r="AA41" s="230"/>
      <c r="AB41" s="230"/>
      <c r="AC41" s="230"/>
      <c r="AD41" s="230"/>
      <c r="AE41" s="230"/>
      <c r="AF41" s="230"/>
      <c r="AG41" s="230"/>
      <c r="AH41" s="230"/>
      <c r="AI41" s="230"/>
      <c r="AJ41" s="230"/>
      <c r="AK41" s="230"/>
      <c r="AL41" s="230"/>
      <c r="AM41" s="230"/>
      <c r="AN41" s="230"/>
      <c r="AO41" s="230"/>
      <c r="AP41" s="230"/>
      <c r="AQ41" s="230"/>
      <c r="AR41" s="230"/>
      <c r="AS41" s="230"/>
      <c r="AT41" s="230"/>
      <c r="AU41" s="230"/>
      <c r="AV41" s="230"/>
      <c r="AW41" s="230"/>
      <c r="AX41" s="230"/>
      <c r="AY41" s="230"/>
      <c r="AZ41" s="230"/>
      <c r="BA41" s="230"/>
      <c r="BB41" s="230"/>
    </row>
    <row r="42" spans="1:69" ht="18.75" customHeight="1">
      <c r="A42" s="70"/>
      <c r="B42" s="230"/>
      <c r="C42" s="527" t="s">
        <v>319</v>
      </c>
      <c r="D42" s="527"/>
      <c r="E42" s="527"/>
      <c r="F42" s="221" t="s">
        <v>312</v>
      </c>
      <c r="G42" s="230" t="str">
        <f>N5&amp;"와 "&amp;T5&amp;"의 평균 온도값과 기준온도와의 차"</f>
        <v>측정현미경와 표준자의 평균 온도값과 기준온도와의 차</v>
      </c>
      <c r="H42" s="230"/>
      <c r="I42" s="230"/>
      <c r="J42" s="230"/>
      <c r="K42" s="230"/>
      <c r="L42" s="230"/>
      <c r="M42" s="230"/>
      <c r="N42" s="230"/>
      <c r="O42" s="230"/>
      <c r="P42" s="230"/>
      <c r="Q42" s="230"/>
      <c r="R42" s="230"/>
      <c r="S42" s="230"/>
      <c r="T42" s="230"/>
      <c r="U42" s="230"/>
      <c r="V42" s="230"/>
      <c r="W42" s="230"/>
      <c r="X42" s="230"/>
      <c r="Y42" s="230"/>
      <c r="Z42" s="230"/>
      <c r="AA42" s="230"/>
      <c r="AB42" s="230"/>
      <c r="AC42" s="230"/>
      <c r="AD42" s="230"/>
      <c r="AE42" s="230"/>
      <c r="AF42" s="230"/>
      <c r="AG42" s="230"/>
      <c r="AH42" s="230"/>
      <c r="AI42" s="230"/>
      <c r="AJ42" s="230"/>
      <c r="AK42" s="230"/>
      <c r="AL42" s="230"/>
      <c r="AM42" s="230"/>
      <c r="AN42" s="230"/>
      <c r="AO42" s="230"/>
      <c r="AP42" s="230"/>
      <c r="AQ42" s="230"/>
      <c r="AR42" s="230"/>
      <c r="AS42" s="230"/>
      <c r="AT42" s="230"/>
      <c r="AU42" s="230"/>
      <c r="AV42" s="230"/>
      <c r="AW42" s="230"/>
      <c r="AX42" s="230"/>
      <c r="AY42" s="230"/>
      <c r="AZ42" s="230"/>
      <c r="BA42" s="230"/>
      <c r="BB42" s="230"/>
    </row>
    <row r="43" spans="1:69" ht="18.75" customHeight="1">
      <c r="A43" s="70"/>
      <c r="B43" s="230"/>
      <c r="C43" s="527" t="s">
        <v>601</v>
      </c>
      <c r="D43" s="527"/>
      <c r="E43" s="527"/>
      <c r="F43" s="221" t="s">
        <v>312</v>
      </c>
      <c r="G43" s="230" t="str">
        <f>N5&amp;"의 분해능 한계에 대한 보정값 (기대값=0)"</f>
        <v>측정현미경의 분해능 한계에 대한 보정값 (기대값=0)</v>
      </c>
      <c r="H43" s="230"/>
      <c r="I43" s="230"/>
      <c r="J43" s="230"/>
      <c r="K43" s="230"/>
      <c r="L43" s="230"/>
      <c r="M43" s="230"/>
      <c r="N43" s="230"/>
      <c r="O43" s="230"/>
      <c r="P43" s="230"/>
      <c r="Q43" s="230"/>
      <c r="R43" s="230"/>
      <c r="S43" s="230"/>
      <c r="T43" s="230"/>
      <c r="U43" s="230"/>
      <c r="V43" s="230"/>
      <c r="W43" s="230"/>
      <c r="X43" s="230"/>
      <c r="Y43" s="230"/>
      <c r="Z43" s="230"/>
      <c r="AA43" s="230"/>
      <c r="AB43" s="230"/>
      <c r="AC43" s="230"/>
      <c r="AD43" s="230"/>
      <c r="AE43" s="230"/>
      <c r="AF43" s="230"/>
      <c r="AG43" s="230"/>
      <c r="AH43" s="230"/>
      <c r="AI43" s="230"/>
      <c r="AJ43" s="230"/>
      <c r="AK43" s="230"/>
      <c r="AL43" s="230"/>
      <c r="AM43" s="230"/>
      <c r="AN43" s="230"/>
      <c r="AO43" s="230"/>
      <c r="AP43" s="230"/>
      <c r="AQ43" s="230"/>
      <c r="AR43" s="230"/>
      <c r="AS43" s="230"/>
      <c r="AT43" s="230"/>
      <c r="AU43" s="230"/>
      <c r="AV43" s="230"/>
      <c r="AW43" s="230"/>
      <c r="AX43" s="230"/>
      <c r="AY43" s="230"/>
      <c r="AZ43" s="230"/>
      <c r="BA43" s="230"/>
      <c r="BB43" s="230"/>
    </row>
    <row r="44" spans="1:69" ht="18.75" customHeight="1">
      <c r="A44" s="70"/>
      <c r="B44" s="230"/>
      <c r="C44" s="527" t="s">
        <v>567</v>
      </c>
      <c r="D44" s="527"/>
      <c r="E44" s="527"/>
      <c r="F44" s="301" t="s">
        <v>312</v>
      </c>
      <c r="G44" s="230" t="str">
        <f>T5&amp;"의 설치에 있어 여현오차(cosine error)에 의한 보정값 (기대값=0)"</f>
        <v>표준자의 설치에 있어 여현오차(cosine error)에 의한 보정값 (기대값=0)</v>
      </c>
      <c r="H44" s="230"/>
      <c r="I44" s="230"/>
      <c r="J44" s="230"/>
      <c r="K44" s="230"/>
      <c r="L44" s="230"/>
      <c r="M44" s="230"/>
      <c r="N44" s="230"/>
      <c r="O44" s="230"/>
      <c r="P44" s="230"/>
      <c r="Q44" s="230"/>
      <c r="R44" s="230"/>
      <c r="S44" s="230"/>
      <c r="T44" s="230"/>
      <c r="U44" s="230"/>
      <c r="V44" s="230"/>
      <c r="W44" s="230"/>
      <c r="X44" s="230"/>
      <c r="Y44" s="230"/>
      <c r="Z44" s="230"/>
      <c r="AA44" s="230"/>
      <c r="AB44" s="230"/>
      <c r="AC44" s="230"/>
      <c r="AD44" s="230"/>
      <c r="AE44" s="230"/>
      <c r="AF44" s="230"/>
      <c r="AG44" s="230"/>
      <c r="AH44" s="230"/>
      <c r="AI44" s="230"/>
      <c r="AJ44" s="230"/>
      <c r="AK44" s="230"/>
      <c r="AL44" s="230"/>
      <c r="AM44" s="230"/>
      <c r="AN44" s="230"/>
      <c r="AO44" s="230"/>
      <c r="AP44" s="230"/>
      <c r="AQ44" s="230"/>
      <c r="AR44" s="230"/>
      <c r="AS44" s="230"/>
      <c r="AT44" s="230"/>
      <c r="AU44" s="230"/>
      <c r="AV44" s="230"/>
      <c r="AW44" s="230"/>
      <c r="AX44" s="230"/>
      <c r="AY44" s="230"/>
      <c r="AZ44" s="230"/>
      <c r="BA44" s="230"/>
      <c r="BB44" s="230"/>
    </row>
    <row r="45" spans="1:69" ht="18.75" customHeight="1">
      <c r="A45" s="70"/>
      <c r="B45" s="230"/>
      <c r="C45" s="527"/>
      <c r="D45" s="527"/>
      <c r="E45" s="527"/>
      <c r="G45" s="230"/>
      <c r="H45" s="230"/>
      <c r="I45" s="230"/>
      <c r="J45" s="230"/>
      <c r="K45" s="230"/>
      <c r="L45" s="230"/>
      <c r="M45" s="230"/>
      <c r="N45" s="230"/>
      <c r="O45" s="230"/>
      <c r="P45" s="230"/>
      <c r="Q45" s="230"/>
      <c r="R45" s="230"/>
      <c r="S45" s="230"/>
      <c r="T45" s="230"/>
      <c r="U45" s="230"/>
      <c r="V45" s="230"/>
      <c r="W45" s="230"/>
      <c r="X45" s="230"/>
      <c r="Y45" s="230"/>
      <c r="Z45" s="230"/>
      <c r="AA45" s="230"/>
      <c r="AB45" s="230"/>
      <c r="AC45" s="230"/>
      <c r="AD45" s="230"/>
      <c r="AE45" s="230"/>
      <c r="AF45" s="230"/>
      <c r="AG45" s="230"/>
      <c r="AH45" s="230"/>
      <c r="AI45" s="230"/>
      <c r="AJ45" s="230"/>
      <c r="AK45" s="230"/>
      <c r="AL45" s="230"/>
      <c r="AM45" s="230"/>
      <c r="AN45" s="230"/>
      <c r="AO45" s="230"/>
      <c r="AP45" s="230"/>
      <c r="AQ45" s="230"/>
      <c r="AR45" s="230"/>
      <c r="AS45" s="230"/>
      <c r="AT45" s="230"/>
      <c r="AU45" s="230"/>
      <c r="AV45" s="230"/>
      <c r="AW45" s="230"/>
      <c r="AX45" s="230"/>
      <c r="AY45" s="230"/>
      <c r="AZ45" s="230"/>
      <c r="BA45" s="230"/>
      <c r="BB45" s="230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</row>
    <row r="46" spans="1:69" ht="18.75" customHeight="1">
      <c r="A46" s="57" t="s">
        <v>320</v>
      </c>
      <c r="B46" s="230"/>
      <c r="C46" s="230"/>
      <c r="D46" s="230"/>
      <c r="E46" s="230"/>
      <c r="F46" s="230"/>
      <c r="G46" s="230"/>
      <c r="H46" s="230"/>
      <c r="I46" s="230"/>
      <c r="J46" s="230"/>
      <c r="K46" s="230"/>
      <c r="L46" s="230"/>
      <c r="M46" s="230"/>
      <c r="N46" s="230"/>
      <c r="O46" s="230"/>
      <c r="P46" s="230"/>
      <c r="Q46" s="230"/>
      <c r="R46" s="230"/>
      <c r="S46" s="230"/>
      <c r="T46" s="230"/>
      <c r="U46" s="230"/>
      <c r="V46" s="230"/>
      <c r="W46" s="230"/>
      <c r="X46" s="230"/>
      <c r="Y46" s="230"/>
      <c r="Z46" s="230"/>
      <c r="AA46" s="230"/>
      <c r="AB46" s="230"/>
      <c r="AC46" s="230"/>
      <c r="AD46" s="230"/>
      <c r="AE46" s="230"/>
      <c r="AF46" s="230"/>
      <c r="AG46" s="230"/>
      <c r="AH46" s="230"/>
      <c r="AI46" s="230"/>
      <c r="AJ46" s="230"/>
      <c r="AK46" s="230"/>
      <c r="AL46" s="230"/>
      <c r="AM46" s="230"/>
      <c r="AN46" s="230"/>
      <c r="AO46" s="230"/>
      <c r="AP46" s="230"/>
      <c r="AQ46" s="230"/>
      <c r="AR46" s="230"/>
      <c r="AS46" s="230"/>
      <c r="AT46" s="230"/>
    </row>
    <row r="47" spans="1:69" ht="18.75" customHeight="1">
      <c r="A47" s="230"/>
      <c r="B47" s="230"/>
      <c r="C47" s="230"/>
      <c r="D47" s="230"/>
      <c r="E47" s="230"/>
      <c r="F47" s="230"/>
      <c r="G47" s="230"/>
      <c r="H47" s="230"/>
      <c r="I47" s="230"/>
      <c r="J47" s="230"/>
      <c r="K47" s="230"/>
      <c r="L47" s="230"/>
      <c r="M47" s="230"/>
      <c r="N47" s="230"/>
      <c r="O47" s="230"/>
      <c r="P47" s="230"/>
      <c r="Q47" s="230"/>
      <c r="R47" s="230"/>
      <c r="S47" s="230"/>
      <c r="T47" s="230"/>
      <c r="U47" s="230"/>
      <c r="V47" s="230"/>
      <c r="W47" s="230"/>
      <c r="X47" s="230"/>
      <c r="Y47" s="230"/>
      <c r="Z47" s="230"/>
      <c r="AA47" s="230"/>
      <c r="AB47" s="230"/>
      <c r="AC47" s="230"/>
      <c r="AD47" s="230"/>
      <c r="AE47" s="230"/>
      <c r="AF47" s="230"/>
      <c r="AG47" s="230"/>
      <c r="AH47" s="230"/>
      <c r="AI47" s="230"/>
      <c r="AJ47" s="230"/>
      <c r="AK47" s="230"/>
      <c r="AL47" s="230"/>
      <c r="AM47" s="230"/>
      <c r="AN47" s="230"/>
      <c r="AO47" s="230"/>
      <c r="AP47" s="230"/>
      <c r="AQ47" s="230"/>
      <c r="AR47" s="230"/>
      <c r="AS47" s="230"/>
      <c r="AT47" s="230"/>
    </row>
    <row r="48" spans="1:69" ht="18.75" customHeight="1">
      <c r="A48" s="230"/>
      <c r="B48" s="230"/>
      <c r="C48" s="230" t="s">
        <v>321</v>
      </c>
      <c r="D48" s="230"/>
      <c r="E48" s="230"/>
      <c r="F48" s="230"/>
      <c r="G48" s="230"/>
      <c r="H48" s="230"/>
      <c r="I48" s="230"/>
      <c r="J48" s="230"/>
      <c r="K48" s="230"/>
      <c r="L48" s="230"/>
      <c r="M48" s="230"/>
      <c r="N48" s="230"/>
      <c r="O48" s="230"/>
      <c r="P48" s="230"/>
      <c r="Q48" s="230"/>
      <c r="R48" s="230"/>
      <c r="S48" s="230"/>
      <c r="T48" s="230"/>
      <c r="U48" s="230"/>
      <c r="V48" s="230"/>
      <c r="W48" s="230"/>
      <c r="X48" s="230"/>
      <c r="Y48" s="230"/>
      <c r="Z48" s="230"/>
      <c r="AA48" s="230"/>
      <c r="AB48" s="230"/>
      <c r="AC48" s="230"/>
      <c r="AD48" s="230"/>
      <c r="AE48" s="230"/>
      <c r="AF48" s="230"/>
      <c r="AG48" s="230"/>
      <c r="AH48" s="230"/>
      <c r="AI48" s="230"/>
      <c r="AJ48" s="230"/>
      <c r="AK48" s="230"/>
      <c r="AL48" s="230"/>
      <c r="AM48" s="230"/>
      <c r="AN48" s="230"/>
      <c r="AO48" s="230"/>
      <c r="AP48" s="230"/>
      <c r="AQ48" s="230"/>
      <c r="AR48" s="230"/>
      <c r="AS48" s="230"/>
      <c r="AT48" s="230"/>
    </row>
    <row r="49" spans="1:58" ht="18.75" customHeight="1">
      <c r="A49" s="230"/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  <c r="N49" s="230"/>
      <c r="O49" s="230"/>
      <c r="P49" s="230"/>
      <c r="Q49" s="230"/>
      <c r="R49" s="230"/>
      <c r="S49" s="230"/>
      <c r="T49" s="230"/>
      <c r="U49" s="230"/>
      <c r="V49" s="230"/>
      <c r="W49" s="230"/>
      <c r="X49" s="230"/>
      <c r="Y49" s="230"/>
      <c r="Z49" s="230"/>
      <c r="AA49" s="230"/>
      <c r="AB49" s="230"/>
      <c r="AC49" s="230"/>
      <c r="AD49" s="230"/>
      <c r="AE49" s="230"/>
      <c r="AF49" s="230"/>
      <c r="AG49" s="230"/>
      <c r="AH49" s="230"/>
      <c r="AI49" s="230"/>
      <c r="AJ49" s="230"/>
      <c r="AK49" s="230"/>
      <c r="AL49" s="230"/>
      <c r="AM49" s="230"/>
      <c r="AN49" s="230"/>
      <c r="AO49" s="230"/>
      <c r="AP49" s="230"/>
      <c r="AQ49" s="230"/>
      <c r="AR49" s="230"/>
      <c r="AS49" s="230"/>
      <c r="AT49" s="230"/>
    </row>
    <row r="50" spans="1:58" ht="18.75" customHeight="1">
      <c r="A50" s="230"/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  <c r="N50" s="230"/>
      <c r="O50" s="230"/>
      <c r="P50" s="230"/>
      <c r="Q50" s="230"/>
      <c r="R50" s="230"/>
      <c r="S50" s="230"/>
      <c r="T50" s="230"/>
      <c r="U50" s="230"/>
      <c r="V50" s="230"/>
      <c r="W50" s="230"/>
      <c r="X50" s="230"/>
      <c r="Y50" s="230"/>
      <c r="Z50" s="230"/>
      <c r="AA50" s="230"/>
      <c r="AB50" s="230"/>
      <c r="AC50" s="230"/>
      <c r="AD50" s="230"/>
      <c r="AE50" s="230"/>
      <c r="AF50" s="230"/>
      <c r="AG50" s="230"/>
      <c r="AH50" s="230"/>
      <c r="AI50" s="230"/>
      <c r="AJ50" s="230"/>
      <c r="AK50" s="230"/>
      <c r="AL50" s="230"/>
      <c r="AM50" s="230"/>
      <c r="AN50" s="230"/>
      <c r="AO50" s="230"/>
      <c r="AP50" s="230"/>
      <c r="AQ50" s="230"/>
      <c r="AR50" s="230"/>
      <c r="AS50" s="230"/>
      <c r="AT50" s="230"/>
    </row>
    <row r="51" spans="1:58" ht="18.75" customHeight="1">
      <c r="A51" s="230"/>
      <c r="B51" s="230"/>
      <c r="C51" s="230"/>
      <c r="D51" s="230"/>
      <c r="E51" s="230"/>
      <c r="F51" s="230"/>
      <c r="G51" s="230"/>
      <c r="H51" s="230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V51" s="230"/>
      <c r="W51" s="230"/>
      <c r="X51" s="230"/>
      <c r="Y51" s="230"/>
      <c r="Z51" s="230"/>
      <c r="AA51" s="230"/>
      <c r="AB51" s="230"/>
      <c r="AC51" s="230"/>
      <c r="AD51" s="230"/>
      <c r="AE51" s="230"/>
      <c r="AF51" s="230"/>
      <c r="AG51" s="230"/>
      <c r="AH51" s="230"/>
      <c r="AI51" s="230"/>
      <c r="AJ51" s="230"/>
      <c r="AK51" s="230"/>
      <c r="AL51" s="230"/>
      <c r="AM51" s="230"/>
      <c r="AN51" s="230"/>
      <c r="AO51" s="230"/>
      <c r="AP51" s="230"/>
      <c r="AQ51" s="230"/>
      <c r="AR51" s="230"/>
      <c r="AS51" s="230"/>
      <c r="AT51" s="230"/>
    </row>
    <row r="52" spans="1:58" ht="18.75" customHeight="1">
      <c r="A52" s="230"/>
      <c r="B52" s="230"/>
      <c r="C52" s="230"/>
      <c r="D52" s="230"/>
      <c r="E52" s="230"/>
      <c r="F52" s="230"/>
      <c r="G52" s="230"/>
      <c r="H52" s="230"/>
      <c r="I52" s="230"/>
      <c r="J52" s="230"/>
      <c r="K52" s="230"/>
      <c r="L52" s="230"/>
      <c r="M52" s="230"/>
      <c r="N52" s="230"/>
      <c r="O52" s="230"/>
      <c r="P52" s="230"/>
      <c r="Q52" s="230"/>
      <c r="R52" s="230"/>
      <c r="S52" s="230"/>
      <c r="T52" s="230"/>
      <c r="U52" s="230"/>
      <c r="V52" s="230"/>
      <c r="W52" s="230"/>
      <c r="X52" s="230"/>
      <c r="Y52" s="230"/>
      <c r="Z52" s="230"/>
      <c r="AA52" s="230"/>
      <c r="AB52" s="230"/>
      <c r="AC52" s="230"/>
      <c r="AD52" s="230"/>
      <c r="AE52" s="230"/>
      <c r="AF52" s="230"/>
      <c r="AG52" s="230"/>
      <c r="AH52" s="230"/>
      <c r="AI52" s="230"/>
      <c r="AJ52" s="230"/>
      <c r="AK52" s="230"/>
      <c r="AL52" s="230"/>
      <c r="AM52" s="230"/>
      <c r="AN52" s="230"/>
      <c r="AO52" s="230"/>
      <c r="AP52" s="230"/>
      <c r="AQ52" s="230"/>
      <c r="AR52" s="230"/>
      <c r="AS52" s="230"/>
      <c r="AT52" s="230"/>
    </row>
    <row r="53" spans="1:58" ht="18.75" customHeight="1">
      <c r="A53" s="60" t="s">
        <v>322</v>
      </c>
      <c r="B53" s="230"/>
      <c r="C53" s="230"/>
      <c r="D53" s="230"/>
      <c r="E53" s="230"/>
      <c r="F53" s="230"/>
      <c r="G53" s="230"/>
      <c r="H53" s="230"/>
      <c r="I53" s="230"/>
      <c r="J53" s="230"/>
      <c r="K53" s="230"/>
      <c r="L53" s="230"/>
      <c r="M53" s="230"/>
      <c r="N53" s="230"/>
      <c r="O53" s="230"/>
      <c r="P53" s="230"/>
      <c r="Q53" s="230"/>
      <c r="R53" s="230"/>
      <c r="S53" s="230"/>
      <c r="T53" s="230"/>
      <c r="U53" s="230"/>
      <c r="V53" s="230"/>
      <c r="W53" s="230"/>
      <c r="X53" s="230"/>
      <c r="Y53" s="230"/>
      <c r="Z53" s="230"/>
      <c r="AA53" s="230"/>
      <c r="AB53" s="230"/>
      <c r="AC53" s="230"/>
      <c r="AD53" s="230"/>
      <c r="AE53" s="230"/>
      <c r="AF53" s="230"/>
      <c r="AG53" s="230"/>
      <c r="AH53" s="230"/>
      <c r="AI53" s="230"/>
      <c r="AJ53" s="230"/>
      <c r="AK53" s="230"/>
      <c r="AL53" s="230"/>
      <c r="AM53" s="230"/>
      <c r="AN53" s="230"/>
      <c r="AO53" s="230"/>
      <c r="AP53" s="230"/>
      <c r="AQ53" s="230"/>
      <c r="AR53" s="230"/>
      <c r="AS53" s="230"/>
      <c r="AT53" s="230"/>
    </row>
    <row r="54" spans="1:58" ht="18.75" customHeight="1">
      <c r="A54" s="230"/>
      <c r="B54" s="510"/>
      <c r="C54" s="511"/>
      <c r="D54" s="487"/>
      <c r="E54" s="488"/>
      <c r="F54" s="488"/>
      <c r="G54" s="489"/>
      <c r="H54" s="479">
        <v>1</v>
      </c>
      <c r="I54" s="479"/>
      <c r="J54" s="479"/>
      <c r="K54" s="479"/>
      <c r="L54" s="479"/>
      <c r="M54" s="479"/>
      <c r="N54" s="479"/>
      <c r="O54" s="487">
        <v>2</v>
      </c>
      <c r="P54" s="488"/>
      <c r="Q54" s="488"/>
      <c r="R54" s="488"/>
      <c r="S54" s="488"/>
      <c r="T54" s="488"/>
      <c r="U54" s="488"/>
      <c r="V54" s="488"/>
      <c r="W54" s="488"/>
      <c r="X54" s="488"/>
      <c r="Y54" s="488"/>
      <c r="Z54" s="488"/>
      <c r="AA54" s="489"/>
      <c r="AB54" s="479">
        <v>3</v>
      </c>
      <c r="AC54" s="479"/>
      <c r="AD54" s="479"/>
      <c r="AE54" s="479"/>
      <c r="AF54" s="479"/>
      <c r="AG54" s="487">
        <v>4</v>
      </c>
      <c r="AH54" s="488"/>
      <c r="AI54" s="488"/>
      <c r="AJ54" s="488"/>
      <c r="AK54" s="488"/>
      <c r="AL54" s="488"/>
      <c r="AM54" s="488"/>
      <c r="AN54" s="488"/>
      <c r="AO54" s="489"/>
      <c r="AP54" s="487">
        <v>5</v>
      </c>
      <c r="AQ54" s="488"/>
      <c r="AR54" s="488"/>
      <c r="AS54" s="488"/>
      <c r="AT54" s="488"/>
      <c r="AU54" s="488"/>
      <c r="AV54" s="488"/>
      <c r="AW54" s="488"/>
      <c r="AX54" s="488"/>
      <c r="AY54" s="488"/>
      <c r="AZ54" s="488"/>
      <c r="BA54" s="488"/>
      <c r="BB54" s="489"/>
      <c r="BC54" s="479">
        <v>6</v>
      </c>
      <c r="BD54" s="479"/>
      <c r="BE54" s="479"/>
      <c r="BF54" s="479"/>
    </row>
    <row r="55" spans="1:58" ht="18.75" customHeight="1">
      <c r="A55" s="230"/>
      <c r="B55" s="529"/>
      <c r="C55" s="530"/>
      <c r="D55" s="510" t="s">
        <v>323</v>
      </c>
      <c r="E55" s="464"/>
      <c r="F55" s="464"/>
      <c r="G55" s="511"/>
      <c r="H55" s="512" t="s">
        <v>324</v>
      </c>
      <c r="I55" s="512"/>
      <c r="J55" s="512"/>
      <c r="K55" s="512"/>
      <c r="L55" s="512"/>
      <c r="M55" s="512"/>
      <c r="N55" s="512"/>
      <c r="O55" s="510" t="s">
        <v>325</v>
      </c>
      <c r="P55" s="464"/>
      <c r="Q55" s="464"/>
      <c r="R55" s="464"/>
      <c r="S55" s="464"/>
      <c r="T55" s="464"/>
      <c r="U55" s="464"/>
      <c r="V55" s="464"/>
      <c r="W55" s="464"/>
      <c r="X55" s="464"/>
      <c r="Y55" s="464"/>
      <c r="Z55" s="464"/>
      <c r="AA55" s="511"/>
      <c r="AB55" s="512" t="s">
        <v>326</v>
      </c>
      <c r="AC55" s="512"/>
      <c r="AD55" s="512"/>
      <c r="AE55" s="512"/>
      <c r="AF55" s="512"/>
      <c r="AG55" s="510" t="s">
        <v>327</v>
      </c>
      <c r="AH55" s="464"/>
      <c r="AI55" s="464"/>
      <c r="AJ55" s="464"/>
      <c r="AK55" s="464"/>
      <c r="AL55" s="464"/>
      <c r="AM55" s="464"/>
      <c r="AN55" s="464"/>
      <c r="AO55" s="511"/>
      <c r="AP55" s="510" t="s">
        <v>328</v>
      </c>
      <c r="AQ55" s="464"/>
      <c r="AR55" s="464"/>
      <c r="AS55" s="464"/>
      <c r="AT55" s="464"/>
      <c r="AU55" s="464"/>
      <c r="AV55" s="464"/>
      <c r="AW55" s="464"/>
      <c r="AX55" s="464"/>
      <c r="AY55" s="464"/>
      <c r="AZ55" s="464"/>
      <c r="BA55" s="464"/>
      <c r="BB55" s="511"/>
      <c r="BC55" s="512" t="s">
        <v>329</v>
      </c>
      <c r="BD55" s="512"/>
      <c r="BE55" s="512"/>
      <c r="BF55" s="512"/>
    </row>
    <row r="56" spans="1:58" ht="18.75" customHeight="1">
      <c r="A56" s="230"/>
      <c r="B56" s="531"/>
      <c r="C56" s="532"/>
      <c r="D56" s="545" t="s">
        <v>330</v>
      </c>
      <c r="E56" s="546"/>
      <c r="F56" s="546"/>
      <c r="G56" s="547"/>
      <c r="H56" s="516" t="s">
        <v>331</v>
      </c>
      <c r="I56" s="516"/>
      <c r="J56" s="516"/>
      <c r="K56" s="516"/>
      <c r="L56" s="516"/>
      <c r="M56" s="516"/>
      <c r="N56" s="516"/>
      <c r="O56" s="513" t="s">
        <v>332</v>
      </c>
      <c r="P56" s="514"/>
      <c r="Q56" s="514"/>
      <c r="R56" s="514"/>
      <c r="S56" s="514"/>
      <c r="T56" s="514"/>
      <c r="U56" s="514"/>
      <c r="V56" s="514"/>
      <c r="W56" s="514"/>
      <c r="X56" s="514"/>
      <c r="Y56" s="514"/>
      <c r="Z56" s="514"/>
      <c r="AA56" s="515"/>
      <c r="AB56" s="516"/>
      <c r="AC56" s="516"/>
      <c r="AD56" s="516"/>
      <c r="AE56" s="516"/>
      <c r="AF56" s="516"/>
      <c r="AG56" s="513" t="s">
        <v>333</v>
      </c>
      <c r="AH56" s="514"/>
      <c r="AI56" s="514"/>
      <c r="AJ56" s="514"/>
      <c r="AK56" s="514"/>
      <c r="AL56" s="514"/>
      <c r="AM56" s="514"/>
      <c r="AN56" s="514"/>
      <c r="AO56" s="515"/>
      <c r="AP56" s="513" t="s">
        <v>334</v>
      </c>
      <c r="AQ56" s="514"/>
      <c r="AR56" s="514"/>
      <c r="AS56" s="514"/>
      <c r="AT56" s="514"/>
      <c r="AU56" s="514"/>
      <c r="AV56" s="514"/>
      <c r="AW56" s="514"/>
      <c r="AX56" s="514"/>
      <c r="AY56" s="514"/>
      <c r="AZ56" s="514"/>
      <c r="BA56" s="514"/>
      <c r="BB56" s="515"/>
      <c r="BC56" s="516"/>
      <c r="BD56" s="516"/>
      <c r="BE56" s="516"/>
      <c r="BF56" s="516"/>
    </row>
    <row r="57" spans="1:58" ht="18.75" customHeight="1">
      <c r="A57" s="230"/>
      <c r="B57" s="479" t="s">
        <v>335</v>
      </c>
      <c r="C57" s="479"/>
      <c r="D57" s="542" t="s">
        <v>336</v>
      </c>
      <c r="E57" s="543"/>
      <c r="F57" s="543"/>
      <c r="G57" s="544"/>
      <c r="H57" s="540" t="e">
        <f ca="1">Calcu!E34</f>
        <v>#N/A</v>
      </c>
      <c r="I57" s="541"/>
      <c r="J57" s="541"/>
      <c r="K57" s="541"/>
      <c r="L57" s="541"/>
      <c r="M57" s="508" t="str">
        <f>Calcu!F34</f>
        <v>mm</v>
      </c>
      <c r="N57" s="509"/>
      <c r="O57" s="494" t="e">
        <f ca="1">Calcu!K34</f>
        <v>#N/A</v>
      </c>
      <c r="P57" s="495"/>
      <c r="Q57" s="495"/>
      <c r="R57" s="242"/>
      <c r="S57" s="227"/>
      <c r="T57" s="484" t="e">
        <f ca="1">Calcu!L34</f>
        <v>#N/A</v>
      </c>
      <c r="U57" s="484"/>
      <c r="V57" s="484"/>
      <c r="W57" s="243"/>
      <c r="X57" s="243"/>
      <c r="Y57" s="243"/>
      <c r="Z57" s="496" t="str">
        <f>Calcu!M34</f>
        <v>μm</v>
      </c>
      <c r="AA57" s="497"/>
      <c r="AB57" s="479" t="str">
        <f>Calcu!N34</f>
        <v>정규</v>
      </c>
      <c r="AC57" s="479"/>
      <c r="AD57" s="479"/>
      <c r="AE57" s="479"/>
      <c r="AF57" s="479"/>
      <c r="AG57" s="487">
        <f>Calcu!Q34</f>
        <v>1</v>
      </c>
      <c r="AH57" s="488"/>
      <c r="AI57" s="488"/>
      <c r="AJ57" s="488"/>
      <c r="AK57" s="488"/>
      <c r="AL57" s="488"/>
      <c r="AM57" s="488"/>
      <c r="AN57" s="488"/>
      <c r="AO57" s="489"/>
      <c r="AP57" s="494" t="e">
        <f ca="1">Calcu!S34</f>
        <v>#N/A</v>
      </c>
      <c r="AQ57" s="495"/>
      <c r="AR57" s="495"/>
      <c r="AS57" s="242"/>
      <c r="AT57" s="227"/>
      <c r="AU57" s="484" t="e">
        <f ca="1">Calcu!T34</f>
        <v>#N/A</v>
      </c>
      <c r="AV57" s="484"/>
      <c r="AW57" s="484"/>
      <c r="AX57" s="243"/>
      <c r="AY57" s="243"/>
      <c r="AZ57" s="243"/>
      <c r="BA57" s="496" t="str">
        <f>Calcu!U34</f>
        <v>μm</v>
      </c>
      <c r="BB57" s="497"/>
      <c r="BC57" s="479" t="str">
        <f>Calcu!V34</f>
        <v>∞</v>
      </c>
      <c r="BD57" s="479"/>
      <c r="BE57" s="479"/>
      <c r="BF57" s="479"/>
    </row>
    <row r="58" spans="1:58" ht="18.75" customHeight="1">
      <c r="A58" s="230"/>
      <c r="B58" s="479" t="s">
        <v>337</v>
      </c>
      <c r="C58" s="479"/>
      <c r="D58" s="542" t="s">
        <v>338</v>
      </c>
      <c r="E58" s="543"/>
      <c r="F58" s="543"/>
      <c r="G58" s="544"/>
      <c r="H58" s="540" t="e">
        <f ca="1">Calcu!E35</f>
        <v>#N/A</v>
      </c>
      <c r="I58" s="541"/>
      <c r="J58" s="541"/>
      <c r="K58" s="541"/>
      <c r="L58" s="541"/>
      <c r="M58" s="508" t="str">
        <f>Calcu!F35</f>
        <v>mm</v>
      </c>
      <c r="N58" s="509"/>
      <c r="O58" s="498">
        <f>Calcu!K35</f>
        <v>0</v>
      </c>
      <c r="P58" s="499"/>
      <c r="Q58" s="499"/>
      <c r="R58" s="499"/>
      <c r="S58" s="499"/>
      <c r="T58" s="499"/>
      <c r="U58" s="499"/>
      <c r="V58" s="500" t="str">
        <f>Calcu!M35</f>
        <v>μm</v>
      </c>
      <c r="W58" s="500"/>
      <c r="X58" s="500"/>
      <c r="Y58" s="500"/>
      <c r="Z58" s="500"/>
      <c r="AA58" s="501"/>
      <c r="AB58" s="479" t="str">
        <f>Calcu!N35</f>
        <v>t</v>
      </c>
      <c r="AC58" s="479"/>
      <c r="AD58" s="479"/>
      <c r="AE58" s="479"/>
      <c r="AF58" s="479"/>
      <c r="AG58" s="487">
        <f>Calcu!Q35</f>
        <v>-1</v>
      </c>
      <c r="AH58" s="488"/>
      <c r="AI58" s="488"/>
      <c r="AJ58" s="488"/>
      <c r="AK58" s="488"/>
      <c r="AL58" s="488"/>
      <c r="AM58" s="488"/>
      <c r="AN58" s="488"/>
      <c r="AO58" s="489"/>
      <c r="AP58" s="498">
        <f>Calcu!S35</f>
        <v>0</v>
      </c>
      <c r="AQ58" s="499"/>
      <c r="AR58" s="499"/>
      <c r="AS58" s="499"/>
      <c r="AT58" s="499"/>
      <c r="AU58" s="499">
        <v>0</v>
      </c>
      <c r="AV58" s="499"/>
      <c r="AW58" s="500" t="str">
        <f>Calcu!U35</f>
        <v>μm</v>
      </c>
      <c r="AX58" s="500"/>
      <c r="AY58" s="500"/>
      <c r="AZ58" s="500"/>
      <c r="BA58" s="500"/>
      <c r="BB58" s="501"/>
      <c r="BC58" s="479">
        <f>Calcu!V35</f>
        <v>4</v>
      </c>
      <c r="BD58" s="479"/>
      <c r="BE58" s="479"/>
      <c r="BF58" s="479"/>
    </row>
    <row r="59" spans="1:58" ht="18.75" customHeight="1">
      <c r="A59" s="230"/>
      <c r="B59" s="479" t="s">
        <v>339</v>
      </c>
      <c r="C59" s="479"/>
      <c r="D59" s="542"/>
      <c r="E59" s="543"/>
      <c r="F59" s="543"/>
      <c r="G59" s="544"/>
      <c r="H59" s="540" t="e">
        <f ca="1">Calcu!E36</f>
        <v>#N/A</v>
      </c>
      <c r="I59" s="541"/>
      <c r="J59" s="541"/>
      <c r="K59" s="541"/>
      <c r="L59" s="541"/>
      <c r="M59" s="508" t="str">
        <f>Calcu!F36</f>
        <v>/℃</v>
      </c>
      <c r="N59" s="509"/>
      <c r="O59" s="505">
        <f>Calcu!L36</f>
        <v>4.0824829046386305E-7</v>
      </c>
      <c r="P59" s="506"/>
      <c r="Q59" s="506"/>
      <c r="R59" s="506"/>
      <c r="S59" s="506"/>
      <c r="T59" s="506"/>
      <c r="U59" s="506"/>
      <c r="V59" s="506"/>
      <c r="W59" s="506"/>
      <c r="X59" s="496" t="str">
        <f>Calcu!M36</f>
        <v>/℃</v>
      </c>
      <c r="Y59" s="496"/>
      <c r="Z59" s="496"/>
      <c r="AA59" s="497"/>
      <c r="AB59" s="479" t="str">
        <f>Calcu!N36</f>
        <v>삼각형</v>
      </c>
      <c r="AC59" s="479"/>
      <c r="AD59" s="479"/>
      <c r="AE59" s="479"/>
      <c r="AF59" s="479"/>
      <c r="AG59" s="502">
        <f>Calcu!Q36</f>
        <v>-200</v>
      </c>
      <c r="AH59" s="496"/>
      <c r="AI59" s="496"/>
      <c r="AJ59" s="496"/>
      <c r="AK59" s="496" t="s">
        <v>340</v>
      </c>
      <c r="AL59" s="496"/>
      <c r="AM59" s="496"/>
      <c r="AN59" s="496"/>
      <c r="AO59" s="497"/>
      <c r="AP59" s="503">
        <f>Calcu!T36</f>
        <v>8.1649658092772609E-5</v>
      </c>
      <c r="AQ59" s="504"/>
      <c r="AR59" s="504"/>
      <c r="AS59" s="504"/>
      <c r="AT59" s="504"/>
      <c r="AU59" s="504" t="s">
        <v>469</v>
      </c>
      <c r="AV59" s="504"/>
      <c r="AW59" s="496" t="s">
        <v>341</v>
      </c>
      <c r="AX59" s="496"/>
      <c r="AY59" s="496"/>
      <c r="AZ59" s="496"/>
      <c r="BA59" s="496"/>
      <c r="BB59" s="497"/>
      <c r="BC59" s="479">
        <f>Calcu!V36</f>
        <v>100</v>
      </c>
      <c r="BD59" s="479"/>
      <c r="BE59" s="479"/>
      <c r="BF59" s="479"/>
    </row>
    <row r="60" spans="1:58" ht="18.75" customHeight="1">
      <c r="A60" s="230"/>
      <c r="B60" s="479" t="s">
        <v>342</v>
      </c>
      <c r="C60" s="479"/>
      <c r="D60" s="542" t="s">
        <v>343</v>
      </c>
      <c r="E60" s="543"/>
      <c r="F60" s="543"/>
      <c r="G60" s="544"/>
      <c r="H60" s="540" t="str">
        <f>Calcu!E37</f>
        <v/>
      </c>
      <c r="I60" s="541"/>
      <c r="J60" s="541"/>
      <c r="K60" s="541"/>
      <c r="L60" s="541"/>
      <c r="M60" s="508" t="str">
        <f>Calcu!F37</f>
        <v>℃</v>
      </c>
      <c r="N60" s="509"/>
      <c r="O60" s="498">
        <f>Calcu!L37</f>
        <v>0.11547005383792516</v>
      </c>
      <c r="P60" s="499"/>
      <c r="Q60" s="499"/>
      <c r="R60" s="499"/>
      <c r="S60" s="499"/>
      <c r="T60" s="499"/>
      <c r="U60" s="499"/>
      <c r="V60" s="500" t="str">
        <f>Calcu!M37</f>
        <v>℃</v>
      </c>
      <c r="W60" s="500"/>
      <c r="X60" s="500"/>
      <c r="Y60" s="500"/>
      <c r="Z60" s="500"/>
      <c r="AA60" s="501"/>
      <c r="AB60" s="479" t="str">
        <f>Calcu!N37</f>
        <v>직사각형</v>
      </c>
      <c r="AC60" s="479"/>
      <c r="AD60" s="479"/>
      <c r="AE60" s="479"/>
      <c r="AF60" s="479"/>
      <c r="AG60" s="502" t="e">
        <f ca="1">Calcu!Q37</f>
        <v>#N/A</v>
      </c>
      <c r="AH60" s="496"/>
      <c r="AI60" s="496"/>
      <c r="AJ60" s="496"/>
      <c r="AK60" s="496" t="s">
        <v>344</v>
      </c>
      <c r="AL60" s="496"/>
      <c r="AM60" s="496"/>
      <c r="AN60" s="496"/>
      <c r="AO60" s="497"/>
      <c r="AP60" s="503" t="e">
        <f ca="1">Calcu!T37</f>
        <v>#N/A</v>
      </c>
      <c r="AQ60" s="504"/>
      <c r="AR60" s="504"/>
      <c r="AS60" s="504"/>
      <c r="AT60" s="504"/>
      <c r="AU60" s="504" t="s">
        <v>470</v>
      </c>
      <c r="AV60" s="504"/>
      <c r="AW60" s="496" t="s">
        <v>345</v>
      </c>
      <c r="AX60" s="496"/>
      <c r="AY60" s="496"/>
      <c r="AZ60" s="496"/>
      <c r="BA60" s="496"/>
      <c r="BB60" s="497"/>
      <c r="BC60" s="479">
        <f>Calcu!V37</f>
        <v>12</v>
      </c>
      <c r="BD60" s="479"/>
      <c r="BE60" s="479"/>
      <c r="BF60" s="479"/>
    </row>
    <row r="61" spans="1:58" ht="18.75" customHeight="1">
      <c r="A61" s="230"/>
      <c r="B61" s="479" t="s">
        <v>346</v>
      </c>
      <c r="C61" s="479"/>
      <c r="D61" s="542" t="s">
        <v>317</v>
      </c>
      <c r="E61" s="543"/>
      <c r="F61" s="543"/>
      <c r="G61" s="544"/>
      <c r="H61" s="540" t="e">
        <f ca="1">Calcu!E38</f>
        <v>#N/A</v>
      </c>
      <c r="I61" s="541"/>
      <c r="J61" s="541"/>
      <c r="K61" s="541"/>
      <c r="L61" s="541"/>
      <c r="M61" s="508" t="str">
        <f>Calcu!F38</f>
        <v>/℃</v>
      </c>
      <c r="N61" s="509"/>
      <c r="O61" s="505">
        <f>Calcu!L38</f>
        <v>8.1649658092772609E-7</v>
      </c>
      <c r="P61" s="506"/>
      <c r="Q61" s="506"/>
      <c r="R61" s="506"/>
      <c r="S61" s="506"/>
      <c r="T61" s="506"/>
      <c r="U61" s="506"/>
      <c r="V61" s="506"/>
      <c r="W61" s="506"/>
      <c r="X61" s="496" t="str">
        <f>Calcu!M38</f>
        <v>/℃</v>
      </c>
      <c r="Y61" s="496"/>
      <c r="Z61" s="496"/>
      <c r="AA61" s="497"/>
      <c r="AB61" s="479" t="str">
        <f>Calcu!N38</f>
        <v>삼각형</v>
      </c>
      <c r="AC61" s="479"/>
      <c r="AD61" s="479"/>
      <c r="AE61" s="479"/>
      <c r="AF61" s="479"/>
      <c r="AG61" s="502">
        <f>Calcu!Q38</f>
        <v>-100</v>
      </c>
      <c r="AH61" s="496"/>
      <c r="AI61" s="496"/>
      <c r="AJ61" s="496"/>
      <c r="AK61" s="496" t="s">
        <v>347</v>
      </c>
      <c r="AL61" s="496"/>
      <c r="AM61" s="496"/>
      <c r="AN61" s="496"/>
      <c r="AO61" s="497"/>
      <c r="AP61" s="503">
        <f>Calcu!T38</f>
        <v>8.1649658092772609E-5</v>
      </c>
      <c r="AQ61" s="504"/>
      <c r="AR61" s="504"/>
      <c r="AS61" s="504"/>
      <c r="AT61" s="504"/>
      <c r="AU61" s="504" t="s">
        <v>469</v>
      </c>
      <c r="AV61" s="504"/>
      <c r="AW61" s="496" t="s">
        <v>345</v>
      </c>
      <c r="AX61" s="496"/>
      <c r="AY61" s="496"/>
      <c r="AZ61" s="496"/>
      <c r="BA61" s="496"/>
      <c r="BB61" s="497"/>
      <c r="BC61" s="479">
        <f>Calcu!V38</f>
        <v>100</v>
      </c>
      <c r="BD61" s="479"/>
      <c r="BE61" s="479"/>
      <c r="BF61" s="479"/>
    </row>
    <row r="62" spans="1:58" ht="18.75" customHeight="1">
      <c r="A62" s="230"/>
      <c r="B62" s="479" t="s">
        <v>348</v>
      </c>
      <c r="C62" s="479"/>
      <c r="D62" s="542" t="s">
        <v>318</v>
      </c>
      <c r="E62" s="543"/>
      <c r="F62" s="543"/>
      <c r="G62" s="544"/>
      <c r="H62" s="540">
        <f>Calcu!E39</f>
        <v>0.1</v>
      </c>
      <c r="I62" s="541"/>
      <c r="J62" s="541"/>
      <c r="K62" s="541"/>
      <c r="L62" s="541"/>
      <c r="M62" s="508" t="str">
        <f>Calcu!F39</f>
        <v>℃</v>
      </c>
      <c r="N62" s="509"/>
      <c r="O62" s="498">
        <f>Calcu!L39</f>
        <v>0.57735026918962584</v>
      </c>
      <c r="P62" s="499"/>
      <c r="Q62" s="499"/>
      <c r="R62" s="499"/>
      <c r="S62" s="499"/>
      <c r="T62" s="499"/>
      <c r="U62" s="499"/>
      <c r="V62" s="500" t="str">
        <f>Calcu!M39</f>
        <v>℃</v>
      </c>
      <c r="W62" s="500"/>
      <c r="X62" s="500"/>
      <c r="Y62" s="500"/>
      <c r="Z62" s="500"/>
      <c r="AA62" s="501"/>
      <c r="AB62" s="479" t="str">
        <f>Calcu!N39</f>
        <v>직사각형</v>
      </c>
      <c r="AC62" s="479"/>
      <c r="AD62" s="479"/>
      <c r="AE62" s="479"/>
      <c r="AF62" s="479"/>
      <c r="AG62" s="502" t="e">
        <f ca="1">Calcu!Q39</f>
        <v>#N/A</v>
      </c>
      <c r="AH62" s="496"/>
      <c r="AI62" s="496"/>
      <c r="AJ62" s="496"/>
      <c r="AK62" s="496" t="s">
        <v>349</v>
      </c>
      <c r="AL62" s="496"/>
      <c r="AM62" s="496"/>
      <c r="AN62" s="496"/>
      <c r="AO62" s="497"/>
      <c r="AP62" s="503" t="e">
        <f ca="1">Calcu!T39</f>
        <v>#N/A</v>
      </c>
      <c r="AQ62" s="504"/>
      <c r="AR62" s="504"/>
      <c r="AS62" s="504"/>
      <c r="AT62" s="504"/>
      <c r="AU62" s="504" t="s">
        <v>470</v>
      </c>
      <c r="AV62" s="504"/>
      <c r="AW62" s="496" t="s">
        <v>350</v>
      </c>
      <c r="AX62" s="496"/>
      <c r="AY62" s="496"/>
      <c r="AZ62" s="496"/>
      <c r="BA62" s="496"/>
      <c r="BB62" s="497"/>
      <c r="BC62" s="479">
        <f>Calcu!V39</f>
        <v>12</v>
      </c>
      <c r="BD62" s="479"/>
      <c r="BE62" s="479"/>
      <c r="BF62" s="479"/>
    </row>
    <row r="63" spans="1:58" ht="18.75" customHeight="1">
      <c r="A63" s="230"/>
      <c r="B63" s="479" t="s">
        <v>351</v>
      </c>
      <c r="C63" s="479"/>
      <c r="D63" s="542" t="s">
        <v>602</v>
      </c>
      <c r="E63" s="543"/>
      <c r="F63" s="543"/>
      <c r="G63" s="544"/>
      <c r="H63" s="540">
        <f>Calcu!E40</f>
        <v>0</v>
      </c>
      <c r="I63" s="541"/>
      <c r="J63" s="541"/>
      <c r="K63" s="541"/>
      <c r="L63" s="541"/>
      <c r="M63" s="508" t="str">
        <f>Calcu!F40</f>
        <v>mm</v>
      </c>
      <c r="N63" s="509"/>
      <c r="O63" s="498">
        <f>Calcu!K40</f>
        <v>0</v>
      </c>
      <c r="P63" s="499"/>
      <c r="Q63" s="499"/>
      <c r="R63" s="499"/>
      <c r="S63" s="499"/>
      <c r="T63" s="499"/>
      <c r="U63" s="499"/>
      <c r="V63" s="500" t="str">
        <f>Calcu!M40</f>
        <v>μm</v>
      </c>
      <c r="W63" s="500"/>
      <c r="X63" s="500"/>
      <c r="Y63" s="500"/>
      <c r="Z63" s="500"/>
      <c r="AA63" s="501"/>
      <c r="AB63" s="479" t="str">
        <f>Calcu!N40</f>
        <v>직사각형</v>
      </c>
      <c r="AC63" s="479"/>
      <c r="AD63" s="479"/>
      <c r="AE63" s="479"/>
      <c r="AF63" s="479"/>
      <c r="AG63" s="487">
        <f>Calcu!Q40</f>
        <v>1</v>
      </c>
      <c r="AH63" s="488"/>
      <c r="AI63" s="488"/>
      <c r="AJ63" s="488"/>
      <c r="AK63" s="488"/>
      <c r="AL63" s="488"/>
      <c r="AM63" s="488"/>
      <c r="AN63" s="488"/>
      <c r="AO63" s="489"/>
      <c r="AP63" s="498">
        <f>Calcu!S40</f>
        <v>0</v>
      </c>
      <c r="AQ63" s="499"/>
      <c r="AR63" s="499"/>
      <c r="AS63" s="499"/>
      <c r="AT63" s="499"/>
      <c r="AU63" s="499">
        <v>0</v>
      </c>
      <c r="AV63" s="499"/>
      <c r="AW63" s="500" t="str">
        <f>Calcu!U40</f>
        <v>μm</v>
      </c>
      <c r="AX63" s="500"/>
      <c r="AY63" s="500"/>
      <c r="AZ63" s="500"/>
      <c r="BA63" s="500"/>
      <c r="BB63" s="501"/>
      <c r="BC63" s="479" t="str">
        <f>Calcu!V40</f>
        <v>∞</v>
      </c>
      <c r="BD63" s="479"/>
      <c r="BE63" s="479"/>
      <c r="BF63" s="479"/>
    </row>
    <row r="64" spans="1:58" ht="18.75" customHeight="1">
      <c r="A64" s="230"/>
      <c r="B64" s="479" t="s">
        <v>546</v>
      </c>
      <c r="C64" s="479"/>
      <c r="D64" s="542" t="s">
        <v>568</v>
      </c>
      <c r="E64" s="543"/>
      <c r="F64" s="543"/>
      <c r="G64" s="544"/>
      <c r="H64" s="540">
        <f>Calcu!E41</f>
        <v>0</v>
      </c>
      <c r="I64" s="541"/>
      <c r="J64" s="541"/>
      <c r="K64" s="541"/>
      <c r="L64" s="541"/>
      <c r="M64" s="508" t="str">
        <f>Calcu!F41</f>
        <v>mm</v>
      </c>
      <c r="N64" s="509"/>
      <c r="O64" s="498">
        <f>Calcu!K41</f>
        <v>0</v>
      </c>
      <c r="P64" s="499"/>
      <c r="Q64" s="499"/>
      <c r="R64" s="499"/>
      <c r="S64" s="499"/>
      <c r="T64" s="499"/>
      <c r="U64" s="499"/>
      <c r="V64" s="500" t="str">
        <f>Calcu!M41</f>
        <v>μm</v>
      </c>
      <c r="W64" s="500"/>
      <c r="X64" s="500"/>
      <c r="Y64" s="500"/>
      <c r="Z64" s="500"/>
      <c r="AA64" s="501"/>
      <c r="AB64" s="479" t="str">
        <f>Calcu!N41</f>
        <v>직사각형</v>
      </c>
      <c r="AC64" s="479"/>
      <c r="AD64" s="479"/>
      <c r="AE64" s="479"/>
      <c r="AF64" s="479"/>
      <c r="AG64" s="487">
        <f>Calcu!Q41</f>
        <v>1</v>
      </c>
      <c r="AH64" s="488"/>
      <c r="AI64" s="488"/>
      <c r="AJ64" s="488"/>
      <c r="AK64" s="488"/>
      <c r="AL64" s="488"/>
      <c r="AM64" s="488"/>
      <c r="AN64" s="488"/>
      <c r="AO64" s="489"/>
      <c r="AP64" s="498">
        <f>Calcu!S41</f>
        <v>0</v>
      </c>
      <c r="AQ64" s="499"/>
      <c r="AR64" s="499"/>
      <c r="AS64" s="499"/>
      <c r="AT64" s="499"/>
      <c r="AU64" s="499">
        <v>0</v>
      </c>
      <c r="AV64" s="499"/>
      <c r="AW64" s="500" t="str">
        <f>Calcu!U41</f>
        <v>μm</v>
      </c>
      <c r="AX64" s="500"/>
      <c r="AY64" s="500"/>
      <c r="AZ64" s="500"/>
      <c r="BA64" s="500"/>
      <c r="BB64" s="501"/>
      <c r="BC64" s="479">
        <f>Calcu!V41</f>
        <v>12</v>
      </c>
      <c r="BD64" s="479"/>
      <c r="BE64" s="479"/>
      <c r="BF64" s="479"/>
    </row>
    <row r="65" spans="1:60" ht="18.75" customHeight="1">
      <c r="A65" s="230"/>
      <c r="B65" s="479" t="s">
        <v>547</v>
      </c>
      <c r="C65" s="479"/>
      <c r="D65" s="542" t="s">
        <v>352</v>
      </c>
      <c r="E65" s="543"/>
      <c r="F65" s="543"/>
      <c r="G65" s="544"/>
      <c r="H65" s="540" t="e">
        <f ca="1">Calcu!E42</f>
        <v>#N/A</v>
      </c>
      <c r="I65" s="541"/>
      <c r="J65" s="541"/>
      <c r="K65" s="541"/>
      <c r="L65" s="541"/>
      <c r="M65" s="508" t="str">
        <f>Calcu!F42</f>
        <v>mm</v>
      </c>
      <c r="N65" s="509"/>
      <c r="O65" s="487"/>
      <c r="P65" s="488"/>
      <c r="Q65" s="488"/>
      <c r="R65" s="488"/>
      <c r="S65" s="488"/>
      <c r="T65" s="488"/>
      <c r="U65" s="488"/>
      <c r="V65" s="488"/>
      <c r="W65" s="488"/>
      <c r="X65" s="488"/>
      <c r="Y65" s="488"/>
      <c r="Z65" s="488"/>
      <c r="AA65" s="489"/>
      <c r="AB65" s="479"/>
      <c r="AC65" s="479"/>
      <c r="AD65" s="479"/>
      <c r="AE65" s="479"/>
      <c r="AF65" s="479"/>
      <c r="AG65" s="487"/>
      <c r="AH65" s="488"/>
      <c r="AI65" s="488"/>
      <c r="AJ65" s="488"/>
      <c r="AK65" s="488"/>
      <c r="AL65" s="488"/>
      <c r="AM65" s="488"/>
      <c r="AN65" s="488"/>
      <c r="AO65" s="489"/>
      <c r="AP65" s="494" t="e">
        <f ca="1">Calcu!S42</f>
        <v>#N/A</v>
      </c>
      <c r="AQ65" s="495"/>
      <c r="AR65" s="495"/>
      <c r="AS65" s="242"/>
      <c r="AT65" s="227"/>
      <c r="AU65" s="484" t="e">
        <f ca="1">Calcu!T42</f>
        <v>#N/A</v>
      </c>
      <c r="AV65" s="484"/>
      <c r="AW65" s="484"/>
      <c r="AX65" s="243"/>
      <c r="AY65" s="243"/>
      <c r="AZ65" s="243"/>
      <c r="BA65" s="496" t="str">
        <f>Calcu!U42</f>
        <v>μm</v>
      </c>
      <c r="BB65" s="497"/>
      <c r="BC65" s="479" t="e">
        <f ca="1">Calcu!V42</f>
        <v>#N/A</v>
      </c>
      <c r="BD65" s="479"/>
      <c r="BE65" s="479"/>
      <c r="BF65" s="479"/>
    </row>
    <row r="66" spans="1:60" ht="18.75" customHeight="1">
      <c r="A66" s="230"/>
      <c r="B66" s="230"/>
      <c r="C66" s="230"/>
      <c r="D66" s="230"/>
      <c r="E66" s="230"/>
      <c r="F66" s="230"/>
      <c r="G66" s="230"/>
      <c r="H66" s="230"/>
      <c r="I66" s="230"/>
      <c r="J66" s="230"/>
      <c r="K66" s="230"/>
      <c r="L66" s="230"/>
      <c r="M66" s="230"/>
      <c r="N66" s="230"/>
      <c r="O66" s="230"/>
      <c r="P66" s="230"/>
      <c r="Q66" s="230"/>
      <c r="R66" s="230"/>
      <c r="S66" s="230"/>
      <c r="T66" s="230"/>
      <c r="U66" s="230"/>
      <c r="V66" s="230"/>
      <c r="W66" s="230"/>
      <c r="X66" s="230"/>
      <c r="Y66" s="230"/>
      <c r="Z66" s="230"/>
      <c r="AA66" s="230"/>
      <c r="AB66" s="230"/>
      <c r="AC66" s="230"/>
      <c r="AD66" s="230"/>
      <c r="AE66" s="230"/>
      <c r="AF66" s="230"/>
      <c r="AG66" s="244" t="s">
        <v>560</v>
      </c>
      <c r="AH66" s="230"/>
      <c r="AI66" s="230"/>
      <c r="AJ66" s="230"/>
      <c r="AK66" s="230"/>
      <c r="AL66" s="230"/>
      <c r="AM66" s="230"/>
      <c r="AN66" s="230"/>
      <c r="AO66" s="230"/>
      <c r="AP66" s="230"/>
      <c r="AQ66" s="230"/>
      <c r="AR66" s="230"/>
      <c r="AS66" s="230"/>
      <c r="AT66" s="230"/>
    </row>
    <row r="67" spans="1:60" ht="18.75" customHeight="1">
      <c r="A67" s="57" t="s">
        <v>353</v>
      </c>
      <c r="B67" s="230"/>
      <c r="C67" s="230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0"/>
      <c r="W67" s="230"/>
      <c r="X67" s="230"/>
      <c r="Y67" s="230"/>
      <c r="Z67" s="230"/>
      <c r="AA67" s="230"/>
      <c r="AB67" s="230"/>
      <c r="AC67" s="230"/>
      <c r="AD67" s="230"/>
      <c r="AE67" s="230"/>
      <c r="AF67" s="230"/>
      <c r="AG67" s="230"/>
      <c r="AH67" s="230"/>
      <c r="AI67" s="230"/>
      <c r="AJ67" s="230"/>
      <c r="AK67" s="230"/>
      <c r="AL67" s="230"/>
      <c r="AM67" s="230"/>
      <c r="AN67" s="230"/>
      <c r="AO67" s="230"/>
      <c r="AP67" s="230"/>
      <c r="AQ67" s="230"/>
      <c r="AR67" s="230"/>
      <c r="AS67" s="230"/>
      <c r="AT67" s="230"/>
    </row>
    <row r="68" spans="1:60" ht="18.75" customHeight="1">
      <c r="A68" s="230"/>
      <c r="B68" s="206" t="str">
        <f>"1. "&amp;T5&amp;"의 표준불확도,"</f>
        <v>1. 표준자의 표준불확도,</v>
      </c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07" t="s">
        <v>354</v>
      </c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230"/>
      <c r="AB68" s="230"/>
      <c r="AC68" s="230"/>
      <c r="AD68" s="230"/>
      <c r="AE68" s="230"/>
      <c r="AF68" s="230"/>
      <c r="AG68" s="230"/>
      <c r="AH68" s="230"/>
      <c r="AI68" s="230"/>
      <c r="AJ68" s="230"/>
      <c r="AK68" s="230"/>
      <c r="AL68" s="230"/>
      <c r="AM68" s="230"/>
      <c r="AN68" s="230"/>
      <c r="AO68" s="230"/>
      <c r="AP68" s="230"/>
      <c r="AQ68" s="230"/>
      <c r="AR68" s="230"/>
      <c r="AS68" s="230"/>
      <c r="AT68" s="230"/>
    </row>
    <row r="69" spans="1:60" ht="18.75" customHeight="1">
      <c r="A69" s="230"/>
      <c r="B69" s="230"/>
      <c r="C69" s="230" t="s">
        <v>355</v>
      </c>
      <c r="D69" s="230"/>
      <c r="E69" s="230"/>
      <c r="F69" s="230"/>
      <c r="G69" s="230"/>
      <c r="H69" s="230"/>
      <c r="I69" s="490" t="e">
        <f ca="1">H57</f>
        <v>#N/A</v>
      </c>
      <c r="J69" s="490"/>
      <c r="K69" s="490"/>
      <c r="L69" s="490"/>
      <c r="M69" s="490"/>
      <c r="N69" s="448" t="str">
        <f>M57</f>
        <v>mm</v>
      </c>
      <c r="O69" s="448"/>
      <c r="P69" s="220"/>
      <c r="Q69" s="230"/>
      <c r="R69" s="230"/>
      <c r="S69" s="230"/>
      <c r="T69" s="230"/>
      <c r="U69" s="230"/>
      <c r="V69" s="230"/>
      <c r="W69" s="230"/>
      <c r="X69" s="230"/>
      <c r="Y69" s="230"/>
      <c r="Z69" s="230"/>
      <c r="AA69" s="230"/>
      <c r="AB69" s="230"/>
      <c r="AC69" s="230"/>
      <c r="AD69" s="230"/>
      <c r="AE69" s="230"/>
      <c r="AF69" s="230"/>
      <c r="AG69" s="230"/>
      <c r="AH69" s="230"/>
      <c r="AI69" s="230"/>
      <c r="AJ69" s="230"/>
      <c r="AK69" s="230"/>
      <c r="AL69" s="230"/>
      <c r="AM69" s="230"/>
      <c r="AN69" s="230"/>
      <c r="AO69" s="230"/>
      <c r="AP69" s="230"/>
      <c r="AQ69" s="230"/>
      <c r="AR69" s="230"/>
      <c r="AS69" s="230"/>
      <c r="AT69" s="230"/>
    </row>
    <row r="70" spans="1:60" s="68" customFormat="1" ht="18.75" customHeight="1">
      <c r="B70" s="57"/>
      <c r="C70" s="245" t="s">
        <v>360</v>
      </c>
      <c r="D70" s="245"/>
      <c r="E70" s="245"/>
      <c r="F70" s="245"/>
      <c r="G70" s="245"/>
      <c r="H70" s="245"/>
      <c r="I70" s="245"/>
      <c r="J70" s="245" t="str">
        <f>"※ "&amp;T5&amp;"의 측정불확도가 "</f>
        <v xml:space="preserve">※ 표준자의 측정불확도가 </v>
      </c>
      <c r="K70" s="245"/>
      <c r="L70" s="245"/>
      <c r="M70" s="245"/>
      <c r="N70" s="245"/>
      <c r="O70" s="245"/>
      <c r="P70" s="245"/>
      <c r="Q70" s="245"/>
      <c r="R70" s="245"/>
      <c r="S70" s="245"/>
      <c r="T70" s="245"/>
      <c r="U70" s="245"/>
      <c r="V70" s="245"/>
      <c r="W70" s="245"/>
      <c r="X70" s="245"/>
      <c r="Y70" s="491" t="e">
        <f ca="1">Calcu!G34</f>
        <v>#N/A</v>
      </c>
      <c r="Z70" s="491"/>
      <c r="AB70" s="517" t="e">
        <f ca="1">Calcu!H34/IF(Calcu!I34="L=m",1000,1)</f>
        <v>#N/A</v>
      </c>
      <c r="AC70" s="517"/>
      <c r="AD70" s="517"/>
      <c r="AE70" s="245"/>
      <c r="AF70" s="245"/>
      <c r="AH70" s="245" t="s">
        <v>361</v>
      </c>
      <c r="AJ70" s="245"/>
      <c r="AK70" s="245"/>
      <c r="AL70" s="245"/>
      <c r="AM70" s="245"/>
      <c r="AN70" s="245"/>
      <c r="AO70" s="245"/>
      <c r="AP70" s="245"/>
      <c r="AQ70" s="245"/>
      <c r="AR70" s="245"/>
      <c r="AS70" s="245"/>
      <c r="AT70" s="245"/>
      <c r="AU70" s="245"/>
      <c r="AV70" s="245"/>
      <c r="AW70" s="245"/>
      <c r="AX70" s="245"/>
      <c r="AY70" s="245"/>
      <c r="BB70" s="245"/>
      <c r="BC70" s="245"/>
      <c r="BD70" s="245"/>
      <c r="BE70" s="245"/>
      <c r="BF70" s="245"/>
      <c r="BG70" s="245"/>
    </row>
    <row r="71" spans="1:60" s="68" customFormat="1" ht="18.75" customHeight="1">
      <c r="B71" s="57"/>
      <c r="D71" s="245"/>
      <c r="E71" s="245"/>
      <c r="F71" s="245"/>
      <c r="G71" s="245"/>
      <c r="H71" s="245"/>
      <c r="I71" s="245"/>
      <c r="J71" s="245"/>
      <c r="K71" s="245" t="s">
        <v>574</v>
      </c>
      <c r="L71" s="245"/>
      <c r="M71" s="245"/>
      <c r="N71" s="245"/>
      <c r="O71" s="245"/>
      <c r="P71" s="245"/>
      <c r="Q71" s="245"/>
      <c r="R71" s="245"/>
      <c r="S71" s="245"/>
      <c r="T71" s="245"/>
      <c r="U71" s="245"/>
      <c r="V71" s="245"/>
      <c r="W71" s="245"/>
      <c r="X71" s="245"/>
      <c r="Y71" s="245"/>
      <c r="Z71" s="245"/>
      <c r="AA71" s="245"/>
      <c r="AB71" s="245"/>
      <c r="AC71" s="245"/>
      <c r="AD71" s="245"/>
      <c r="AE71" s="245"/>
      <c r="AF71" s="245"/>
      <c r="AG71" s="245"/>
      <c r="AH71" s="245"/>
      <c r="AI71" s="245"/>
      <c r="AJ71" s="245"/>
      <c r="AK71" s="245"/>
      <c r="AL71" s="245"/>
      <c r="AM71" s="245"/>
      <c r="AN71" s="245"/>
      <c r="AO71" s="245"/>
      <c r="AP71" s="245"/>
      <c r="AQ71" s="245"/>
      <c r="AR71" s="245"/>
      <c r="AS71" s="245"/>
      <c r="AT71" s="245"/>
      <c r="AU71" s="245"/>
      <c r="AV71" s="245"/>
      <c r="AW71" s="245"/>
      <c r="AX71" s="245"/>
      <c r="AY71" s="245"/>
      <c r="AZ71" s="245"/>
      <c r="BA71" s="245"/>
      <c r="BB71" s="245"/>
      <c r="BC71" s="245"/>
      <c r="BD71" s="245"/>
      <c r="BE71" s="245"/>
      <c r="BF71" s="245"/>
      <c r="BG71" s="245"/>
    </row>
    <row r="72" spans="1:60" s="68" customFormat="1" ht="18.75" customHeight="1">
      <c r="B72" s="57"/>
      <c r="C72" s="245"/>
      <c r="D72" s="245"/>
      <c r="E72" s="245"/>
      <c r="F72" s="245"/>
      <c r="G72" s="245"/>
      <c r="H72" s="245"/>
      <c r="I72" s="245"/>
      <c r="J72" s="245"/>
      <c r="K72" s="455" t="s">
        <v>356</v>
      </c>
      <c r="L72" s="455"/>
      <c r="M72" s="455"/>
      <c r="N72" s="491" t="s">
        <v>153</v>
      </c>
      <c r="O72" s="246"/>
      <c r="P72" s="492" t="e">
        <f ca="1">Y70</f>
        <v>#N/A</v>
      </c>
      <c r="Q72" s="492"/>
      <c r="R72" s="246"/>
      <c r="S72" s="492" t="e">
        <f ca="1">AB70</f>
        <v>#N/A</v>
      </c>
      <c r="T72" s="492"/>
      <c r="U72" s="492"/>
      <c r="V72" s="247"/>
      <c r="W72" s="247"/>
      <c r="X72" s="247"/>
      <c r="Y72" s="493" t="s">
        <v>357</v>
      </c>
      <c r="Z72" s="493"/>
      <c r="AA72" s="486" t="s">
        <v>153</v>
      </c>
      <c r="AB72" s="248"/>
      <c r="AC72" s="480" t="e">
        <f ca="1">P72/P73</f>
        <v>#N/A</v>
      </c>
      <c r="AD72" s="480"/>
      <c r="AF72" s="481" t="e">
        <f ca="1">S72/P73</f>
        <v>#N/A</v>
      </c>
      <c r="AG72" s="481"/>
      <c r="AH72" s="481"/>
      <c r="AI72" s="481"/>
      <c r="AJ72" s="245"/>
      <c r="AM72" s="482" t="s">
        <v>359</v>
      </c>
      <c r="AN72" s="482"/>
      <c r="AO72" s="250"/>
      <c r="AP72" s="245"/>
      <c r="AQ72" s="245"/>
      <c r="AR72" s="249"/>
      <c r="AS72" s="251"/>
      <c r="AT72" s="251"/>
      <c r="AU72" s="251"/>
      <c r="AV72" s="251"/>
      <c r="AY72" s="245"/>
      <c r="AZ72" s="245"/>
      <c r="BC72" s="245"/>
      <c r="BD72" s="245"/>
      <c r="BE72" s="245"/>
      <c r="BF72" s="245"/>
      <c r="BG72" s="245"/>
      <c r="BH72" s="245"/>
    </row>
    <row r="73" spans="1:60" s="68" customFormat="1" ht="18.75" customHeight="1">
      <c r="B73" s="57"/>
      <c r="C73" s="245"/>
      <c r="D73" s="245"/>
      <c r="E73" s="245"/>
      <c r="F73" s="245"/>
      <c r="G73" s="245"/>
      <c r="H73" s="245"/>
      <c r="I73" s="245"/>
      <c r="J73" s="245"/>
      <c r="K73" s="455"/>
      <c r="L73" s="455"/>
      <c r="M73" s="455"/>
      <c r="N73" s="491"/>
      <c r="O73" s="245"/>
      <c r="P73" s="483" t="e">
        <f ca="1">Calcu!J34</f>
        <v>#N/A</v>
      </c>
      <c r="Q73" s="483"/>
      <c r="R73" s="483"/>
      <c r="S73" s="483"/>
      <c r="T73" s="483"/>
      <c r="U73" s="483"/>
      <c r="V73" s="483"/>
      <c r="W73" s="483"/>
      <c r="X73" s="483"/>
      <c r="Y73" s="483"/>
      <c r="Z73" s="483"/>
      <c r="AA73" s="486"/>
      <c r="AB73" s="248"/>
      <c r="AC73" s="480"/>
      <c r="AD73" s="480"/>
      <c r="AE73" s="245"/>
      <c r="AF73" s="481"/>
      <c r="AG73" s="481"/>
      <c r="AH73" s="481"/>
      <c r="AI73" s="481"/>
      <c r="AJ73" s="245"/>
      <c r="AM73" s="482"/>
      <c r="AN73" s="482"/>
      <c r="AO73" s="250"/>
      <c r="AP73" s="245"/>
      <c r="AQ73" s="245"/>
      <c r="AR73" s="249"/>
      <c r="AS73" s="251"/>
      <c r="AT73" s="251"/>
      <c r="AU73" s="251"/>
      <c r="AV73" s="251"/>
      <c r="AY73" s="245"/>
      <c r="AZ73" s="245"/>
      <c r="BC73" s="245"/>
      <c r="BD73" s="245"/>
      <c r="BE73" s="245"/>
      <c r="BF73" s="245"/>
      <c r="BG73" s="245"/>
      <c r="BH73" s="245"/>
    </row>
    <row r="74" spans="1:60" s="68" customFormat="1" ht="18.75" customHeight="1">
      <c r="B74" s="57"/>
      <c r="C74" s="245" t="s">
        <v>362</v>
      </c>
      <c r="D74" s="245"/>
      <c r="E74" s="245"/>
      <c r="F74" s="245"/>
      <c r="G74" s="245"/>
      <c r="H74" s="245"/>
      <c r="I74" s="482" t="str">
        <f>AB57</f>
        <v>정규</v>
      </c>
      <c r="J74" s="482"/>
      <c r="K74" s="482"/>
      <c r="L74" s="482"/>
      <c r="M74" s="482"/>
      <c r="N74" s="245"/>
      <c r="O74" s="245"/>
      <c r="P74" s="245"/>
      <c r="Q74" s="245"/>
      <c r="R74" s="245"/>
      <c r="S74" s="245"/>
      <c r="T74" s="245"/>
      <c r="U74" s="245"/>
      <c r="V74" s="245"/>
      <c r="W74" s="245"/>
      <c r="X74" s="245"/>
      <c r="Y74" s="245"/>
      <c r="Z74" s="245"/>
      <c r="AA74" s="245"/>
      <c r="AB74" s="245"/>
      <c r="AC74" s="245"/>
      <c r="AD74" s="245"/>
      <c r="AE74" s="245"/>
      <c r="AF74" s="245"/>
      <c r="AG74" s="245"/>
      <c r="AH74" s="245"/>
      <c r="AI74" s="245"/>
      <c r="AJ74" s="245"/>
      <c r="AK74" s="245"/>
      <c r="AL74" s="245"/>
      <c r="AM74" s="245"/>
      <c r="AN74" s="245"/>
      <c r="AO74" s="245"/>
      <c r="AP74" s="245"/>
      <c r="AQ74" s="245"/>
      <c r="AR74" s="245"/>
      <c r="AS74" s="245"/>
      <c r="AT74" s="245"/>
      <c r="AU74" s="245"/>
      <c r="AV74" s="245"/>
      <c r="AW74" s="245"/>
      <c r="AX74" s="245"/>
      <c r="AY74" s="245"/>
      <c r="AZ74" s="245"/>
      <c r="BA74" s="245"/>
      <c r="BB74" s="245"/>
      <c r="BC74" s="245"/>
      <c r="BD74" s="245"/>
      <c r="BE74" s="245"/>
      <c r="BF74" s="245"/>
      <c r="BG74" s="245"/>
    </row>
    <row r="75" spans="1:60" s="68" customFormat="1" ht="18.75" customHeight="1">
      <c r="B75" s="57"/>
      <c r="C75" s="482" t="s">
        <v>363</v>
      </c>
      <c r="D75" s="482"/>
      <c r="E75" s="482"/>
      <c r="F75" s="482"/>
      <c r="G75" s="482"/>
      <c r="H75" s="482"/>
      <c r="I75" s="224"/>
      <c r="J75" s="224"/>
      <c r="K75" s="230"/>
      <c r="L75" s="230"/>
      <c r="M75" s="56"/>
      <c r="N75" s="444">
        <f>AG57</f>
        <v>1</v>
      </c>
      <c r="O75" s="444"/>
      <c r="P75" s="245"/>
      <c r="Q75" s="245"/>
      <c r="R75" s="245"/>
      <c r="S75" s="245"/>
      <c r="T75" s="245"/>
      <c r="U75" s="245"/>
      <c r="V75" s="245"/>
      <c r="W75" s="245"/>
      <c r="X75" s="245"/>
      <c r="Y75" s="245"/>
      <c r="Z75" s="245"/>
      <c r="AA75" s="245"/>
      <c r="AB75" s="245"/>
      <c r="AC75" s="245"/>
      <c r="AD75" s="245"/>
      <c r="AE75" s="245"/>
      <c r="AF75" s="245"/>
      <c r="AG75" s="245"/>
      <c r="AH75" s="245"/>
      <c r="AI75" s="245"/>
      <c r="AJ75" s="245"/>
      <c r="AK75" s="245"/>
      <c r="AL75" s="245"/>
      <c r="AM75" s="245"/>
      <c r="AN75" s="245"/>
      <c r="AO75" s="245"/>
      <c r="AP75" s="245"/>
      <c r="AQ75" s="245"/>
      <c r="AR75" s="245"/>
      <c r="AS75" s="245"/>
      <c r="AT75" s="245"/>
      <c r="AU75" s="245"/>
      <c r="AV75" s="245"/>
      <c r="AW75" s="245"/>
      <c r="AX75" s="245"/>
      <c r="AY75" s="245"/>
      <c r="AZ75" s="245"/>
      <c r="BA75" s="245"/>
      <c r="BB75" s="245"/>
      <c r="BC75" s="245"/>
      <c r="BD75" s="245"/>
      <c r="BE75" s="245"/>
      <c r="BF75" s="245"/>
      <c r="BG75" s="245"/>
    </row>
    <row r="76" spans="1:60" s="68" customFormat="1" ht="18.75" customHeight="1">
      <c r="B76" s="57"/>
      <c r="C76" s="482"/>
      <c r="D76" s="482"/>
      <c r="E76" s="482"/>
      <c r="F76" s="482"/>
      <c r="G76" s="482"/>
      <c r="H76" s="482"/>
      <c r="I76" s="226"/>
      <c r="J76" s="226"/>
      <c r="K76" s="230"/>
      <c r="L76" s="230"/>
      <c r="M76" s="56"/>
      <c r="N76" s="444"/>
      <c r="O76" s="444"/>
      <c r="P76" s="245"/>
      <c r="Q76" s="245"/>
      <c r="R76" s="245"/>
      <c r="S76" s="245"/>
      <c r="T76" s="245"/>
      <c r="U76" s="245"/>
      <c r="V76" s="245"/>
      <c r="W76" s="245"/>
      <c r="X76" s="245"/>
      <c r="Y76" s="245"/>
      <c r="Z76" s="245"/>
      <c r="AA76" s="245"/>
      <c r="AB76" s="245"/>
      <c r="AC76" s="245"/>
      <c r="AD76" s="245"/>
      <c r="AE76" s="245"/>
      <c r="AF76" s="245"/>
      <c r="AG76" s="245"/>
      <c r="AH76" s="245"/>
      <c r="AI76" s="245"/>
      <c r="AJ76" s="245"/>
      <c r="AK76" s="245"/>
      <c r="AL76" s="245"/>
      <c r="AM76" s="245"/>
      <c r="AN76" s="245"/>
      <c r="AO76" s="245"/>
      <c r="AP76" s="245"/>
      <c r="AQ76" s="245"/>
      <c r="AR76" s="245"/>
      <c r="AS76" s="245"/>
      <c r="AT76" s="245"/>
      <c r="AU76" s="245"/>
      <c r="AV76" s="245"/>
      <c r="AW76" s="245"/>
      <c r="AX76" s="245"/>
      <c r="AY76" s="245"/>
      <c r="AZ76" s="245"/>
      <c r="BA76" s="245"/>
      <c r="BB76" s="245"/>
      <c r="BC76" s="245"/>
      <c r="BD76" s="245"/>
      <c r="BE76" s="245"/>
      <c r="BF76" s="245"/>
      <c r="BG76" s="245"/>
      <c r="BH76" s="245"/>
    </row>
    <row r="77" spans="1:60" s="230" customFormat="1" ht="18.75" customHeight="1">
      <c r="C77" s="230" t="s">
        <v>364</v>
      </c>
      <c r="K77" s="228" t="s">
        <v>365</v>
      </c>
      <c r="L77" s="445">
        <f>N75</f>
        <v>1</v>
      </c>
      <c r="M77" s="445"/>
      <c r="N77" s="224" t="s">
        <v>80</v>
      </c>
      <c r="O77" s="465" t="e">
        <f ca="1">AP57</f>
        <v>#N/A</v>
      </c>
      <c r="P77" s="465"/>
      <c r="Q77" s="465"/>
      <c r="R77" s="152"/>
      <c r="S77" s="220"/>
      <c r="T77" s="445" t="e">
        <f ca="1">AU57</f>
        <v>#N/A</v>
      </c>
      <c r="U77" s="445"/>
      <c r="V77" s="445"/>
      <c r="Z77" s="450" t="str">
        <f>BA57</f>
        <v>μm</v>
      </c>
      <c r="AA77" s="450"/>
      <c r="AB77" s="221" t="s">
        <v>366</v>
      </c>
      <c r="AC77" s="221" t="s">
        <v>367</v>
      </c>
      <c r="AD77" s="465" t="e">
        <f ca="1">O77</f>
        <v>#N/A</v>
      </c>
      <c r="AE77" s="465"/>
      <c r="AF77" s="465"/>
      <c r="AG77" s="152"/>
      <c r="AH77" s="220"/>
      <c r="AI77" s="445" t="e">
        <f ca="1">T77</f>
        <v>#N/A</v>
      </c>
      <c r="AJ77" s="445"/>
      <c r="AK77" s="445"/>
      <c r="AO77" s="450" t="str">
        <f>Z77</f>
        <v>μm</v>
      </c>
      <c r="AP77" s="450"/>
    </row>
    <row r="78" spans="1:60" ht="18.75" customHeight="1">
      <c r="A78" s="230"/>
      <c r="B78" s="230"/>
      <c r="C78" s="224" t="s">
        <v>368</v>
      </c>
      <c r="D78" s="224"/>
      <c r="E78" s="224"/>
      <c r="F78" s="224"/>
      <c r="G78" s="224"/>
      <c r="I78" s="109" t="s">
        <v>369</v>
      </c>
      <c r="J78" s="230"/>
      <c r="K78" s="230"/>
      <c r="L78" s="230"/>
      <c r="M78" s="230"/>
      <c r="N78" s="230"/>
      <c r="O78" s="230"/>
      <c r="P78" s="230"/>
      <c r="Q78" s="230"/>
      <c r="R78" s="230"/>
      <c r="S78" s="175"/>
      <c r="T78" s="175"/>
      <c r="U78" s="230"/>
      <c r="V78" s="230"/>
      <c r="W78" s="230"/>
      <c r="X78" s="230"/>
      <c r="Y78" s="230"/>
      <c r="Z78" s="230"/>
      <c r="AA78" s="230"/>
      <c r="AB78" s="230"/>
      <c r="AC78" s="230"/>
      <c r="AD78" s="230"/>
      <c r="AG78" s="230"/>
      <c r="AH78" s="230"/>
      <c r="AI78" s="230"/>
      <c r="AJ78" s="230"/>
      <c r="AK78" s="230"/>
      <c r="AL78" s="230"/>
      <c r="AM78" s="230"/>
      <c r="AN78" s="230"/>
      <c r="AO78" s="230"/>
      <c r="AP78" s="230"/>
      <c r="AQ78" s="230"/>
      <c r="AR78" s="230"/>
      <c r="AS78" s="230"/>
      <c r="AT78" s="230"/>
    </row>
    <row r="79" spans="1:60" s="230" customFormat="1" ht="18.75" customHeight="1"/>
    <row r="80" spans="1:60" ht="18.75" customHeight="1">
      <c r="A80" s="230"/>
      <c r="B80" s="60" t="str">
        <f>"2. "&amp;N5&amp;" 지시값의 표준불확도,"</f>
        <v>2. 측정현미경 지시값의 표준불확도,</v>
      </c>
      <c r="C80" s="230"/>
      <c r="D80" s="230"/>
      <c r="E80" s="230"/>
      <c r="F80" s="230"/>
      <c r="G80" s="230"/>
      <c r="H80" s="230"/>
      <c r="I80" s="230"/>
      <c r="J80" s="230"/>
      <c r="K80" s="230"/>
      <c r="L80" s="230"/>
      <c r="M80" s="230"/>
      <c r="N80" s="230"/>
      <c r="O80" s="230"/>
      <c r="P80" s="230"/>
      <c r="Q80" s="230"/>
      <c r="R80" s="207" t="s">
        <v>154</v>
      </c>
      <c r="T80" s="230"/>
      <c r="U80" s="230"/>
      <c r="V80" s="230"/>
      <c r="W80" s="230"/>
      <c r="X80" s="230"/>
      <c r="Y80" s="230"/>
      <c r="Z80" s="230"/>
      <c r="AA80" s="230"/>
      <c r="AB80" s="230"/>
      <c r="AC80" s="230"/>
      <c r="AD80" s="230"/>
      <c r="AE80" s="230"/>
      <c r="AF80" s="230"/>
      <c r="AG80" s="230"/>
      <c r="AH80" s="230"/>
      <c r="AI80" s="230"/>
      <c r="AJ80" s="230"/>
      <c r="AK80" s="230"/>
      <c r="AL80" s="230"/>
      <c r="AM80" s="230"/>
      <c r="AN80" s="230"/>
      <c r="AO80" s="230"/>
      <c r="AP80" s="230"/>
      <c r="AQ80" s="230"/>
      <c r="AR80" s="230"/>
      <c r="AS80" s="230"/>
      <c r="AT80" s="230"/>
    </row>
    <row r="81" spans="1:66" ht="18.75" customHeight="1">
      <c r="A81" s="230"/>
      <c r="C81" s="230" t="s">
        <v>370</v>
      </c>
      <c r="D81" s="230"/>
      <c r="E81" s="230"/>
      <c r="F81" s="230"/>
      <c r="G81" s="230"/>
      <c r="H81" s="230"/>
      <c r="I81" s="230"/>
      <c r="J81" s="230"/>
      <c r="K81" s="230"/>
      <c r="L81" s="230"/>
      <c r="M81" s="230"/>
      <c r="N81" s="230"/>
      <c r="O81" s="230"/>
      <c r="P81" s="230"/>
      <c r="Q81" s="230"/>
      <c r="R81" s="230"/>
      <c r="S81" s="230"/>
      <c r="T81" s="230"/>
      <c r="U81" s="230"/>
      <c r="V81" s="230"/>
      <c r="W81" s="230"/>
      <c r="X81" s="230"/>
      <c r="Y81" s="230"/>
      <c r="Z81" s="230"/>
      <c r="AA81" s="230"/>
      <c r="AB81" s="230"/>
      <c r="AC81" s="230"/>
      <c r="AD81" s="230"/>
      <c r="AE81" s="230"/>
      <c r="AF81" s="230"/>
      <c r="AG81" s="230"/>
      <c r="AH81" s="230"/>
      <c r="AI81" s="230"/>
      <c r="AJ81" s="230"/>
      <c r="AK81" s="230"/>
      <c r="AL81" s="230"/>
      <c r="AM81" s="230"/>
      <c r="AN81" s="230"/>
      <c r="AO81" s="230"/>
      <c r="AP81" s="230"/>
      <c r="AQ81" s="230"/>
      <c r="AR81" s="230"/>
      <c r="AS81" s="230"/>
      <c r="AT81" s="230"/>
    </row>
    <row r="82" spans="1:66" ht="18.75" customHeight="1">
      <c r="A82" s="230"/>
      <c r="C82" s="60"/>
      <c r="D82" s="230" t="s">
        <v>155</v>
      </c>
      <c r="E82" s="230"/>
      <c r="F82" s="230"/>
      <c r="G82" s="230"/>
      <c r="H82" s="230"/>
      <c r="I82" s="230"/>
      <c r="J82" s="230"/>
      <c r="K82" s="230"/>
      <c r="L82" s="230"/>
      <c r="M82" s="230"/>
      <c r="N82" s="230"/>
      <c r="O82" s="230"/>
      <c r="P82" s="230"/>
      <c r="Q82" s="230"/>
      <c r="R82" s="230"/>
      <c r="S82" s="230"/>
      <c r="T82" s="230"/>
      <c r="U82" s="230"/>
      <c r="V82" s="230"/>
      <c r="W82" s="230"/>
      <c r="X82" s="230"/>
      <c r="Y82" s="230"/>
      <c r="Z82" s="230"/>
      <c r="AA82" s="230"/>
      <c r="AB82" s="230"/>
      <c r="AC82" s="230"/>
      <c r="AD82" s="230"/>
      <c r="AE82" s="230"/>
      <c r="AF82" s="230"/>
      <c r="AG82" s="230"/>
      <c r="AH82" s="230"/>
      <c r="AI82" s="230"/>
      <c r="AJ82" s="230"/>
      <c r="AK82" s="230"/>
      <c r="AL82" s="230"/>
      <c r="AM82" s="230"/>
      <c r="AN82" s="230"/>
      <c r="AO82" s="230"/>
      <c r="AP82" s="230"/>
      <c r="AQ82" s="230"/>
      <c r="AR82" s="230"/>
      <c r="AS82" s="230"/>
      <c r="AT82" s="230"/>
    </row>
    <row r="83" spans="1:66" ht="18.75" customHeight="1">
      <c r="B83" s="230"/>
      <c r="C83" s="230" t="s">
        <v>156</v>
      </c>
      <c r="D83" s="230"/>
      <c r="E83" s="230"/>
      <c r="F83" s="230"/>
      <c r="G83" s="230"/>
      <c r="H83" s="230"/>
      <c r="I83" s="448" t="e">
        <f ca="1">H58</f>
        <v>#N/A</v>
      </c>
      <c r="J83" s="448"/>
      <c r="K83" s="448"/>
      <c r="L83" s="448"/>
      <c r="M83" s="448"/>
      <c r="N83" s="448" t="str">
        <f>M58</f>
        <v>mm</v>
      </c>
      <c r="O83" s="448"/>
      <c r="P83" s="220"/>
      <c r="Q83" s="230"/>
      <c r="R83" s="230"/>
      <c r="S83" s="230"/>
      <c r="T83" s="230"/>
      <c r="U83" s="230"/>
      <c r="V83" s="230"/>
      <c r="W83" s="230"/>
      <c r="X83" s="230"/>
      <c r="Y83" s="230"/>
      <c r="Z83" s="230"/>
      <c r="AA83" s="230"/>
      <c r="AB83" s="230"/>
      <c r="AC83" s="230"/>
      <c r="AD83" s="230"/>
      <c r="AE83" s="230"/>
      <c r="AF83" s="230"/>
      <c r="AG83" s="230"/>
      <c r="AH83" s="230"/>
      <c r="AI83" s="230"/>
      <c r="AJ83" s="230"/>
      <c r="AK83" s="230"/>
      <c r="AL83" s="230"/>
      <c r="AM83" s="230"/>
      <c r="AN83" s="230"/>
      <c r="AO83" s="230"/>
      <c r="AP83" s="230"/>
      <c r="AQ83" s="230"/>
      <c r="AR83" s="230"/>
      <c r="AS83" s="230"/>
      <c r="AT83" s="230"/>
      <c r="AU83" s="230"/>
    </row>
    <row r="84" spans="1:66" ht="18.75" customHeight="1">
      <c r="B84" s="230"/>
      <c r="C84" s="230" t="s">
        <v>371</v>
      </c>
      <c r="D84" s="230"/>
      <c r="E84" s="230"/>
      <c r="F84" s="230"/>
      <c r="G84" s="230"/>
      <c r="H84" s="230"/>
      <c r="I84" s="230"/>
      <c r="J84" s="61" t="s">
        <v>157</v>
      </c>
      <c r="K84" s="230"/>
      <c r="L84" s="230"/>
      <c r="M84" s="230"/>
      <c r="N84" s="230"/>
      <c r="O84" s="230"/>
      <c r="P84" s="230"/>
      <c r="Q84" s="448">
        <f>MAX(AK11:AO30)*1000</f>
        <v>0</v>
      </c>
      <c r="R84" s="448"/>
      <c r="S84" s="448"/>
      <c r="T84" s="485" t="s">
        <v>152</v>
      </c>
      <c r="U84" s="485"/>
      <c r="V84" s="230"/>
      <c r="W84" s="230"/>
      <c r="X84" s="230"/>
      <c r="Y84" s="230"/>
      <c r="Z84" s="230"/>
      <c r="AA84" s="230"/>
      <c r="AB84" s="230"/>
      <c r="AC84" s="230"/>
      <c r="AD84" s="230"/>
      <c r="AE84" s="230"/>
      <c r="AF84" s="230"/>
      <c r="AG84" s="230"/>
      <c r="AH84" s="230"/>
      <c r="AI84" s="230"/>
      <c r="AJ84" s="230"/>
      <c r="AK84" s="230"/>
      <c r="AL84" s="230"/>
      <c r="AM84" s="230"/>
      <c r="AN84" s="230"/>
      <c r="AO84" s="230"/>
      <c r="AP84" s="230"/>
      <c r="AQ84" s="230"/>
      <c r="AR84" s="230"/>
      <c r="AS84" s="230"/>
      <c r="AT84" s="230"/>
      <c r="AU84" s="230"/>
    </row>
    <row r="85" spans="1:66" ht="18.75" customHeight="1">
      <c r="B85" s="230"/>
      <c r="C85" s="230"/>
      <c r="D85" s="230"/>
      <c r="E85" s="230"/>
      <c r="F85" s="230"/>
      <c r="G85" s="230"/>
      <c r="H85" s="230"/>
      <c r="I85" s="230"/>
      <c r="J85" s="230"/>
      <c r="K85" s="527" t="s">
        <v>372</v>
      </c>
      <c r="L85" s="527"/>
      <c r="M85" s="527"/>
      <c r="N85" s="527" t="s">
        <v>153</v>
      </c>
      <c r="O85" s="546" t="s">
        <v>373</v>
      </c>
      <c r="P85" s="546"/>
      <c r="Q85" s="527" t="s">
        <v>358</v>
      </c>
      <c r="R85" s="474">
        <f>Q84</f>
        <v>0</v>
      </c>
      <c r="S85" s="474"/>
      <c r="T85" s="474"/>
      <c r="U85" s="526" t="str">
        <f>T84</f>
        <v>μm</v>
      </c>
      <c r="V85" s="526"/>
      <c r="W85" s="527" t="s">
        <v>358</v>
      </c>
      <c r="X85" s="446">
        <f>R85/SQRT(5)</f>
        <v>0</v>
      </c>
      <c r="Y85" s="446"/>
      <c r="Z85" s="446"/>
      <c r="AA85" s="447" t="str">
        <f>T84</f>
        <v>μm</v>
      </c>
      <c r="AB85" s="447"/>
      <c r="AC85" s="222"/>
      <c r="AD85" s="222"/>
      <c r="AE85" s="222"/>
      <c r="AF85" s="230"/>
      <c r="AG85" s="230"/>
      <c r="AH85" s="230"/>
      <c r="AI85" s="230"/>
      <c r="AJ85" s="230"/>
      <c r="AK85" s="230"/>
      <c r="AL85" s="230"/>
      <c r="AM85" s="230"/>
      <c r="AN85" s="230"/>
      <c r="AO85" s="230"/>
      <c r="AP85" s="230"/>
      <c r="AQ85" s="230"/>
      <c r="AR85" s="230"/>
      <c r="AS85" s="230"/>
      <c r="AT85" s="230"/>
      <c r="AU85" s="230"/>
      <c r="AV85" s="230"/>
      <c r="AW85" s="230"/>
    </row>
    <row r="86" spans="1:66" ht="18.75" customHeight="1">
      <c r="B86" s="230"/>
      <c r="C86" s="230"/>
      <c r="D86" s="230"/>
      <c r="E86" s="230"/>
      <c r="F86" s="230"/>
      <c r="G86" s="230"/>
      <c r="H86" s="230"/>
      <c r="I86" s="230"/>
      <c r="J86" s="230"/>
      <c r="K86" s="527"/>
      <c r="L86" s="527"/>
      <c r="M86" s="527"/>
      <c r="N86" s="527"/>
      <c r="O86" s="528"/>
      <c r="P86" s="528"/>
      <c r="Q86" s="527"/>
      <c r="R86" s="464"/>
      <c r="S86" s="464"/>
      <c r="T86" s="464"/>
      <c r="U86" s="464"/>
      <c r="V86" s="464"/>
      <c r="W86" s="527"/>
      <c r="X86" s="446"/>
      <c r="Y86" s="446"/>
      <c r="Z86" s="446"/>
      <c r="AA86" s="447"/>
      <c r="AB86" s="447"/>
      <c r="AC86" s="222"/>
      <c r="AD86" s="222"/>
      <c r="AE86" s="222"/>
      <c r="AF86" s="230"/>
      <c r="AG86" s="230"/>
      <c r="AH86" s="230"/>
      <c r="AI86" s="230"/>
      <c r="AJ86" s="230"/>
      <c r="AK86" s="230"/>
      <c r="AL86" s="230"/>
      <c r="AM86" s="230"/>
      <c r="AN86" s="230"/>
      <c r="AO86" s="230"/>
      <c r="AP86" s="230"/>
      <c r="AQ86" s="230"/>
      <c r="AR86" s="230"/>
      <c r="AS86" s="230"/>
      <c r="AT86" s="230"/>
      <c r="AU86" s="230"/>
      <c r="AV86" s="230"/>
      <c r="AW86" s="230"/>
    </row>
    <row r="87" spans="1:66" ht="18.75" customHeight="1">
      <c r="B87" s="230"/>
      <c r="C87" s="230" t="s">
        <v>575</v>
      </c>
      <c r="D87" s="230"/>
      <c r="E87" s="230"/>
      <c r="F87" s="230"/>
      <c r="G87" s="230"/>
      <c r="H87" s="230"/>
      <c r="I87" s="444" t="str">
        <f>AB58</f>
        <v>t</v>
      </c>
      <c r="J87" s="444"/>
      <c r="K87" s="444"/>
      <c r="L87" s="444"/>
      <c r="M87" s="444"/>
      <c r="N87" s="444"/>
      <c r="O87" s="444"/>
      <c r="P87" s="444"/>
      <c r="Q87" s="230"/>
      <c r="R87" s="230"/>
      <c r="S87" s="230"/>
      <c r="T87" s="230"/>
      <c r="U87" s="230"/>
      <c r="V87" s="230"/>
      <c r="W87" s="230"/>
      <c r="X87" s="230"/>
      <c r="Y87" s="230"/>
      <c r="Z87" s="230"/>
      <c r="AA87" s="230"/>
      <c r="AB87" s="230"/>
      <c r="AC87" s="230"/>
      <c r="AD87" s="230"/>
      <c r="AE87" s="230"/>
      <c r="AF87" s="230"/>
      <c r="AG87" s="230"/>
      <c r="AH87" s="230"/>
      <c r="AI87" s="230"/>
      <c r="AJ87" s="230"/>
      <c r="AK87" s="230"/>
      <c r="AL87" s="230"/>
      <c r="AM87" s="230"/>
      <c r="AN87" s="230"/>
      <c r="AO87" s="230"/>
      <c r="AP87" s="230"/>
      <c r="AQ87" s="230"/>
      <c r="AR87" s="230"/>
      <c r="AS87" s="230"/>
      <c r="AT87" s="230"/>
      <c r="AU87" s="230"/>
    </row>
    <row r="88" spans="1:66" ht="18.75" customHeight="1">
      <c r="B88" s="230"/>
      <c r="C88" s="450" t="s">
        <v>576</v>
      </c>
      <c r="D88" s="450"/>
      <c r="E88" s="450"/>
      <c r="F88" s="450"/>
      <c r="G88" s="450"/>
      <c r="H88" s="450"/>
      <c r="I88" s="317"/>
      <c r="J88" s="317"/>
      <c r="K88" s="230"/>
      <c r="L88" s="230"/>
      <c r="N88" s="444">
        <f>AG58</f>
        <v>-1</v>
      </c>
      <c r="O88" s="444"/>
      <c r="R88" s="230"/>
      <c r="S88" s="230"/>
      <c r="T88" s="230"/>
      <c r="U88" s="230"/>
      <c r="V88" s="230"/>
      <c r="W88" s="230"/>
      <c r="X88" s="230"/>
      <c r="Y88" s="230"/>
      <c r="Z88" s="230"/>
      <c r="AA88" s="230"/>
      <c r="AB88" s="230"/>
      <c r="AC88" s="230"/>
      <c r="AD88" s="230"/>
      <c r="AE88" s="230"/>
      <c r="AF88" s="230"/>
      <c r="AG88" s="230"/>
      <c r="AH88" s="230"/>
      <c r="AI88" s="230"/>
      <c r="AJ88" s="230"/>
      <c r="AK88" s="230"/>
      <c r="AL88" s="230"/>
      <c r="AM88" s="230"/>
      <c r="AN88" s="230"/>
      <c r="AO88" s="230"/>
      <c r="AP88" s="230"/>
      <c r="AQ88" s="230"/>
      <c r="AR88" s="230"/>
      <c r="AS88" s="230"/>
      <c r="AT88" s="230"/>
      <c r="AU88" s="230"/>
    </row>
    <row r="89" spans="1:66" ht="18.75" customHeight="1">
      <c r="B89" s="230"/>
      <c r="C89" s="450"/>
      <c r="D89" s="450"/>
      <c r="E89" s="450"/>
      <c r="F89" s="450"/>
      <c r="G89" s="450"/>
      <c r="H89" s="450"/>
      <c r="I89" s="319"/>
      <c r="J89" s="319"/>
      <c r="K89" s="230"/>
      <c r="L89" s="230"/>
      <c r="N89" s="444"/>
      <c r="O89" s="444"/>
      <c r="R89" s="230"/>
      <c r="S89" s="230"/>
      <c r="T89" s="230"/>
      <c r="U89" s="230"/>
      <c r="V89" s="230"/>
      <c r="W89" s="230"/>
      <c r="X89" s="230"/>
      <c r="Y89" s="230"/>
      <c r="Z89" s="230"/>
      <c r="AA89" s="230"/>
      <c r="AB89" s="230"/>
      <c r="AC89" s="230"/>
      <c r="AD89" s="230"/>
      <c r="AE89" s="230"/>
      <c r="AF89" s="230"/>
      <c r="AG89" s="230"/>
      <c r="AH89" s="230"/>
      <c r="AI89" s="230"/>
      <c r="AJ89" s="230"/>
      <c r="AK89" s="230"/>
      <c r="AL89" s="230"/>
      <c r="AM89" s="230"/>
      <c r="AN89" s="230"/>
      <c r="AO89" s="230"/>
      <c r="AP89" s="230"/>
      <c r="AQ89" s="230"/>
      <c r="AR89" s="230"/>
      <c r="AS89" s="230"/>
      <c r="AT89" s="230"/>
      <c r="AU89" s="230"/>
    </row>
    <row r="90" spans="1:66" ht="18.75" customHeight="1">
      <c r="B90" s="230"/>
      <c r="C90" s="230" t="s">
        <v>577</v>
      </c>
      <c r="D90" s="230"/>
      <c r="E90" s="230"/>
      <c r="F90" s="230"/>
      <c r="G90" s="230"/>
      <c r="H90" s="230"/>
      <c r="I90" s="230"/>
      <c r="J90" s="230"/>
      <c r="K90" s="318" t="s">
        <v>578</v>
      </c>
      <c r="L90" s="445">
        <f>N88</f>
        <v>-1</v>
      </c>
      <c r="M90" s="445"/>
      <c r="N90" s="317" t="s">
        <v>579</v>
      </c>
      <c r="O90" s="446">
        <f>X85</f>
        <v>0</v>
      </c>
      <c r="P90" s="446"/>
      <c r="Q90" s="446"/>
      <c r="R90" s="447" t="str">
        <f>AA85</f>
        <v>μm</v>
      </c>
      <c r="S90" s="448"/>
      <c r="T90" s="318" t="s">
        <v>79</v>
      </c>
      <c r="U90" s="72" t="s">
        <v>580</v>
      </c>
      <c r="V90" s="446">
        <f>O90</f>
        <v>0</v>
      </c>
      <c r="W90" s="446"/>
      <c r="X90" s="446"/>
      <c r="Y90" s="447" t="str">
        <f>R90</f>
        <v>μm</v>
      </c>
      <c r="Z90" s="448"/>
      <c r="AA90" s="320"/>
      <c r="AB90" s="230"/>
      <c r="AC90" s="230"/>
      <c r="AD90" s="230"/>
      <c r="AE90" s="230"/>
      <c r="AF90" s="230"/>
      <c r="AP90" s="230"/>
      <c r="AQ90" s="230"/>
      <c r="AR90" s="230"/>
      <c r="AS90" s="230"/>
      <c r="AT90" s="230"/>
      <c r="AU90" s="230"/>
      <c r="AV90" s="230"/>
    </row>
    <row r="91" spans="1:66" ht="18.75" customHeight="1">
      <c r="B91" s="230"/>
      <c r="C91" s="230" t="s">
        <v>581</v>
      </c>
      <c r="D91" s="230"/>
      <c r="E91" s="230"/>
      <c r="F91" s="230"/>
      <c r="G91" s="230"/>
      <c r="H91" s="230"/>
      <c r="I91" s="109" t="s">
        <v>582</v>
      </c>
      <c r="J91" s="109"/>
      <c r="K91" s="109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230"/>
      <c r="AB91" s="230"/>
      <c r="AC91" s="230"/>
      <c r="AD91" s="230"/>
      <c r="AE91" s="230"/>
      <c r="AF91" s="230"/>
    </row>
    <row r="92" spans="1:66" ht="18.75" customHeight="1">
      <c r="B92" s="230"/>
      <c r="C92" s="230"/>
      <c r="D92" s="230"/>
      <c r="E92" s="230"/>
      <c r="F92" s="230"/>
      <c r="G92" s="230"/>
      <c r="H92" s="230"/>
      <c r="I92" s="109"/>
      <c r="J92" s="96"/>
      <c r="K92" s="109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230"/>
      <c r="AB92" s="230"/>
      <c r="AC92" s="230"/>
      <c r="AD92" s="230"/>
      <c r="AE92" s="230"/>
      <c r="AF92" s="230"/>
    </row>
    <row r="93" spans="1:66" s="138" customFormat="1" ht="18.75" customHeight="1">
      <c r="A93" s="221"/>
      <c r="B93" s="57" t="str">
        <f>"3. "&amp;N5&amp;"와 "&amp;T5&amp;"의 평균 열팽창계수에 의한 표준불확도,"</f>
        <v>3. 측정현미경와 표준자의 평균 열팽창계수에 의한 표준불확도,</v>
      </c>
      <c r="C93" s="224"/>
      <c r="D93" s="224"/>
      <c r="E93" s="224"/>
      <c r="F93" s="224"/>
      <c r="G93" s="224"/>
      <c r="H93" s="224"/>
      <c r="I93" s="224"/>
      <c r="J93" s="224"/>
      <c r="K93" s="224"/>
      <c r="L93" s="224"/>
      <c r="M93" s="224"/>
      <c r="N93" s="224"/>
      <c r="O93" s="224"/>
      <c r="P93" s="224"/>
      <c r="Q93" s="224"/>
      <c r="R93" s="224"/>
      <c r="S93" s="224"/>
      <c r="T93" s="224"/>
      <c r="U93" s="224"/>
      <c r="V93" s="224"/>
      <c r="W93" s="224"/>
      <c r="X93" s="224"/>
      <c r="Y93" s="224"/>
      <c r="Z93" s="224"/>
      <c r="AA93" s="224"/>
      <c r="AB93" s="224"/>
      <c r="AC93" s="224"/>
      <c r="AD93" s="224"/>
      <c r="AE93" s="224"/>
      <c r="AF93" s="224"/>
      <c r="AG93" s="224"/>
      <c r="AH93" s="224"/>
      <c r="AI93" s="224"/>
      <c r="AJ93" s="224"/>
      <c r="AK93" s="224"/>
      <c r="AL93" s="221"/>
      <c r="AM93" s="221"/>
      <c r="AN93" s="221"/>
      <c r="AO93" s="221"/>
      <c r="AP93" s="221"/>
      <c r="AQ93" s="221"/>
      <c r="AR93" s="221"/>
      <c r="AS93" s="221"/>
      <c r="AT93" s="221"/>
      <c r="AU93" s="221"/>
      <c r="AV93" s="221"/>
      <c r="AW93" s="221"/>
      <c r="AX93" s="221"/>
      <c r="AY93" s="224"/>
      <c r="AZ93" s="224"/>
      <c r="BA93" s="224"/>
      <c r="BB93" s="224"/>
      <c r="BC93" s="224"/>
      <c r="BD93" s="224"/>
      <c r="BE93" s="224"/>
      <c r="BF93" s="224"/>
      <c r="BG93" s="58"/>
      <c r="BH93" s="58"/>
      <c r="BI93" s="58"/>
      <c r="BJ93" s="58"/>
      <c r="BK93" s="58"/>
      <c r="BL93" s="58"/>
      <c r="BM93" s="58"/>
    </row>
    <row r="94" spans="1:66" s="138" customFormat="1" ht="18.75" customHeight="1">
      <c r="A94" s="221"/>
      <c r="B94" s="57"/>
      <c r="C94" s="224" t="str">
        <f>"※ "&amp;N5&amp;"와 "&amp;T5&amp;"의 평균 열팽창계수 :"</f>
        <v>※ 측정현미경와 표준자의 평균 열팽창계수 :</v>
      </c>
      <c r="D94" s="224"/>
      <c r="E94" s="224"/>
      <c r="F94" s="224"/>
      <c r="G94" s="224"/>
      <c r="H94" s="224"/>
      <c r="I94" s="224"/>
      <c r="J94" s="224"/>
      <c r="K94" s="224"/>
      <c r="L94" s="224"/>
      <c r="M94" s="224"/>
      <c r="N94" s="224"/>
      <c r="O94" s="224"/>
      <c r="P94" s="224"/>
      <c r="Q94" s="224"/>
      <c r="R94" s="224"/>
      <c r="S94" s="224"/>
      <c r="T94" s="224"/>
      <c r="U94" s="224"/>
      <c r="V94" s="139"/>
      <c r="W94" s="59"/>
      <c r="X94" s="224"/>
      <c r="Y94" s="59"/>
      <c r="Z94" s="221"/>
      <c r="AA94" s="224"/>
      <c r="AB94" s="221"/>
      <c r="AC94" s="221"/>
      <c r="AD94" s="232"/>
      <c r="AE94" s="221"/>
      <c r="AF94" s="221"/>
      <c r="AG94" s="224"/>
      <c r="AH94" s="224"/>
      <c r="AI94" s="224"/>
      <c r="AJ94" s="224"/>
      <c r="AK94" s="224"/>
      <c r="AL94" s="224"/>
      <c r="AM94" s="224"/>
      <c r="AN94" s="224"/>
      <c r="AO94" s="221"/>
      <c r="AP94" s="221"/>
      <c r="AQ94" s="221"/>
      <c r="AR94" s="221"/>
      <c r="AS94" s="221"/>
      <c r="AT94" s="221"/>
      <c r="AU94" s="221"/>
      <c r="AV94" s="221"/>
      <c r="AW94" s="221"/>
      <c r="AX94" s="221"/>
      <c r="AY94" s="224"/>
      <c r="AZ94" s="224"/>
      <c r="BA94" s="224"/>
      <c r="BB94" s="224"/>
      <c r="BC94" s="224"/>
      <c r="BD94" s="224"/>
      <c r="BE94" s="224"/>
      <c r="BF94" s="224"/>
      <c r="BG94" s="58"/>
      <c r="BH94" s="58"/>
      <c r="BI94" s="58"/>
      <c r="BJ94" s="58"/>
      <c r="BK94" s="58"/>
      <c r="BL94" s="58"/>
      <c r="BM94" s="58"/>
    </row>
    <row r="95" spans="1:66" s="138" customFormat="1" ht="18.75" customHeight="1">
      <c r="B95" s="221"/>
      <c r="C95" s="226" t="s">
        <v>376</v>
      </c>
      <c r="D95" s="221"/>
      <c r="E95" s="221"/>
      <c r="F95" s="221"/>
      <c r="G95" s="221"/>
      <c r="H95" s="476" t="e">
        <f ca="1">H59*10^6</f>
        <v>#N/A</v>
      </c>
      <c r="I95" s="476"/>
      <c r="J95" s="476"/>
      <c r="K95" s="220" t="s">
        <v>377</v>
      </c>
      <c r="L95" s="221"/>
      <c r="M95" s="221"/>
      <c r="N95" s="220"/>
      <c r="O95" s="220"/>
      <c r="P95" s="220"/>
      <c r="Q95" s="224"/>
      <c r="R95" s="224"/>
      <c r="S95" s="224"/>
      <c r="T95" s="224"/>
      <c r="U95" s="224"/>
      <c r="V95" s="224"/>
      <c r="W95" s="224"/>
      <c r="X95" s="224"/>
      <c r="Y95" s="224"/>
      <c r="Z95" s="224"/>
      <c r="AA95" s="224"/>
      <c r="AB95" s="224"/>
      <c r="AC95" s="224"/>
      <c r="AD95" s="224"/>
      <c r="AE95" s="224"/>
      <c r="AF95" s="59"/>
      <c r="AG95" s="224"/>
      <c r="AH95" s="224"/>
      <c r="AI95" s="224"/>
      <c r="AJ95" s="224"/>
      <c r="AK95" s="224"/>
      <c r="AL95" s="224"/>
      <c r="AM95" s="221"/>
      <c r="AN95" s="221"/>
      <c r="AO95" s="221"/>
      <c r="AP95" s="221"/>
      <c r="AQ95" s="221"/>
      <c r="AR95" s="221"/>
      <c r="AS95" s="221"/>
      <c r="AT95" s="221"/>
      <c r="AU95" s="221"/>
      <c r="AV95" s="221"/>
      <c r="AW95" s="221"/>
      <c r="AX95" s="221"/>
      <c r="AY95" s="221"/>
      <c r="AZ95" s="224"/>
      <c r="BA95" s="224"/>
      <c r="BB95" s="224"/>
      <c r="BC95" s="224"/>
      <c r="BD95" s="224"/>
      <c r="BE95" s="224"/>
      <c r="BF95" s="224"/>
      <c r="BG95" s="224"/>
      <c r="BH95" s="58"/>
      <c r="BI95" s="58"/>
      <c r="BJ95" s="58"/>
      <c r="BK95" s="58"/>
      <c r="BL95" s="58"/>
      <c r="BM95" s="58"/>
    </row>
    <row r="96" spans="1:66" s="138" customFormat="1" ht="18.75" customHeight="1">
      <c r="B96" s="221"/>
      <c r="C96" s="450" t="s">
        <v>378</v>
      </c>
      <c r="D96" s="450"/>
      <c r="E96" s="450"/>
      <c r="F96" s="450"/>
      <c r="G96" s="450"/>
      <c r="H96" s="450"/>
      <c r="I96" s="450"/>
      <c r="J96" s="444" t="s">
        <v>379</v>
      </c>
      <c r="K96" s="444"/>
      <c r="L96" s="444"/>
      <c r="M96" s="444"/>
      <c r="N96" s="444"/>
      <c r="O96" s="444"/>
      <c r="P96" s="444"/>
      <c r="Q96" s="444"/>
      <c r="R96" s="444"/>
      <c r="S96" s="444"/>
      <c r="T96" s="444"/>
      <c r="U96" s="444"/>
      <c r="V96" s="444"/>
      <c r="W96" s="444"/>
      <c r="X96" s="224"/>
      <c r="Y96" s="224"/>
      <c r="Z96" s="224"/>
      <c r="AA96" s="224"/>
      <c r="AB96" s="224"/>
      <c r="AC96" s="224"/>
      <c r="AD96" s="224"/>
      <c r="AE96" s="224"/>
      <c r="AF96" s="224"/>
      <c r="AG96" s="224"/>
      <c r="AH96" s="224"/>
      <c r="AI96" s="224"/>
      <c r="AJ96" s="224"/>
      <c r="AK96" s="221"/>
      <c r="AL96" s="221"/>
      <c r="AM96" s="221"/>
      <c r="AN96" s="224"/>
      <c r="AO96" s="224"/>
      <c r="AP96" s="224"/>
      <c r="AQ96" s="224"/>
      <c r="AR96" s="224"/>
      <c r="AS96" s="224"/>
      <c r="AT96" s="224"/>
      <c r="AU96" s="224"/>
      <c r="AV96" s="224"/>
      <c r="AW96" s="224"/>
      <c r="AX96" s="224"/>
      <c r="AY96" s="224"/>
      <c r="AZ96" s="224"/>
      <c r="BA96" s="224"/>
      <c r="BB96" s="224"/>
      <c r="BC96" s="224"/>
      <c r="BD96" s="224"/>
      <c r="BE96" s="224"/>
      <c r="BF96" s="224"/>
      <c r="BG96" s="224"/>
      <c r="BH96" s="58"/>
      <c r="BI96" s="58"/>
      <c r="BJ96" s="58"/>
      <c r="BK96" s="58"/>
      <c r="BL96" s="58"/>
      <c r="BM96" s="58"/>
      <c r="BN96" s="58"/>
    </row>
    <row r="97" spans="2:83" s="138" customFormat="1" ht="18.75" customHeight="1">
      <c r="B97" s="221"/>
      <c r="C97" s="450"/>
      <c r="D97" s="450"/>
      <c r="E97" s="450"/>
      <c r="F97" s="450"/>
      <c r="G97" s="450"/>
      <c r="H97" s="450"/>
      <c r="I97" s="450"/>
      <c r="J97" s="444"/>
      <c r="K97" s="444"/>
      <c r="L97" s="444"/>
      <c r="M97" s="444"/>
      <c r="N97" s="444"/>
      <c r="O97" s="444"/>
      <c r="P97" s="444"/>
      <c r="Q97" s="444"/>
      <c r="R97" s="444"/>
      <c r="S97" s="444"/>
      <c r="T97" s="444"/>
      <c r="U97" s="444"/>
      <c r="V97" s="444"/>
      <c r="W97" s="444"/>
      <c r="X97" s="224"/>
      <c r="Y97" s="224"/>
      <c r="Z97" s="224"/>
      <c r="AA97" s="224"/>
      <c r="AB97" s="224"/>
      <c r="AC97" s="224"/>
      <c r="AD97" s="224"/>
      <c r="AE97" s="224"/>
      <c r="AF97" s="221"/>
      <c r="AG97" s="224"/>
      <c r="AH97" s="224"/>
      <c r="AI97" s="224"/>
      <c r="AJ97" s="224"/>
      <c r="AK97" s="221"/>
      <c r="AL97" s="221"/>
      <c r="AM97" s="221"/>
      <c r="AN97" s="224"/>
      <c r="AO97" s="224"/>
      <c r="AP97" s="224"/>
      <c r="AQ97" s="224"/>
      <c r="AR97" s="224"/>
      <c r="AS97" s="221"/>
      <c r="AT97" s="224"/>
      <c r="AU97" s="224"/>
      <c r="AV97" s="224"/>
      <c r="AW97" s="224"/>
      <c r="AX97" s="224"/>
      <c r="AY97" s="224"/>
      <c r="AZ97" s="224"/>
      <c r="BA97" s="224"/>
      <c r="BB97" s="224"/>
      <c r="BC97" s="224"/>
      <c r="BD97" s="224"/>
      <c r="BE97" s="224"/>
      <c r="BF97" s="224"/>
      <c r="BG97" s="224"/>
      <c r="BH97" s="58"/>
      <c r="BI97" s="58"/>
      <c r="BJ97" s="58"/>
      <c r="BK97" s="58"/>
      <c r="BL97" s="58"/>
      <c r="BM97" s="58"/>
      <c r="BN97" s="58"/>
    </row>
    <row r="98" spans="2:83" s="138" customFormat="1" ht="18.75" customHeight="1">
      <c r="B98" s="221"/>
      <c r="C98" s="224"/>
      <c r="D98" s="224"/>
      <c r="E98" s="224"/>
      <c r="F98" s="224"/>
      <c r="G98" s="224"/>
      <c r="H98" s="224"/>
      <c r="I98" s="221"/>
      <c r="J98" s="444" t="s">
        <v>380</v>
      </c>
      <c r="K98" s="444"/>
      <c r="L98" s="444"/>
      <c r="M98" s="444"/>
      <c r="N98" s="444"/>
      <c r="O98" s="444"/>
      <c r="P98" s="444"/>
      <c r="Q98" s="444"/>
      <c r="R98" s="444"/>
      <c r="S98" s="444"/>
      <c r="T98" s="444"/>
      <c r="U98" s="444"/>
      <c r="V98" s="444"/>
      <c r="W98" s="444"/>
      <c r="X98" s="444"/>
      <c r="Y98" s="444"/>
      <c r="Z98" s="444"/>
      <c r="AA98" s="507" t="s">
        <v>381</v>
      </c>
      <c r="AB98" s="507"/>
      <c r="AC98" s="507"/>
      <c r="AD98" s="507"/>
      <c r="AE98" s="507"/>
      <c r="AF98" s="461" t="s">
        <v>375</v>
      </c>
      <c r="AG98" s="444" t="s">
        <v>382</v>
      </c>
      <c r="AH98" s="444"/>
      <c r="AI98" s="444"/>
      <c r="AJ98" s="444"/>
      <c r="AK98" s="444"/>
      <c r="AL98" s="444"/>
      <c r="AM98" s="221"/>
      <c r="AN98" s="224"/>
      <c r="AO98" s="224"/>
      <c r="AP98" s="224"/>
      <c r="AQ98" s="224"/>
      <c r="AR98" s="224"/>
      <c r="AS98" s="221"/>
      <c r="AT98" s="224"/>
      <c r="AU98" s="224"/>
      <c r="AV98" s="224"/>
      <c r="AW98" s="224"/>
      <c r="AX98" s="224"/>
      <c r="AY98" s="224"/>
      <c r="AZ98" s="224"/>
      <c r="BA98" s="224"/>
      <c r="BB98" s="224"/>
      <c r="BC98" s="224"/>
      <c r="BD98" s="224"/>
      <c r="BE98" s="224"/>
      <c r="BF98" s="224"/>
      <c r="BG98" s="224"/>
      <c r="BH98" s="58"/>
      <c r="BI98" s="58"/>
      <c r="BJ98" s="58"/>
      <c r="BK98" s="58"/>
      <c r="BL98" s="58"/>
      <c r="BM98" s="58"/>
      <c r="BN98" s="58"/>
    </row>
    <row r="99" spans="2:83" s="138" customFormat="1" ht="18.75" customHeight="1">
      <c r="B99" s="221"/>
      <c r="C99" s="224"/>
      <c r="D99" s="224"/>
      <c r="E99" s="224"/>
      <c r="F99" s="224"/>
      <c r="G99" s="224"/>
      <c r="H99" s="224"/>
      <c r="I99" s="221"/>
      <c r="J99" s="444"/>
      <c r="K99" s="444"/>
      <c r="L99" s="444"/>
      <c r="M99" s="444"/>
      <c r="N99" s="444"/>
      <c r="O99" s="444"/>
      <c r="P99" s="444"/>
      <c r="Q99" s="444"/>
      <c r="R99" s="444"/>
      <c r="S99" s="444"/>
      <c r="T99" s="444"/>
      <c r="U99" s="444"/>
      <c r="V99" s="444"/>
      <c r="W99" s="444"/>
      <c r="X99" s="444"/>
      <c r="Y99" s="444"/>
      <c r="Z99" s="444"/>
      <c r="AA99" s="224"/>
      <c r="AB99" s="221"/>
      <c r="AC99" s="221"/>
      <c r="AD99" s="221"/>
      <c r="AE99" s="221"/>
      <c r="AF99" s="461"/>
      <c r="AG99" s="444"/>
      <c r="AH99" s="444"/>
      <c r="AI99" s="444"/>
      <c r="AJ99" s="444"/>
      <c r="AK99" s="444"/>
      <c r="AL99" s="444"/>
      <c r="AM99" s="221"/>
      <c r="AN99" s="224"/>
      <c r="AO99" s="224"/>
      <c r="AP99" s="224"/>
      <c r="AQ99" s="224"/>
      <c r="AR99" s="224"/>
      <c r="AS99" s="224"/>
      <c r="AT99" s="224"/>
      <c r="AU99" s="224"/>
      <c r="AV99" s="224"/>
      <c r="AW99" s="224"/>
      <c r="AX99" s="224"/>
      <c r="AY99" s="224"/>
      <c r="AZ99" s="224"/>
      <c r="BA99" s="224"/>
      <c r="BB99" s="224"/>
      <c r="BC99" s="224"/>
      <c r="BD99" s="224"/>
      <c r="BE99" s="224"/>
      <c r="BF99" s="224"/>
      <c r="BG99" s="224"/>
      <c r="BH99" s="58"/>
      <c r="BI99" s="58"/>
      <c r="BJ99" s="58"/>
      <c r="BK99" s="58"/>
      <c r="BL99" s="58"/>
      <c r="BM99" s="58"/>
      <c r="BN99" s="58"/>
    </row>
    <row r="100" spans="2:83" s="138" customFormat="1" ht="18.75" customHeight="1">
      <c r="B100" s="221"/>
      <c r="C100" s="224"/>
      <c r="D100" s="224"/>
      <c r="E100" s="224"/>
      <c r="F100" s="224"/>
      <c r="G100" s="224"/>
      <c r="H100" s="224"/>
      <c r="I100" s="224"/>
      <c r="J100" s="221"/>
      <c r="K100" s="226" t="s">
        <v>383</v>
      </c>
      <c r="L100" s="226"/>
      <c r="M100" s="226"/>
      <c r="N100" s="226"/>
      <c r="O100" s="226"/>
      <c r="P100" s="226"/>
      <c r="Q100" s="226"/>
      <c r="R100" s="226"/>
      <c r="S100" s="224"/>
      <c r="T100" s="224"/>
      <c r="U100" s="224"/>
      <c r="V100" s="224"/>
      <c r="W100" s="224"/>
      <c r="X100" s="224"/>
      <c r="Y100" s="224"/>
      <c r="Z100" s="224"/>
      <c r="AA100" s="224"/>
      <c r="AB100" s="224"/>
      <c r="AC100" s="224"/>
      <c r="AD100" s="224"/>
      <c r="AE100" s="224"/>
      <c r="AF100" s="224"/>
      <c r="AG100" s="221"/>
      <c r="AH100" s="224"/>
      <c r="AI100" s="224"/>
      <c r="AJ100" s="224"/>
      <c r="AK100" s="221"/>
      <c r="AL100" s="221"/>
      <c r="AM100" s="221"/>
      <c r="AN100" s="221"/>
      <c r="AO100" s="224"/>
      <c r="AP100" s="224"/>
      <c r="AQ100" s="224"/>
      <c r="AR100" s="224"/>
      <c r="AS100" s="224"/>
      <c r="AT100" s="224"/>
      <c r="AU100" s="224"/>
      <c r="AV100" s="224"/>
      <c r="AW100" s="224"/>
      <c r="AX100" s="224"/>
      <c r="AY100" s="224"/>
      <c r="AZ100" s="224"/>
      <c r="BA100" s="224"/>
      <c r="BB100" s="224"/>
      <c r="BC100" s="224"/>
      <c r="BD100" s="224"/>
      <c r="BE100" s="224"/>
      <c r="BF100" s="224"/>
      <c r="BG100" s="224"/>
      <c r="BH100" s="221"/>
      <c r="BN100" s="58"/>
      <c r="BO100" s="58"/>
      <c r="BP100" s="58"/>
      <c r="BQ100" s="58"/>
      <c r="BR100" s="58"/>
      <c r="BS100" s="58"/>
      <c r="BX100" s="58"/>
      <c r="CE100" s="58"/>
    </row>
    <row r="101" spans="2:83" s="138" customFormat="1" ht="18.75" customHeight="1">
      <c r="B101" s="221"/>
      <c r="C101" s="224"/>
      <c r="D101" s="224"/>
      <c r="E101" s="224"/>
      <c r="F101" s="224"/>
      <c r="G101" s="224"/>
      <c r="H101" s="224"/>
      <c r="I101" s="224"/>
      <c r="J101" s="109"/>
      <c r="K101" s="109"/>
      <c r="L101" s="109"/>
      <c r="M101" s="221"/>
      <c r="N101" s="109"/>
      <c r="O101" s="109"/>
      <c r="P101" s="109"/>
      <c r="Q101" s="109"/>
      <c r="R101" s="109"/>
      <c r="S101" s="109"/>
      <c r="T101" s="109"/>
      <c r="U101" s="109"/>
      <c r="V101" s="221"/>
      <c r="W101" s="140"/>
      <c r="X101" s="140"/>
      <c r="Y101" s="140"/>
      <c r="Z101" s="221"/>
      <c r="AF101" s="221"/>
      <c r="AG101" s="444" t="s">
        <v>384</v>
      </c>
      <c r="AH101" s="444"/>
      <c r="AI101" s="444"/>
      <c r="AJ101" s="444"/>
      <c r="AK101" s="444"/>
      <c r="AL101" s="141"/>
      <c r="AM101" s="141"/>
      <c r="AN101" s="221"/>
      <c r="AO101" s="221"/>
      <c r="AP101" s="221"/>
      <c r="AQ101" s="221"/>
      <c r="AR101" s="221"/>
      <c r="AS101" s="224"/>
      <c r="AT101" s="224"/>
      <c r="AU101" s="221"/>
      <c r="AV101" s="221"/>
      <c r="AW101" s="221"/>
      <c r="AX101" s="221"/>
      <c r="AY101" s="221"/>
      <c r="AZ101" s="224"/>
      <c r="BA101" s="224"/>
      <c r="BB101" s="224"/>
      <c r="BC101" s="224"/>
      <c r="BD101" s="224"/>
      <c r="BE101" s="224"/>
      <c r="BF101" s="224"/>
      <c r="BG101" s="224"/>
      <c r="BH101" s="221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CE101" s="58"/>
    </row>
    <row r="102" spans="2:83" s="138" customFormat="1" ht="18.75" customHeight="1">
      <c r="B102" s="221"/>
      <c r="C102" s="224"/>
      <c r="D102" s="224"/>
      <c r="E102" s="224"/>
      <c r="F102" s="224"/>
      <c r="G102" s="224"/>
      <c r="H102" s="224"/>
      <c r="I102" s="224"/>
      <c r="J102" s="109"/>
      <c r="K102" s="109"/>
      <c r="L102" s="109"/>
      <c r="M102" s="221"/>
      <c r="N102" s="109"/>
      <c r="O102" s="109"/>
      <c r="P102" s="109"/>
      <c r="Q102" s="109"/>
      <c r="R102" s="109"/>
      <c r="S102" s="109"/>
      <c r="T102" s="109"/>
      <c r="U102" s="109"/>
      <c r="V102" s="221"/>
      <c r="W102" s="140"/>
      <c r="X102" s="140"/>
      <c r="Y102" s="140"/>
      <c r="Z102" s="221"/>
      <c r="AF102" s="221"/>
      <c r="AG102" s="444"/>
      <c r="AH102" s="444"/>
      <c r="AI102" s="444"/>
      <c r="AJ102" s="444"/>
      <c r="AK102" s="444"/>
      <c r="AL102" s="141"/>
      <c r="AM102" s="141"/>
      <c r="AN102" s="221"/>
      <c r="AO102" s="221"/>
      <c r="AP102" s="221"/>
      <c r="AQ102" s="221"/>
      <c r="AR102" s="221"/>
      <c r="AS102" s="224"/>
      <c r="AT102" s="224"/>
      <c r="AU102" s="221"/>
      <c r="AV102" s="221"/>
      <c r="AW102" s="221"/>
      <c r="AX102" s="221"/>
      <c r="AY102" s="221"/>
      <c r="AZ102" s="224"/>
      <c r="BA102" s="224"/>
      <c r="BB102" s="224"/>
      <c r="BC102" s="224"/>
      <c r="BD102" s="224"/>
      <c r="BE102" s="224"/>
      <c r="BF102" s="224"/>
      <c r="BG102" s="224"/>
      <c r="BH102" s="224"/>
      <c r="BI102" s="58"/>
      <c r="BJ102" s="58"/>
      <c r="BK102" s="58"/>
      <c r="BL102" s="58"/>
      <c r="BM102" s="58"/>
    </row>
    <row r="103" spans="2:83" s="138" customFormat="1" ht="18.75" customHeight="1">
      <c r="B103" s="221"/>
      <c r="C103" s="224" t="s">
        <v>385</v>
      </c>
      <c r="D103" s="224"/>
      <c r="E103" s="224"/>
      <c r="F103" s="224"/>
      <c r="G103" s="224"/>
      <c r="H103" s="224"/>
      <c r="I103" s="444" t="str">
        <f>AB59</f>
        <v>삼각형</v>
      </c>
      <c r="J103" s="444"/>
      <c r="K103" s="444"/>
      <c r="L103" s="444"/>
      <c r="M103" s="444"/>
      <c r="N103" s="444"/>
      <c r="O103" s="444"/>
      <c r="P103" s="444"/>
      <c r="Q103" s="224"/>
      <c r="R103" s="224"/>
      <c r="S103" s="224"/>
      <c r="T103" s="224"/>
      <c r="U103" s="224"/>
      <c r="V103" s="224"/>
      <c r="W103" s="224"/>
      <c r="X103" s="224"/>
      <c r="Y103" s="224"/>
      <c r="Z103" s="221"/>
      <c r="AA103" s="221"/>
      <c r="AB103" s="221"/>
      <c r="AC103" s="221"/>
      <c r="AD103" s="221"/>
      <c r="AE103" s="221"/>
      <c r="AF103" s="221"/>
      <c r="AG103" s="221"/>
      <c r="AH103" s="224"/>
      <c r="AI103" s="224"/>
      <c r="AJ103" s="224"/>
      <c r="AK103" s="224"/>
      <c r="AL103" s="224"/>
      <c r="AM103" s="224"/>
      <c r="AN103" s="224"/>
      <c r="AO103" s="224"/>
      <c r="AP103" s="224"/>
      <c r="AQ103" s="224"/>
      <c r="AR103" s="224"/>
      <c r="AS103" s="224"/>
      <c r="AT103" s="224"/>
      <c r="AU103" s="224"/>
      <c r="AV103" s="224"/>
      <c r="AW103" s="224"/>
      <c r="AX103" s="224"/>
      <c r="AY103" s="224"/>
      <c r="AZ103" s="224"/>
      <c r="BA103" s="224"/>
      <c r="BB103" s="224"/>
      <c r="BC103" s="224"/>
      <c r="BD103" s="224"/>
      <c r="BE103" s="224"/>
      <c r="BF103" s="224"/>
      <c r="BG103" s="224"/>
      <c r="BH103" s="58"/>
      <c r="BI103" s="58"/>
      <c r="BJ103" s="58"/>
      <c r="BK103" s="58"/>
      <c r="BL103" s="58"/>
      <c r="BM103" s="58"/>
      <c r="BN103" s="58"/>
    </row>
    <row r="104" spans="2:83" s="138" customFormat="1" ht="18.75" customHeight="1">
      <c r="B104" s="221"/>
      <c r="C104" s="450" t="s">
        <v>386</v>
      </c>
      <c r="D104" s="450"/>
      <c r="E104" s="450"/>
      <c r="F104" s="450"/>
      <c r="G104" s="450"/>
      <c r="H104" s="450"/>
      <c r="I104" s="224"/>
      <c r="J104" s="224"/>
      <c r="K104" s="224"/>
      <c r="L104" s="224"/>
      <c r="M104" s="224"/>
      <c r="N104" s="224"/>
      <c r="O104" s="224"/>
      <c r="R104" s="449" t="e">
        <f>-H60</f>
        <v>#VALUE!</v>
      </c>
      <c r="S104" s="449"/>
      <c r="T104" s="450" t="s">
        <v>387</v>
      </c>
      <c r="U104" s="450"/>
      <c r="V104" s="450"/>
      <c r="W104" s="450"/>
      <c r="X104" s="450"/>
      <c r="Y104" s="450"/>
      <c r="Z104" s="461" t="s">
        <v>375</v>
      </c>
      <c r="AA104" s="448" t="e">
        <f>R104*1000</f>
        <v>#VALUE!</v>
      </c>
      <c r="AB104" s="448"/>
      <c r="AC104" s="450" t="s">
        <v>388</v>
      </c>
      <c r="AD104" s="450"/>
      <c r="AE104" s="450"/>
      <c r="AF104" s="450"/>
      <c r="AG104" s="450"/>
      <c r="AH104" s="224"/>
      <c r="AI104" s="224"/>
      <c r="AJ104" s="224"/>
      <c r="AK104" s="224"/>
      <c r="AL104" s="224"/>
      <c r="AM104" s="224"/>
      <c r="AN104" s="224"/>
      <c r="AO104" s="224"/>
      <c r="AP104" s="224"/>
      <c r="AQ104" s="221"/>
      <c r="AR104" s="221"/>
      <c r="AS104" s="221"/>
      <c r="AT104" s="221"/>
      <c r="AU104" s="221"/>
      <c r="AV104" s="221"/>
      <c r="AW104" s="221"/>
      <c r="AX104" s="221"/>
      <c r="AY104" s="221"/>
      <c r="AZ104" s="221"/>
    </row>
    <row r="105" spans="2:83" s="138" customFormat="1" ht="18.75" customHeight="1">
      <c r="B105" s="221"/>
      <c r="C105" s="450"/>
      <c r="D105" s="450"/>
      <c r="E105" s="450"/>
      <c r="F105" s="450"/>
      <c r="G105" s="450"/>
      <c r="H105" s="450"/>
      <c r="I105" s="224"/>
      <c r="J105" s="224"/>
      <c r="K105" s="224"/>
      <c r="L105" s="224"/>
      <c r="M105" s="224"/>
      <c r="N105" s="224"/>
      <c r="O105" s="224"/>
      <c r="R105" s="449"/>
      <c r="S105" s="449"/>
      <c r="T105" s="450"/>
      <c r="U105" s="450"/>
      <c r="V105" s="450"/>
      <c r="W105" s="450"/>
      <c r="X105" s="450"/>
      <c r="Y105" s="450"/>
      <c r="Z105" s="461"/>
      <c r="AA105" s="448"/>
      <c r="AB105" s="448"/>
      <c r="AC105" s="450"/>
      <c r="AD105" s="450"/>
      <c r="AE105" s="450"/>
      <c r="AF105" s="450"/>
      <c r="AG105" s="450"/>
      <c r="AH105" s="224"/>
      <c r="AI105" s="224"/>
      <c r="AJ105" s="224"/>
      <c r="AK105" s="224"/>
      <c r="AL105" s="224"/>
      <c r="AM105" s="224"/>
      <c r="AN105" s="224"/>
      <c r="AO105" s="224"/>
      <c r="AP105" s="224"/>
      <c r="AQ105" s="221"/>
      <c r="AR105" s="221"/>
      <c r="AS105" s="221"/>
      <c r="AT105" s="221"/>
      <c r="AU105" s="221"/>
      <c r="AV105" s="221"/>
      <c r="AW105" s="221"/>
      <c r="AX105" s="221"/>
      <c r="AY105" s="221"/>
      <c r="AZ105" s="221"/>
    </row>
    <row r="106" spans="2:83" s="138" customFormat="1" ht="18.75" customHeight="1">
      <c r="B106" s="221"/>
      <c r="C106" s="224" t="s">
        <v>389</v>
      </c>
      <c r="D106" s="224"/>
      <c r="E106" s="224"/>
      <c r="F106" s="224"/>
      <c r="G106" s="224"/>
      <c r="H106" s="224"/>
      <c r="I106" s="224"/>
      <c r="J106" s="221"/>
      <c r="K106" s="230" t="s">
        <v>391</v>
      </c>
      <c r="L106" s="449" t="e">
        <f>AA104</f>
        <v>#VALUE!</v>
      </c>
      <c r="M106" s="449"/>
      <c r="N106" s="141" t="s">
        <v>392</v>
      </c>
      <c r="O106" s="229"/>
      <c r="Q106" s="221"/>
      <c r="R106" s="221"/>
      <c r="S106" s="221"/>
      <c r="T106" s="221"/>
      <c r="U106" s="221"/>
      <c r="V106" s="221"/>
      <c r="W106" s="221"/>
      <c r="X106" s="221"/>
      <c r="Y106" s="221" t="s">
        <v>374</v>
      </c>
      <c r="Z106" s="221" t="s">
        <v>375</v>
      </c>
      <c r="AA106" s="452" t="e">
        <f>ABS(L106*O59)</f>
        <v>#VALUE!</v>
      </c>
      <c r="AB106" s="452"/>
      <c r="AC106" s="452"/>
      <c r="AD106" s="452"/>
      <c r="AE106" s="224" t="s">
        <v>393</v>
      </c>
      <c r="AF106" s="221"/>
      <c r="AG106" s="221"/>
      <c r="AH106" s="221"/>
      <c r="AJ106" s="229"/>
      <c r="AK106" s="229"/>
      <c r="AL106" s="224"/>
      <c r="AM106" s="224"/>
      <c r="AN106" s="224"/>
      <c r="AO106" s="224"/>
      <c r="AP106" s="221"/>
      <c r="AQ106" s="221"/>
      <c r="AR106" s="221"/>
      <c r="BA106" s="221"/>
      <c r="BB106" s="221"/>
      <c r="BC106" s="221"/>
      <c r="BD106" s="221"/>
      <c r="BE106" s="221"/>
      <c r="BF106" s="221"/>
      <c r="BG106" s="221"/>
      <c r="BH106" s="58"/>
      <c r="BI106" s="58"/>
      <c r="BP106" s="226"/>
      <c r="BQ106" s="204"/>
    </row>
    <row r="107" spans="2:83" s="138" customFormat="1" ht="18.75" customHeight="1">
      <c r="B107" s="221"/>
      <c r="C107" s="450" t="s">
        <v>394</v>
      </c>
      <c r="D107" s="450"/>
      <c r="E107" s="450"/>
      <c r="F107" s="450"/>
      <c r="G107" s="450"/>
      <c r="H107" s="224"/>
      <c r="J107" s="224"/>
      <c r="K107" s="224"/>
      <c r="L107" s="224"/>
      <c r="M107" s="224"/>
      <c r="N107" s="224"/>
      <c r="O107" s="224"/>
      <c r="P107" s="224"/>
      <c r="Q107" s="224"/>
      <c r="R107" s="141"/>
      <c r="S107" s="224"/>
      <c r="T107" s="224"/>
      <c r="U107" s="224"/>
      <c r="W107" s="224"/>
      <c r="X107" s="224"/>
      <c r="Y107" s="224"/>
      <c r="Z107" s="224"/>
      <c r="AA107" s="230" t="s">
        <v>395</v>
      </c>
      <c r="AB107" s="224"/>
      <c r="AC107" s="224"/>
      <c r="AD107" s="224"/>
      <c r="AE107" s="221"/>
      <c r="AF107" s="221"/>
      <c r="AH107" s="221"/>
      <c r="AI107" s="221"/>
      <c r="AJ107" s="221"/>
      <c r="AK107" s="221"/>
      <c r="AL107" s="230"/>
      <c r="AM107" s="221"/>
      <c r="AN107" s="219"/>
      <c r="AO107" s="219"/>
      <c r="AP107" s="219"/>
      <c r="AQ107" s="226"/>
      <c r="AR107" s="226"/>
      <c r="AS107" s="221"/>
      <c r="AT107" s="221"/>
      <c r="AU107" s="221"/>
      <c r="AV107" s="221"/>
      <c r="AW107" s="221"/>
      <c r="AX107" s="221"/>
      <c r="AY107" s="221"/>
      <c r="AZ107" s="221"/>
      <c r="BA107" s="221"/>
      <c r="BB107" s="221"/>
      <c r="BC107" s="221"/>
      <c r="BD107" s="221"/>
      <c r="BE107" s="221"/>
      <c r="BF107" s="221"/>
      <c r="BG107" s="221"/>
      <c r="BH107" s="58"/>
      <c r="BI107" s="58"/>
      <c r="BJ107" s="58"/>
      <c r="BK107" s="58"/>
      <c r="BL107" s="58"/>
    </row>
    <row r="108" spans="2:83" s="138" customFormat="1" ht="18.75" customHeight="1">
      <c r="B108" s="221"/>
      <c r="C108" s="450"/>
      <c r="D108" s="450"/>
      <c r="E108" s="450"/>
      <c r="F108" s="450"/>
      <c r="G108" s="450"/>
      <c r="H108" s="224"/>
      <c r="I108" s="224"/>
      <c r="J108" s="224"/>
      <c r="K108" s="224"/>
      <c r="L108" s="224"/>
      <c r="M108" s="224"/>
      <c r="N108" s="224"/>
      <c r="O108" s="224"/>
      <c r="P108" s="224"/>
      <c r="Q108" s="224"/>
      <c r="R108" s="141"/>
      <c r="S108" s="224"/>
      <c r="T108" s="224"/>
      <c r="U108" s="224"/>
      <c r="V108" s="224"/>
      <c r="W108" s="224"/>
      <c r="X108" s="224"/>
      <c r="Y108" s="224"/>
      <c r="Z108" s="224"/>
      <c r="AA108" s="224"/>
      <c r="AB108" s="224"/>
      <c r="AC108" s="224"/>
      <c r="AD108" s="224"/>
      <c r="AE108" s="221"/>
      <c r="AF108" s="221"/>
      <c r="AG108" s="221"/>
      <c r="AH108" s="221"/>
      <c r="AI108" s="221"/>
      <c r="AJ108" s="221"/>
      <c r="AK108" s="221"/>
      <c r="AL108" s="221"/>
      <c r="AM108" s="221"/>
      <c r="AN108" s="221"/>
      <c r="AO108" s="221"/>
      <c r="AP108" s="221"/>
      <c r="AQ108" s="221"/>
      <c r="AR108" s="221"/>
      <c r="AS108" s="221"/>
      <c r="AT108" s="221"/>
      <c r="AU108" s="221"/>
      <c r="AV108" s="221"/>
      <c r="AW108" s="221"/>
      <c r="AX108" s="221"/>
      <c r="AY108" s="221"/>
      <c r="AZ108" s="221"/>
      <c r="BA108" s="221"/>
      <c r="BB108" s="221"/>
      <c r="BC108" s="221"/>
      <c r="BD108" s="221"/>
      <c r="BE108" s="221"/>
      <c r="BF108" s="221"/>
      <c r="BG108" s="221"/>
      <c r="BH108" s="58"/>
      <c r="BI108" s="58"/>
      <c r="BJ108" s="58"/>
      <c r="BK108" s="58"/>
      <c r="BL108" s="58"/>
    </row>
    <row r="109" spans="2:83" s="138" customFormat="1" ht="18.75" customHeight="1">
      <c r="B109" s="221"/>
      <c r="C109" s="224"/>
      <c r="D109" s="224"/>
      <c r="E109" s="224"/>
      <c r="F109" s="224"/>
      <c r="G109" s="224"/>
      <c r="H109" s="224"/>
      <c r="I109" s="224"/>
      <c r="J109" s="224"/>
      <c r="K109" s="224"/>
      <c r="L109" s="224"/>
      <c r="M109" s="224"/>
      <c r="N109" s="224"/>
      <c r="O109" s="224"/>
      <c r="P109" s="224"/>
      <c r="Q109" s="224"/>
      <c r="R109" s="141"/>
      <c r="S109" s="224"/>
      <c r="T109" s="224"/>
      <c r="U109" s="224"/>
      <c r="V109" s="224"/>
      <c r="W109" s="224"/>
      <c r="X109" s="224"/>
      <c r="Y109" s="224"/>
      <c r="Z109" s="224"/>
      <c r="AA109" s="224"/>
      <c r="AB109" s="444">
        <v>100</v>
      </c>
      <c r="AC109" s="444"/>
      <c r="AD109" s="224"/>
      <c r="AE109" s="221"/>
      <c r="AF109" s="221"/>
      <c r="AG109" s="221"/>
      <c r="AH109" s="221"/>
      <c r="AI109" s="221"/>
      <c r="AJ109" s="221"/>
      <c r="AK109" s="221"/>
      <c r="AL109" s="221"/>
      <c r="AM109" s="221"/>
      <c r="AN109" s="221"/>
      <c r="AO109" s="221"/>
      <c r="AP109" s="221"/>
      <c r="AQ109" s="221"/>
      <c r="AR109" s="221"/>
      <c r="AS109" s="221"/>
      <c r="AT109" s="221"/>
      <c r="AU109" s="221"/>
      <c r="AV109" s="221"/>
      <c r="AW109" s="221"/>
      <c r="AX109" s="221"/>
      <c r="AY109" s="221"/>
      <c r="AZ109" s="221"/>
      <c r="BA109" s="221"/>
      <c r="BB109" s="221"/>
      <c r="BC109" s="221"/>
      <c r="BD109" s="221"/>
      <c r="BE109" s="221"/>
      <c r="BF109" s="221"/>
      <c r="BG109" s="221"/>
      <c r="BH109" s="58"/>
      <c r="BI109" s="58"/>
      <c r="BJ109" s="58"/>
      <c r="BK109" s="58"/>
      <c r="BL109" s="58"/>
    </row>
    <row r="110" spans="2:83" s="138" customFormat="1" ht="18.75" customHeight="1">
      <c r="B110" s="221"/>
      <c r="C110" s="224"/>
      <c r="D110" s="224"/>
      <c r="E110" s="224"/>
      <c r="F110" s="224"/>
      <c r="G110" s="224"/>
      <c r="H110" s="224"/>
      <c r="I110" s="224"/>
      <c r="J110" s="224"/>
      <c r="K110" s="224"/>
      <c r="L110" s="224"/>
      <c r="M110" s="224"/>
      <c r="N110" s="224"/>
      <c r="O110" s="224"/>
      <c r="P110" s="224"/>
      <c r="Q110" s="224"/>
      <c r="R110" s="141"/>
      <c r="S110" s="224"/>
      <c r="T110" s="224"/>
      <c r="U110" s="224"/>
      <c r="V110" s="224"/>
      <c r="W110" s="224"/>
      <c r="X110" s="224"/>
      <c r="Y110" s="224"/>
      <c r="Z110" s="224"/>
      <c r="AA110" s="224"/>
      <c r="AB110" s="444"/>
      <c r="AC110" s="444"/>
      <c r="AD110" s="224"/>
      <c r="AE110" s="221"/>
      <c r="AF110" s="221"/>
      <c r="AG110" s="221"/>
      <c r="AH110" s="221"/>
      <c r="AI110" s="221"/>
      <c r="AJ110" s="221"/>
      <c r="AK110" s="221"/>
      <c r="AL110" s="221"/>
      <c r="AM110" s="221"/>
      <c r="AN110" s="221"/>
      <c r="AO110" s="221"/>
      <c r="AP110" s="221"/>
      <c r="AQ110" s="221"/>
      <c r="AR110" s="221"/>
      <c r="AS110" s="221"/>
      <c r="AT110" s="221"/>
      <c r="AU110" s="221"/>
      <c r="AV110" s="221"/>
      <c r="AW110" s="221"/>
      <c r="AX110" s="221"/>
      <c r="AY110" s="221"/>
      <c r="AZ110" s="221"/>
      <c r="BA110" s="221"/>
      <c r="BB110" s="221"/>
      <c r="BC110" s="221"/>
      <c r="BD110" s="221"/>
      <c r="BE110" s="221"/>
      <c r="BF110" s="221"/>
      <c r="BG110" s="221"/>
      <c r="BH110" s="58"/>
      <c r="BI110" s="58"/>
      <c r="BJ110" s="58"/>
      <c r="BK110" s="58"/>
      <c r="BL110" s="58"/>
    </row>
    <row r="111" spans="2:83" s="138" customFormat="1" ht="18.75" customHeight="1">
      <c r="B111" s="221"/>
      <c r="C111" s="224"/>
      <c r="D111" s="224"/>
      <c r="E111" s="224"/>
      <c r="F111" s="224"/>
      <c r="G111" s="224"/>
      <c r="H111" s="224"/>
      <c r="I111" s="224"/>
      <c r="J111" s="224"/>
      <c r="K111" s="224"/>
      <c r="L111" s="224"/>
      <c r="M111" s="224"/>
      <c r="N111" s="224"/>
      <c r="O111" s="224"/>
      <c r="P111" s="224"/>
      <c r="Q111" s="224"/>
      <c r="R111" s="141"/>
      <c r="S111" s="224"/>
      <c r="T111" s="224"/>
      <c r="U111" s="224"/>
      <c r="V111" s="224"/>
      <c r="W111" s="224"/>
      <c r="X111" s="224"/>
      <c r="Y111" s="224"/>
      <c r="Z111" s="224"/>
      <c r="AA111" s="224"/>
      <c r="AB111" s="224"/>
      <c r="AC111" s="224"/>
      <c r="AD111" s="224"/>
      <c r="AE111" s="221"/>
      <c r="AF111" s="221"/>
      <c r="AG111" s="221"/>
      <c r="AH111" s="221"/>
      <c r="AI111" s="221"/>
      <c r="AJ111" s="221"/>
      <c r="AK111" s="221"/>
      <c r="AL111" s="221"/>
      <c r="AM111" s="221"/>
      <c r="AN111" s="221"/>
      <c r="AO111" s="221"/>
      <c r="AP111" s="221"/>
      <c r="AQ111" s="221"/>
      <c r="AR111" s="221"/>
      <c r="AS111" s="221"/>
      <c r="AT111" s="221"/>
      <c r="AU111" s="221"/>
      <c r="AV111" s="221"/>
      <c r="AW111" s="221"/>
      <c r="AX111" s="221"/>
      <c r="AY111" s="221"/>
      <c r="AZ111" s="221"/>
      <c r="BA111" s="221"/>
      <c r="BB111" s="221"/>
      <c r="BC111" s="221"/>
      <c r="BD111" s="221"/>
      <c r="BE111" s="221"/>
      <c r="BF111" s="221"/>
      <c r="BG111" s="221"/>
      <c r="BH111" s="58"/>
      <c r="BI111" s="58"/>
      <c r="BJ111" s="58"/>
      <c r="BK111" s="58"/>
      <c r="BL111" s="58"/>
    </row>
    <row r="112" spans="2:83" s="138" customFormat="1" ht="18.75" customHeight="1">
      <c r="B112" s="221"/>
      <c r="C112" s="224"/>
      <c r="D112" s="224"/>
      <c r="E112" s="224"/>
      <c r="F112" s="224"/>
      <c r="G112" s="224"/>
      <c r="H112" s="224"/>
      <c r="I112" s="224"/>
      <c r="J112" s="224"/>
      <c r="K112" s="224"/>
      <c r="L112" s="224"/>
      <c r="M112" s="224"/>
      <c r="N112" s="224"/>
      <c r="O112" s="224"/>
      <c r="P112" s="224"/>
      <c r="Q112" s="224"/>
      <c r="R112" s="141"/>
      <c r="S112" s="224"/>
      <c r="T112" s="224"/>
      <c r="U112" s="224"/>
      <c r="V112" s="224"/>
      <c r="W112" s="224"/>
      <c r="X112" s="224"/>
      <c r="Y112" s="224"/>
      <c r="Z112" s="224"/>
      <c r="AA112" s="224"/>
      <c r="AB112" s="224"/>
      <c r="AC112" s="224"/>
      <c r="AD112" s="224"/>
      <c r="AE112" s="221"/>
      <c r="AF112" s="221"/>
      <c r="AG112" s="221"/>
      <c r="AH112" s="221"/>
      <c r="AI112" s="221"/>
      <c r="AJ112" s="221"/>
      <c r="AK112" s="221"/>
      <c r="AL112" s="221"/>
      <c r="AM112" s="221"/>
      <c r="AN112" s="221"/>
      <c r="AO112" s="221"/>
      <c r="AP112" s="221"/>
      <c r="AQ112" s="221"/>
      <c r="AR112" s="221"/>
      <c r="AS112" s="221"/>
      <c r="AT112" s="221"/>
      <c r="AU112" s="221"/>
      <c r="AV112" s="221"/>
      <c r="AW112" s="221"/>
      <c r="AX112" s="221"/>
      <c r="AY112" s="221"/>
      <c r="AZ112" s="221"/>
      <c r="BA112" s="221"/>
      <c r="BB112" s="221"/>
      <c r="BC112" s="221"/>
      <c r="BD112" s="221"/>
      <c r="BE112" s="221"/>
      <c r="BF112" s="221"/>
      <c r="BG112" s="221"/>
      <c r="BH112" s="224"/>
      <c r="BI112" s="224"/>
      <c r="BJ112" s="224"/>
      <c r="BK112" s="224"/>
    </row>
    <row r="113" spans="2:68" s="138" customFormat="1" ht="18.75" customHeight="1">
      <c r="B113" s="57" t="str">
        <f>"4. "&amp;N5&amp;"와 "&amp;T5&amp;"의 온도 차에 의한 표준불확도,"</f>
        <v>4. 측정현미경와 표준자의 온도 차에 의한 표준불확도,</v>
      </c>
      <c r="D113" s="224"/>
      <c r="E113" s="224"/>
      <c r="F113" s="224"/>
      <c r="G113" s="224"/>
      <c r="H113" s="224"/>
      <c r="I113" s="224"/>
      <c r="J113" s="224"/>
      <c r="K113" s="224"/>
      <c r="L113" s="224"/>
      <c r="M113" s="224"/>
      <c r="N113" s="224"/>
      <c r="O113" s="224"/>
      <c r="P113" s="224"/>
      <c r="Q113" s="224"/>
      <c r="R113" s="224"/>
      <c r="S113" s="224"/>
      <c r="T113" s="224"/>
      <c r="U113" s="224"/>
      <c r="V113" s="224"/>
      <c r="W113" s="224"/>
      <c r="X113" s="57" t="s">
        <v>396</v>
      </c>
      <c r="Y113" s="224"/>
      <c r="Z113" s="224"/>
      <c r="AA113" s="224"/>
      <c r="AC113" s="224"/>
      <c r="AD113" s="224"/>
      <c r="AE113" s="224"/>
      <c r="AF113" s="224"/>
      <c r="AG113" s="224"/>
      <c r="AH113" s="221"/>
      <c r="AI113" s="221"/>
      <c r="AJ113" s="221"/>
      <c r="AK113" s="221"/>
      <c r="AL113" s="221"/>
      <c r="AM113" s="221"/>
      <c r="AN113" s="221"/>
      <c r="AO113" s="224"/>
      <c r="AP113" s="224"/>
      <c r="AQ113" s="224"/>
      <c r="AR113" s="224"/>
      <c r="AS113" s="224"/>
      <c r="AT113" s="224"/>
      <c r="AU113" s="224"/>
      <c r="AV113" s="224"/>
      <c r="AW113" s="224"/>
      <c r="AX113" s="224"/>
      <c r="AY113" s="224"/>
      <c r="AZ113" s="224"/>
      <c r="BA113" s="224"/>
      <c r="BB113" s="224"/>
      <c r="BC113" s="224"/>
      <c r="BD113" s="224"/>
      <c r="BE113" s="224"/>
      <c r="BF113" s="224"/>
      <c r="BG113" s="224"/>
      <c r="BH113" s="58"/>
      <c r="BI113" s="58"/>
      <c r="BJ113" s="58"/>
      <c r="BK113" s="58"/>
      <c r="BL113" s="58"/>
      <c r="BM113" s="58"/>
      <c r="BN113" s="58"/>
    </row>
    <row r="114" spans="2:68" s="138" customFormat="1" ht="18.75" customHeight="1">
      <c r="B114" s="57"/>
      <c r="C114" s="224" t="str">
        <f>"※ 열평형 상태에서 "&amp;N5&amp;"와 "&amp;T5&amp;"의 온도차가 ±"&amp;N117&amp;" ℃ 이내에서"</f>
        <v>※ 열평형 상태에서 측정현미경와 표준자의 온도차가 ±0.2 ℃ 이내에서</v>
      </c>
      <c r="D114" s="224"/>
      <c r="E114" s="224"/>
      <c r="F114" s="224"/>
      <c r="G114" s="224"/>
      <c r="H114" s="224"/>
      <c r="I114" s="224"/>
      <c r="J114" s="224"/>
      <c r="K114" s="224"/>
      <c r="L114" s="224"/>
      <c r="M114" s="224"/>
      <c r="N114" s="224"/>
      <c r="O114" s="224"/>
      <c r="P114" s="224"/>
      <c r="Q114" s="224"/>
      <c r="R114" s="224"/>
      <c r="S114" s="224"/>
      <c r="T114" s="224"/>
      <c r="U114" s="224"/>
      <c r="V114" s="224"/>
      <c r="W114" s="224"/>
      <c r="X114" s="224"/>
      <c r="Y114" s="224"/>
      <c r="Z114" s="224"/>
      <c r="AA114" s="224"/>
      <c r="AB114" s="224"/>
      <c r="AC114" s="224"/>
      <c r="AD114" s="224"/>
      <c r="AE114" s="224"/>
      <c r="AF114" s="224"/>
      <c r="AG114" s="224"/>
      <c r="AH114" s="224"/>
      <c r="AI114" s="224"/>
      <c r="AJ114" s="224"/>
      <c r="AK114" s="224"/>
      <c r="AL114" s="224"/>
      <c r="AM114" s="221"/>
      <c r="AN114" s="221"/>
      <c r="AO114" s="224"/>
      <c r="AP114" s="224"/>
      <c r="AQ114" s="224"/>
      <c r="AR114" s="224"/>
      <c r="AS114" s="224"/>
      <c r="AT114" s="224"/>
      <c r="AU114" s="224"/>
      <c r="AV114" s="224"/>
      <c r="AW114" s="224"/>
      <c r="AX114" s="224"/>
      <c r="AY114" s="224"/>
      <c r="AZ114" s="224"/>
      <c r="BA114" s="224"/>
      <c r="BB114" s="224"/>
      <c r="BC114" s="224"/>
      <c r="BD114" s="224"/>
      <c r="BE114" s="224"/>
      <c r="BF114" s="224"/>
      <c r="BG114" s="224"/>
      <c r="BH114" s="58"/>
      <c r="BI114" s="58"/>
      <c r="BJ114" s="58"/>
      <c r="BK114" s="58"/>
      <c r="BL114" s="58"/>
      <c r="BM114" s="58"/>
      <c r="BN114" s="58"/>
    </row>
    <row r="115" spans="2:68" s="138" customFormat="1" ht="18.75" customHeight="1">
      <c r="B115" s="57"/>
      <c r="C115" s="224"/>
      <c r="D115" s="224" t="s">
        <v>397</v>
      </c>
      <c r="E115" s="224"/>
      <c r="F115" s="224"/>
      <c r="G115" s="224"/>
      <c r="H115" s="224"/>
      <c r="I115" s="224"/>
      <c r="J115" s="224"/>
      <c r="K115" s="224"/>
      <c r="L115" s="224"/>
      <c r="M115" s="224"/>
      <c r="N115" s="224"/>
      <c r="O115" s="224"/>
      <c r="P115" s="224"/>
      <c r="Q115" s="224"/>
      <c r="R115" s="224"/>
      <c r="S115" s="224"/>
      <c r="T115" s="224"/>
      <c r="U115" s="224"/>
      <c r="V115" s="224"/>
      <c r="W115" s="224"/>
      <c r="X115" s="224"/>
      <c r="Y115" s="224"/>
      <c r="Z115" s="224"/>
      <c r="AA115" s="224"/>
      <c r="AB115" s="224"/>
      <c r="AC115" s="224"/>
      <c r="AD115" s="224"/>
      <c r="AE115" s="224"/>
      <c r="AF115" s="224"/>
      <c r="AG115" s="224"/>
      <c r="AH115" s="224"/>
      <c r="AI115" s="224"/>
      <c r="AJ115" s="224"/>
      <c r="AK115" s="224"/>
      <c r="AL115" s="224"/>
      <c r="AM115" s="221"/>
      <c r="AN115" s="221"/>
      <c r="AO115" s="224"/>
      <c r="AP115" s="224"/>
      <c r="AQ115" s="224"/>
      <c r="AR115" s="224"/>
      <c r="AS115" s="224"/>
      <c r="AT115" s="224"/>
      <c r="AU115" s="224"/>
      <c r="AV115" s="224"/>
      <c r="AW115" s="224"/>
      <c r="AX115" s="224"/>
      <c r="AY115" s="224"/>
      <c r="AZ115" s="224"/>
      <c r="BA115" s="224"/>
      <c r="BB115" s="224"/>
      <c r="BC115" s="224"/>
      <c r="BD115" s="224"/>
      <c r="BE115" s="224"/>
      <c r="BF115" s="224"/>
      <c r="BG115" s="224"/>
      <c r="BH115" s="58"/>
      <c r="BI115" s="58"/>
      <c r="BJ115" s="58"/>
      <c r="BK115" s="58"/>
      <c r="BL115" s="58"/>
      <c r="BM115" s="58"/>
      <c r="BN115" s="58"/>
    </row>
    <row r="116" spans="2:68" s="138" customFormat="1" ht="18.75" customHeight="1">
      <c r="B116" s="221"/>
      <c r="C116" s="226" t="s">
        <v>398</v>
      </c>
      <c r="D116" s="221"/>
      <c r="E116" s="221"/>
      <c r="F116" s="221"/>
      <c r="G116" s="221"/>
      <c r="H116" s="454" t="str">
        <f>H60</f>
        <v/>
      </c>
      <c r="I116" s="454"/>
      <c r="J116" s="454"/>
      <c r="K116" s="454"/>
      <c r="L116" s="454"/>
      <c r="M116" s="454"/>
      <c r="N116" s="454"/>
      <c r="O116" s="454"/>
      <c r="P116" s="220"/>
      <c r="Q116" s="224"/>
      <c r="R116" s="224"/>
      <c r="S116" s="224"/>
      <c r="T116" s="224"/>
      <c r="U116" s="224"/>
      <c r="V116" s="224"/>
      <c r="W116" s="221"/>
      <c r="X116" s="221"/>
      <c r="Y116" s="221"/>
      <c r="Z116" s="224"/>
      <c r="AA116" s="224"/>
      <c r="AB116" s="224"/>
      <c r="AC116" s="224"/>
      <c r="AD116" s="224"/>
      <c r="AE116" s="224"/>
      <c r="AF116" s="224"/>
      <c r="AG116" s="224"/>
      <c r="AH116" s="221"/>
      <c r="AI116" s="221"/>
      <c r="AJ116" s="221"/>
      <c r="AK116" s="221"/>
      <c r="AL116" s="221"/>
      <c r="AM116" s="221"/>
      <c r="AN116" s="221"/>
      <c r="AO116" s="224"/>
      <c r="AP116" s="224"/>
      <c r="AQ116" s="224"/>
      <c r="AR116" s="224"/>
      <c r="AS116" s="224"/>
      <c r="AT116" s="224"/>
      <c r="AU116" s="224"/>
      <c r="AV116" s="224"/>
      <c r="AW116" s="224"/>
      <c r="AX116" s="224"/>
      <c r="AY116" s="224"/>
      <c r="AZ116" s="224"/>
      <c r="BA116" s="224"/>
      <c r="BB116" s="224"/>
      <c r="BC116" s="224"/>
      <c r="BD116" s="224"/>
      <c r="BE116" s="224"/>
      <c r="BF116" s="224"/>
      <c r="BG116" s="224"/>
      <c r="BH116" s="58"/>
      <c r="BI116" s="58"/>
      <c r="BJ116" s="58"/>
      <c r="BK116" s="58"/>
      <c r="BL116" s="58"/>
      <c r="BM116" s="58"/>
    </row>
    <row r="117" spans="2:68" s="138" customFormat="1" ht="18.75" customHeight="1">
      <c r="B117" s="221"/>
      <c r="C117" s="450" t="s">
        <v>399</v>
      </c>
      <c r="D117" s="450"/>
      <c r="E117" s="450"/>
      <c r="F117" s="450"/>
      <c r="G117" s="450"/>
      <c r="H117" s="450"/>
      <c r="I117" s="450"/>
      <c r="J117" s="455" t="s">
        <v>400</v>
      </c>
      <c r="K117" s="455"/>
      <c r="L117" s="455"/>
      <c r="M117" s="461" t="s">
        <v>375</v>
      </c>
      <c r="N117" s="462">
        <f>Calcu!H37</f>
        <v>0.2</v>
      </c>
      <c r="O117" s="462"/>
      <c r="P117" s="223" t="s">
        <v>401</v>
      </c>
      <c r="Q117" s="209"/>
      <c r="R117" s="461" t="s">
        <v>375</v>
      </c>
      <c r="S117" s="446">
        <f>N117/SQRT(3)</f>
        <v>0.11547005383792516</v>
      </c>
      <c r="T117" s="446"/>
      <c r="U117" s="446"/>
      <c r="V117" s="448" t="str">
        <f>P117</f>
        <v>℃</v>
      </c>
      <c r="W117" s="448"/>
      <c r="X117" s="220"/>
      <c r="Y117" s="224"/>
      <c r="AX117" s="224"/>
      <c r="AY117" s="224"/>
      <c r="AZ117" s="224"/>
      <c r="BA117" s="224"/>
      <c r="BB117" s="224"/>
      <c r="BC117" s="224"/>
      <c r="BD117" s="224"/>
      <c r="BE117" s="224"/>
      <c r="BF117" s="224"/>
      <c r="BG117" s="224"/>
      <c r="BH117" s="224"/>
      <c r="BI117" s="224"/>
      <c r="BJ117" s="58"/>
      <c r="BK117" s="58"/>
      <c r="BL117" s="58"/>
      <c r="BM117" s="58"/>
      <c r="BN117" s="58"/>
      <c r="BO117" s="58"/>
      <c r="BP117" s="58"/>
    </row>
    <row r="118" spans="2:68" s="138" customFormat="1" ht="18.75" customHeight="1">
      <c r="B118" s="221"/>
      <c r="C118" s="450"/>
      <c r="D118" s="450"/>
      <c r="E118" s="450"/>
      <c r="F118" s="450"/>
      <c r="G118" s="450"/>
      <c r="H118" s="450"/>
      <c r="I118" s="450"/>
      <c r="J118" s="455"/>
      <c r="K118" s="455"/>
      <c r="L118" s="455"/>
      <c r="M118" s="461"/>
      <c r="N118" s="221"/>
      <c r="O118" s="221"/>
      <c r="P118" s="221"/>
      <c r="Q118" s="221"/>
      <c r="R118" s="461"/>
      <c r="S118" s="446"/>
      <c r="T118" s="446"/>
      <c r="U118" s="446"/>
      <c r="V118" s="448"/>
      <c r="W118" s="448"/>
      <c r="X118" s="220"/>
      <c r="Y118" s="224"/>
      <c r="AX118" s="224"/>
      <c r="AY118" s="224"/>
      <c r="AZ118" s="224"/>
      <c r="BA118" s="224"/>
      <c r="BB118" s="224"/>
      <c r="BC118" s="224"/>
      <c r="BD118" s="224"/>
      <c r="BE118" s="224"/>
      <c r="BF118" s="224"/>
      <c r="BG118" s="224"/>
      <c r="BH118" s="224"/>
      <c r="BI118" s="224"/>
      <c r="BJ118" s="58"/>
      <c r="BK118" s="58"/>
      <c r="BL118" s="58"/>
      <c r="BM118" s="58"/>
      <c r="BN118" s="58"/>
      <c r="BO118" s="58"/>
      <c r="BP118" s="58"/>
    </row>
    <row r="119" spans="2:68" s="138" customFormat="1" ht="18.75" customHeight="1">
      <c r="B119" s="221"/>
      <c r="C119" s="224" t="s">
        <v>402</v>
      </c>
      <c r="D119" s="224"/>
      <c r="E119" s="224"/>
      <c r="F119" s="224"/>
      <c r="G119" s="224"/>
      <c r="H119" s="224"/>
      <c r="I119" s="444" t="str">
        <f>AB60</f>
        <v>직사각형</v>
      </c>
      <c r="J119" s="444"/>
      <c r="K119" s="444"/>
      <c r="L119" s="444"/>
      <c r="M119" s="444"/>
      <c r="N119" s="444"/>
      <c r="O119" s="444"/>
      <c r="P119" s="444"/>
      <c r="Q119" s="224"/>
      <c r="R119" s="224"/>
      <c r="S119" s="224"/>
      <c r="T119" s="224"/>
      <c r="U119" s="224"/>
      <c r="V119" s="224"/>
      <c r="W119" s="224"/>
      <c r="X119" s="224"/>
      <c r="Y119" s="224"/>
      <c r="Z119" s="221"/>
      <c r="AA119" s="221"/>
      <c r="AB119" s="221"/>
      <c r="AC119" s="221"/>
      <c r="AD119" s="221"/>
      <c r="AE119" s="221"/>
      <c r="AF119" s="221"/>
      <c r="AG119" s="221"/>
      <c r="AH119" s="221"/>
      <c r="AI119" s="221"/>
      <c r="AJ119" s="221"/>
      <c r="AK119" s="221"/>
      <c r="AL119" s="221"/>
      <c r="AM119" s="221"/>
      <c r="AN119" s="221"/>
      <c r="AO119" s="221"/>
      <c r="AP119" s="224"/>
      <c r="AQ119" s="224"/>
      <c r="AR119" s="224"/>
      <c r="AS119" s="224"/>
      <c r="AT119" s="224"/>
      <c r="AU119" s="224"/>
      <c r="AV119" s="224"/>
      <c r="AW119" s="224"/>
      <c r="AX119" s="224"/>
      <c r="AY119" s="224"/>
      <c r="AZ119" s="224"/>
      <c r="BA119" s="224"/>
      <c r="BB119" s="224"/>
      <c r="BC119" s="224"/>
      <c r="BD119" s="224"/>
      <c r="BE119" s="224"/>
      <c r="BF119" s="224"/>
      <c r="BG119" s="224"/>
      <c r="BH119" s="58"/>
      <c r="BI119" s="58"/>
      <c r="BJ119" s="58"/>
      <c r="BK119" s="58"/>
      <c r="BL119" s="58"/>
    </row>
    <row r="120" spans="2:68" s="138" customFormat="1" ht="18.75" customHeight="1">
      <c r="B120" s="221"/>
      <c r="C120" s="450" t="s">
        <v>403</v>
      </c>
      <c r="D120" s="450"/>
      <c r="E120" s="450"/>
      <c r="F120" s="450"/>
      <c r="G120" s="450"/>
      <c r="H120" s="450"/>
      <c r="I120" s="224"/>
      <c r="J120" s="224"/>
      <c r="K120" s="224"/>
      <c r="L120" s="224"/>
      <c r="M120" s="224"/>
      <c r="N120" s="224"/>
      <c r="O120" s="221"/>
      <c r="R120" s="450" t="e">
        <f ca="1">-H59*10^6</f>
        <v>#N/A</v>
      </c>
      <c r="S120" s="450"/>
      <c r="T120" s="450"/>
      <c r="U120" s="450" t="s">
        <v>405</v>
      </c>
      <c r="V120" s="450"/>
      <c r="W120" s="450"/>
      <c r="X120" s="450"/>
      <c r="Y120" s="450"/>
      <c r="Z120" s="450"/>
      <c r="AA120" s="450"/>
      <c r="AB120" s="450"/>
      <c r="AC120" s="461" t="s">
        <v>358</v>
      </c>
      <c r="AD120" s="449" t="e">
        <f ca="1">R120*10^-6*1000</f>
        <v>#N/A</v>
      </c>
      <c r="AE120" s="449"/>
      <c r="AF120" s="449"/>
      <c r="AG120" s="449"/>
      <c r="AH120" s="450" t="s">
        <v>406</v>
      </c>
      <c r="AI120" s="450"/>
      <c r="AJ120" s="450"/>
      <c r="AK120" s="450"/>
      <c r="AL120" s="450"/>
      <c r="AM120" s="450"/>
      <c r="AN120" s="450"/>
      <c r="AO120" s="224"/>
      <c r="AP120" s="224"/>
      <c r="AQ120" s="224"/>
      <c r="AR120" s="224"/>
      <c r="AS120" s="224"/>
      <c r="AT120" s="224"/>
      <c r="AU120" s="224"/>
      <c r="AV120" s="224"/>
      <c r="AW120" s="224"/>
      <c r="AX120" s="224"/>
      <c r="AY120" s="224"/>
      <c r="AZ120" s="224"/>
      <c r="BA120" s="224"/>
      <c r="BB120" s="221"/>
      <c r="BC120" s="221"/>
      <c r="BD120" s="221"/>
      <c r="BE120" s="221"/>
      <c r="BF120" s="221"/>
      <c r="BG120" s="221"/>
    </row>
    <row r="121" spans="2:68" s="138" customFormat="1" ht="18.75" customHeight="1">
      <c r="B121" s="221"/>
      <c r="C121" s="450"/>
      <c r="D121" s="450"/>
      <c r="E121" s="450"/>
      <c r="F121" s="450"/>
      <c r="G121" s="450"/>
      <c r="H121" s="450"/>
      <c r="I121" s="224"/>
      <c r="J121" s="224"/>
      <c r="K121" s="224"/>
      <c r="L121" s="224"/>
      <c r="M121" s="224"/>
      <c r="N121" s="224"/>
      <c r="O121" s="221"/>
      <c r="R121" s="450"/>
      <c r="S121" s="450"/>
      <c r="T121" s="450"/>
      <c r="U121" s="450"/>
      <c r="V121" s="450"/>
      <c r="W121" s="450"/>
      <c r="X121" s="450"/>
      <c r="Y121" s="450"/>
      <c r="Z121" s="450"/>
      <c r="AA121" s="450"/>
      <c r="AB121" s="450"/>
      <c r="AC121" s="461"/>
      <c r="AD121" s="449"/>
      <c r="AE121" s="449"/>
      <c r="AF121" s="449"/>
      <c r="AG121" s="449"/>
      <c r="AH121" s="450"/>
      <c r="AI121" s="450"/>
      <c r="AJ121" s="450"/>
      <c r="AK121" s="450"/>
      <c r="AL121" s="450"/>
      <c r="AM121" s="450"/>
      <c r="AN121" s="450"/>
      <c r="AO121" s="224"/>
      <c r="AP121" s="224"/>
      <c r="AQ121" s="224"/>
      <c r="AR121" s="224"/>
      <c r="AS121" s="224"/>
      <c r="AT121" s="224"/>
      <c r="AU121" s="224"/>
      <c r="AV121" s="224"/>
      <c r="AW121" s="224"/>
      <c r="AX121" s="224"/>
      <c r="AY121" s="224"/>
      <c r="AZ121" s="224"/>
      <c r="BA121" s="224"/>
      <c r="BB121" s="221"/>
      <c r="BC121" s="221"/>
      <c r="BD121" s="221"/>
      <c r="BE121" s="221"/>
      <c r="BF121" s="221"/>
      <c r="BG121" s="221"/>
    </row>
    <row r="122" spans="2:68" s="138" customFormat="1" ht="18.75" customHeight="1">
      <c r="B122" s="221"/>
      <c r="C122" s="224" t="s">
        <v>407</v>
      </c>
      <c r="D122" s="224"/>
      <c r="E122" s="224"/>
      <c r="F122" s="224"/>
      <c r="G122" s="224"/>
      <c r="H122" s="224"/>
      <c r="I122" s="224"/>
      <c r="J122" s="221"/>
      <c r="K122" s="230" t="s">
        <v>408</v>
      </c>
      <c r="L122" s="449" t="e">
        <f ca="1">AD120</f>
        <v>#N/A</v>
      </c>
      <c r="M122" s="449"/>
      <c r="N122" s="449"/>
      <c r="O122" s="449"/>
      <c r="P122" s="450" t="s">
        <v>409</v>
      </c>
      <c r="Q122" s="450"/>
      <c r="R122" s="450"/>
      <c r="S122" s="450"/>
      <c r="T122" s="450"/>
      <c r="U122" s="458">
        <f>S117</f>
        <v>0.11547005383792516</v>
      </c>
      <c r="V122" s="458"/>
      <c r="W122" s="458"/>
      <c r="X122" s="458"/>
      <c r="Y122" s="221" t="s">
        <v>410</v>
      </c>
      <c r="Z122" s="221" t="s">
        <v>358</v>
      </c>
      <c r="AA122" s="452" t="e">
        <f ca="1">ABS(L122*U122)</f>
        <v>#N/A</v>
      </c>
      <c r="AB122" s="452"/>
      <c r="AC122" s="452"/>
      <c r="AD122" s="459"/>
      <c r="AE122" s="224" t="s">
        <v>411</v>
      </c>
      <c r="AF122" s="226"/>
      <c r="AG122" s="221"/>
      <c r="AH122" s="221"/>
      <c r="AI122" s="221"/>
      <c r="AJ122" s="221"/>
      <c r="AK122" s="221"/>
      <c r="AL122" s="221"/>
      <c r="AM122" s="221"/>
      <c r="AN122" s="221"/>
      <c r="AO122" s="221"/>
      <c r="AP122" s="221"/>
      <c r="AR122" s="224"/>
      <c r="AS122" s="224"/>
      <c r="AT122" s="224"/>
      <c r="AU122" s="224"/>
      <c r="AV122" s="143"/>
      <c r="AW122" s="143"/>
      <c r="AX122" s="143"/>
      <c r="AY122" s="143"/>
      <c r="AZ122" s="143"/>
      <c r="BA122" s="143"/>
      <c r="BB122" s="221"/>
      <c r="BC122" s="221"/>
      <c r="BD122" s="221"/>
      <c r="BE122" s="221"/>
      <c r="BF122" s="221"/>
      <c r="BG122" s="221"/>
    </row>
    <row r="123" spans="2:68" s="138" customFormat="1" ht="18.75" customHeight="1">
      <c r="B123" s="221"/>
      <c r="C123" s="450" t="s">
        <v>412</v>
      </c>
      <c r="D123" s="450"/>
      <c r="E123" s="450"/>
      <c r="F123" s="450"/>
      <c r="G123" s="450"/>
      <c r="H123" s="224"/>
      <c r="J123" s="224"/>
      <c r="K123" s="224"/>
      <c r="L123" s="224"/>
      <c r="M123" s="224"/>
      <c r="N123" s="224"/>
      <c r="O123" s="224"/>
      <c r="P123" s="224"/>
      <c r="Q123" s="224"/>
      <c r="R123" s="141"/>
      <c r="S123" s="224"/>
      <c r="T123" s="224"/>
      <c r="U123" s="224"/>
      <c r="W123" s="230" t="s">
        <v>413</v>
      </c>
      <c r="X123" s="224"/>
      <c r="Y123" s="224"/>
      <c r="Z123" s="224"/>
      <c r="AA123" s="224"/>
      <c r="AB123" s="224"/>
      <c r="AC123" s="224"/>
      <c r="AD123" s="224"/>
      <c r="AE123" s="221"/>
      <c r="AF123" s="221"/>
      <c r="AG123" s="221"/>
      <c r="AH123" s="221"/>
      <c r="AI123" s="221"/>
      <c r="AJ123" s="221"/>
      <c r="AK123" s="221"/>
      <c r="AL123" s="221"/>
      <c r="AM123" s="221"/>
      <c r="AN123" s="221"/>
      <c r="AO123" s="221"/>
      <c r="AP123" s="221"/>
      <c r="AQ123" s="221"/>
      <c r="AR123" s="221"/>
      <c r="AS123" s="221"/>
      <c r="AT123" s="221"/>
      <c r="AU123" s="224"/>
      <c r="AV123" s="221"/>
      <c r="AW123" s="221"/>
      <c r="AX123" s="221"/>
      <c r="AY123" s="221"/>
      <c r="AZ123" s="221"/>
      <c r="BA123" s="221"/>
      <c r="BB123" s="221"/>
      <c r="BC123" s="221"/>
      <c r="BD123" s="221"/>
      <c r="BE123" s="221"/>
      <c r="BF123" s="221"/>
      <c r="BG123" s="221"/>
    </row>
    <row r="124" spans="2:68" s="138" customFormat="1" ht="18.75" customHeight="1">
      <c r="B124" s="221"/>
      <c r="C124" s="450"/>
      <c r="D124" s="450"/>
      <c r="E124" s="450"/>
      <c r="F124" s="450"/>
      <c r="G124" s="450"/>
      <c r="H124" s="224"/>
      <c r="I124" s="224"/>
      <c r="J124" s="224"/>
      <c r="K124" s="224"/>
      <c r="L124" s="224"/>
      <c r="M124" s="224"/>
      <c r="N124" s="224"/>
      <c r="O124" s="224"/>
      <c r="P124" s="224"/>
      <c r="Q124" s="224"/>
      <c r="R124" s="141"/>
      <c r="S124" s="224"/>
      <c r="T124" s="224"/>
      <c r="U124" s="224"/>
      <c r="V124" s="224"/>
      <c r="W124" s="224"/>
      <c r="X124" s="224"/>
      <c r="Y124" s="224"/>
      <c r="Z124" s="224"/>
      <c r="AA124" s="224"/>
      <c r="AB124" s="224"/>
      <c r="AC124" s="221"/>
      <c r="AD124" s="221"/>
      <c r="AE124" s="221"/>
      <c r="AF124" s="221"/>
      <c r="AG124" s="221"/>
      <c r="AH124" s="221"/>
      <c r="AI124" s="221"/>
      <c r="AJ124" s="221"/>
      <c r="AK124" s="221"/>
      <c r="AL124" s="221"/>
      <c r="AM124" s="221"/>
      <c r="AN124" s="221"/>
      <c r="AO124" s="221"/>
      <c r="AP124" s="221"/>
      <c r="AQ124" s="221"/>
      <c r="AR124" s="221"/>
      <c r="AS124" s="221"/>
      <c r="AT124" s="221"/>
      <c r="AU124" s="221"/>
      <c r="AV124" s="221"/>
      <c r="AW124" s="221"/>
      <c r="AX124" s="221"/>
      <c r="AY124" s="221"/>
      <c r="AZ124" s="221"/>
      <c r="BA124" s="221"/>
      <c r="BB124" s="221"/>
      <c r="BC124" s="221"/>
      <c r="BD124" s="221"/>
      <c r="BE124" s="221"/>
      <c r="BF124" s="221"/>
      <c r="BG124" s="221"/>
    </row>
    <row r="125" spans="2:68" s="138" customFormat="1" ht="18.75" customHeight="1">
      <c r="B125" s="221"/>
      <c r="C125" s="224"/>
      <c r="D125" s="224"/>
      <c r="E125" s="224"/>
      <c r="F125" s="224"/>
      <c r="G125" s="221"/>
      <c r="H125" s="224"/>
      <c r="I125" s="224"/>
      <c r="J125" s="224"/>
      <c r="K125" s="224"/>
      <c r="L125" s="224"/>
      <c r="M125" s="224"/>
      <c r="N125" s="224"/>
      <c r="O125" s="224"/>
      <c r="P125" s="224"/>
      <c r="Q125" s="224"/>
      <c r="R125" s="224"/>
      <c r="S125" s="224"/>
      <c r="T125" s="224"/>
      <c r="U125" s="224"/>
      <c r="V125" s="224"/>
      <c r="W125" s="224"/>
      <c r="X125" s="224"/>
      <c r="Y125" s="224"/>
      <c r="Z125" s="224"/>
      <c r="AA125" s="221"/>
      <c r="AB125" s="221"/>
      <c r="AC125" s="221"/>
      <c r="AD125" s="221"/>
      <c r="AE125" s="221"/>
      <c r="AF125" s="221"/>
      <c r="AG125" s="221"/>
      <c r="AH125" s="221"/>
      <c r="AI125" s="221"/>
      <c r="AJ125" s="221"/>
      <c r="AK125" s="221"/>
      <c r="AL125" s="221"/>
      <c r="AM125" s="221"/>
      <c r="AN125" s="221"/>
      <c r="AO125" s="221"/>
      <c r="AP125" s="221"/>
      <c r="AQ125" s="221"/>
      <c r="AR125" s="221"/>
      <c r="AS125" s="221"/>
      <c r="AT125" s="221"/>
      <c r="AU125" s="221"/>
      <c r="AV125" s="221"/>
      <c r="AW125" s="221"/>
      <c r="AX125" s="221"/>
      <c r="AY125" s="221"/>
      <c r="AZ125" s="221"/>
      <c r="BA125" s="221"/>
      <c r="BB125" s="221"/>
      <c r="BC125" s="221"/>
      <c r="BD125" s="221"/>
      <c r="BE125" s="221"/>
      <c r="BF125" s="221"/>
      <c r="BG125" s="221"/>
    </row>
    <row r="126" spans="2:68" s="138" customFormat="1" ht="18.75" customHeight="1">
      <c r="B126" s="57" t="str">
        <f>"5. "&amp;N5&amp;"와 "&amp;T5&amp;"의 열팽창계수 차에 의한 표준불확도,"</f>
        <v>5. 측정현미경와 표준자의 열팽창계수 차에 의한 표준불확도,</v>
      </c>
      <c r="D126" s="224"/>
      <c r="E126" s="224"/>
      <c r="F126" s="224"/>
      <c r="G126" s="224"/>
      <c r="H126" s="224"/>
      <c r="I126" s="224"/>
      <c r="J126" s="224"/>
      <c r="K126" s="224"/>
      <c r="L126" s="224"/>
      <c r="M126" s="224"/>
      <c r="N126" s="224"/>
      <c r="O126" s="224"/>
      <c r="P126" s="224"/>
      <c r="Q126" s="224"/>
      <c r="R126" s="224"/>
      <c r="S126" s="224"/>
      <c r="T126" s="224"/>
      <c r="U126" s="224"/>
      <c r="V126" s="224"/>
      <c r="W126" s="224"/>
      <c r="X126" s="224"/>
      <c r="Y126" s="224"/>
      <c r="Z126" s="224"/>
      <c r="AA126" s="208" t="s">
        <v>414</v>
      </c>
      <c r="AB126" s="224"/>
      <c r="AC126" s="224"/>
      <c r="AE126" s="224"/>
      <c r="AF126" s="224"/>
      <c r="AG126" s="224"/>
      <c r="AH126" s="224"/>
      <c r="AI126" s="224"/>
      <c r="AJ126" s="224"/>
      <c r="AK126" s="224"/>
      <c r="AL126" s="224"/>
      <c r="AM126" s="224"/>
      <c r="AN126" s="224"/>
      <c r="AO126" s="224"/>
      <c r="AP126" s="224"/>
      <c r="AQ126" s="224"/>
      <c r="AR126" s="224"/>
      <c r="AS126" s="224"/>
      <c r="AT126" s="224"/>
      <c r="AU126" s="224"/>
      <c r="AV126" s="224"/>
      <c r="AW126" s="224"/>
      <c r="AX126" s="224"/>
      <c r="AY126" s="224"/>
      <c r="AZ126" s="224"/>
      <c r="BA126" s="224"/>
      <c r="BB126" s="221"/>
      <c r="BC126" s="221"/>
      <c r="BD126" s="221"/>
      <c r="BE126" s="221"/>
      <c r="BF126" s="221"/>
      <c r="BG126" s="221"/>
    </row>
    <row r="127" spans="2:68" s="138" customFormat="1" ht="18.75" customHeight="1">
      <c r="B127" s="57"/>
      <c r="C127" s="224" t="str">
        <f>"※ "&amp;N5&amp;"와 "&amp;T5&amp;"의 열팽창계수 차이 :"</f>
        <v>※ 측정현미경와 표준자의 열팽창계수 차이 :</v>
      </c>
      <c r="D127" s="224"/>
      <c r="E127" s="224"/>
      <c r="F127" s="224"/>
      <c r="G127" s="224"/>
      <c r="H127" s="224"/>
      <c r="I127" s="224"/>
      <c r="J127" s="224"/>
      <c r="K127" s="224"/>
      <c r="L127" s="224"/>
      <c r="M127" s="224"/>
      <c r="N127" s="224"/>
      <c r="O127" s="224"/>
      <c r="P127" s="224"/>
      <c r="Q127" s="224"/>
      <c r="R127" s="224"/>
      <c r="S127" s="221"/>
      <c r="T127" s="224"/>
      <c r="U127" s="224"/>
      <c r="V127" s="224"/>
      <c r="W127" s="224"/>
      <c r="Y127" s="224" t="s">
        <v>415</v>
      </c>
      <c r="Z127" s="224"/>
      <c r="AA127" s="224"/>
      <c r="AB127" s="224"/>
      <c r="AC127" s="224"/>
      <c r="AD127" s="221"/>
      <c r="AE127" s="221"/>
      <c r="AF127" s="221"/>
      <c r="AG127" s="221"/>
      <c r="AH127" s="224"/>
      <c r="AI127" s="224"/>
      <c r="AJ127" s="224"/>
      <c r="AK127" s="224"/>
      <c r="AL127" s="224"/>
      <c r="AM127" s="224"/>
      <c r="AN127" s="224"/>
      <c r="AO127" s="224"/>
      <c r="AP127" s="224"/>
      <c r="AQ127" s="224"/>
      <c r="AR127" s="224"/>
      <c r="AS127" s="224"/>
      <c r="AT127" s="224"/>
      <c r="AU127" s="224"/>
      <c r="AV127" s="224"/>
      <c r="AW127" s="224"/>
      <c r="AX127" s="224"/>
      <c r="AY127" s="224"/>
      <c r="AZ127" s="224"/>
      <c r="BA127" s="224"/>
      <c r="BB127" s="221"/>
      <c r="BC127" s="221"/>
      <c r="BD127" s="221"/>
      <c r="BE127" s="221"/>
      <c r="BF127" s="221"/>
      <c r="BG127" s="221"/>
    </row>
    <row r="128" spans="2:68" s="138" customFormat="1" ht="18.75" customHeight="1">
      <c r="B128" s="221"/>
      <c r="C128" s="226" t="s">
        <v>416</v>
      </c>
      <c r="D128" s="221"/>
      <c r="E128" s="221"/>
      <c r="F128" s="221"/>
      <c r="G128" s="221"/>
      <c r="H128" s="476" t="e">
        <f ca="1">H61*10^6</f>
        <v>#N/A</v>
      </c>
      <c r="I128" s="476"/>
      <c r="J128" s="476"/>
      <c r="K128" s="220" t="s">
        <v>417</v>
      </c>
      <c r="L128" s="220"/>
      <c r="M128" s="220"/>
      <c r="N128" s="220"/>
      <c r="O128" s="220"/>
      <c r="P128" s="220"/>
      <c r="Q128" s="224"/>
      <c r="R128" s="224"/>
      <c r="S128" s="224"/>
      <c r="T128" s="224"/>
      <c r="U128" s="224"/>
      <c r="V128" s="224"/>
      <c r="W128" s="224"/>
      <c r="X128" s="224"/>
      <c r="Y128" s="224"/>
      <c r="Z128" s="224"/>
      <c r="AA128" s="224"/>
      <c r="AB128" s="224"/>
      <c r="AC128" s="224"/>
      <c r="AD128" s="224"/>
      <c r="AE128" s="224"/>
      <c r="AF128" s="224"/>
      <c r="AG128" s="224"/>
      <c r="AH128" s="224"/>
      <c r="AI128" s="224"/>
      <c r="AJ128" s="224"/>
      <c r="AK128" s="224"/>
      <c r="AL128" s="224"/>
      <c r="AM128" s="224"/>
      <c r="AN128" s="224"/>
      <c r="AO128" s="224"/>
      <c r="AP128" s="224"/>
      <c r="AQ128" s="224"/>
      <c r="AR128" s="224"/>
      <c r="AS128" s="224"/>
      <c r="AT128" s="221"/>
      <c r="AU128" s="221"/>
      <c r="AV128" s="221"/>
      <c r="AW128" s="221"/>
      <c r="AX128" s="221"/>
      <c r="AY128" s="221"/>
      <c r="AZ128" s="221"/>
      <c r="BA128" s="221"/>
      <c r="BB128" s="221"/>
      <c r="BC128" s="221"/>
      <c r="BD128" s="221"/>
      <c r="BE128" s="221"/>
      <c r="BF128" s="221"/>
      <c r="BG128" s="221"/>
    </row>
    <row r="129" spans="2:67" s="138" customFormat="1" ht="18.75" customHeight="1">
      <c r="B129" s="221"/>
      <c r="C129" s="224" t="s">
        <v>418</v>
      </c>
      <c r="D129" s="224"/>
      <c r="E129" s="224"/>
      <c r="F129" s="224"/>
      <c r="G129" s="224"/>
      <c r="H129" s="224"/>
      <c r="I129" s="221"/>
      <c r="J129" s="224" t="s">
        <v>419</v>
      </c>
      <c r="K129" s="224"/>
      <c r="L129" s="224"/>
      <c r="M129" s="224"/>
      <c r="N129" s="224"/>
      <c r="O129" s="224"/>
      <c r="P129" s="224"/>
      <c r="Q129" s="224"/>
      <c r="R129" s="224"/>
      <c r="S129" s="224"/>
      <c r="T129" s="224"/>
      <c r="U129" s="221"/>
      <c r="V129" s="221"/>
      <c r="W129" s="59"/>
      <c r="X129" s="224"/>
      <c r="Y129" s="224"/>
      <c r="Z129" s="224"/>
      <c r="AA129" s="224"/>
      <c r="AB129" s="224"/>
      <c r="AC129" s="224"/>
      <c r="AD129" s="224"/>
      <c r="AE129" s="224"/>
      <c r="AF129" s="224"/>
      <c r="AG129" s="224"/>
      <c r="AH129" s="224"/>
      <c r="AI129" s="224"/>
      <c r="AJ129" s="224"/>
      <c r="AK129" s="224"/>
      <c r="AL129" s="221"/>
      <c r="AM129" s="221"/>
      <c r="AN129" s="221"/>
      <c r="AO129" s="224"/>
      <c r="AP129" s="224"/>
      <c r="AQ129" s="224"/>
      <c r="AR129" s="224"/>
      <c r="AS129" s="224"/>
      <c r="AT129" s="224"/>
      <c r="AU129" s="224"/>
      <c r="AV129" s="224"/>
      <c r="AW129" s="224"/>
      <c r="AX129" s="224"/>
      <c r="AY129" s="224"/>
      <c r="AZ129" s="224"/>
      <c r="BA129" s="224"/>
      <c r="BB129" s="224"/>
      <c r="BC129" s="224"/>
      <c r="BD129" s="224"/>
      <c r="BE129" s="224"/>
      <c r="BF129" s="224"/>
      <c r="BG129" s="224"/>
      <c r="BH129" s="58"/>
      <c r="BI129" s="58"/>
      <c r="BJ129" s="58"/>
      <c r="BK129" s="58"/>
      <c r="BL129" s="58"/>
      <c r="BM129" s="58"/>
    </row>
    <row r="130" spans="2:67" s="138" customFormat="1" ht="18.75" customHeight="1">
      <c r="B130" s="221"/>
      <c r="C130" s="224"/>
      <c r="D130" s="224"/>
      <c r="E130" s="224"/>
      <c r="F130" s="224"/>
      <c r="G130" s="224"/>
      <c r="H130" s="224"/>
      <c r="I130" s="221"/>
      <c r="J130" s="224" t="s">
        <v>420</v>
      </c>
      <c r="K130" s="224"/>
      <c r="L130" s="224"/>
      <c r="M130" s="224"/>
      <c r="N130" s="224"/>
      <c r="O130" s="224"/>
      <c r="P130" s="224"/>
      <c r="Q130" s="224"/>
      <c r="R130" s="224"/>
      <c r="S130" s="224"/>
      <c r="T130" s="221"/>
      <c r="U130" s="224"/>
      <c r="V130" s="59"/>
      <c r="W130" s="224"/>
      <c r="X130" s="224"/>
      <c r="Y130" s="224"/>
      <c r="Z130" s="224"/>
      <c r="AA130" s="224"/>
      <c r="AB130" s="224"/>
      <c r="AC130" s="224"/>
      <c r="AD130" s="221"/>
      <c r="AE130" s="224"/>
      <c r="AF130" s="224"/>
      <c r="AG130" s="224"/>
      <c r="AH130" s="224"/>
      <c r="AI130" s="224"/>
      <c r="AJ130" s="224"/>
      <c r="AK130" s="221"/>
      <c r="AL130" s="221"/>
      <c r="AM130" s="221"/>
      <c r="AN130" s="221"/>
      <c r="AO130" s="224"/>
      <c r="AP130" s="224"/>
      <c r="AQ130" s="224"/>
      <c r="AR130" s="224"/>
      <c r="AS130" s="224"/>
      <c r="AT130" s="224"/>
      <c r="AU130" s="224"/>
      <c r="AV130" s="224"/>
      <c r="AW130" s="224"/>
      <c r="AX130" s="224"/>
      <c r="AY130" s="224"/>
      <c r="AZ130" s="224"/>
      <c r="BA130" s="224"/>
      <c r="BB130" s="224"/>
      <c r="BC130" s="224"/>
      <c r="BD130" s="224"/>
      <c r="BE130" s="224"/>
      <c r="BF130" s="224"/>
      <c r="BG130" s="224"/>
      <c r="BH130" s="58"/>
      <c r="BI130" s="58"/>
      <c r="BJ130" s="58"/>
      <c r="BK130" s="58"/>
      <c r="BL130" s="58"/>
      <c r="BM130" s="58"/>
      <c r="BN130" s="58"/>
    </row>
    <row r="131" spans="2:67" s="138" customFormat="1" ht="18.75" customHeight="1">
      <c r="B131" s="221"/>
      <c r="C131" s="224"/>
      <c r="D131" s="224"/>
      <c r="E131" s="224"/>
      <c r="F131" s="224"/>
      <c r="G131" s="224"/>
      <c r="H131" s="224"/>
      <c r="I131" s="224"/>
      <c r="J131" s="221"/>
      <c r="K131" s="226" t="s">
        <v>383</v>
      </c>
      <c r="L131" s="226"/>
      <c r="M131" s="226"/>
      <c r="N131" s="226"/>
      <c r="O131" s="226"/>
      <c r="P131" s="226"/>
      <c r="Q131" s="226"/>
      <c r="R131" s="226"/>
      <c r="S131" s="226"/>
      <c r="T131" s="224"/>
      <c r="U131" s="224"/>
      <c r="V131" s="224"/>
      <c r="W131" s="224"/>
      <c r="X131" s="224"/>
      <c r="Y131" s="224"/>
      <c r="Z131" s="224"/>
      <c r="AA131" s="224"/>
      <c r="AB131" s="224"/>
      <c r="AC131" s="224"/>
      <c r="AD131" s="224"/>
      <c r="AE131" s="224"/>
      <c r="AF131" s="224"/>
      <c r="AG131" s="140"/>
      <c r="AH131" s="224"/>
      <c r="AI131" s="224"/>
      <c r="AJ131" s="224"/>
      <c r="AK131" s="224"/>
      <c r="AL131" s="221"/>
      <c r="AM131" s="221"/>
      <c r="AN131" s="221"/>
      <c r="AO131" s="221"/>
      <c r="AP131" s="224"/>
      <c r="AQ131" s="224"/>
      <c r="AR131" s="224"/>
      <c r="AS131" s="224"/>
      <c r="AT131" s="224"/>
      <c r="AU131" s="224"/>
      <c r="AV131" s="224"/>
      <c r="AW131" s="224"/>
      <c r="AX131" s="224"/>
      <c r="AY131" s="224"/>
      <c r="AZ131" s="224"/>
      <c r="BA131" s="224"/>
      <c r="BB131" s="224"/>
      <c r="BC131" s="224"/>
      <c r="BD131" s="224"/>
      <c r="BE131" s="224"/>
      <c r="BF131" s="224"/>
      <c r="BG131" s="224"/>
      <c r="BH131" s="224"/>
      <c r="BI131" s="58"/>
      <c r="BJ131" s="58"/>
      <c r="BK131" s="58"/>
      <c r="BL131" s="58"/>
      <c r="BM131" s="58"/>
      <c r="BN131" s="58"/>
      <c r="BO131" s="58"/>
    </row>
    <row r="132" spans="2:67" s="138" customFormat="1" ht="18.75" customHeight="1">
      <c r="B132" s="221"/>
      <c r="C132" s="224"/>
      <c r="D132" s="224"/>
      <c r="E132" s="224"/>
      <c r="F132" s="224"/>
      <c r="G132" s="224"/>
      <c r="H132" s="224"/>
      <c r="I132" s="224"/>
      <c r="J132" s="221"/>
      <c r="K132" s="221"/>
      <c r="L132" s="109"/>
      <c r="M132" s="109"/>
      <c r="N132" s="221"/>
      <c r="O132" s="221"/>
      <c r="P132" s="221"/>
      <c r="Q132" s="221"/>
      <c r="R132" s="221"/>
      <c r="S132" s="221"/>
      <c r="T132" s="224"/>
      <c r="U132" s="224"/>
      <c r="V132" s="224"/>
      <c r="W132" s="224"/>
      <c r="X132" s="224"/>
      <c r="Y132" s="224"/>
      <c r="Z132" s="221"/>
      <c r="AA132" s="224"/>
      <c r="AB132" s="140"/>
      <c r="AC132" s="140"/>
      <c r="AD132" s="140"/>
      <c r="AE132" s="140"/>
      <c r="AF132" s="140"/>
      <c r="AG132" s="221"/>
      <c r="AH132" s="140"/>
      <c r="AI132" s="140"/>
      <c r="AJ132" s="140"/>
      <c r="AK132" s="140"/>
      <c r="AL132" s="221"/>
      <c r="AM132" s="141"/>
      <c r="AN132" s="141"/>
      <c r="AO132" s="141"/>
      <c r="AP132" s="141"/>
      <c r="AQ132" s="224"/>
      <c r="AR132" s="224"/>
      <c r="AS132" s="224"/>
      <c r="AT132" s="224"/>
      <c r="AU132" s="224"/>
      <c r="AV132" s="224"/>
      <c r="AW132" s="224"/>
      <c r="AX132" s="224"/>
      <c r="AY132" s="224"/>
      <c r="AZ132" s="224"/>
      <c r="BA132" s="224"/>
      <c r="BB132" s="224"/>
      <c r="BC132" s="224"/>
      <c r="BD132" s="224"/>
      <c r="BE132" s="224"/>
      <c r="BF132" s="224"/>
      <c r="BG132" s="224"/>
      <c r="BH132" s="224"/>
      <c r="BI132" s="58"/>
      <c r="BJ132" s="58"/>
      <c r="BK132" s="58"/>
      <c r="BL132" s="58"/>
      <c r="BM132" s="58"/>
    </row>
    <row r="133" spans="2:67" s="138" customFormat="1" ht="18.75" customHeight="1">
      <c r="B133" s="221"/>
      <c r="C133" s="224" t="s">
        <v>421</v>
      </c>
      <c r="D133" s="224"/>
      <c r="E133" s="224"/>
      <c r="F133" s="224"/>
      <c r="G133" s="224"/>
      <c r="H133" s="224"/>
      <c r="I133" s="444" t="str">
        <f>AB61</f>
        <v>삼각형</v>
      </c>
      <c r="J133" s="444"/>
      <c r="K133" s="444"/>
      <c r="L133" s="444"/>
      <c r="M133" s="444"/>
      <c r="N133" s="444"/>
      <c r="O133" s="444"/>
      <c r="P133" s="444"/>
      <c r="Q133" s="224"/>
      <c r="R133" s="224"/>
      <c r="S133" s="224"/>
      <c r="T133" s="224"/>
      <c r="U133" s="224"/>
      <c r="V133" s="224"/>
      <c r="W133" s="224"/>
      <c r="X133" s="224"/>
      <c r="Y133" s="224"/>
      <c r="Z133" s="224"/>
      <c r="AA133" s="221"/>
      <c r="AB133" s="221"/>
      <c r="AC133" s="221"/>
      <c r="AD133" s="221"/>
      <c r="AE133" s="221"/>
      <c r="AF133" s="110"/>
      <c r="AG133" s="221"/>
      <c r="AH133" s="221"/>
      <c r="AI133" s="224"/>
      <c r="AJ133" s="224"/>
      <c r="AK133" s="224"/>
      <c r="AL133" s="224"/>
      <c r="AM133" s="224"/>
      <c r="AN133" s="224"/>
      <c r="AO133" s="224"/>
      <c r="AP133" s="224"/>
      <c r="AQ133" s="224"/>
      <c r="AR133" s="224"/>
      <c r="AS133" s="224"/>
      <c r="AT133" s="224"/>
      <c r="AU133" s="224"/>
      <c r="AV133" s="224"/>
      <c r="AW133" s="224"/>
      <c r="AX133" s="224"/>
      <c r="AY133" s="224"/>
      <c r="AZ133" s="224"/>
      <c r="BA133" s="224"/>
      <c r="BB133" s="224"/>
      <c r="BC133" s="224"/>
      <c r="BD133" s="224"/>
      <c r="BE133" s="224"/>
      <c r="BF133" s="224"/>
      <c r="BG133" s="224"/>
      <c r="BH133" s="58"/>
      <c r="BI133" s="58"/>
      <c r="BJ133" s="58"/>
      <c r="BK133" s="58"/>
      <c r="BL133" s="58"/>
      <c r="BM133" s="58"/>
      <c r="BN133" s="58"/>
    </row>
    <row r="134" spans="2:67" s="138" customFormat="1" ht="18.75" customHeight="1">
      <c r="B134" s="221"/>
      <c r="C134" s="450" t="s">
        <v>422</v>
      </c>
      <c r="D134" s="450"/>
      <c r="E134" s="450"/>
      <c r="F134" s="450"/>
      <c r="G134" s="450"/>
      <c r="H134" s="450"/>
      <c r="I134" s="224"/>
      <c r="J134" s="221"/>
      <c r="K134" s="224"/>
      <c r="L134" s="224"/>
      <c r="M134" s="224"/>
      <c r="N134" s="224"/>
      <c r="O134" s="224"/>
      <c r="P134" s="224"/>
      <c r="S134" s="448">
        <f>-H62</f>
        <v>-0.1</v>
      </c>
      <c r="T134" s="448"/>
      <c r="U134" s="450" t="s">
        <v>423</v>
      </c>
      <c r="V134" s="450"/>
      <c r="W134" s="450"/>
      <c r="X134" s="450"/>
      <c r="Y134" s="450"/>
      <c r="Z134" s="450"/>
      <c r="AA134" s="461" t="s">
        <v>375</v>
      </c>
      <c r="AB134" s="448">
        <f>S134*1000</f>
        <v>-100</v>
      </c>
      <c r="AC134" s="448"/>
      <c r="AD134" s="448"/>
      <c r="AE134" s="450" t="s">
        <v>424</v>
      </c>
      <c r="AF134" s="450"/>
      <c r="AG134" s="450"/>
      <c r="AH134" s="450"/>
      <c r="AI134" s="450"/>
      <c r="AJ134" s="220"/>
      <c r="AK134" s="224"/>
      <c r="AL134" s="224"/>
      <c r="AM134" s="224"/>
      <c r="AN134" s="224"/>
      <c r="AP134" s="224"/>
      <c r="AQ134" s="224"/>
      <c r="AR134" s="221"/>
      <c r="AS134" s="221"/>
      <c r="AT134" s="221"/>
      <c r="AU134" s="221"/>
      <c r="AV134" s="221"/>
      <c r="AW134" s="221"/>
      <c r="AX134" s="221"/>
      <c r="AY134" s="221"/>
      <c r="AZ134" s="221"/>
      <c r="BA134" s="224"/>
      <c r="BB134" s="224"/>
      <c r="BC134" s="224"/>
    </row>
    <row r="135" spans="2:67" s="138" customFormat="1" ht="18.75" customHeight="1">
      <c r="B135" s="221"/>
      <c r="C135" s="450"/>
      <c r="D135" s="450"/>
      <c r="E135" s="450"/>
      <c r="F135" s="450"/>
      <c r="G135" s="450"/>
      <c r="H135" s="450"/>
      <c r="I135" s="224"/>
      <c r="J135" s="224"/>
      <c r="K135" s="224"/>
      <c r="L135" s="224"/>
      <c r="M135" s="224"/>
      <c r="N135" s="224"/>
      <c r="O135" s="224"/>
      <c r="P135" s="221"/>
      <c r="S135" s="448"/>
      <c r="T135" s="448"/>
      <c r="U135" s="450"/>
      <c r="V135" s="450"/>
      <c r="W135" s="450"/>
      <c r="X135" s="450"/>
      <c r="Y135" s="450"/>
      <c r="Z135" s="450"/>
      <c r="AA135" s="461"/>
      <c r="AB135" s="448"/>
      <c r="AC135" s="448"/>
      <c r="AD135" s="448"/>
      <c r="AE135" s="450"/>
      <c r="AF135" s="450"/>
      <c r="AG135" s="450"/>
      <c r="AH135" s="450"/>
      <c r="AI135" s="450"/>
      <c r="AJ135" s="220"/>
      <c r="AK135" s="224"/>
      <c r="AM135" s="224"/>
      <c r="AN135" s="224"/>
      <c r="AP135" s="224"/>
      <c r="AQ135" s="224"/>
      <c r="AR135" s="221"/>
      <c r="AS135" s="221"/>
      <c r="AT135" s="221"/>
      <c r="AU135" s="221"/>
      <c r="AV135" s="221"/>
      <c r="AW135" s="221"/>
      <c r="AX135" s="221"/>
      <c r="AY135" s="221"/>
      <c r="AZ135" s="221"/>
      <c r="BA135" s="224"/>
      <c r="BB135" s="224"/>
      <c r="BC135" s="224"/>
    </row>
    <row r="136" spans="2:67" s="138" customFormat="1" ht="18.75" customHeight="1">
      <c r="B136" s="221"/>
      <c r="C136" s="224" t="s">
        <v>425</v>
      </c>
      <c r="D136" s="224"/>
      <c r="E136" s="224"/>
      <c r="F136" s="224"/>
      <c r="G136" s="224"/>
      <c r="H136" s="224"/>
      <c r="I136" s="224"/>
      <c r="J136" s="221"/>
      <c r="K136" s="221" t="s">
        <v>408</v>
      </c>
      <c r="L136" s="449">
        <f>AB134</f>
        <v>-100</v>
      </c>
      <c r="M136" s="449"/>
      <c r="N136" s="449"/>
      <c r="O136" s="141" t="s">
        <v>426</v>
      </c>
      <c r="P136" s="229"/>
      <c r="R136" s="221"/>
      <c r="S136" s="221"/>
      <c r="T136" s="221"/>
      <c r="U136" s="221"/>
      <c r="V136" s="221"/>
      <c r="W136" s="221"/>
      <c r="X136" s="221"/>
      <c r="Y136" s="221"/>
      <c r="Z136" s="221" t="s">
        <v>374</v>
      </c>
      <c r="AA136" s="221" t="s">
        <v>358</v>
      </c>
      <c r="AB136" s="452">
        <f>ABS(L136*O61)</f>
        <v>8.1649658092772609E-5</v>
      </c>
      <c r="AC136" s="452"/>
      <c r="AD136" s="452"/>
      <c r="AE136" s="453"/>
      <c r="AF136" s="224" t="s">
        <v>411</v>
      </c>
      <c r="AG136" s="226"/>
      <c r="AH136" s="221"/>
      <c r="AI136" s="221"/>
      <c r="AK136" s="224"/>
      <c r="AL136" s="224"/>
      <c r="AM136" s="224"/>
      <c r="AN136" s="224"/>
      <c r="AO136" s="221"/>
      <c r="AP136" s="221"/>
      <c r="AQ136" s="221"/>
      <c r="AR136" s="221"/>
      <c r="AS136" s="221"/>
      <c r="AT136" s="141"/>
      <c r="AU136" s="224"/>
      <c r="AV136" s="224"/>
      <c r="AW136" s="224"/>
      <c r="AX136" s="142"/>
      <c r="AY136" s="141"/>
      <c r="AZ136" s="224"/>
      <c r="BA136" s="224"/>
      <c r="BB136" s="224"/>
      <c r="BC136" s="224"/>
      <c r="BD136" s="224"/>
      <c r="BE136" s="224"/>
      <c r="BF136" s="221"/>
      <c r="BG136" s="224"/>
      <c r="BH136" s="224"/>
      <c r="BI136" s="58"/>
      <c r="BJ136" s="58"/>
      <c r="BK136" s="58"/>
    </row>
    <row r="137" spans="2:67" s="138" customFormat="1" ht="18.75" customHeight="1">
      <c r="B137" s="221"/>
      <c r="C137" s="450" t="s">
        <v>427</v>
      </c>
      <c r="D137" s="450"/>
      <c r="E137" s="450"/>
      <c r="F137" s="450"/>
      <c r="G137" s="450"/>
      <c r="H137" s="224"/>
      <c r="J137" s="224"/>
      <c r="K137" s="224"/>
      <c r="L137" s="224"/>
      <c r="M137" s="224"/>
      <c r="N137" s="224"/>
      <c r="O137" s="224"/>
      <c r="P137" s="224"/>
      <c r="Q137" s="224"/>
      <c r="R137" s="141"/>
      <c r="S137" s="224"/>
      <c r="T137" s="224"/>
      <c r="U137" s="224"/>
      <c r="W137" s="224"/>
      <c r="X137" s="224"/>
      <c r="Y137" s="224"/>
      <c r="Z137" s="224"/>
      <c r="AA137" s="230" t="s">
        <v>395</v>
      </c>
      <c r="AB137" s="224"/>
      <c r="AC137" s="224"/>
      <c r="AD137" s="224"/>
      <c r="AE137" s="221"/>
      <c r="AF137" s="221"/>
      <c r="AH137" s="221"/>
      <c r="AI137" s="221"/>
      <c r="AJ137" s="221"/>
      <c r="AK137" s="221"/>
      <c r="AL137" s="221"/>
      <c r="AM137" s="221"/>
      <c r="AN137" s="221"/>
      <c r="AO137" s="221"/>
      <c r="AP137" s="221"/>
      <c r="AQ137" s="221"/>
      <c r="AR137" s="221"/>
      <c r="AS137" s="221"/>
      <c r="AT137" s="221"/>
      <c r="AU137" s="221"/>
      <c r="AV137" s="221"/>
      <c r="AW137" s="221"/>
      <c r="AX137" s="221"/>
      <c r="AY137" s="221"/>
      <c r="AZ137" s="221"/>
      <c r="BA137" s="221"/>
      <c r="BB137" s="221"/>
      <c r="BC137" s="221"/>
      <c r="BD137" s="221"/>
      <c r="BE137" s="221"/>
      <c r="BF137" s="221"/>
      <c r="BG137" s="221"/>
      <c r="BH137" s="58"/>
      <c r="BI137" s="58"/>
      <c r="BJ137" s="58"/>
      <c r="BK137" s="58"/>
      <c r="BL137" s="58"/>
    </row>
    <row r="138" spans="2:67" s="138" customFormat="1" ht="18.75" customHeight="1">
      <c r="B138" s="221"/>
      <c r="C138" s="450"/>
      <c r="D138" s="450"/>
      <c r="E138" s="450"/>
      <c r="F138" s="450"/>
      <c r="G138" s="450"/>
      <c r="H138" s="224"/>
      <c r="I138" s="224"/>
      <c r="J138" s="224"/>
      <c r="K138" s="224"/>
      <c r="L138" s="224"/>
      <c r="M138" s="224"/>
      <c r="N138" s="224"/>
      <c r="O138" s="224"/>
      <c r="P138" s="224"/>
      <c r="Q138" s="224"/>
      <c r="R138" s="141"/>
      <c r="S138" s="224"/>
      <c r="T138" s="224"/>
      <c r="U138" s="224"/>
      <c r="V138" s="224"/>
      <c r="W138" s="224"/>
      <c r="X138" s="224"/>
      <c r="Y138" s="224"/>
      <c r="Z138" s="224"/>
      <c r="AA138" s="224"/>
      <c r="AB138" s="224"/>
      <c r="AC138" s="224"/>
      <c r="AD138" s="224"/>
      <c r="AE138" s="221"/>
      <c r="AF138" s="221"/>
      <c r="AG138" s="221"/>
      <c r="AH138" s="221"/>
      <c r="AI138" s="221"/>
      <c r="AJ138" s="221"/>
      <c r="AK138" s="221"/>
      <c r="AL138" s="221"/>
      <c r="AM138" s="221"/>
      <c r="AN138" s="221"/>
      <c r="AO138" s="221"/>
      <c r="AP138" s="221"/>
      <c r="AQ138" s="221"/>
      <c r="AR138" s="221"/>
      <c r="AS138" s="221"/>
      <c r="AT138" s="221"/>
      <c r="AU138" s="221"/>
      <c r="AV138" s="221"/>
      <c r="AW138" s="221"/>
      <c r="AX138" s="221"/>
      <c r="AY138" s="221"/>
      <c r="AZ138" s="221"/>
      <c r="BA138" s="221"/>
      <c r="BB138" s="221"/>
      <c r="BC138" s="221"/>
      <c r="BD138" s="221"/>
      <c r="BE138" s="221"/>
      <c r="BF138" s="221"/>
      <c r="BG138" s="221"/>
      <c r="BH138" s="58"/>
      <c r="BI138" s="58"/>
      <c r="BJ138" s="58"/>
      <c r="BK138" s="58"/>
      <c r="BL138" s="58"/>
    </row>
    <row r="139" spans="2:67" s="138" customFormat="1" ht="18.75" customHeight="1">
      <c r="B139" s="221"/>
      <c r="C139" s="224"/>
      <c r="D139" s="224"/>
      <c r="E139" s="224"/>
      <c r="F139" s="224"/>
      <c r="G139" s="224"/>
      <c r="H139" s="224"/>
      <c r="I139" s="224"/>
      <c r="J139" s="224"/>
      <c r="K139" s="224"/>
      <c r="L139" s="224"/>
      <c r="M139" s="224"/>
      <c r="N139" s="224"/>
      <c r="O139" s="224"/>
      <c r="P139" s="224"/>
      <c r="Q139" s="224"/>
      <c r="R139" s="141"/>
      <c r="S139" s="224"/>
      <c r="T139" s="224"/>
      <c r="U139" s="224"/>
      <c r="V139" s="224"/>
      <c r="W139" s="224"/>
      <c r="X139" s="224"/>
      <c r="Y139" s="224"/>
      <c r="Z139" s="444">
        <v>100</v>
      </c>
      <c r="AA139" s="444"/>
      <c r="AD139" s="224"/>
      <c r="AE139" s="221"/>
      <c r="AF139" s="221"/>
      <c r="AG139" s="221"/>
      <c r="AH139" s="221"/>
      <c r="AI139" s="221"/>
      <c r="AJ139" s="221"/>
      <c r="AK139" s="221"/>
      <c r="AL139" s="221"/>
      <c r="AM139" s="221"/>
      <c r="AN139" s="221"/>
      <c r="AO139" s="221"/>
      <c r="AP139" s="221"/>
      <c r="AQ139" s="221"/>
      <c r="AR139" s="221"/>
      <c r="AS139" s="221"/>
      <c r="AT139" s="221"/>
      <c r="AU139" s="221"/>
      <c r="AV139" s="221"/>
      <c r="AW139" s="221"/>
      <c r="AX139" s="221"/>
      <c r="AY139" s="221"/>
      <c r="AZ139" s="221"/>
      <c r="BA139" s="221"/>
      <c r="BB139" s="221"/>
      <c r="BC139" s="221"/>
      <c r="BD139" s="221"/>
      <c r="BE139" s="221"/>
      <c r="BF139" s="221"/>
      <c r="BG139" s="221"/>
      <c r="BH139" s="58"/>
      <c r="BI139" s="58"/>
      <c r="BJ139" s="58"/>
      <c r="BK139" s="58"/>
      <c r="BL139" s="58"/>
    </row>
    <row r="140" spans="2:67" s="138" customFormat="1" ht="18.75" customHeight="1">
      <c r="B140" s="221"/>
      <c r="C140" s="224"/>
      <c r="D140" s="224"/>
      <c r="E140" s="224"/>
      <c r="F140" s="224"/>
      <c r="G140" s="224"/>
      <c r="H140" s="224"/>
      <c r="I140" s="224"/>
      <c r="J140" s="224"/>
      <c r="K140" s="224"/>
      <c r="L140" s="224"/>
      <c r="M140" s="224"/>
      <c r="N140" s="224"/>
      <c r="O140" s="224"/>
      <c r="P140" s="224"/>
      <c r="Q140" s="224"/>
      <c r="R140" s="141"/>
      <c r="S140" s="224"/>
      <c r="T140" s="224"/>
      <c r="U140" s="224"/>
      <c r="V140" s="224"/>
      <c r="W140" s="224"/>
      <c r="X140" s="224"/>
      <c r="Y140" s="224"/>
      <c r="Z140" s="444"/>
      <c r="AA140" s="444"/>
      <c r="AD140" s="224"/>
      <c r="AE140" s="221"/>
      <c r="AF140" s="221"/>
      <c r="AG140" s="221"/>
      <c r="AH140" s="221"/>
      <c r="AI140" s="221"/>
      <c r="AJ140" s="221"/>
      <c r="AK140" s="221"/>
      <c r="AL140" s="221"/>
      <c r="AM140" s="221"/>
      <c r="AN140" s="221"/>
      <c r="AO140" s="221"/>
      <c r="AP140" s="221"/>
      <c r="AQ140" s="221"/>
      <c r="AR140" s="221"/>
      <c r="AS140" s="221"/>
      <c r="AT140" s="221"/>
      <c r="AU140" s="221"/>
      <c r="AV140" s="221"/>
      <c r="AW140" s="221"/>
      <c r="AX140" s="221"/>
      <c r="AY140" s="221"/>
      <c r="AZ140" s="221"/>
      <c r="BA140" s="221"/>
      <c r="BB140" s="221"/>
      <c r="BC140" s="221"/>
      <c r="BD140" s="221"/>
      <c r="BE140" s="221"/>
      <c r="BF140" s="221"/>
      <c r="BG140" s="221"/>
      <c r="BH140" s="58"/>
      <c r="BI140" s="58"/>
      <c r="BJ140" s="58"/>
      <c r="BK140" s="58"/>
      <c r="BL140" s="58"/>
    </row>
    <row r="141" spans="2:67" s="138" customFormat="1" ht="18.75" customHeight="1">
      <c r="B141" s="221"/>
      <c r="C141" s="224"/>
      <c r="D141" s="224"/>
      <c r="E141" s="224"/>
      <c r="F141" s="224"/>
      <c r="G141" s="224"/>
      <c r="H141" s="224"/>
      <c r="I141" s="224"/>
      <c r="J141" s="224"/>
      <c r="K141" s="224"/>
      <c r="L141" s="224"/>
      <c r="M141" s="224"/>
      <c r="N141" s="224"/>
      <c r="O141" s="224"/>
      <c r="P141" s="224"/>
      <c r="Q141" s="224"/>
      <c r="R141" s="141"/>
      <c r="S141" s="224"/>
      <c r="T141" s="224"/>
      <c r="U141" s="224"/>
      <c r="V141" s="224"/>
      <c r="W141" s="224"/>
      <c r="X141" s="224"/>
      <c r="Y141" s="224"/>
      <c r="Z141" s="224"/>
      <c r="AA141" s="224"/>
      <c r="AB141" s="224"/>
      <c r="AC141" s="224"/>
      <c r="AD141" s="224"/>
      <c r="AE141" s="221"/>
      <c r="AF141" s="221"/>
      <c r="AG141" s="221"/>
      <c r="AH141" s="221"/>
      <c r="AI141" s="221"/>
      <c r="AJ141" s="221"/>
      <c r="AK141" s="221"/>
      <c r="AL141" s="221"/>
      <c r="AM141" s="221"/>
      <c r="AN141" s="221"/>
      <c r="AO141" s="221"/>
      <c r="AP141" s="221"/>
      <c r="AQ141" s="221"/>
      <c r="AR141" s="221"/>
      <c r="AS141" s="221"/>
      <c r="AT141" s="221"/>
      <c r="AU141" s="221"/>
      <c r="AV141" s="221"/>
      <c r="AW141" s="221"/>
      <c r="AX141" s="221"/>
      <c r="AY141" s="221"/>
      <c r="AZ141" s="221"/>
      <c r="BA141" s="221"/>
      <c r="BB141" s="221"/>
      <c r="BC141" s="221"/>
      <c r="BD141" s="221"/>
      <c r="BE141" s="221"/>
      <c r="BF141" s="221"/>
      <c r="BG141" s="221"/>
      <c r="BH141" s="58"/>
      <c r="BI141" s="58"/>
      <c r="BJ141" s="58"/>
      <c r="BK141" s="58"/>
      <c r="BL141" s="58"/>
    </row>
    <row r="142" spans="2:67" s="138" customFormat="1" ht="18.75" customHeight="1">
      <c r="B142" s="221"/>
      <c r="C142" s="224"/>
      <c r="D142" s="224"/>
      <c r="E142" s="224"/>
      <c r="F142" s="224"/>
      <c r="G142" s="224"/>
      <c r="H142" s="224"/>
      <c r="I142" s="224"/>
      <c r="J142" s="224"/>
      <c r="K142" s="224"/>
      <c r="L142" s="224"/>
      <c r="M142" s="224"/>
      <c r="N142" s="224"/>
      <c r="O142" s="224"/>
      <c r="P142" s="224"/>
      <c r="Q142" s="224"/>
      <c r="R142" s="141"/>
      <c r="S142" s="224"/>
      <c r="T142" s="224"/>
      <c r="U142" s="224"/>
      <c r="V142" s="224"/>
      <c r="W142" s="224"/>
      <c r="X142" s="224"/>
      <c r="Y142" s="224"/>
      <c r="Z142" s="224"/>
      <c r="AA142" s="224"/>
      <c r="AB142" s="224"/>
      <c r="AC142" s="224"/>
      <c r="AD142" s="224"/>
      <c r="AE142" s="221"/>
      <c r="AF142" s="221"/>
      <c r="AG142" s="221"/>
      <c r="AH142" s="221"/>
      <c r="AI142" s="221"/>
      <c r="AJ142" s="221"/>
      <c r="AK142" s="221"/>
      <c r="AL142" s="221"/>
      <c r="AM142" s="221"/>
      <c r="AN142" s="221"/>
      <c r="AO142" s="221"/>
      <c r="AP142" s="221"/>
      <c r="AQ142" s="221"/>
      <c r="AR142" s="221"/>
      <c r="AS142" s="221"/>
      <c r="AT142" s="221"/>
      <c r="AU142" s="221"/>
      <c r="AV142" s="221"/>
      <c r="AW142" s="221"/>
      <c r="AX142" s="221"/>
      <c r="AY142" s="221"/>
      <c r="AZ142" s="221"/>
      <c r="BA142" s="221"/>
      <c r="BB142" s="221"/>
      <c r="BC142" s="221"/>
      <c r="BD142" s="221"/>
      <c r="BE142" s="221"/>
      <c r="BF142" s="221"/>
      <c r="BG142" s="221"/>
      <c r="BH142" s="224"/>
      <c r="BI142" s="224"/>
      <c r="BJ142" s="224"/>
      <c r="BK142" s="224"/>
    </row>
    <row r="143" spans="2:67" s="138" customFormat="1" ht="18.75" customHeight="1">
      <c r="B143" s="57" t="str">
        <f>"6. "&amp;N5&amp;"와 "&amp;T5&amp;"의 평균온도와 기준 온도와의 차이에 의한 표준불확도,"</f>
        <v>6. 측정현미경와 표준자의 평균온도와 기준 온도와의 차이에 의한 표준불확도,</v>
      </c>
      <c r="D143" s="224"/>
      <c r="E143" s="224"/>
      <c r="F143" s="224"/>
      <c r="G143" s="224"/>
      <c r="H143" s="224"/>
      <c r="I143" s="224"/>
      <c r="J143" s="224"/>
      <c r="K143" s="224"/>
      <c r="L143" s="224"/>
      <c r="M143" s="224"/>
      <c r="N143" s="224"/>
      <c r="O143" s="224"/>
      <c r="P143" s="224"/>
      <c r="Q143" s="224"/>
      <c r="R143" s="224"/>
      <c r="S143" s="224"/>
      <c r="T143" s="224"/>
      <c r="U143" s="224"/>
      <c r="V143" s="224"/>
      <c r="W143" s="224"/>
      <c r="X143" s="224"/>
      <c r="Y143" s="224"/>
      <c r="Z143" s="224"/>
      <c r="AA143" s="224"/>
      <c r="AB143" s="224"/>
      <c r="AC143" s="224"/>
      <c r="AD143" s="224"/>
      <c r="AE143" s="224"/>
      <c r="AF143" s="224"/>
      <c r="AG143" s="208" t="s">
        <v>428</v>
      </c>
      <c r="AH143" s="224"/>
      <c r="AI143" s="224"/>
      <c r="AJ143" s="224"/>
      <c r="AL143" s="224"/>
      <c r="AM143" s="224"/>
      <c r="AN143" s="224"/>
      <c r="AO143" s="224"/>
      <c r="AP143" s="224"/>
      <c r="AQ143" s="224"/>
      <c r="AR143" s="224"/>
      <c r="AS143" s="224"/>
      <c r="AT143" s="224"/>
      <c r="AU143" s="224"/>
      <c r="AV143" s="224"/>
      <c r="AW143" s="224"/>
      <c r="AX143" s="224"/>
      <c r="AY143" s="224"/>
      <c r="AZ143" s="224"/>
      <c r="BA143" s="224"/>
      <c r="BB143" s="224"/>
      <c r="BC143" s="224"/>
      <c r="BD143" s="224"/>
      <c r="BE143" s="224"/>
      <c r="BF143" s="224"/>
      <c r="BG143" s="224"/>
      <c r="BH143" s="58"/>
      <c r="BI143" s="58"/>
      <c r="BJ143" s="58"/>
      <c r="BK143" s="58"/>
      <c r="BL143" s="58"/>
      <c r="BM143" s="58"/>
      <c r="BN143" s="58"/>
    </row>
    <row r="144" spans="2:67" s="138" customFormat="1" ht="18.75" customHeight="1">
      <c r="B144" s="57"/>
      <c r="C144" s="224" t="str">
        <f>"※ 측정실 공기중의 온도를 측정하였고, 측정에 사용된 온도계의 불확도가 "&amp;N147&amp;" ℃를 넘지 않으므로,"</f>
        <v>※ 측정실 공기중의 온도를 측정하였고, 측정에 사용된 온도계의 불확도가 1 ℃를 넘지 않으므로,</v>
      </c>
      <c r="D144" s="224"/>
      <c r="E144" s="224"/>
      <c r="F144" s="224"/>
      <c r="G144" s="224"/>
      <c r="H144" s="224"/>
      <c r="I144" s="224"/>
      <c r="J144" s="224"/>
      <c r="K144" s="224"/>
      <c r="L144" s="224"/>
      <c r="M144" s="224"/>
      <c r="N144" s="224"/>
      <c r="O144" s="224"/>
      <c r="P144" s="224"/>
      <c r="Q144" s="224"/>
      <c r="R144" s="224"/>
      <c r="S144" s="224"/>
      <c r="T144" s="224"/>
      <c r="U144" s="224"/>
      <c r="V144" s="224"/>
      <c r="W144" s="224"/>
      <c r="X144" s="224"/>
      <c r="Y144" s="224"/>
      <c r="Z144" s="224"/>
      <c r="AA144" s="224"/>
      <c r="AB144" s="224"/>
      <c r="AC144" s="224"/>
      <c r="AD144" s="224"/>
      <c r="AE144" s="224"/>
      <c r="AF144" s="224"/>
      <c r="AG144" s="224"/>
      <c r="AH144" s="224"/>
      <c r="AI144" s="224"/>
      <c r="AJ144" s="224"/>
      <c r="AK144" s="224"/>
      <c r="AL144" s="224"/>
      <c r="AM144" s="224"/>
      <c r="AN144" s="224"/>
      <c r="AO144" s="224"/>
      <c r="AP144" s="224"/>
      <c r="AQ144" s="224"/>
      <c r="AR144" s="224"/>
      <c r="AS144" s="224"/>
      <c r="AT144" s="224"/>
      <c r="AU144" s="224"/>
      <c r="AV144" s="224"/>
      <c r="AW144" s="224"/>
      <c r="AX144" s="224"/>
      <c r="AY144" s="224"/>
      <c r="AZ144" s="224"/>
      <c r="BA144" s="224"/>
      <c r="BB144" s="224"/>
      <c r="BC144" s="224"/>
      <c r="BD144" s="224"/>
      <c r="BE144" s="224"/>
      <c r="BF144" s="224"/>
      <c r="BG144" s="224"/>
      <c r="BH144" s="58"/>
      <c r="BI144" s="58"/>
      <c r="BJ144" s="58"/>
      <c r="BK144" s="58"/>
      <c r="BL144" s="58"/>
      <c r="BM144" s="58"/>
      <c r="BN144" s="58"/>
    </row>
    <row r="145" spans="2:74" s="138" customFormat="1" ht="18.75" customHeight="1">
      <c r="B145" s="57"/>
      <c r="C145" s="224"/>
      <c r="D145" s="224" t="s">
        <v>429</v>
      </c>
      <c r="E145" s="224"/>
      <c r="F145" s="224"/>
      <c r="G145" s="224"/>
      <c r="H145" s="224"/>
      <c r="I145" s="224"/>
      <c r="J145" s="224"/>
      <c r="K145" s="224"/>
      <c r="L145" s="224"/>
      <c r="M145" s="224"/>
      <c r="N145" s="224"/>
      <c r="O145" s="224"/>
      <c r="P145" s="224"/>
      <c r="Q145" s="224"/>
      <c r="R145" s="224"/>
      <c r="S145" s="224"/>
      <c r="T145" s="224"/>
      <c r="U145" s="224"/>
      <c r="V145" s="224"/>
      <c r="W145" s="224"/>
      <c r="X145" s="224"/>
      <c r="Y145" s="224"/>
      <c r="Z145" s="224"/>
      <c r="AA145" s="224"/>
      <c r="AB145" s="224"/>
      <c r="AC145" s="224"/>
      <c r="AD145" s="224"/>
      <c r="AE145" s="224"/>
      <c r="AF145" s="224"/>
      <c r="AG145" s="224"/>
      <c r="AH145" s="224"/>
      <c r="AI145" s="224"/>
      <c r="AJ145" s="224"/>
      <c r="AK145" s="224"/>
      <c r="AL145" s="224"/>
      <c r="AM145" s="224"/>
      <c r="AN145" s="224"/>
      <c r="AO145" s="224"/>
      <c r="AP145" s="224"/>
      <c r="AQ145" s="224"/>
      <c r="AR145" s="224"/>
      <c r="AS145" s="224"/>
      <c r="AT145" s="224"/>
      <c r="AU145" s="224"/>
      <c r="AV145" s="224"/>
      <c r="AW145" s="224"/>
      <c r="AX145" s="224"/>
      <c r="AY145" s="224"/>
      <c r="AZ145" s="224"/>
      <c r="BA145" s="224"/>
      <c r="BB145" s="224"/>
      <c r="BC145" s="224"/>
      <c r="BD145" s="224"/>
      <c r="BE145" s="224"/>
      <c r="BF145" s="224"/>
      <c r="BG145" s="224"/>
      <c r="BH145" s="58"/>
      <c r="BI145" s="58"/>
      <c r="BJ145" s="58"/>
      <c r="BK145" s="58"/>
      <c r="BL145" s="58"/>
      <c r="BM145" s="58"/>
      <c r="BN145" s="58"/>
    </row>
    <row r="146" spans="2:74" s="138" customFormat="1" ht="18.75" customHeight="1">
      <c r="B146" s="221"/>
      <c r="C146" s="226" t="s">
        <v>430</v>
      </c>
      <c r="D146" s="221"/>
      <c r="E146" s="221"/>
      <c r="F146" s="221"/>
      <c r="G146" s="221"/>
      <c r="H146" s="454">
        <f>H62</f>
        <v>0.1</v>
      </c>
      <c r="I146" s="454"/>
      <c r="J146" s="454"/>
      <c r="K146" s="454"/>
      <c r="L146" s="454"/>
      <c r="M146" s="454"/>
      <c r="N146" s="454"/>
      <c r="O146" s="454"/>
      <c r="P146" s="220"/>
      <c r="Q146" s="224"/>
      <c r="R146" s="224"/>
      <c r="S146" s="224"/>
      <c r="T146" s="224"/>
      <c r="U146" s="224"/>
      <c r="V146" s="224"/>
      <c r="W146" s="224"/>
      <c r="X146" s="224"/>
      <c r="Y146" s="224"/>
      <c r="Z146" s="224"/>
      <c r="AA146" s="224"/>
      <c r="AB146" s="224"/>
      <c r="AC146" s="224"/>
      <c r="AD146" s="224"/>
      <c r="AE146" s="224"/>
      <c r="AF146" s="224"/>
      <c r="AG146" s="224"/>
      <c r="AH146" s="224"/>
      <c r="AI146" s="224"/>
      <c r="AJ146" s="224"/>
      <c r="AK146" s="224"/>
      <c r="AL146" s="224"/>
      <c r="AM146" s="224"/>
      <c r="AN146" s="224"/>
      <c r="AO146" s="224"/>
      <c r="AP146" s="224"/>
      <c r="AQ146" s="224"/>
      <c r="AR146" s="224"/>
      <c r="AS146" s="224"/>
      <c r="AT146" s="224"/>
      <c r="AU146" s="224"/>
      <c r="AV146" s="224"/>
      <c r="AW146" s="224"/>
      <c r="AX146" s="224"/>
      <c r="AY146" s="224"/>
      <c r="AZ146" s="224"/>
      <c r="BA146" s="224"/>
      <c r="BB146" s="224"/>
      <c r="BC146" s="224"/>
      <c r="BD146" s="224"/>
      <c r="BE146" s="224"/>
      <c r="BF146" s="224"/>
      <c r="BG146" s="224"/>
      <c r="BH146" s="58"/>
      <c r="BI146" s="58"/>
      <c r="BJ146" s="58"/>
      <c r="BK146" s="58"/>
      <c r="BL146" s="58"/>
      <c r="BM146" s="58"/>
    </row>
    <row r="147" spans="2:74" s="138" customFormat="1" ht="18.75" customHeight="1">
      <c r="B147" s="221"/>
      <c r="C147" s="450" t="s">
        <v>431</v>
      </c>
      <c r="D147" s="450"/>
      <c r="E147" s="450"/>
      <c r="F147" s="450"/>
      <c r="G147" s="450"/>
      <c r="H147" s="450"/>
      <c r="I147" s="450"/>
      <c r="J147" s="455" t="s">
        <v>432</v>
      </c>
      <c r="K147" s="455"/>
      <c r="L147" s="455"/>
      <c r="M147" s="461" t="s">
        <v>375</v>
      </c>
      <c r="N147" s="462">
        <f>Calcu!H39</f>
        <v>1</v>
      </c>
      <c r="O147" s="462"/>
      <c r="P147" s="223" t="s">
        <v>433</v>
      </c>
      <c r="Q147" s="209"/>
      <c r="R147" s="461" t="s">
        <v>358</v>
      </c>
      <c r="S147" s="446">
        <f>N147/SQRT(3)</f>
        <v>0.57735026918962584</v>
      </c>
      <c r="T147" s="446"/>
      <c r="U147" s="446"/>
      <c r="V147" s="448" t="str">
        <f>P147</f>
        <v>℃</v>
      </c>
      <c r="W147" s="448"/>
      <c r="X147" s="220"/>
      <c r="Y147" s="144"/>
      <c r="Z147" s="145"/>
      <c r="AA147" s="145"/>
      <c r="AZ147" s="224"/>
      <c r="BA147" s="224"/>
      <c r="BB147" s="224"/>
      <c r="BC147" s="224"/>
      <c r="BD147" s="224"/>
      <c r="BE147" s="224"/>
      <c r="BF147" s="224"/>
      <c r="BG147" s="224"/>
      <c r="BH147" s="224"/>
      <c r="BI147" s="224"/>
      <c r="BJ147" s="58"/>
      <c r="BK147" s="58"/>
      <c r="BL147" s="58"/>
      <c r="BM147" s="58"/>
      <c r="BN147" s="58"/>
      <c r="BO147" s="58"/>
      <c r="BP147" s="58"/>
      <c r="BQ147" s="58"/>
      <c r="BR147" s="58"/>
      <c r="BS147" s="58"/>
    </row>
    <row r="148" spans="2:74" s="138" customFormat="1" ht="18.75" customHeight="1">
      <c r="B148" s="221"/>
      <c r="C148" s="450"/>
      <c r="D148" s="450"/>
      <c r="E148" s="450"/>
      <c r="F148" s="450"/>
      <c r="G148" s="450"/>
      <c r="H148" s="450"/>
      <c r="I148" s="450"/>
      <c r="J148" s="455"/>
      <c r="K148" s="455"/>
      <c r="L148" s="455"/>
      <c r="M148" s="461"/>
      <c r="N148" s="221"/>
      <c r="O148" s="221"/>
      <c r="P148" s="221"/>
      <c r="Q148" s="221"/>
      <c r="R148" s="461"/>
      <c r="S148" s="446"/>
      <c r="T148" s="446"/>
      <c r="U148" s="446"/>
      <c r="V148" s="448"/>
      <c r="W148" s="448"/>
      <c r="X148" s="220"/>
      <c r="Y148" s="144"/>
      <c r="Z148" s="145"/>
      <c r="AA148" s="145"/>
      <c r="AZ148" s="224"/>
      <c r="BA148" s="224"/>
      <c r="BB148" s="224"/>
      <c r="BC148" s="224"/>
      <c r="BD148" s="224"/>
      <c r="BE148" s="224"/>
      <c r="BF148" s="224"/>
      <c r="BG148" s="224"/>
      <c r="BH148" s="224"/>
      <c r="BI148" s="224"/>
      <c r="BJ148" s="58"/>
      <c r="BK148" s="58"/>
      <c r="BL148" s="58"/>
      <c r="BM148" s="58"/>
      <c r="BN148" s="58"/>
      <c r="BO148" s="58"/>
      <c r="BP148" s="58"/>
      <c r="BQ148" s="58"/>
      <c r="BR148" s="58"/>
      <c r="BS148" s="58"/>
    </row>
    <row r="149" spans="2:74" s="138" customFormat="1" ht="18.75" customHeight="1">
      <c r="B149" s="221"/>
      <c r="C149" s="224" t="s">
        <v>434</v>
      </c>
      <c r="D149" s="224"/>
      <c r="E149" s="224"/>
      <c r="F149" s="224"/>
      <c r="G149" s="224"/>
      <c r="H149" s="224"/>
      <c r="I149" s="444" t="str">
        <f>AB62</f>
        <v>직사각형</v>
      </c>
      <c r="J149" s="444"/>
      <c r="K149" s="444"/>
      <c r="L149" s="444"/>
      <c r="M149" s="444"/>
      <c r="N149" s="444"/>
      <c r="O149" s="444"/>
      <c r="P149" s="444"/>
      <c r="Q149" s="224"/>
      <c r="R149" s="224"/>
      <c r="S149" s="224"/>
      <c r="T149" s="224"/>
      <c r="U149" s="224"/>
      <c r="V149" s="224"/>
      <c r="W149" s="224"/>
      <c r="X149" s="224"/>
      <c r="Y149" s="224"/>
      <c r="Z149" s="221"/>
      <c r="AA149" s="221"/>
      <c r="AB149" s="221"/>
      <c r="AC149" s="221"/>
      <c r="AD149" s="221"/>
      <c r="AE149" s="221"/>
      <c r="AF149" s="221"/>
      <c r="AG149" s="221"/>
      <c r="AH149" s="224"/>
      <c r="AI149" s="224"/>
      <c r="AJ149" s="224"/>
      <c r="AK149" s="224"/>
      <c r="AL149" s="224"/>
      <c r="AM149" s="224"/>
      <c r="AN149" s="224"/>
      <c r="AO149" s="224"/>
      <c r="AP149" s="224"/>
      <c r="AQ149" s="224"/>
      <c r="AR149" s="224"/>
      <c r="AS149" s="224"/>
      <c r="AT149" s="224"/>
      <c r="AU149" s="224"/>
      <c r="AV149" s="224"/>
      <c r="AW149" s="224"/>
      <c r="AX149" s="224"/>
      <c r="AY149" s="224"/>
      <c r="AZ149" s="224"/>
      <c r="BA149" s="224"/>
      <c r="BB149" s="224"/>
      <c r="BC149" s="224"/>
      <c r="BD149" s="224"/>
      <c r="BE149" s="224"/>
      <c r="BF149" s="221"/>
      <c r="BG149" s="224"/>
      <c r="BH149" s="58"/>
      <c r="BI149" s="58"/>
      <c r="BJ149" s="58"/>
      <c r="BK149" s="58"/>
      <c r="BL149" s="58"/>
      <c r="BM149" s="58"/>
      <c r="BN149" s="58"/>
      <c r="BO149" s="58"/>
      <c r="BP149" s="58"/>
      <c r="BQ149" s="58"/>
      <c r="BR149" s="58"/>
      <c r="BS149" s="58"/>
      <c r="BT149" s="58"/>
      <c r="BU149" s="58"/>
      <c r="BV149" s="58"/>
    </row>
    <row r="150" spans="2:74" s="138" customFormat="1" ht="18.75" customHeight="1">
      <c r="B150" s="221"/>
      <c r="C150" s="450" t="s">
        <v>435</v>
      </c>
      <c r="D150" s="450"/>
      <c r="E150" s="450"/>
      <c r="F150" s="450"/>
      <c r="G150" s="450"/>
      <c r="H150" s="450"/>
      <c r="I150" s="224"/>
      <c r="J150" s="224"/>
      <c r="K150" s="224"/>
      <c r="L150" s="224"/>
      <c r="M150" s="224"/>
      <c r="N150" s="224"/>
      <c r="O150" s="221"/>
      <c r="S150" s="476" t="e">
        <f ca="1">-H61*10^6</f>
        <v>#N/A</v>
      </c>
      <c r="T150" s="476"/>
      <c r="U150" s="476"/>
      <c r="V150" s="450" t="s">
        <v>404</v>
      </c>
      <c r="W150" s="450"/>
      <c r="X150" s="450"/>
      <c r="Y150" s="450"/>
      <c r="Z150" s="450"/>
      <c r="AA150" s="450"/>
      <c r="AB150" s="450"/>
      <c r="AC150" s="450"/>
      <c r="AD150" s="461" t="s">
        <v>153</v>
      </c>
      <c r="AE150" s="449" t="e">
        <f ca="1">S150*10^-6*1000</f>
        <v>#N/A</v>
      </c>
      <c r="AF150" s="449"/>
      <c r="AG150" s="449"/>
      <c r="AH150" s="449"/>
      <c r="AI150" s="450" t="s">
        <v>436</v>
      </c>
      <c r="AJ150" s="450"/>
      <c r="AK150" s="450"/>
      <c r="AL150" s="450"/>
      <c r="AM150" s="450"/>
      <c r="AN150" s="450"/>
      <c r="AO150" s="450"/>
      <c r="AP150" s="224"/>
      <c r="AQ150" s="224"/>
      <c r="AR150" s="224"/>
      <c r="AS150" s="224"/>
      <c r="AT150" s="224"/>
      <c r="AU150" s="224"/>
      <c r="AV150" s="224"/>
      <c r="AW150" s="224"/>
      <c r="AX150" s="224"/>
      <c r="AY150" s="224"/>
      <c r="AZ150" s="224"/>
      <c r="BA150" s="224"/>
      <c r="BB150" s="224"/>
      <c r="BC150" s="224"/>
      <c r="BD150" s="224"/>
      <c r="BE150" s="224"/>
      <c r="BF150" s="224"/>
      <c r="BG150" s="224"/>
      <c r="BH150" s="58"/>
      <c r="BI150" s="58"/>
      <c r="BJ150" s="58"/>
      <c r="BK150" s="58"/>
      <c r="BL150" s="58"/>
      <c r="BM150" s="58"/>
    </row>
    <row r="151" spans="2:74" s="138" customFormat="1" ht="18.75" customHeight="1">
      <c r="B151" s="221"/>
      <c r="C151" s="450"/>
      <c r="D151" s="450"/>
      <c r="E151" s="450"/>
      <c r="F151" s="450"/>
      <c r="G151" s="450"/>
      <c r="H151" s="450"/>
      <c r="I151" s="224"/>
      <c r="J151" s="224"/>
      <c r="K151" s="224"/>
      <c r="L151" s="224"/>
      <c r="M151" s="224"/>
      <c r="N151" s="224"/>
      <c r="O151" s="224"/>
      <c r="S151" s="476"/>
      <c r="T151" s="476"/>
      <c r="U151" s="476"/>
      <c r="V151" s="450"/>
      <c r="W151" s="450"/>
      <c r="X151" s="450"/>
      <c r="Y151" s="450"/>
      <c r="Z151" s="450"/>
      <c r="AA151" s="450"/>
      <c r="AB151" s="450"/>
      <c r="AC151" s="450"/>
      <c r="AD151" s="461"/>
      <c r="AE151" s="449"/>
      <c r="AF151" s="449"/>
      <c r="AG151" s="449"/>
      <c r="AH151" s="449"/>
      <c r="AI151" s="450"/>
      <c r="AJ151" s="450"/>
      <c r="AK151" s="450"/>
      <c r="AL151" s="450"/>
      <c r="AM151" s="450"/>
      <c r="AN151" s="450"/>
      <c r="AO151" s="450"/>
      <c r="AP151" s="224"/>
      <c r="AQ151" s="224"/>
      <c r="AR151" s="224"/>
      <c r="AS151" s="224"/>
      <c r="AT151" s="224"/>
      <c r="AU151" s="224"/>
      <c r="AV151" s="224"/>
      <c r="AW151" s="224"/>
      <c r="AX151" s="224"/>
      <c r="AY151" s="224"/>
      <c r="AZ151" s="224"/>
      <c r="BA151" s="224"/>
      <c r="BB151" s="224"/>
      <c r="BC151" s="224"/>
      <c r="BD151" s="224"/>
      <c r="BE151" s="224"/>
      <c r="BF151" s="224"/>
      <c r="BG151" s="224"/>
      <c r="BH151" s="58"/>
      <c r="BI151" s="58"/>
      <c r="BJ151" s="58"/>
      <c r="BK151" s="58"/>
      <c r="BL151" s="58"/>
      <c r="BM151" s="58"/>
    </row>
    <row r="152" spans="2:74" s="138" customFormat="1" ht="18.75" customHeight="1">
      <c r="B152" s="221"/>
      <c r="C152" s="224" t="s">
        <v>437</v>
      </c>
      <c r="D152" s="224"/>
      <c r="E152" s="224"/>
      <c r="F152" s="224"/>
      <c r="G152" s="224"/>
      <c r="H152" s="224"/>
      <c r="I152" s="224"/>
      <c r="J152" s="221"/>
      <c r="K152" s="230" t="s">
        <v>390</v>
      </c>
      <c r="L152" s="449" t="e">
        <f ca="1">AE150</f>
        <v>#N/A</v>
      </c>
      <c r="M152" s="449"/>
      <c r="N152" s="449"/>
      <c r="O152" s="450" t="s">
        <v>438</v>
      </c>
      <c r="P152" s="450"/>
      <c r="Q152" s="450"/>
      <c r="R152" s="450"/>
      <c r="S152" s="450"/>
      <c r="T152" s="458">
        <f>S147</f>
        <v>0.57735026918962584</v>
      </c>
      <c r="U152" s="458"/>
      <c r="V152" s="458"/>
      <c r="W152" s="458"/>
      <c r="X152" s="221" t="s">
        <v>410</v>
      </c>
      <c r="Y152" s="221" t="s">
        <v>153</v>
      </c>
      <c r="Z152" s="452" t="e">
        <f ca="1">ABS(L152*T152)</f>
        <v>#N/A</v>
      </c>
      <c r="AA152" s="452"/>
      <c r="AB152" s="452"/>
      <c r="AC152" s="459"/>
      <c r="AD152" s="224" t="s">
        <v>341</v>
      </c>
      <c r="AE152" s="226"/>
      <c r="AF152" s="221"/>
      <c r="AG152" s="221"/>
      <c r="AH152" s="221"/>
      <c r="AI152" s="221"/>
      <c r="AJ152" s="221"/>
      <c r="AK152" s="221"/>
      <c r="AL152" s="221"/>
      <c r="AM152" s="221"/>
      <c r="AN152" s="221"/>
      <c r="AO152" s="221"/>
      <c r="AQ152" s="224"/>
      <c r="AR152" s="224"/>
      <c r="AS152" s="224"/>
      <c r="AT152" s="224"/>
      <c r="AU152" s="224"/>
      <c r="AV152" s="224"/>
      <c r="AW152" s="224"/>
      <c r="AX152" s="224"/>
      <c r="AY152" s="224"/>
      <c r="AZ152" s="224"/>
      <c r="BA152" s="224"/>
      <c r="BB152" s="224"/>
      <c r="BC152" s="224"/>
      <c r="BD152" s="224"/>
      <c r="BE152" s="224"/>
      <c r="BF152" s="224"/>
      <c r="BG152" s="224"/>
      <c r="BH152" s="58"/>
      <c r="BI152" s="58"/>
      <c r="BJ152" s="58"/>
      <c r="BK152" s="58"/>
    </row>
    <row r="153" spans="2:74" s="138" customFormat="1" ht="18.75" customHeight="1">
      <c r="B153" s="221"/>
      <c r="C153" s="450" t="s">
        <v>439</v>
      </c>
      <c r="D153" s="450"/>
      <c r="E153" s="450"/>
      <c r="F153" s="450"/>
      <c r="G153" s="450"/>
      <c r="H153" s="224"/>
      <c r="J153" s="224"/>
      <c r="K153" s="224"/>
      <c r="L153" s="224"/>
      <c r="M153" s="224"/>
      <c r="N153" s="224"/>
      <c r="O153" s="224"/>
      <c r="P153" s="224"/>
      <c r="Q153" s="224"/>
      <c r="R153" s="141"/>
      <c r="S153" s="224"/>
      <c r="T153" s="224"/>
      <c r="U153" s="224"/>
      <c r="W153" s="230" t="s">
        <v>440</v>
      </c>
      <c r="X153" s="224"/>
      <c r="Y153" s="224"/>
      <c r="Z153" s="224"/>
      <c r="AA153" s="224"/>
      <c r="AB153" s="224"/>
      <c r="AC153" s="224"/>
      <c r="AD153" s="224"/>
      <c r="AE153" s="221"/>
      <c r="AF153" s="221"/>
      <c r="AG153" s="221"/>
      <c r="AH153" s="221"/>
      <c r="AI153" s="221"/>
      <c r="AJ153" s="221"/>
      <c r="AK153" s="221"/>
      <c r="AL153" s="221"/>
      <c r="AM153" s="221"/>
      <c r="AN153" s="221"/>
      <c r="AO153" s="221"/>
      <c r="AP153" s="221"/>
      <c r="AQ153" s="221"/>
      <c r="AR153" s="221"/>
      <c r="AS153" s="221"/>
      <c r="AT153" s="221"/>
      <c r="AU153" s="221"/>
      <c r="AV153" s="221"/>
      <c r="AW153" s="221"/>
      <c r="AX153" s="221"/>
      <c r="AY153" s="221"/>
      <c r="AZ153" s="221"/>
      <c r="BA153" s="221"/>
      <c r="BB153" s="221"/>
      <c r="BC153" s="221"/>
      <c r="BD153" s="221"/>
      <c r="BE153" s="221"/>
      <c r="BF153" s="221"/>
      <c r="BG153" s="221"/>
      <c r="BH153" s="58"/>
      <c r="BI153" s="58"/>
      <c r="BJ153" s="58"/>
      <c r="BK153" s="58"/>
      <c r="BP153" s="58"/>
      <c r="BS153" s="58"/>
      <c r="BT153" s="58"/>
      <c r="BU153" s="58"/>
    </row>
    <row r="154" spans="2:74" s="138" customFormat="1" ht="18.75" customHeight="1">
      <c r="B154" s="221"/>
      <c r="C154" s="450"/>
      <c r="D154" s="450"/>
      <c r="E154" s="450"/>
      <c r="F154" s="450"/>
      <c r="G154" s="450"/>
      <c r="H154" s="224"/>
      <c r="I154" s="224"/>
      <c r="J154" s="224"/>
      <c r="K154" s="224"/>
      <c r="L154" s="224"/>
      <c r="M154" s="224"/>
      <c r="N154" s="224"/>
      <c r="O154" s="224"/>
      <c r="P154" s="224"/>
      <c r="Q154" s="224"/>
      <c r="R154" s="141"/>
      <c r="S154" s="224"/>
      <c r="T154" s="224"/>
      <c r="U154" s="224"/>
      <c r="V154" s="224"/>
      <c r="W154" s="224"/>
      <c r="X154" s="224"/>
      <c r="Y154" s="224"/>
      <c r="Z154" s="224"/>
      <c r="AA154" s="224"/>
      <c r="AB154" s="224"/>
      <c r="AC154" s="221"/>
      <c r="AD154" s="221"/>
      <c r="AE154" s="221"/>
      <c r="AF154" s="221"/>
      <c r="AG154" s="221"/>
      <c r="AH154" s="221"/>
      <c r="AI154" s="221"/>
      <c r="AJ154" s="221"/>
      <c r="AK154" s="221"/>
      <c r="AL154" s="221"/>
      <c r="AM154" s="221"/>
      <c r="AN154" s="221"/>
      <c r="AO154" s="221"/>
      <c r="AP154" s="221"/>
      <c r="AQ154" s="221"/>
      <c r="AR154" s="221"/>
      <c r="AS154" s="221"/>
      <c r="AT154" s="221"/>
      <c r="AU154" s="221"/>
      <c r="AV154" s="221"/>
      <c r="AW154" s="221"/>
      <c r="AX154" s="221"/>
      <c r="AY154" s="221"/>
      <c r="AZ154" s="221"/>
      <c r="BA154" s="221"/>
      <c r="BB154" s="221"/>
      <c r="BC154" s="221"/>
      <c r="BD154" s="221"/>
      <c r="BE154" s="221"/>
      <c r="BF154" s="221"/>
      <c r="BG154" s="221"/>
      <c r="BH154" s="58"/>
      <c r="BI154" s="58"/>
      <c r="BJ154" s="58"/>
      <c r="BK154" s="58"/>
      <c r="BP154" s="58"/>
      <c r="BS154" s="58"/>
      <c r="BT154" s="58"/>
      <c r="BU154" s="58"/>
    </row>
    <row r="155" spans="2:74" s="138" customFormat="1" ht="18.75" customHeight="1">
      <c r="B155" s="221"/>
      <c r="C155" s="224"/>
      <c r="D155" s="224"/>
      <c r="E155" s="224"/>
      <c r="F155" s="224"/>
      <c r="G155" s="221"/>
      <c r="H155" s="224"/>
      <c r="I155" s="224"/>
      <c r="J155" s="224"/>
      <c r="K155" s="224"/>
      <c r="L155" s="224"/>
      <c r="M155" s="224"/>
      <c r="N155" s="224"/>
      <c r="O155" s="224"/>
      <c r="P155" s="224"/>
      <c r="Q155" s="224"/>
      <c r="R155" s="224"/>
      <c r="S155" s="224"/>
      <c r="T155" s="224"/>
      <c r="U155" s="224"/>
      <c r="V155" s="224"/>
      <c r="W155" s="224"/>
      <c r="X155" s="221"/>
      <c r="Y155" s="221"/>
      <c r="Z155" s="221"/>
      <c r="AA155" s="221"/>
      <c r="AB155" s="221"/>
      <c r="AC155" s="221"/>
      <c r="AD155" s="221"/>
      <c r="AE155" s="221"/>
      <c r="AF155" s="221"/>
      <c r="AG155" s="221"/>
      <c r="AH155" s="221"/>
      <c r="AI155" s="221"/>
      <c r="AJ155" s="221"/>
      <c r="AK155" s="221"/>
      <c r="AL155" s="221"/>
      <c r="AM155" s="221"/>
      <c r="AN155" s="221"/>
      <c r="AO155" s="221"/>
      <c r="AP155" s="221"/>
      <c r="AQ155" s="221"/>
      <c r="AR155" s="221"/>
      <c r="AS155" s="221"/>
      <c r="AT155" s="221"/>
      <c r="AU155" s="221"/>
      <c r="AV155" s="221"/>
      <c r="AW155" s="221"/>
      <c r="AX155" s="221"/>
      <c r="AY155" s="221"/>
      <c r="AZ155" s="221"/>
      <c r="BA155" s="221"/>
      <c r="BB155" s="221"/>
      <c r="BC155" s="221"/>
      <c r="BD155" s="221"/>
      <c r="BE155" s="221"/>
      <c r="BF155" s="221"/>
      <c r="BG155" s="221"/>
    </row>
    <row r="156" spans="2:74" s="138" customFormat="1" ht="18.75" customHeight="1">
      <c r="B156" s="57" t="str">
        <f>"7. "&amp;N5&amp;"의 분해능에 의한 표준불확도,"</f>
        <v>7. 측정현미경의 분해능에 의한 표준불확도,</v>
      </c>
      <c r="D156" s="224"/>
      <c r="E156" s="224"/>
      <c r="F156" s="224"/>
      <c r="G156" s="221"/>
      <c r="H156" s="224"/>
      <c r="I156" s="224"/>
      <c r="J156" s="224"/>
      <c r="K156" s="224"/>
      <c r="L156" s="224"/>
      <c r="M156" s="224"/>
      <c r="N156" s="224"/>
      <c r="O156" s="224"/>
      <c r="P156" s="224"/>
      <c r="Q156" s="224"/>
      <c r="R156" s="224"/>
      <c r="S156" s="224"/>
      <c r="T156" s="208" t="s">
        <v>603</v>
      </c>
      <c r="V156" s="224"/>
      <c r="W156" s="224"/>
      <c r="X156" s="224"/>
      <c r="Y156" s="224"/>
      <c r="Z156" s="224"/>
      <c r="AA156" s="224"/>
      <c r="AB156" s="224"/>
      <c r="AC156" s="224"/>
      <c r="AD156" s="224"/>
      <c r="AE156" s="221"/>
      <c r="AF156" s="224"/>
      <c r="AG156" s="221"/>
      <c r="AH156" s="221"/>
      <c r="AI156" s="221"/>
      <c r="AJ156" s="221"/>
      <c r="AK156" s="221"/>
      <c r="AL156" s="221"/>
      <c r="AM156" s="221"/>
      <c r="AN156" s="221"/>
      <c r="AO156" s="221"/>
      <c r="AP156" s="221"/>
      <c r="AQ156" s="221"/>
      <c r="AR156" s="221"/>
      <c r="AS156" s="221"/>
      <c r="AT156" s="221"/>
      <c r="AU156" s="221"/>
      <c r="AV156" s="221"/>
      <c r="AW156" s="221"/>
      <c r="AX156" s="221"/>
      <c r="AY156" s="221"/>
      <c r="AZ156" s="221"/>
      <c r="BA156" s="221"/>
      <c r="BB156" s="221"/>
      <c r="BC156" s="221"/>
      <c r="BD156" s="221"/>
      <c r="BE156" s="221"/>
      <c r="BF156" s="221"/>
      <c r="BG156" s="221"/>
    </row>
    <row r="157" spans="2:74" s="138" customFormat="1" ht="18.75" customHeight="1">
      <c r="B157" s="57"/>
      <c r="C157" s="254" t="str">
        <f>"※ "&amp;N5&amp;" 분해능의 반범위에 직사각형 확률분포를 적용하여 계산한다."</f>
        <v>※ 측정현미경 분해능의 반범위에 직사각형 확률분포를 적용하여 계산한다.</v>
      </c>
      <c r="D157" s="224"/>
      <c r="E157" s="224"/>
      <c r="F157" s="224"/>
      <c r="G157" s="221"/>
      <c r="H157" s="224"/>
      <c r="I157" s="224"/>
      <c r="J157" s="224"/>
      <c r="K157" s="224"/>
      <c r="L157" s="224"/>
      <c r="M157" s="224"/>
      <c r="N157" s="224"/>
      <c r="O157" s="224"/>
      <c r="P157" s="224"/>
      <c r="Q157" s="224"/>
      <c r="R157" s="224"/>
      <c r="S157" s="224"/>
      <c r="T157" s="224"/>
      <c r="U157" s="208"/>
      <c r="V157" s="224"/>
      <c r="W157" s="224"/>
      <c r="X157" s="224"/>
      <c r="Y157" s="224"/>
      <c r="Z157" s="224"/>
      <c r="AA157" s="224"/>
      <c r="AB157" s="224"/>
      <c r="AC157" s="224"/>
      <c r="AD157" s="224"/>
      <c r="AE157" s="221"/>
      <c r="AF157" s="224"/>
      <c r="AG157" s="221"/>
      <c r="AH157" s="221"/>
      <c r="AI157" s="221"/>
      <c r="AJ157" s="221"/>
      <c r="AK157" s="221"/>
      <c r="AL157" s="221"/>
      <c r="AM157" s="221"/>
      <c r="AN157" s="221"/>
      <c r="AO157" s="221"/>
      <c r="AP157" s="221"/>
      <c r="AQ157" s="221"/>
      <c r="AR157" s="221"/>
      <c r="AS157" s="221"/>
      <c r="AT157" s="221"/>
      <c r="AU157" s="221"/>
      <c r="AV157" s="221"/>
      <c r="AW157" s="221"/>
      <c r="AX157" s="221"/>
      <c r="AY157" s="221"/>
      <c r="AZ157" s="221"/>
      <c r="BA157" s="221"/>
      <c r="BB157" s="221"/>
      <c r="BC157" s="221"/>
      <c r="BD157" s="221"/>
      <c r="BE157" s="221"/>
      <c r="BF157" s="221"/>
      <c r="BG157" s="221"/>
    </row>
    <row r="158" spans="2:74" s="138" customFormat="1" ht="18.75" customHeight="1">
      <c r="B158" s="221"/>
      <c r="C158" s="226" t="s">
        <v>441</v>
      </c>
      <c r="D158" s="221"/>
      <c r="E158" s="221"/>
      <c r="F158" s="221"/>
      <c r="G158" s="221"/>
      <c r="H158" s="460">
        <v>0</v>
      </c>
      <c r="I158" s="460"/>
      <c r="J158" s="460"/>
      <c r="K158" s="460"/>
      <c r="L158" s="460"/>
      <c r="M158" s="460"/>
      <c r="N158" s="460"/>
      <c r="O158" s="460"/>
      <c r="P158" s="220"/>
      <c r="Q158" s="224"/>
      <c r="R158" s="224"/>
      <c r="S158" s="224"/>
      <c r="T158" s="224"/>
      <c r="U158" s="224"/>
      <c r="V158" s="224"/>
      <c r="W158" s="224"/>
      <c r="AC158" s="224"/>
      <c r="AD158" s="224"/>
      <c r="AE158" s="224"/>
      <c r="AF158" s="224"/>
      <c r="AG158" s="224"/>
      <c r="AH158" s="224"/>
      <c r="AI158" s="221"/>
      <c r="AJ158" s="221"/>
      <c r="AK158" s="221"/>
      <c r="AL158" s="221"/>
      <c r="AM158" s="221"/>
      <c r="AN158" s="221"/>
      <c r="AO158" s="221"/>
      <c r="AP158" s="221"/>
      <c r="AQ158" s="221"/>
      <c r="AR158" s="221"/>
      <c r="AS158" s="224"/>
      <c r="AT158" s="224"/>
      <c r="AU158" s="224"/>
      <c r="AV158" s="224"/>
      <c r="AW158" s="224"/>
      <c r="AX158" s="224"/>
      <c r="AY158" s="221"/>
      <c r="AZ158" s="221"/>
      <c r="BA158" s="221"/>
      <c r="BB158" s="221"/>
      <c r="BC158" s="221"/>
      <c r="BD158" s="221"/>
      <c r="BE158" s="221"/>
      <c r="BF158" s="221"/>
      <c r="BG158" s="221"/>
    </row>
    <row r="159" spans="2:74" s="138" customFormat="1" ht="18.75" customHeight="1">
      <c r="B159" s="221"/>
      <c r="C159" s="224" t="s">
        <v>442</v>
      </c>
      <c r="D159" s="224"/>
      <c r="E159" s="224"/>
      <c r="F159" s="224"/>
      <c r="G159" s="224"/>
      <c r="H159" s="224"/>
      <c r="I159" s="221"/>
      <c r="J159" s="61" t="s">
        <v>443</v>
      </c>
      <c r="K159" s="224"/>
      <c r="L159" s="224"/>
      <c r="M159" s="224"/>
      <c r="N159" s="224"/>
      <c r="O159" s="224"/>
      <c r="P159" s="448">
        <f>T160/1000</f>
        <v>0</v>
      </c>
      <c r="Q159" s="448"/>
      <c r="R159" s="448"/>
      <c r="S159" s="220" t="s">
        <v>306</v>
      </c>
      <c r="T159" s="220"/>
      <c r="U159" s="224"/>
      <c r="V159" s="221"/>
      <c r="W159" s="221"/>
      <c r="X159" s="142"/>
      <c r="AD159" s="224"/>
      <c r="AE159" s="224"/>
      <c r="AF159" s="221"/>
      <c r="AG159" s="221"/>
      <c r="AH159" s="221"/>
      <c r="AI159" s="221"/>
      <c r="AJ159" s="221"/>
      <c r="AK159" s="221"/>
      <c r="AL159" s="221"/>
      <c r="AM159" s="221"/>
      <c r="AN159" s="224"/>
      <c r="AO159" s="224"/>
      <c r="AP159" s="224"/>
      <c r="AQ159" s="224"/>
      <c r="AR159" s="224"/>
      <c r="AS159" s="224"/>
      <c r="AT159" s="224"/>
      <c r="AU159" s="224"/>
      <c r="AV159" s="224"/>
      <c r="AW159" s="224"/>
      <c r="AX159" s="224"/>
      <c r="AY159" s="221"/>
      <c r="AZ159" s="221"/>
      <c r="BA159" s="221"/>
      <c r="BB159" s="221"/>
      <c r="BC159" s="221"/>
      <c r="BD159" s="221"/>
      <c r="BE159" s="221"/>
      <c r="BF159" s="221"/>
      <c r="BG159" s="221"/>
    </row>
    <row r="160" spans="2:74" s="138" customFormat="1" ht="18.75" customHeight="1">
      <c r="B160" s="221"/>
      <c r="C160" s="224"/>
      <c r="D160" s="224"/>
      <c r="E160" s="224"/>
      <c r="F160" s="224"/>
      <c r="G160" s="224"/>
      <c r="H160" s="224"/>
      <c r="I160" s="224"/>
      <c r="K160" s="473" t="s">
        <v>604</v>
      </c>
      <c r="L160" s="473"/>
      <c r="M160" s="473"/>
      <c r="N160" s="461" t="s">
        <v>153</v>
      </c>
      <c r="O160" s="477" t="s">
        <v>444</v>
      </c>
      <c r="P160" s="478"/>
      <c r="Q160" s="478"/>
      <c r="R160" s="478"/>
      <c r="S160" s="461" t="s">
        <v>153</v>
      </c>
      <c r="T160" s="462">
        <f>Calcu!H41</f>
        <v>0</v>
      </c>
      <c r="U160" s="462"/>
      <c r="V160" s="223" t="s">
        <v>152</v>
      </c>
      <c r="W160" s="223"/>
      <c r="X160" s="467" t="s">
        <v>358</v>
      </c>
      <c r="Y160" s="446">
        <f>T160/2/SQRT(3)</f>
        <v>0</v>
      </c>
      <c r="Z160" s="446"/>
      <c r="AA160" s="446"/>
      <c r="AB160" s="448" t="str">
        <f>V160</f>
        <v>μm</v>
      </c>
      <c r="AC160" s="448"/>
      <c r="AD160" s="224"/>
      <c r="AE160" s="221"/>
      <c r="AF160" s="221"/>
      <c r="AG160" s="221"/>
      <c r="AH160" s="221"/>
      <c r="AI160" s="221"/>
      <c r="AJ160" s="221"/>
      <c r="AK160" s="221"/>
      <c r="AL160" s="221"/>
      <c r="AM160" s="221"/>
      <c r="AN160" s="221"/>
      <c r="AO160" s="221"/>
      <c r="AP160" s="221"/>
      <c r="AQ160" s="221"/>
      <c r="AR160" s="224"/>
      <c r="AS160" s="224"/>
      <c r="AT160" s="224"/>
      <c r="AU160" s="224"/>
      <c r="AV160" s="224"/>
      <c r="AW160" s="224"/>
      <c r="AX160" s="224"/>
      <c r="AY160" s="224"/>
      <c r="AZ160" s="221"/>
      <c r="BA160" s="221"/>
      <c r="BB160" s="221"/>
      <c r="BC160" s="221"/>
      <c r="BD160" s="221"/>
      <c r="BE160" s="221"/>
      <c r="BF160" s="221"/>
      <c r="BG160" s="221"/>
      <c r="BH160" s="221"/>
    </row>
    <row r="161" spans="2:60" s="138" customFormat="1" ht="18.75" customHeight="1">
      <c r="B161" s="221"/>
      <c r="C161" s="224"/>
      <c r="D161" s="224"/>
      <c r="E161" s="224"/>
      <c r="F161" s="224"/>
      <c r="G161" s="224"/>
      <c r="H161" s="224"/>
      <c r="I161" s="224"/>
      <c r="J161" s="210"/>
      <c r="K161" s="473"/>
      <c r="L161" s="473"/>
      <c r="M161" s="473"/>
      <c r="N161" s="461"/>
      <c r="O161" s="475"/>
      <c r="P161" s="475"/>
      <c r="Q161" s="475"/>
      <c r="R161" s="475"/>
      <c r="S161" s="461"/>
      <c r="T161" s="475"/>
      <c r="U161" s="475"/>
      <c r="V161" s="475"/>
      <c r="W161" s="475"/>
      <c r="X161" s="467"/>
      <c r="Y161" s="446"/>
      <c r="Z161" s="446"/>
      <c r="AA161" s="446"/>
      <c r="AB161" s="448"/>
      <c r="AC161" s="448"/>
      <c r="AD161" s="224"/>
      <c r="AE161" s="221"/>
      <c r="AF161" s="221"/>
      <c r="AG161" s="221"/>
      <c r="AH161" s="221"/>
      <c r="AI161" s="221"/>
      <c r="AJ161" s="221"/>
      <c r="AK161" s="221"/>
      <c r="AL161" s="221"/>
      <c r="AM161" s="221"/>
      <c r="AN161" s="221"/>
      <c r="AO161" s="221"/>
      <c r="AP161" s="221"/>
      <c r="AQ161" s="221"/>
      <c r="AR161" s="224"/>
      <c r="AS161" s="224"/>
      <c r="AT161" s="224"/>
      <c r="AU161" s="224"/>
      <c r="AV161" s="224"/>
      <c r="AW161" s="224"/>
      <c r="AX161" s="224"/>
      <c r="AY161" s="224"/>
      <c r="AZ161" s="221"/>
      <c r="BA161" s="221"/>
      <c r="BB161" s="221"/>
      <c r="BC161" s="221"/>
      <c r="BD161" s="221"/>
      <c r="BE161" s="221"/>
      <c r="BF161" s="221"/>
      <c r="BG161" s="221"/>
      <c r="BH161" s="221"/>
    </row>
    <row r="162" spans="2:60" s="138" customFormat="1" ht="18.75" customHeight="1">
      <c r="B162" s="221"/>
      <c r="C162" s="224" t="s">
        <v>445</v>
      </c>
      <c r="D162" s="224"/>
      <c r="E162" s="224"/>
      <c r="F162" s="224"/>
      <c r="G162" s="224"/>
      <c r="H162" s="224"/>
      <c r="I162" s="444" t="str">
        <f>AB63</f>
        <v>직사각형</v>
      </c>
      <c r="J162" s="444"/>
      <c r="K162" s="444"/>
      <c r="L162" s="444"/>
      <c r="M162" s="444"/>
      <c r="N162" s="444"/>
      <c r="O162" s="444"/>
      <c r="P162" s="444"/>
      <c r="Q162" s="224"/>
      <c r="R162" s="224"/>
      <c r="S162" s="224"/>
      <c r="T162" s="224"/>
      <c r="U162" s="224"/>
      <c r="V162" s="224"/>
      <c r="W162" s="224"/>
      <c r="X162" s="224"/>
      <c r="Y162" s="224"/>
      <c r="Z162" s="221"/>
      <c r="AA162" s="221"/>
      <c r="AB162" s="221"/>
      <c r="AC162" s="221"/>
      <c r="AD162" s="221"/>
      <c r="AE162" s="221"/>
      <c r="AF162" s="221"/>
      <c r="AG162" s="221"/>
      <c r="AH162" s="224"/>
      <c r="AI162" s="224"/>
      <c r="AJ162" s="224"/>
      <c r="AK162" s="224"/>
      <c r="AL162" s="224"/>
      <c r="AM162" s="224"/>
      <c r="AN162" s="224"/>
      <c r="AO162" s="224"/>
      <c r="AP162" s="224"/>
      <c r="AQ162" s="224"/>
      <c r="AR162" s="224"/>
      <c r="AS162" s="224"/>
      <c r="AT162" s="224"/>
      <c r="AU162" s="224"/>
      <c r="AV162" s="224"/>
      <c r="AW162" s="224"/>
      <c r="AX162" s="224"/>
      <c r="AY162" s="221"/>
      <c r="AZ162" s="221"/>
      <c r="BA162" s="221"/>
      <c r="BB162" s="221"/>
      <c r="BC162" s="221"/>
      <c r="BD162" s="221"/>
      <c r="BE162" s="221"/>
      <c r="BF162" s="221"/>
      <c r="BG162" s="221"/>
    </row>
    <row r="163" spans="2:60" s="138" customFormat="1" ht="18.75" customHeight="1">
      <c r="B163" s="221"/>
      <c r="C163" s="450" t="s">
        <v>446</v>
      </c>
      <c r="D163" s="450"/>
      <c r="E163" s="450"/>
      <c r="F163" s="450"/>
      <c r="G163" s="450"/>
      <c r="H163" s="450"/>
      <c r="I163" s="224"/>
      <c r="J163" s="224"/>
      <c r="K163" s="224"/>
      <c r="L163" s="224"/>
      <c r="M163" s="224"/>
      <c r="N163" s="461">
        <f>AG63</f>
        <v>1</v>
      </c>
      <c r="O163" s="461"/>
      <c r="P163" s="146"/>
      <c r="Q163" s="146"/>
      <c r="R163" s="146"/>
      <c r="S163" s="224"/>
      <c r="T163" s="224"/>
      <c r="U163" s="224"/>
      <c r="V163" s="224"/>
      <c r="W163" s="224"/>
      <c r="X163" s="224"/>
      <c r="Y163" s="224"/>
      <c r="Z163" s="147"/>
      <c r="AA163" s="147"/>
      <c r="AB163" s="224"/>
      <c r="AC163" s="224"/>
      <c r="AD163" s="224"/>
      <c r="AE163" s="224"/>
      <c r="AF163" s="224"/>
      <c r="AG163" s="224"/>
      <c r="AH163" s="224"/>
      <c r="AI163" s="224"/>
      <c r="AJ163" s="224"/>
      <c r="AK163" s="224"/>
      <c r="AL163" s="221"/>
      <c r="AM163" s="221"/>
      <c r="AN163" s="221"/>
      <c r="AO163" s="224"/>
      <c r="AP163" s="224"/>
      <c r="AQ163" s="224"/>
      <c r="AR163" s="224"/>
      <c r="AS163" s="224"/>
      <c r="AT163" s="224"/>
      <c r="AU163" s="224"/>
      <c r="AV163" s="224"/>
      <c r="AW163" s="224"/>
      <c r="AX163" s="224"/>
      <c r="AY163" s="221"/>
      <c r="AZ163" s="221"/>
      <c r="BA163" s="221"/>
      <c r="BB163" s="221"/>
      <c r="BC163" s="221"/>
      <c r="BD163" s="221"/>
      <c r="BE163" s="221"/>
      <c r="BF163" s="221"/>
      <c r="BG163" s="221"/>
    </row>
    <row r="164" spans="2:60" s="138" customFormat="1" ht="18.75" customHeight="1">
      <c r="B164" s="221"/>
      <c r="C164" s="450"/>
      <c r="D164" s="450"/>
      <c r="E164" s="450"/>
      <c r="F164" s="450"/>
      <c r="G164" s="450"/>
      <c r="H164" s="450"/>
      <c r="I164" s="224"/>
      <c r="J164" s="224"/>
      <c r="K164" s="224"/>
      <c r="L164" s="224"/>
      <c r="M164" s="224"/>
      <c r="N164" s="461"/>
      <c r="O164" s="461"/>
      <c r="P164" s="146"/>
      <c r="Q164" s="146"/>
      <c r="R164" s="146"/>
      <c r="S164" s="224"/>
      <c r="T164" s="224"/>
      <c r="U164" s="224"/>
      <c r="V164" s="224"/>
      <c r="W164" s="224"/>
      <c r="X164" s="224"/>
      <c r="Y164" s="224"/>
      <c r="Z164" s="147"/>
      <c r="AA164" s="147"/>
      <c r="AB164" s="224"/>
      <c r="AC164" s="224"/>
      <c r="AD164" s="224"/>
      <c r="AE164" s="224"/>
      <c r="AF164" s="224"/>
      <c r="AG164" s="224"/>
      <c r="AH164" s="224"/>
      <c r="AI164" s="224"/>
      <c r="AJ164" s="224"/>
      <c r="AK164" s="224"/>
      <c r="AL164" s="221"/>
      <c r="AM164" s="221"/>
      <c r="AN164" s="221"/>
      <c r="AO164" s="224"/>
      <c r="AP164" s="224"/>
      <c r="AQ164" s="224"/>
      <c r="AR164" s="224"/>
      <c r="AS164" s="224"/>
      <c r="AT164" s="224"/>
      <c r="AU164" s="224"/>
      <c r="AV164" s="224"/>
      <c r="AW164" s="224"/>
      <c r="AX164" s="224"/>
      <c r="AY164" s="221"/>
      <c r="AZ164" s="221"/>
      <c r="BA164" s="221"/>
      <c r="BB164" s="221"/>
      <c r="BC164" s="221"/>
      <c r="BD164" s="221"/>
      <c r="BE164" s="221"/>
      <c r="BF164" s="221"/>
      <c r="BG164" s="221"/>
    </row>
    <row r="165" spans="2:60" s="138" customFormat="1" ht="18.75" customHeight="1">
      <c r="B165" s="221"/>
      <c r="C165" s="224" t="s">
        <v>447</v>
      </c>
      <c r="D165" s="224"/>
      <c r="E165" s="224"/>
      <c r="F165" s="224"/>
      <c r="G165" s="224"/>
      <c r="H165" s="224"/>
      <c r="I165" s="224"/>
      <c r="J165" s="221"/>
      <c r="K165" s="221" t="s">
        <v>390</v>
      </c>
      <c r="L165" s="461">
        <v>1</v>
      </c>
      <c r="M165" s="461"/>
      <c r="N165" s="221" t="s">
        <v>80</v>
      </c>
      <c r="O165" s="446">
        <f>Y160</f>
        <v>0</v>
      </c>
      <c r="P165" s="448"/>
      <c r="Q165" s="448"/>
      <c r="R165" s="447" t="str">
        <f>AB160</f>
        <v>μm</v>
      </c>
      <c r="S165" s="448"/>
      <c r="T165" s="228" t="s">
        <v>79</v>
      </c>
      <c r="U165" s="72" t="s">
        <v>153</v>
      </c>
      <c r="V165" s="446">
        <f>L165*O165</f>
        <v>0</v>
      </c>
      <c r="W165" s="446"/>
      <c r="X165" s="446"/>
      <c r="Y165" s="222" t="str">
        <f>R165</f>
        <v>μm</v>
      </c>
      <c r="Z165" s="56"/>
      <c r="AA165" s="220"/>
      <c r="AB165" s="148"/>
      <c r="AC165" s="141"/>
      <c r="AD165" s="221"/>
      <c r="AE165" s="224"/>
      <c r="AF165" s="221"/>
      <c r="AG165" s="221"/>
      <c r="AH165" s="221"/>
      <c r="AI165" s="221"/>
      <c r="AJ165" s="221"/>
      <c r="AK165" s="224"/>
      <c r="AL165" s="221"/>
      <c r="AM165" s="221"/>
      <c r="AN165" s="221"/>
      <c r="AO165" s="224"/>
      <c r="AP165" s="224"/>
      <c r="AQ165" s="224"/>
      <c r="AR165" s="224"/>
      <c r="AS165" s="224"/>
      <c r="AT165" s="224"/>
      <c r="AU165" s="224"/>
      <c r="AV165" s="224"/>
      <c r="AW165" s="224"/>
      <c r="AX165" s="224"/>
      <c r="AY165" s="221"/>
      <c r="AZ165" s="221"/>
      <c r="BA165" s="221"/>
      <c r="BB165" s="221"/>
      <c r="BC165" s="221"/>
      <c r="BD165" s="221"/>
      <c r="BE165" s="221"/>
      <c r="BF165" s="221"/>
      <c r="BG165" s="221"/>
    </row>
    <row r="166" spans="2:60" s="138" customFormat="1" ht="18.75" customHeight="1">
      <c r="B166" s="221"/>
      <c r="C166" s="450" t="s">
        <v>448</v>
      </c>
      <c r="D166" s="450"/>
      <c r="E166" s="450"/>
      <c r="F166" s="450"/>
      <c r="G166" s="450"/>
      <c r="H166" s="224"/>
      <c r="J166" s="224"/>
      <c r="K166" s="224"/>
      <c r="L166" s="224"/>
      <c r="M166" s="224"/>
      <c r="N166" s="224"/>
      <c r="O166" s="224"/>
      <c r="P166" s="224"/>
      <c r="Q166" s="224"/>
      <c r="R166" s="141"/>
      <c r="S166" s="224"/>
      <c r="T166" s="224"/>
      <c r="U166" s="224"/>
      <c r="W166" s="224"/>
      <c r="X166" s="230" t="s">
        <v>449</v>
      </c>
      <c r="Y166" s="224"/>
      <c r="Z166" s="224"/>
      <c r="AA166" s="224"/>
      <c r="AB166" s="224"/>
      <c r="AC166" s="224"/>
      <c r="AD166" s="224"/>
      <c r="AE166" s="221"/>
      <c r="AF166" s="221"/>
      <c r="AG166" s="221"/>
      <c r="AH166" s="221"/>
      <c r="AI166" s="221"/>
      <c r="AJ166" s="221"/>
      <c r="AK166" s="221"/>
      <c r="AL166" s="221"/>
      <c r="AM166" s="221"/>
      <c r="AN166" s="221"/>
      <c r="AO166" s="221"/>
      <c r="AP166" s="221"/>
      <c r="AQ166" s="221"/>
      <c r="AR166" s="221"/>
      <c r="AS166" s="221"/>
      <c r="AT166" s="221"/>
      <c r="AU166" s="221"/>
      <c r="AV166" s="221"/>
      <c r="AW166" s="221"/>
      <c r="AX166" s="221"/>
      <c r="AY166" s="221"/>
      <c r="AZ166" s="221"/>
      <c r="BA166" s="221"/>
      <c r="BB166" s="221"/>
      <c r="BC166" s="221"/>
      <c r="BD166" s="221"/>
      <c r="BE166" s="221"/>
      <c r="BF166" s="221"/>
      <c r="BG166" s="221"/>
    </row>
    <row r="167" spans="2:60" s="138" customFormat="1" ht="18.75" customHeight="1">
      <c r="B167" s="221"/>
      <c r="C167" s="450"/>
      <c r="D167" s="450"/>
      <c r="E167" s="450"/>
      <c r="F167" s="450"/>
      <c r="G167" s="450"/>
      <c r="H167" s="224"/>
      <c r="I167" s="224"/>
      <c r="J167" s="224"/>
      <c r="K167" s="224"/>
      <c r="L167" s="224"/>
      <c r="M167" s="224"/>
      <c r="N167" s="224"/>
      <c r="O167" s="224"/>
      <c r="P167" s="224"/>
      <c r="Q167" s="224"/>
      <c r="R167" s="141"/>
      <c r="S167" s="224"/>
      <c r="T167" s="224"/>
      <c r="U167" s="224"/>
      <c r="V167" s="224"/>
      <c r="W167" s="224"/>
      <c r="X167" s="224"/>
      <c r="Y167" s="224"/>
      <c r="Z167" s="224"/>
      <c r="AA167" s="224"/>
      <c r="AB167" s="224"/>
      <c r="AC167" s="224"/>
      <c r="AD167" s="224"/>
      <c r="AE167" s="221"/>
      <c r="AF167" s="221"/>
      <c r="AG167" s="221"/>
      <c r="AH167" s="221"/>
      <c r="AI167" s="221"/>
      <c r="AJ167" s="221"/>
      <c r="AK167" s="221"/>
      <c r="AL167" s="221"/>
      <c r="AM167" s="221"/>
      <c r="AN167" s="221"/>
      <c r="AO167" s="221"/>
      <c r="AP167" s="221"/>
      <c r="AQ167" s="221"/>
      <c r="AR167" s="221"/>
      <c r="AS167" s="221"/>
      <c r="AT167" s="221"/>
      <c r="AU167" s="221"/>
      <c r="AV167" s="221"/>
      <c r="AW167" s="221"/>
      <c r="AX167" s="221"/>
      <c r="AY167" s="221"/>
      <c r="AZ167" s="221"/>
      <c r="BA167" s="221"/>
      <c r="BB167" s="221"/>
      <c r="BC167" s="221"/>
      <c r="BD167" s="221"/>
      <c r="BE167" s="221"/>
      <c r="BF167" s="221"/>
      <c r="BG167" s="221"/>
    </row>
    <row r="168" spans="2:60" s="138" customFormat="1" ht="18.75" customHeight="1">
      <c r="B168" s="221"/>
      <c r="C168" s="57"/>
      <c r="D168" s="224"/>
      <c r="E168" s="224"/>
      <c r="F168" s="224"/>
      <c r="G168" s="221"/>
      <c r="H168" s="224"/>
      <c r="I168" s="224"/>
      <c r="J168" s="224"/>
      <c r="K168" s="224"/>
      <c r="L168" s="224"/>
      <c r="M168" s="224"/>
      <c r="N168" s="224"/>
      <c r="O168" s="224"/>
      <c r="P168" s="224"/>
      <c r="Q168" s="224"/>
      <c r="R168" s="224"/>
      <c r="S168" s="224"/>
      <c r="T168" s="224"/>
      <c r="U168" s="224"/>
      <c r="V168" s="224"/>
      <c r="W168" s="224"/>
      <c r="X168" s="224"/>
      <c r="Y168" s="224"/>
      <c r="Z168" s="224"/>
      <c r="AA168" s="224"/>
      <c r="AB168" s="224"/>
      <c r="AC168" s="224"/>
      <c r="AD168" s="224"/>
      <c r="AE168" s="221"/>
      <c r="AF168" s="224"/>
      <c r="AG168" s="221"/>
      <c r="AH168" s="221"/>
      <c r="AI168" s="221"/>
      <c r="AJ168" s="221"/>
      <c r="AK168" s="221"/>
      <c r="AL168" s="221"/>
      <c r="AM168" s="221"/>
      <c r="AN168" s="221"/>
      <c r="AO168" s="221"/>
      <c r="AP168" s="221"/>
      <c r="AQ168" s="221"/>
      <c r="AR168" s="221"/>
      <c r="AS168" s="221"/>
      <c r="AT168" s="221"/>
      <c r="AU168" s="221"/>
      <c r="AV168" s="221"/>
      <c r="AW168" s="221"/>
      <c r="AX168" s="221"/>
      <c r="AY168" s="221"/>
      <c r="AZ168" s="221"/>
      <c r="BA168" s="221"/>
      <c r="BB168" s="221"/>
      <c r="BC168" s="221"/>
      <c r="BD168" s="221"/>
      <c r="BE168" s="221"/>
      <c r="BF168" s="221"/>
      <c r="BG168" s="221"/>
    </row>
    <row r="169" spans="2:60" s="138" customFormat="1" ht="18.75" customHeight="1">
      <c r="B169" s="57" t="s">
        <v>548</v>
      </c>
      <c r="D169" s="303"/>
      <c r="E169" s="303"/>
      <c r="F169" s="303"/>
      <c r="G169" s="301"/>
      <c r="H169" s="303"/>
      <c r="I169" s="303"/>
      <c r="J169" s="303"/>
      <c r="K169" s="303"/>
      <c r="L169" s="303"/>
      <c r="M169" s="303"/>
      <c r="N169" s="208" t="s">
        <v>566</v>
      </c>
      <c r="P169" s="303"/>
      <c r="Q169" s="303"/>
      <c r="R169" s="303"/>
      <c r="S169" s="303"/>
      <c r="T169" s="303"/>
      <c r="V169" s="303"/>
      <c r="W169" s="303"/>
      <c r="X169" s="303"/>
      <c r="Y169" s="303"/>
      <c r="Z169" s="303"/>
      <c r="AA169" s="303"/>
      <c r="AB169" s="303"/>
      <c r="AC169" s="303"/>
      <c r="AD169" s="303"/>
      <c r="AE169" s="301"/>
      <c r="AF169" s="303"/>
      <c r="AG169" s="301"/>
      <c r="AH169" s="301"/>
      <c r="AI169" s="301"/>
      <c r="AJ169" s="301"/>
      <c r="AK169" s="301"/>
      <c r="AL169" s="301"/>
      <c r="AM169" s="301"/>
      <c r="AN169" s="301"/>
      <c r="AO169" s="301"/>
      <c r="AP169" s="301"/>
      <c r="AQ169" s="301"/>
      <c r="AR169" s="301"/>
      <c r="AS169" s="301"/>
      <c r="AT169" s="301"/>
      <c r="AU169" s="301"/>
      <c r="AV169" s="301"/>
      <c r="AW169" s="301"/>
      <c r="AX169" s="301"/>
      <c r="AY169" s="301"/>
      <c r="AZ169" s="301"/>
      <c r="BA169" s="301"/>
      <c r="BB169" s="301"/>
      <c r="BC169" s="301"/>
      <c r="BD169" s="301"/>
      <c r="BE169" s="301"/>
      <c r="BF169" s="301"/>
      <c r="BG169" s="301"/>
    </row>
    <row r="170" spans="2:60" s="138" customFormat="1" ht="18.75" customHeight="1">
      <c r="B170" s="57"/>
      <c r="C170" s="311" t="s">
        <v>561</v>
      </c>
      <c r="D170" s="311"/>
      <c r="E170" s="311"/>
      <c r="F170" s="311"/>
      <c r="G170" s="312"/>
      <c r="H170" s="311"/>
      <c r="I170" s="311"/>
      <c r="J170" s="311"/>
      <c r="K170" s="311"/>
      <c r="L170" s="311"/>
      <c r="M170" s="311"/>
      <c r="N170" s="311"/>
      <c r="O170" s="311"/>
      <c r="P170" s="311"/>
      <c r="Q170" s="311"/>
      <c r="R170" s="311"/>
      <c r="S170" s="311"/>
      <c r="T170" s="311"/>
      <c r="U170" s="208"/>
      <c r="V170" s="311"/>
      <c r="W170" s="311"/>
      <c r="X170" s="311"/>
      <c r="Y170" s="311"/>
      <c r="Z170" s="311"/>
      <c r="AA170" s="311"/>
      <c r="AB170" s="311"/>
      <c r="AC170" s="311"/>
      <c r="AD170" s="311"/>
      <c r="AE170" s="312"/>
      <c r="AF170" s="311"/>
      <c r="AG170" s="312"/>
      <c r="AH170" s="312"/>
      <c r="AI170" s="312"/>
      <c r="AJ170" s="312"/>
      <c r="AK170" s="312"/>
      <c r="AL170" s="312"/>
      <c r="AM170" s="312"/>
      <c r="AN170" s="312"/>
      <c r="AO170" s="312"/>
      <c r="AP170" s="312"/>
      <c r="AQ170" s="312"/>
      <c r="AR170" s="312"/>
      <c r="AS170" s="301"/>
      <c r="AT170" s="301"/>
      <c r="AU170" s="301"/>
      <c r="AV170" s="301"/>
      <c r="AW170" s="301"/>
      <c r="AX170" s="301"/>
      <c r="AY170" s="301"/>
      <c r="AZ170" s="301"/>
      <c r="BA170" s="301"/>
      <c r="BB170" s="301"/>
      <c r="BC170" s="301"/>
      <c r="BD170" s="301"/>
      <c r="BE170" s="301"/>
      <c r="BF170" s="301"/>
      <c r="BG170" s="301"/>
    </row>
    <row r="171" spans="2:60" s="138" customFormat="1" ht="18.75" customHeight="1">
      <c r="B171" s="57"/>
      <c r="D171" s="311" t="s">
        <v>583</v>
      </c>
      <c r="E171" s="311"/>
      <c r="F171" s="311"/>
      <c r="G171" s="312"/>
      <c r="H171" s="311"/>
      <c r="I171" s="311"/>
      <c r="J171" s="311"/>
      <c r="K171" s="311"/>
      <c r="L171" s="311"/>
      <c r="M171" s="311"/>
      <c r="N171" s="311"/>
      <c r="O171" s="311"/>
      <c r="P171" s="311"/>
      <c r="Q171" s="311"/>
      <c r="R171" s="311"/>
      <c r="S171" s="311"/>
      <c r="T171" s="311"/>
      <c r="U171" s="208"/>
      <c r="V171" s="311"/>
      <c r="W171" s="311"/>
      <c r="X171" s="311"/>
      <c r="Y171" s="311"/>
      <c r="Z171" s="311"/>
      <c r="AA171" s="311"/>
      <c r="AB171" s="311"/>
      <c r="AC171" s="311"/>
      <c r="AD171" s="311"/>
      <c r="AE171" s="312"/>
      <c r="AF171" s="311"/>
      <c r="AG171" s="312"/>
      <c r="AH171" s="312"/>
      <c r="AI171" s="312"/>
      <c r="AJ171" s="312"/>
      <c r="AK171" s="312"/>
      <c r="AL171" s="312"/>
      <c r="AM171" s="312"/>
      <c r="AN171" s="312"/>
      <c r="AO171" s="312"/>
      <c r="AP171" s="312"/>
      <c r="AQ171" s="312"/>
      <c r="AR171" s="312"/>
      <c r="AS171" s="301"/>
      <c r="AT171" s="301"/>
      <c r="AU171" s="301"/>
      <c r="AV171" s="301"/>
      <c r="AW171" s="301"/>
      <c r="AX171" s="301"/>
      <c r="AY171" s="301"/>
      <c r="AZ171" s="301"/>
      <c r="BA171" s="301"/>
      <c r="BB171" s="301"/>
      <c r="BC171" s="301"/>
      <c r="BD171" s="301"/>
      <c r="BE171" s="301"/>
      <c r="BF171" s="301"/>
      <c r="BG171" s="301"/>
    </row>
    <row r="172" spans="2:60" s="138" customFormat="1" ht="18.75" customHeight="1">
      <c r="B172" s="57"/>
      <c r="C172" s="311"/>
      <c r="D172" s="311" t="s">
        <v>562</v>
      </c>
      <c r="E172" s="311"/>
      <c r="F172" s="311"/>
      <c r="G172" s="311"/>
      <c r="H172" s="311"/>
      <c r="I172" s="311"/>
      <c r="J172" s="311"/>
      <c r="K172" s="311"/>
      <c r="L172" s="311"/>
      <c r="M172" s="312"/>
      <c r="N172" s="312"/>
      <c r="O172" s="312"/>
      <c r="P172" s="312" t="s">
        <v>563</v>
      </c>
      <c r="Q172" s="472">
        <f>DEGREES(ATAN(0.1/100))</f>
        <v>5.7295760414500616E-2</v>
      </c>
      <c r="R172" s="472"/>
      <c r="S172" s="472"/>
      <c r="T172" s="472"/>
      <c r="U172" s="311" t="s">
        <v>564</v>
      </c>
      <c r="V172" s="311" t="s">
        <v>565</v>
      </c>
      <c r="W172" s="311"/>
      <c r="X172" s="311"/>
      <c r="Y172" s="311"/>
      <c r="Z172" s="311"/>
      <c r="AA172" s="311"/>
      <c r="AB172" s="311"/>
      <c r="AC172" s="456">
        <f>Calcu!K4</f>
        <v>0</v>
      </c>
      <c r="AD172" s="456"/>
      <c r="AE172" s="456"/>
      <c r="AF172" s="456"/>
      <c r="AG172" s="456"/>
      <c r="AH172" s="312"/>
      <c r="AI172" s="312"/>
      <c r="AJ172" s="312"/>
      <c r="AK172" s="312"/>
      <c r="AL172" s="312"/>
      <c r="AM172" s="312"/>
      <c r="AN172" s="312"/>
      <c r="AO172" s="312"/>
      <c r="AP172" s="312"/>
      <c r="AQ172" s="312"/>
      <c r="AR172" s="312"/>
      <c r="AS172" s="301"/>
      <c r="AT172" s="301"/>
      <c r="AU172" s="301"/>
      <c r="AV172" s="301"/>
      <c r="AW172" s="301"/>
      <c r="AX172" s="301"/>
      <c r="AY172" s="301"/>
      <c r="AZ172" s="301"/>
      <c r="BA172" s="301"/>
      <c r="BB172" s="301"/>
      <c r="BC172" s="301"/>
      <c r="BD172" s="301"/>
      <c r="BE172" s="301"/>
      <c r="BF172" s="301"/>
      <c r="BG172" s="301"/>
    </row>
    <row r="173" spans="2:60" s="138" customFormat="1" ht="18.75" customHeight="1">
      <c r="B173" s="57"/>
      <c r="C173" s="311"/>
      <c r="D173" s="314" t="s">
        <v>569</v>
      </c>
      <c r="E173" s="210"/>
      <c r="F173" s="210"/>
      <c r="G173" s="313"/>
      <c r="H173" s="311"/>
      <c r="I173" s="315"/>
      <c r="J173" s="315"/>
      <c r="K173" s="315"/>
      <c r="L173" s="315"/>
      <c r="M173" s="314"/>
      <c r="N173" s="316"/>
      <c r="O173" s="316"/>
      <c r="P173" s="316"/>
      <c r="Q173" s="316"/>
      <c r="R173" s="145"/>
      <c r="S173" s="457">
        <f>(1-COS(ATAN(0.1/100)))*AC172*1000</f>
        <v>0</v>
      </c>
      <c r="T173" s="457"/>
      <c r="U173" s="457"/>
      <c r="V173" s="457"/>
      <c r="W173" s="457"/>
      <c r="X173" s="311"/>
      <c r="Y173" s="311"/>
      <c r="Z173" s="311"/>
      <c r="AA173" s="311"/>
      <c r="AB173" s="311"/>
      <c r="AC173" s="312"/>
      <c r="AD173" s="311"/>
      <c r="AE173" s="311"/>
      <c r="AK173" s="312"/>
      <c r="AL173" s="312"/>
      <c r="AM173" s="312"/>
      <c r="AN173" s="312"/>
      <c r="AO173" s="312"/>
      <c r="AP173" s="312"/>
      <c r="AQ173" s="312"/>
      <c r="AR173" s="312"/>
      <c r="AS173" s="312"/>
      <c r="AT173" s="312"/>
      <c r="AU173" s="312"/>
      <c r="AV173" s="312"/>
      <c r="AW173" s="312"/>
      <c r="AX173" s="312"/>
      <c r="AY173" s="312"/>
      <c r="AZ173" s="312"/>
      <c r="BA173" s="312"/>
      <c r="BB173" s="312"/>
      <c r="BC173" s="312"/>
      <c r="BD173" s="312"/>
      <c r="BE173" s="312"/>
      <c r="BF173" s="312"/>
      <c r="BG173" s="312"/>
    </row>
    <row r="174" spans="2:60" s="138" customFormat="1" ht="18.75" customHeight="1">
      <c r="B174" s="301"/>
      <c r="C174" s="307" t="s">
        <v>549</v>
      </c>
      <c r="D174" s="301"/>
      <c r="E174" s="301"/>
      <c r="F174" s="301"/>
      <c r="G174" s="301"/>
      <c r="H174" s="460">
        <v>0</v>
      </c>
      <c r="I174" s="460"/>
      <c r="J174" s="460"/>
      <c r="K174" s="460"/>
      <c r="L174" s="460"/>
      <c r="M174" s="460"/>
      <c r="N174" s="460"/>
      <c r="O174" s="460"/>
      <c r="P174" s="304"/>
      <c r="Q174" s="303"/>
      <c r="R174" s="303"/>
      <c r="S174" s="303"/>
      <c r="T174" s="303"/>
      <c r="U174" s="303"/>
      <c r="V174" s="303"/>
      <c r="W174" s="303"/>
      <c r="AC174" s="303"/>
      <c r="AD174" s="303"/>
      <c r="AE174" s="303"/>
      <c r="AF174" s="303"/>
      <c r="AG174" s="303"/>
      <c r="AH174" s="303"/>
      <c r="AI174" s="301"/>
      <c r="AJ174" s="301"/>
      <c r="AK174" s="301"/>
      <c r="AL174" s="301"/>
      <c r="AM174" s="301"/>
      <c r="AN174" s="301"/>
      <c r="AO174" s="301"/>
      <c r="AP174" s="301"/>
      <c r="AQ174" s="301"/>
      <c r="AR174" s="301"/>
      <c r="AS174" s="303"/>
      <c r="AT174" s="303"/>
      <c r="AU174" s="303"/>
      <c r="AV174" s="303"/>
      <c r="AW174" s="303"/>
      <c r="AX174" s="303"/>
      <c r="AY174" s="301"/>
      <c r="AZ174" s="301"/>
      <c r="BA174" s="301"/>
      <c r="BB174" s="301"/>
      <c r="BC174" s="301"/>
      <c r="BD174" s="301"/>
      <c r="BE174" s="301"/>
      <c r="BF174" s="301"/>
      <c r="BG174" s="301"/>
    </row>
    <row r="175" spans="2:60" s="138" customFormat="1" ht="18.75" customHeight="1">
      <c r="B175" s="301"/>
      <c r="C175" s="303" t="s">
        <v>550</v>
      </c>
      <c r="D175" s="303"/>
      <c r="E175" s="303"/>
      <c r="F175" s="303"/>
      <c r="G175" s="303"/>
      <c r="H175" s="303"/>
      <c r="I175" s="301"/>
      <c r="J175" s="303" t="s">
        <v>570</v>
      </c>
      <c r="K175" s="303"/>
      <c r="L175" s="303"/>
      <c r="M175" s="303"/>
      <c r="N175" s="303"/>
      <c r="O175" s="303"/>
      <c r="R175" s="446">
        <f>Calcu!H41</f>
        <v>0</v>
      </c>
      <c r="S175" s="446"/>
      <c r="T175" s="446"/>
      <c r="U175" s="304" t="s">
        <v>185</v>
      </c>
      <c r="V175" s="301"/>
      <c r="AD175" s="303"/>
      <c r="AE175" s="303"/>
      <c r="AF175" s="301"/>
      <c r="AG175" s="301"/>
      <c r="AH175" s="301"/>
      <c r="AI175" s="301"/>
      <c r="AJ175" s="301"/>
      <c r="AK175" s="301"/>
      <c r="AL175" s="301"/>
      <c r="AM175" s="301"/>
      <c r="AN175" s="303"/>
      <c r="AO175" s="303"/>
      <c r="AP175" s="303"/>
      <c r="AQ175" s="303"/>
      <c r="AR175" s="303"/>
      <c r="AS175" s="303"/>
      <c r="AT175" s="303"/>
      <c r="AU175" s="303"/>
      <c r="AV175" s="303"/>
      <c r="AW175" s="303"/>
      <c r="AX175" s="303"/>
      <c r="AY175" s="301"/>
      <c r="AZ175" s="301"/>
      <c r="BA175" s="301"/>
      <c r="BB175" s="301"/>
      <c r="BC175" s="301"/>
      <c r="BD175" s="301"/>
      <c r="BE175" s="301"/>
      <c r="BF175" s="301"/>
      <c r="BG175" s="301"/>
    </row>
    <row r="176" spans="2:60" s="138" customFormat="1" ht="18.75" customHeight="1">
      <c r="B176" s="301"/>
      <c r="C176" s="303"/>
      <c r="D176" s="303"/>
      <c r="E176" s="303"/>
      <c r="F176" s="303"/>
      <c r="G176" s="303"/>
      <c r="H176" s="303"/>
      <c r="I176" s="303"/>
      <c r="K176" s="473" t="s">
        <v>571</v>
      </c>
      <c r="L176" s="473"/>
      <c r="M176" s="473"/>
      <c r="N176" s="461" t="s">
        <v>153</v>
      </c>
      <c r="O176" s="474">
        <f>R175</f>
        <v>0</v>
      </c>
      <c r="P176" s="474"/>
      <c r="Q176" s="474"/>
      <c r="R176" s="308" t="s">
        <v>152</v>
      </c>
      <c r="S176" s="308"/>
      <c r="T176" s="467" t="s">
        <v>153</v>
      </c>
      <c r="U176" s="446">
        <f>O176/SQRT(3)</f>
        <v>0</v>
      </c>
      <c r="V176" s="446"/>
      <c r="W176" s="446"/>
      <c r="X176" s="448" t="str">
        <f>R176</f>
        <v>μm</v>
      </c>
      <c r="Y176" s="448"/>
      <c r="Z176" s="301"/>
      <c r="AA176" s="301"/>
      <c r="AB176" s="301"/>
      <c r="AC176" s="301"/>
      <c r="AD176" s="301"/>
      <c r="AE176" s="301"/>
      <c r="AF176" s="301"/>
      <c r="AG176" s="301"/>
      <c r="AH176" s="301"/>
      <c r="AI176" s="301"/>
      <c r="AJ176" s="301"/>
      <c r="AK176" s="301"/>
      <c r="AL176" s="301"/>
      <c r="AM176" s="303"/>
      <c r="AN176" s="303"/>
      <c r="AO176" s="303"/>
      <c r="AP176" s="303"/>
      <c r="AQ176" s="303"/>
      <c r="AR176" s="303"/>
      <c r="AS176" s="303"/>
      <c r="AT176" s="303"/>
      <c r="AU176" s="301"/>
      <c r="AV176" s="301"/>
      <c r="AW176" s="301"/>
      <c r="AX176" s="301"/>
      <c r="AY176" s="301"/>
      <c r="AZ176" s="301"/>
      <c r="BA176" s="301"/>
      <c r="BB176" s="301"/>
      <c r="BC176" s="301"/>
    </row>
    <row r="177" spans="1:60" s="138" customFormat="1" ht="18.75" customHeight="1">
      <c r="B177" s="301"/>
      <c r="C177" s="303"/>
      <c r="D177" s="303"/>
      <c r="E177" s="303"/>
      <c r="F177" s="303"/>
      <c r="G177" s="303"/>
      <c r="H177" s="303"/>
      <c r="I177" s="303"/>
      <c r="J177" s="210"/>
      <c r="K177" s="473"/>
      <c r="L177" s="473"/>
      <c r="M177" s="473"/>
      <c r="N177" s="461"/>
      <c r="O177" s="450"/>
      <c r="P177" s="450"/>
      <c r="Q177" s="450"/>
      <c r="R177" s="450"/>
      <c r="S177" s="450"/>
      <c r="T177" s="467"/>
      <c r="U177" s="446"/>
      <c r="V177" s="446"/>
      <c r="W177" s="446"/>
      <c r="X177" s="448"/>
      <c r="Y177" s="448"/>
      <c r="Z177" s="301"/>
      <c r="AA177" s="301"/>
      <c r="AB177" s="301"/>
      <c r="AC177" s="301"/>
      <c r="AD177" s="301"/>
      <c r="AE177" s="301"/>
      <c r="AF177" s="301"/>
      <c r="AG177" s="301"/>
      <c r="AH177" s="301"/>
      <c r="AI177" s="301"/>
      <c r="AJ177" s="301"/>
      <c r="AK177" s="301"/>
      <c r="AL177" s="301"/>
      <c r="AM177" s="303"/>
      <c r="AN177" s="303"/>
      <c r="AO177" s="303"/>
      <c r="AP177" s="303"/>
      <c r="AQ177" s="303"/>
      <c r="AR177" s="303"/>
      <c r="AS177" s="303"/>
      <c r="AT177" s="303"/>
      <c r="AU177" s="301"/>
      <c r="AV177" s="301"/>
      <c r="AW177" s="301"/>
      <c r="AX177" s="301"/>
      <c r="AY177" s="301"/>
      <c r="AZ177" s="301"/>
      <c r="BA177" s="301"/>
      <c r="BB177" s="301"/>
      <c r="BC177" s="301"/>
    </row>
    <row r="178" spans="1:60" s="138" customFormat="1" ht="18.75" customHeight="1">
      <c r="B178" s="301"/>
      <c r="C178" s="303" t="s">
        <v>551</v>
      </c>
      <c r="D178" s="303"/>
      <c r="E178" s="303"/>
      <c r="F178" s="303"/>
      <c r="G178" s="303"/>
      <c r="H178" s="303"/>
      <c r="I178" s="444" t="str">
        <f>AB64</f>
        <v>직사각형</v>
      </c>
      <c r="J178" s="444"/>
      <c r="K178" s="444"/>
      <c r="L178" s="444"/>
      <c r="M178" s="444"/>
      <c r="N178" s="444"/>
      <c r="O178" s="444"/>
      <c r="P178" s="444"/>
      <c r="Q178" s="303"/>
      <c r="R178" s="303"/>
      <c r="S178" s="303"/>
      <c r="T178" s="303"/>
      <c r="U178" s="303"/>
      <c r="V178" s="303"/>
      <c r="W178" s="303"/>
      <c r="X178" s="303"/>
      <c r="Y178" s="303"/>
      <c r="Z178" s="301"/>
      <c r="AA178" s="301"/>
      <c r="AB178" s="301"/>
      <c r="AC178" s="301"/>
      <c r="AD178" s="301"/>
      <c r="AE178" s="301"/>
      <c r="AF178" s="301"/>
      <c r="AG178" s="301"/>
      <c r="AH178" s="303"/>
      <c r="AI178" s="303"/>
      <c r="AJ178" s="303"/>
      <c r="AK178" s="303"/>
      <c r="AL178" s="303"/>
      <c r="AM178" s="303"/>
      <c r="AN178" s="303"/>
      <c r="AO178" s="303"/>
      <c r="AP178" s="303"/>
      <c r="AQ178" s="303"/>
      <c r="AR178" s="303"/>
      <c r="AS178" s="303"/>
      <c r="AT178" s="303"/>
      <c r="AU178" s="303"/>
      <c r="AV178" s="303"/>
      <c r="AW178" s="303"/>
      <c r="AX178" s="303"/>
      <c r="AY178" s="301"/>
      <c r="AZ178" s="301"/>
      <c r="BA178" s="301"/>
      <c r="BB178" s="301"/>
      <c r="BC178" s="301"/>
      <c r="BD178" s="301"/>
      <c r="BE178" s="301"/>
      <c r="BF178" s="301"/>
      <c r="BG178" s="301"/>
    </row>
    <row r="179" spans="1:60" s="138" customFormat="1" ht="18.75" customHeight="1">
      <c r="B179" s="301"/>
      <c r="C179" s="450" t="s">
        <v>552</v>
      </c>
      <c r="D179" s="450"/>
      <c r="E179" s="450"/>
      <c r="F179" s="450"/>
      <c r="G179" s="450"/>
      <c r="H179" s="450"/>
      <c r="I179" s="303"/>
      <c r="J179" s="303"/>
      <c r="K179" s="303"/>
      <c r="L179" s="303"/>
      <c r="M179" s="303"/>
      <c r="N179" s="461">
        <f>AG64</f>
        <v>1</v>
      </c>
      <c r="O179" s="461"/>
      <c r="P179" s="146"/>
      <c r="Q179" s="146"/>
      <c r="R179" s="146"/>
      <c r="S179" s="303"/>
      <c r="T179" s="303"/>
      <c r="U179" s="303"/>
      <c r="V179" s="303"/>
      <c r="W179" s="303"/>
      <c r="X179" s="303"/>
      <c r="Y179" s="303"/>
      <c r="Z179" s="147"/>
      <c r="AA179" s="147"/>
      <c r="AB179" s="303"/>
      <c r="AC179" s="303"/>
      <c r="AD179" s="303"/>
      <c r="AE179" s="303"/>
      <c r="AF179" s="303"/>
      <c r="AG179" s="303"/>
      <c r="AH179" s="303"/>
      <c r="AI179" s="303"/>
      <c r="AJ179" s="303"/>
      <c r="AK179" s="303"/>
      <c r="AL179" s="301"/>
      <c r="AM179" s="301"/>
      <c r="AN179" s="301"/>
      <c r="AO179" s="303"/>
      <c r="AP179" s="303"/>
      <c r="AQ179" s="303"/>
      <c r="AR179" s="303"/>
      <c r="AS179" s="303"/>
      <c r="AT179" s="303"/>
      <c r="AU179" s="303"/>
      <c r="AV179" s="303"/>
      <c r="AW179" s="303"/>
      <c r="AX179" s="303"/>
      <c r="AY179" s="301"/>
      <c r="AZ179" s="301"/>
      <c r="BA179" s="301"/>
      <c r="BB179" s="301"/>
      <c r="BC179" s="301"/>
      <c r="BD179" s="301"/>
      <c r="BE179" s="301"/>
      <c r="BF179" s="301"/>
      <c r="BG179" s="301"/>
    </row>
    <row r="180" spans="1:60" s="138" customFormat="1" ht="18.75" customHeight="1">
      <c r="B180" s="301"/>
      <c r="C180" s="450"/>
      <c r="D180" s="450"/>
      <c r="E180" s="450"/>
      <c r="F180" s="450"/>
      <c r="G180" s="450"/>
      <c r="H180" s="450"/>
      <c r="I180" s="303"/>
      <c r="J180" s="303"/>
      <c r="K180" s="303"/>
      <c r="L180" s="303"/>
      <c r="M180" s="303"/>
      <c r="N180" s="461"/>
      <c r="O180" s="461"/>
      <c r="P180" s="146"/>
      <c r="Q180" s="146"/>
      <c r="R180" s="146"/>
      <c r="S180" s="303"/>
      <c r="T180" s="303"/>
      <c r="U180" s="303"/>
      <c r="V180" s="303"/>
      <c r="W180" s="303"/>
      <c r="X180" s="303"/>
      <c r="Y180" s="303"/>
      <c r="Z180" s="147"/>
      <c r="AA180" s="147"/>
      <c r="AB180" s="303"/>
      <c r="AC180" s="303"/>
      <c r="AD180" s="303"/>
      <c r="AE180" s="303"/>
      <c r="AF180" s="303"/>
      <c r="AG180" s="303"/>
      <c r="AH180" s="303"/>
      <c r="AI180" s="303"/>
      <c r="AJ180" s="303"/>
      <c r="AK180" s="303"/>
      <c r="AL180" s="301"/>
      <c r="AM180" s="301"/>
      <c r="AN180" s="301"/>
      <c r="AO180" s="303"/>
      <c r="AP180" s="303"/>
      <c r="AQ180" s="303"/>
      <c r="AR180" s="303"/>
      <c r="AS180" s="303"/>
      <c r="AT180" s="303"/>
      <c r="AU180" s="303"/>
      <c r="AV180" s="303"/>
      <c r="AW180" s="303"/>
      <c r="AX180" s="303"/>
      <c r="AY180" s="301"/>
      <c r="AZ180" s="301"/>
      <c r="BA180" s="301"/>
      <c r="BB180" s="301"/>
      <c r="BC180" s="301"/>
      <c r="BD180" s="301"/>
      <c r="BE180" s="301"/>
      <c r="BF180" s="301"/>
      <c r="BG180" s="301"/>
    </row>
    <row r="181" spans="1:60" s="138" customFormat="1" ht="18.75" customHeight="1">
      <c r="B181" s="301"/>
      <c r="C181" s="303" t="s">
        <v>553</v>
      </c>
      <c r="D181" s="303"/>
      <c r="E181" s="303"/>
      <c r="F181" s="303"/>
      <c r="G181" s="303"/>
      <c r="H181" s="303"/>
      <c r="I181" s="303"/>
      <c r="J181" s="301"/>
      <c r="K181" s="301" t="s">
        <v>390</v>
      </c>
      <c r="L181" s="461">
        <v>1</v>
      </c>
      <c r="M181" s="461"/>
      <c r="N181" s="301" t="s">
        <v>80</v>
      </c>
      <c r="O181" s="446">
        <f>U176</f>
        <v>0</v>
      </c>
      <c r="P181" s="448"/>
      <c r="Q181" s="448"/>
      <c r="R181" s="447" t="str">
        <f>X176</f>
        <v>μm</v>
      </c>
      <c r="S181" s="448"/>
      <c r="T181" s="302" t="s">
        <v>79</v>
      </c>
      <c r="U181" s="72" t="s">
        <v>153</v>
      </c>
      <c r="V181" s="446">
        <f>L181*O181</f>
        <v>0</v>
      </c>
      <c r="W181" s="446"/>
      <c r="X181" s="446"/>
      <c r="Y181" s="305" t="str">
        <f>R181</f>
        <v>μm</v>
      </c>
      <c r="Z181" s="56"/>
      <c r="AA181" s="304"/>
      <c r="AB181" s="148"/>
      <c r="AC181" s="141"/>
      <c r="AD181" s="301"/>
      <c r="AE181" s="303"/>
      <c r="AF181" s="301"/>
      <c r="AG181" s="301"/>
      <c r="AH181" s="301"/>
      <c r="AI181" s="301"/>
      <c r="AJ181" s="301"/>
      <c r="AK181" s="303"/>
      <c r="AL181" s="301"/>
      <c r="AM181" s="301"/>
      <c r="AN181" s="301"/>
      <c r="AO181" s="303"/>
      <c r="AP181" s="303"/>
      <c r="AQ181" s="303"/>
      <c r="AR181" s="303"/>
      <c r="AS181" s="303"/>
      <c r="AT181" s="303"/>
      <c r="AU181" s="303"/>
      <c r="AV181" s="303"/>
      <c r="AW181" s="303"/>
      <c r="AX181" s="303"/>
      <c r="AY181" s="301"/>
      <c r="AZ181" s="301"/>
      <c r="BA181" s="301"/>
      <c r="BB181" s="301"/>
      <c r="BC181" s="301"/>
      <c r="BD181" s="301"/>
      <c r="BE181" s="301"/>
      <c r="BF181" s="301"/>
      <c r="BG181" s="301"/>
    </row>
    <row r="182" spans="1:60" s="138" customFormat="1" ht="18.75" customHeight="1">
      <c r="B182" s="301"/>
      <c r="C182" s="450" t="s">
        <v>554</v>
      </c>
      <c r="D182" s="450"/>
      <c r="E182" s="450"/>
      <c r="F182" s="450"/>
      <c r="G182" s="450"/>
      <c r="H182" s="303"/>
      <c r="J182" s="303"/>
      <c r="K182" s="303"/>
      <c r="L182" s="303"/>
      <c r="M182" s="303"/>
      <c r="N182" s="303"/>
      <c r="O182" s="303"/>
      <c r="P182" s="303"/>
      <c r="Q182" s="303"/>
      <c r="R182" s="141"/>
      <c r="S182" s="303"/>
      <c r="T182" s="303"/>
      <c r="U182" s="303"/>
      <c r="W182" s="303"/>
      <c r="X182" s="230" t="s">
        <v>555</v>
      </c>
      <c r="Y182" s="303"/>
      <c r="Z182" s="303"/>
      <c r="AA182" s="303"/>
      <c r="AB182" s="303"/>
      <c r="AC182" s="303"/>
      <c r="AD182" s="303"/>
      <c r="AE182" s="301"/>
      <c r="AF182" s="301"/>
      <c r="AG182" s="301"/>
      <c r="AH182" s="301"/>
      <c r="AI182" s="301"/>
      <c r="AJ182" s="301"/>
      <c r="AK182" s="301"/>
      <c r="AL182" s="301"/>
      <c r="AM182" s="301"/>
      <c r="AN182" s="301"/>
      <c r="AO182" s="301"/>
      <c r="AP182" s="301"/>
      <c r="AQ182" s="301"/>
      <c r="AR182" s="301"/>
      <c r="AS182" s="301"/>
      <c r="AT182" s="301"/>
      <c r="AU182" s="301"/>
      <c r="AV182" s="301"/>
      <c r="AW182" s="301"/>
      <c r="AX182" s="301"/>
      <c r="AY182" s="301"/>
      <c r="AZ182" s="301"/>
      <c r="BA182" s="301"/>
      <c r="BB182" s="301"/>
      <c r="BC182" s="301"/>
      <c r="BD182" s="301"/>
      <c r="BE182" s="301"/>
      <c r="BF182" s="301"/>
      <c r="BG182" s="301"/>
    </row>
    <row r="183" spans="1:60" s="138" customFormat="1" ht="18.75" customHeight="1">
      <c r="B183" s="301"/>
      <c r="C183" s="450"/>
      <c r="D183" s="450"/>
      <c r="E183" s="450"/>
      <c r="F183" s="450"/>
      <c r="G183" s="450"/>
      <c r="H183" s="303"/>
      <c r="I183" s="303"/>
      <c r="J183" s="303"/>
      <c r="K183" s="303"/>
      <c r="L183" s="303"/>
      <c r="M183" s="303"/>
      <c r="N183" s="303"/>
      <c r="O183" s="303"/>
      <c r="P183" s="303"/>
      <c r="Q183" s="303"/>
      <c r="R183" s="141"/>
      <c r="S183" s="303"/>
      <c r="T183" s="303"/>
      <c r="U183" s="303"/>
      <c r="V183" s="303"/>
      <c r="W183" s="303"/>
      <c r="X183" s="303"/>
      <c r="Y183" s="303"/>
      <c r="Z183" s="303"/>
      <c r="AA183" s="303"/>
      <c r="AB183" s="303"/>
      <c r="AC183" s="303"/>
      <c r="AD183" s="303"/>
      <c r="AE183" s="301"/>
      <c r="AF183" s="301"/>
      <c r="AG183" s="301"/>
      <c r="AH183" s="301"/>
      <c r="AI183" s="301"/>
      <c r="AJ183" s="301"/>
      <c r="AK183" s="301"/>
      <c r="AL183" s="301"/>
      <c r="AM183" s="301"/>
      <c r="AN183" s="301"/>
      <c r="AO183" s="301"/>
      <c r="AP183" s="301"/>
      <c r="AQ183" s="301"/>
      <c r="AR183" s="301"/>
      <c r="AS183" s="301"/>
      <c r="AT183" s="301"/>
      <c r="AU183" s="301"/>
      <c r="AV183" s="301"/>
      <c r="AW183" s="301"/>
      <c r="AX183" s="301"/>
      <c r="AY183" s="301"/>
      <c r="AZ183" s="301"/>
      <c r="BA183" s="301"/>
      <c r="BB183" s="301"/>
      <c r="BC183" s="301"/>
      <c r="BD183" s="301"/>
      <c r="BE183" s="301"/>
      <c r="BF183" s="301"/>
      <c r="BG183" s="301"/>
    </row>
    <row r="184" spans="1:60" s="138" customFormat="1" ht="18.75" customHeight="1">
      <c r="B184" s="301"/>
      <c r="C184" s="57"/>
      <c r="D184" s="303"/>
      <c r="E184" s="303"/>
      <c r="F184" s="303"/>
      <c r="G184" s="301"/>
      <c r="H184" s="303"/>
      <c r="I184" s="303"/>
      <c r="J184" s="303"/>
      <c r="K184" s="303"/>
      <c r="L184" s="303"/>
      <c r="M184" s="303"/>
      <c r="N184" s="303"/>
      <c r="O184" s="303"/>
      <c r="P184" s="303"/>
      <c r="Q184" s="303"/>
      <c r="R184" s="303"/>
      <c r="S184" s="303"/>
      <c r="T184" s="303"/>
      <c r="U184" s="303"/>
      <c r="V184" s="303"/>
      <c r="W184" s="303"/>
      <c r="X184" s="303"/>
      <c r="Y184" s="303"/>
      <c r="Z184" s="303"/>
      <c r="AA184" s="303"/>
      <c r="AB184" s="303"/>
      <c r="AC184" s="303"/>
      <c r="AD184" s="303"/>
      <c r="AE184" s="301"/>
      <c r="AF184" s="303"/>
      <c r="AG184" s="301"/>
      <c r="AH184" s="301"/>
      <c r="AI184" s="301"/>
      <c r="AJ184" s="301"/>
      <c r="AK184" s="301"/>
      <c r="AL184" s="301"/>
      <c r="AM184" s="301"/>
      <c r="AN184" s="301"/>
      <c r="AO184" s="301"/>
      <c r="AP184" s="301"/>
      <c r="AQ184" s="301"/>
      <c r="AR184" s="301"/>
      <c r="AS184" s="301"/>
      <c r="AT184" s="301"/>
      <c r="AU184" s="301"/>
      <c r="AV184" s="301"/>
      <c r="AW184" s="301"/>
      <c r="AX184" s="301"/>
      <c r="AY184" s="301"/>
      <c r="AZ184" s="301"/>
      <c r="BA184" s="301"/>
      <c r="BB184" s="301"/>
      <c r="BC184" s="301"/>
      <c r="BD184" s="301"/>
      <c r="BE184" s="301"/>
      <c r="BF184" s="301"/>
      <c r="BG184" s="301"/>
    </row>
    <row r="185" spans="1:60" s="138" customFormat="1" ht="18.75" customHeight="1">
      <c r="A185" s="57" t="s">
        <v>450</v>
      </c>
      <c r="B185" s="221"/>
      <c r="C185" s="221"/>
      <c r="D185" s="221"/>
      <c r="E185" s="221"/>
      <c r="F185" s="221"/>
      <c r="G185" s="221"/>
      <c r="H185" s="221"/>
      <c r="I185" s="221"/>
      <c r="J185" s="221"/>
      <c r="K185" s="221"/>
      <c r="L185" s="221"/>
      <c r="M185" s="221"/>
      <c r="N185" s="221"/>
      <c r="O185" s="221"/>
      <c r="P185" s="221"/>
      <c r="Q185" s="221"/>
      <c r="R185" s="221"/>
      <c r="S185" s="221"/>
      <c r="T185" s="221"/>
      <c r="U185" s="221"/>
      <c r="V185" s="221"/>
      <c r="W185" s="221"/>
      <c r="X185" s="221"/>
      <c r="Y185" s="221"/>
      <c r="Z185" s="221"/>
      <c r="AA185" s="221"/>
      <c r="AB185" s="221"/>
      <c r="AC185" s="221"/>
      <c r="AD185" s="221"/>
      <c r="AE185" s="221"/>
      <c r="AF185" s="221"/>
      <c r="AG185" s="221"/>
      <c r="AH185" s="221"/>
      <c r="AI185" s="221"/>
      <c r="AJ185" s="221"/>
      <c r="AK185" s="221"/>
      <c r="AL185" s="221"/>
      <c r="AM185" s="221"/>
      <c r="AN185" s="221"/>
      <c r="AO185" s="221"/>
      <c r="AP185" s="221"/>
      <c r="AQ185" s="221"/>
      <c r="AR185" s="221"/>
      <c r="AS185" s="221"/>
      <c r="AT185" s="221"/>
      <c r="AU185" s="221"/>
      <c r="AV185" s="221"/>
      <c r="AW185" s="221"/>
      <c r="AX185" s="221"/>
      <c r="AY185" s="221"/>
      <c r="AZ185" s="221"/>
      <c r="BA185" s="221"/>
      <c r="BB185" s="221"/>
      <c r="BC185" s="221"/>
      <c r="BD185" s="221"/>
      <c r="BE185" s="221"/>
      <c r="BF185" s="221"/>
    </row>
    <row r="186" spans="1:60" s="138" customFormat="1" ht="18.75" customHeight="1">
      <c r="A186" s="221"/>
      <c r="B186" s="221"/>
      <c r="C186" s="221"/>
      <c r="D186" s="221"/>
      <c r="E186" s="221"/>
      <c r="F186" s="221"/>
      <c r="G186" s="221"/>
      <c r="H186" s="221"/>
      <c r="I186" s="221"/>
      <c r="J186" s="221"/>
      <c r="K186" s="221"/>
      <c r="L186" s="221"/>
      <c r="M186" s="221"/>
      <c r="N186" s="221"/>
      <c r="O186" s="221"/>
      <c r="P186" s="221"/>
      <c r="Q186" s="221"/>
      <c r="R186" s="221"/>
      <c r="S186" s="221"/>
      <c r="T186" s="221"/>
      <c r="U186" s="221"/>
      <c r="V186" s="221"/>
      <c r="W186" s="221"/>
      <c r="X186" s="221"/>
      <c r="Y186" s="221"/>
      <c r="Z186" s="221"/>
      <c r="AA186" s="221"/>
      <c r="AB186" s="221"/>
      <c r="AC186" s="221"/>
      <c r="AD186" s="221"/>
      <c r="AE186" s="224"/>
      <c r="AF186" s="221"/>
      <c r="AG186" s="221"/>
      <c r="AH186" s="221"/>
      <c r="AI186" s="221"/>
      <c r="AJ186" s="221"/>
      <c r="AK186" s="224"/>
      <c r="AL186" s="224"/>
      <c r="AM186" s="231"/>
      <c r="AN186" s="231"/>
      <c r="AO186" s="231"/>
      <c r="AP186" s="231"/>
      <c r="AQ186" s="224"/>
      <c r="AR186" s="221"/>
      <c r="AT186" s="252"/>
      <c r="AU186" s="252"/>
      <c r="AV186" s="252"/>
      <c r="AW186" s="224"/>
      <c r="AX186" s="224"/>
      <c r="AY186" s="221"/>
      <c r="BA186" s="221"/>
      <c r="BB186" s="221"/>
      <c r="BC186" s="221"/>
      <c r="BD186" s="221"/>
      <c r="BE186" s="221"/>
      <c r="BF186" s="221"/>
    </row>
    <row r="187" spans="1:60" s="138" customFormat="1" ht="18.75" customHeight="1">
      <c r="A187" s="221"/>
      <c r="B187" s="221"/>
      <c r="C187" s="221"/>
      <c r="D187" s="221"/>
      <c r="E187" s="221" t="s">
        <v>358</v>
      </c>
      <c r="F187" s="465" t="e">
        <f ca="1">AP57</f>
        <v>#N/A</v>
      </c>
      <c r="G187" s="465"/>
      <c r="H187" s="465"/>
      <c r="I187" s="224" t="s">
        <v>359</v>
      </c>
      <c r="J187" s="224"/>
      <c r="K187" s="461" t="s">
        <v>451</v>
      </c>
      <c r="L187" s="461"/>
      <c r="M187" s="548" t="e">
        <f ca="1">AU57</f>
        <v>#N/A</v>
      </c>
      <c r="N187" s="548"/>
      <c r="O187" s="548"/>
      <c r="P187" s="224" t="s">
        <v>411</v>
      </c>
      <c r="Q187" s="224"/>
      <c r="R187" s="221"/>
      <c r="T187" s="461" t="s">
        <v>452</v>
      </c>
      <c r="U187" s="461"/>
      <c r="V187" s="463">
        <f>AP58</f>
        <v>0</v>
      </c>
      <c r="W187" s="463"/>
      <c r="X187" s="463"/>
      <c r="Y187" s="224" t="s">
        <v>359</v>
      </c>
      <c r="Z187" s="224"/>
      <c r="AA187" s="461" t="s">
        <v>452</v>
      </c>
      <c r="AB187" s="461"/>
      <c r="AC187" s="451">
        <f>AP59</f>
        <v>8.1649658092772609E-5</v>
      </c>
      <c r="AD187" s="451"/>
      <c r="AE187" s="451"/>
      <c r="AF187" s="451"/>
      <c r="AG187" s="224" t="s">
        <v>341</v>
      </c>
      <c r="AH187" s="221"/>
      <c r="AK187" s="461" t="s">
        <v>452</v>
      </c>
      <c r="AL187" s="461"/>
      <c r="AM187" s="451" t="e">
        <f ca="1">AP60</f>
        <v>#N/A</v>
      </c>
      <c r="AN187" s="451"/>
      <c r="AO187" s="451"/>
      <c r="AP187" s="451"/>
      <c r="AQ187" s="224" t="s">
        <v>411</v>
      </c>
      <c r="AR187" s="221"/>
      <c r="AU187" s="221"/>
      <c r="AV187" s="221"/>
      <c r="AW187" s="221"/>
      <c r="AX187" s="221"/>
      <c r="AY187" s="221"/>
      <c r="AZ187" s="221"/>
      <c r="BA187" s="221"/>
      <c r="BB187" s="221"/>
      <c r="BC187" s="221"/>
      <c r="BD187" s="221"/>
      <c r="BE187" s="221"/>
      <c r="BF187" s="221"/>
    </row>
    <row r="188" spans="1:60" s="138" customFormat="1" ht="18.75" customHeight="1">
      <c r="A188" s="221"/>
      <c r="B188" s="221"/>
      <c r="C188" s="221"/>
      <c r="D188" s="221"/>
      <c r="E188" s="221"/>
      <c r="F188" s="461" t="s">
        <v>452</v>
      </c>
      <c r="G188" s="461"/>
      <c r="H188" s="451">
        <f>AP61</f>
        <v>8.1649658092772609E-5</v>
      </c>
      <c r="I188" s="451"/>
      <c r="J188" s="451"/>
      <c r="K188" s="451"/>
      <c r="L188" s="224" t="s">
        <v>341</v>
      </c>
      <c r="M188" s="221"/>
      <c r="P188" s="461" t="s">
        <v>452</v>
      </c>
      <c r="Q188" s="461"/>
      <c r="R188" s="451" t="e">
        <f ca="1">AP62</f>
        <v>#N/A</v>
      </c>
      <c r="S188" s="451"/>
      <c r="T188" s="451"/>
      <c r="U188" s="451"/>
      <c r="V188" s="224" t="s">
        <v>411</v>
      </c>
      <c r="W188" s="221"/>
      <c r="Z188" s="461" t="s">
        <v>451</v>
      </c>
      <c r="AA188" s="461"/>
      <c r="AB188" s="463">
        <f>AP63</f>
        <v>0</v>
      </c>
      <c r="AC188" s="463"/>
      <c r="AD188" s="463"/>
      <c r="AE188" s="224" t="s">
        <v>359</v>
      </c>
      <c r="AF188" s="224"/>
      <c r="AG188" s="219"/>
      <c r="AH188" s="461" t="s">
        <v>451</v>
      </c>
      <c r="AI188" s="461"/>
      <c r="AJ188" s="463">
        <f>AP64</f>
        <v>0</v>
      </c>
      <c r="AK188" s="463"/>
      <c r="AL188" s="463"/>
      <c r="AM188" s="303" t="s">
        <v>359</v>
      </c>
      <c r="AN188" s="303"/>
      <c r="AO188" s="306"/>
      <c r="AP188" s="224"/>
      <c r="AQ188" s="221"/>
      <c r="AS188" s="221"/>
      <c r="AT188" s="221"/>
      <c r="AU188" s="221"/>
      <c r="AV188" s="221"/>
      <c r="AW188" s="221"/>
      <c r="AX188" s="221"/>
      <c r="AY188" s="221"/>
      <c r="AZ188" s="221"/>
      <c r="BA188" s="221"/>
      <c r="BB188" s="221"/>
      <c r="BC188" s="221"/>
      <c r="BD188" s="221"/>
      <c r="BE188" s="221"/>
      <c r="BF188" s="221"/>
    </row>
    <row r="189" spans="1:60" s="58" customFormat="1" ht="18.75" customHeight="1">
      <c r="A189" s="224"/>
      <c r="B189" s="224"/>
      <c r="C189" s="224"/>
      <c r="D189" s="224"/>
      <c r="E189" s="221" t="s">
        <v>153</v>
      </c>
      <c r="F189" s="465" t="e">
        <f ca="1">AP65</f>
        <v>#N/A</v>
      </c>
      <c r="G189" s="465"/>
      <c r="H189" s="465"/>
      <c r="I189" s="224" t="s">
        <v>152</v>
      </c>
      <c r="J189" s="224"/>
      <c r="K189" s="461" t="s">
        <v>451</v>
      </c>
      <c r="L189" s="461"/>
      <c r="M189" s="548" t="e">
        <f ca="1">AU65</f>
        <v>#N/A</v>
      </c>
      <c r="N189" s="548"/>
      <c r="O189" s="548"/>
      <c r="P189" s="224" t="s">
        <v>411</v>
      </c>
      <c r="Q189" s="224"/>
      <c r="R189" s="221"/>
      <c r="S189" s="138"/>
      <c r="T189" s="224"/>
      <c r="U189" s="224"/>
      <c r="V189" s="224"/>
      <c r="W189" s="224"/>
      <c r="X189" s="224"/>
      <c r="Y189" s="224"/>
      <c r="Z189" s="224"/>
      <c r="AA189" s="224"/>
      <c r="AB189" s="224"/>
      <c r="AC189" s="224"/>
      <c r="AD189" s="224"/>
      <c r="AE189" s="224"/>
      <c r="AF189" s="224"/>
      <c r="AG189" s="221"/>
      <c r="AH189" s="224"/>
      <c r="AI189" s="224"/>
      <c r="AJ189" s="224"/>
      <c r="AK189" s="224"/>
      <c r="AL189" s="224"/>
      <c r="AM189" s="224"/>
      <c r="AN189" s="224"/>
      <c r="AO189" s="224"/>
      <c r="AP189" s="224"/>
      <c r="AQ189" s="224"/>
      <c r="AR189" s="224"/>
      <c r="AS189" s="224"/>
      <c r="AT189" s="224"/>
      <c r="AU189" s="224"/>
      <c r="AV189" s="224"/>
      <c r="AW189" s="224"/>
      <c r="AX189" s="224"/>
      <c r="AY189" s="224"/>
      <c r="AZ189" s="224"/>
      <c r="BA189" s="224"/>
      <c r="BB189" s="224"/>
      <c r="BC189" s="224"/>
      <c r="BD189" s="224"/>
      <c r="BE189" s="224"/>
      <c r="BF189" s="224"/>
      <c r="BG189" s="224"/>
      <c r="BH189" s="224"/>
    </row>
    <row r="190" spans="1:60" s="58" customFormat="1" ht="18.75" customHeight="1">
      <c r="A190" s="224"/>
      <c r="B190" s="224"/>
      <c r="C190" s="224"/>
      <c r="D190" s="137"/>
      <c r="E190" s="137"/>
      <c r="F190" s="137"/>
      <c r="G190" s="224"/>
      <c r="H190" s="224"/>
      <c r="I190" s="221"/>
      <c r="J190" s="221"/>
      <c r="K190" s="149"/>
      <c r="L190" s="149"/>
      <c r="M190" s="149"/>
      <c r="N190" s="149"/>
      <c r="O190" s="224"/>
      <c r="P190" s="224"/>
      <c r="Q190" s="224"/>
      <c r="R190" s="224"/>
      <c r="S190" s="224"/>
      <c r="T190" s="224"/>
      <c r="U190" s="224"/>
      <c r="V190" s="224"/>
      <c r="W190" s="224"/>
      <c r="X190" s="224"/>
      <c r="Y190" s="224"/>
      <c r="Z190" s="224"/>
      <c r="AA190" s="224"/>
      <c r="AB190" s="224"/>
      <c r="AC190" s="224"/>
      <c r="AD190" s="224"/>
      <c r="AE190" s="224"/>
      <c r="AF190" s="224"/>
      <c r="AG190" s="224"/>
      <c r="AH190" s="224"/>
      <c r="AI190" s="224"/>
      <c r="AJ190" s="224"/>
      <c r="AK190" s="224"/>
      <c r="AL190" s="224"/>
      <c r="AM190" s="224"/>
      <c r="AN190" s="224"/>
      <c r="AO190" s="224"/>
      <c r="AP190" s="224"/>
      <c r="AQ190" s="224"/>
      <c r="AR190" s="224"/>
      <c r="AS190" s="224"/>
      <c r="AT190" s="224"/>
      <c r="AU190" s="224"/>
      <c r="AV190" s="224"/>
      <c r="AW190" s="224"/>
      <c r="AX190" s="224"/>
      <c r="AY190" s="224"/>
      <c r="AZ190" s="224"/>
      <c r="BA190" s="224"/>
      <c r="BB190" s="224"/>
      <c r="BC190" s="224"/>
      <c r="BD190" s="224"/>
      <c r="BE190" s="224"/>
      <c r="BF190" s="224"/>
    </row>
    <row r="191" spans="1:60" s="138" customFormat="1" ht="18.75" customHeight="1">
      <c r="A191" s="221"/>
      <c r="B191" s="221"/>
      <c r="C191" s="221"/>
      <c r="D191" s="142" t="s">
        <v>453</v>
      </c>
      <c r="E191" s="221" t="s">
        <v>153</v>
      </c>
      <c r="F191" s="465" t="e">
        <f ca="1">F189</f>
        <v>#N/A</v>
      </c>
      <c r="G191" s="465"/>
      <c r="H191" s="465"/>
      <c r="I191" s="152"/>
      <c r="J191" s="220"/>
      <c r="K191" s="466" t="e">
        <f ca="1">M189</f>
        <v>#N/A</v>
      </c>
      <c r="L191" s="445"/>
      <c r="M191" s="445"/>
      <c r="N191" s="230"/>
      <c r="O191" s="230"/>
      <c r="P191" s="230"/>
      <c r="Q191" s="450" t="str">
        <f>BA65</f>
        <v>μm</v>
      </c>
      <c r="R191" s="450"/>
      <c r="T191" s="224"/>
      <c r="U191" s="224"/>
      <c r="V191" s="224"/>
      <c r="W191" s="224"/>
      <c r="X191" s="224"/>
      <c r="Y191" s="221"/>
      <c r="Z191" s="221"/>
      <c r="AA191" s="221"/>
      <c r="AB191" s="221"/>
      <c r="AC191" s="221"/>
      <c r="AD191" s="221"/>
      <c r="AE191" s="224"/>
      <c r="AF191" s="221"/>
      <c r="AG191" s="221"/>
      <c r="AH191" s="221"/>
      <c r="AI191" s="221"/>
      <c r="AJ191" s="221"/>
      <c r="AK191" s="221"/>
      <c r="AL191" s="221"/>
      <c r="AM191" s="221"/>
      <c r="AN191" s="221"/>
      <c r="AO191" s="221"/>
      <c r="AP191" s="221"/>
      <c r="AQ191" s="221"/>
      <c r="AR191" s="221"/>
      <c r="AS191" s="221"/>
      <c r="AT191" s="221"/>
      <c r="BA191" s="221"/>
      <c r="BB191" s="221"/>
      <c r="BC191" s="221"/>
      <c r="BD191" s="221"/>
      <c r="BE191" s="221"/>
      <c r="BF191" s="221"/>
    </row>
    <row r="192" spans="1:60" s="224" customFormat="1" ht="18.75" customHeight="1"/>
    <row r="193" spans="1:75" ht="18.75" customHeight="1">
      <c r="A193" s="57" t="s">
        <v>454</v>
      </c>
      <c r="B193" s="230"/>
      <c r="C193" s="230"/>
      <c r="D193" s="230"/>
      <c r="E193" s="230"/>
      <c r="F193" s="230"/>
      <c r="G193" s="230"/>
      <c r="H193" s="230"/>
      <c r="I193" s="230"/>
      <c r="J193" s="230"/>
      <c r="K193" s="230"/>
      <c r="L193" s="230"/>
      <c r="M193" s="230"/>
      <c r="N193" s="230"/>
      <c r="O193" s="230"/>
      <c r="P193" s="230"/>
      <c r="Q193" s="230"/>
      <c r="R193" s="230"/>
      <c r="S193" s="230"/>
      <c r="T193" s="230"/>
      <c r="U193" s="230"/>
      <c r="V193" s="230"/>
      <c r="W193" s="230"/>
      <c r="X193" s="230"/>
      <c r="Y193" s="230"/>
      <c r="Z193" s="230"/>
      <c r="AA193" s="230"/>
      <c r="AB193" s="230"/>
      <c r="AC193" s="230"/>
      <c r="AD193" s="230"/>
      <c r="AE193" s="230"/>
      <c r="AF193" s="230"/>
      <c r="AG193" s="230"/>
      <c r="AH193" s="230"/>
      <c r="AI193" s="230"/>
      <c r="AJ193" s="230"/>
      <c r="AK193" s="230"/>
      <c r="AL193" s="230"/>
      <c r="AM193" s="230"/>
      <c r="AN193" s="230"/>
      <c r="AO193" s="230"/>
      <c r="AP193" s="230"/>
      <c r="AQ193" s="230"/>
      <c r="AR193" s="230"/>
      <c r="AS193" s="230"/>
      <c r="AT193" s="230"/>
      <c r="AU193" s="230"/>
      <c r="AV193" s="230"/>
      <c r="AW193" s="230"/>
      <c r="AX193" s="230"/>
      <c r="AY193" s="230"/>
      <c r="AZ193" s="230"/>
      <c r="BA193" s="230"/>
      <c r="BB193" s="230"/>
      <c r="BC193" s="230"/>
      <c r="BD193" s="230"/>
      <c r="BE193" s="230"/>
      <c r="BF193" s="230"/>
    </row>
    <row r="194" spans="1:75" ht="18.75" customHeight="1">
      <c r="A194" s="230"/>
      <c r="B194" s="230"/>
      <c r="C194" s="230"/>
      <c r="D194" s="230"/>
      <c r="E194" s="230"/>
      <c r="F194" s="230"/>
      <c r="G194" s="230"/>
      <c r="H194" s="230"/>
      <c r="I194" s="230"/>
      <c r="J194" s="230"/>
      <c r="K194" s="230"/>
      <c r="L194" s="471" t="e">
        <f ca="1">Calcu!W42</f>
        <v>#N/A</v>
      </c>
      <c r="M194" s="471"/>
      <c r="N194" s="471"/>
      <c r="O194" s="471"/>
      <c r="P194" s="471"/>
      <c r="Q194" s="471"/>
      <c r="R194" s="471"/>
      <c r="S194" s="471"/>
      <c r="T194" s="471"/>
      <c r="U194" s="471"/>
      <c r="V194" s="471"/>
      <c r="W194" s="471"/>
      <c r="X194" s="471"/>
      <c r="Y194" s="471"/>
      <c r="Z194" s="471"/>
      <c r="AA194" s="471"/>
      <c r="AB194" s="471"/>
      <c r="AC194" s="471"/>
      <c r="AD194" s="471"/>
      <c r="AE194" s="471"/>
      <c r="AF194" s="471"/>
      <c r="AG194" s="471"/>
      <c r="AH194" s="471"/>
      <c r="AI194" s="471"/>
      <c r="AJ194" s="471"/>
      <c r="AK194" s="471"/>
      <c r="AL194" s="471"/>
      <c r="AM194" s="471"/>
      <c r="AN194" s="471"/>
      <c r="AO194" s="471"/>
      <c r="AP194" s="471"/>
      <c r="AQ194" s="471"/>
      <c r="AR194" s="471"/>
      <c r="AS194" s="471"/>
      <c r="AT194" s="471"/>
      <c r="AU194" s="471"/>
      <c r="AV194" s="471"/>
      <c r="AW194" s="471"/>
      <c r="AX194" s="471"/>
      <c r="AY194" s="461" t="s">
        <v>358</v>
      </c>
      <c r="AZ194" s="469" t="e">
        <f ca="1">TRIM(BC65)</f>
        <v>#N/A</v>
      </c>
      <c r="BA194" s="469"/>
      <c r="BB194" s="469"/>
      <c r="BC194" s="469"/>
      <c r="BD194" s="469"/>
      <c r="BF194" s="150"/>
      <c r="BG194" s="150"/>
      <c r="BH194" s="150"/>
      <c r="BI194" s="150"/>
      <c r="BJ194" s="150"/>
      <c r="BK194" s="58"/>
      <c r="BL194" s="58"/>
      <c r="BM194" s="58"/>
      <c r="BN194" s="58"/>
      <c r="BO194" s="58"/>
      <c r="BP194" s="58"/>
      <c r="BQ194" s="58"/>
      <c r="BR194" s="58"/>
      <c r="BS194" s="58"/>
      <c r="BT194" s="58"/>
      <c r="BU194" s="58"/>
      <c r="BV194" s="58"/>
      <c r="BW194" s="58"/>
    </row>
    <row r="195" spans="1:75" ht="18.75" customHeight="1">
      <c r="A195" s="230"/>
      <c r="B195" s="230"/>
      <c r="C195" s="230"/>
      <c r="D195" s="230"/>
      <c r="E195" s="230"/>
      <c r="F195" s="230"/>
      <c r="G195" s="230"/>
      <c r="H195" s="230"/>
      <c r="I195" s="230"/>
      <c r="J195" s="230"/>
      <c r="K195" s="230"/>
      <c r="L195" s="470" t="e">
        <f ca="1">Calcu!W34</f>
        <v>#N/A</v>
      </c>
      <c r="M195" s="470"/>
      <c r="N195" s="470"/>
      <c r="O195" s="470"/>
      <c r="P195" s="461" t="s">
        <v>451</v>
      </c>
      <c r="Q195" s="470">
        <f>Calcu!W35</f>
        <v>0</v>
      </c>
      <c r="R195" s="470"/>
      <c r="S195" s="470"/>
      <c r="T195" s="470"/>
      <c r="U195" s="461" t="s">
        <v>452</v>
      </c>
      <c r="V195" s="471">
        <f>Calcu!W36</f>
        <v>0</v>
      </c>
      <c r="W195" s="471"/>
      <c r="X195" s="471"/>
      <c r="Y195" s="471"/>
      <c r="Z195" s="461" t="s">
        <v>452</v>
      </c>
      <c r="AA195" s="470" t="e">
        <f ca="1">Calcu!W37</f>
        <v>#N/A</v>
      </c>
      <c r="AB195" s="470"/>
      <c r="AC195" s="470"/>
      <c r="AD195" s="470"/>
      <c r="AE195" s="461" t="s">
        <v>452</v>
      </c>
      <c r="AF195" s="471">
        <f>Calcu!W38</f>
        <v>0</v>
      </c>
      <c r="AG195" s="471"/>
      <c r="AH195" s="471"/>
      <c r="AI195" s="471"/>
      <c r="AJ195" s="461" t="s">
        <v>452</v>
      </c>
      <c r="AK195" s="471" t="e">
        <f ca="1">Calcu!W39</f>
        <v>#N/A</v>
      </c>
      <c r="AL195" s="471"/>
      <c r="AM195" s="471"/>
      <c r="AN195" s="471"/>
      <c r="AO195" s="461" t="s">
        <v>452</v>
      </c>
      <c r="AP195" s="471">
        <f>Calcu!W40</f>
        <v>0</v>
      </c>
      <c r="AQ195" s="471"/>
      <c r="AR195" s="471"/>
      <c r="AS195" s="471"/>
      <c r="AT195" s="461" t="s">
        <v>452</v>
      </c>
      <c r="AU195" s="471">
        <f>Calcu!W41</f>
        <v>0</v>
      </c>
      <c r="AV195" s="471"/>
      <c r="AW195" s="471"/>
      <c r="AX195" s="471"/>
      <c r="AY195" s="461"/>
      <c r="AZ195" s="469"/>
      <c r="BA195" s="469"/>
      <c r="BB195" s="469"/>
      <c r="BC195" s="469"/>
      <c r="BD195" s="469"/>
      <c r="BF195" s="150"/>
      <c r="BG195" s="150"/>
      <c r="BH195" s="150"/>
      <c r="BI195" s="150"/>
      <c r="BJ195" s="150"/>
    </row>
    <row r="196" spans="1:75" ht="18.75" customHeight="1">
      <c r="A196" s="230"/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461" t="str">
        <f>BC57</f>
        <v>∞</v>
      </c>
      <c r="M196" s="461"/>
      <c r="N196" s="461"/>
      <c r="O196" s="461"/>
      <c r="P196" s="461"/>
      <c r="Q196" s="461">
        <f>BC58</f>
        <v>4</v>
      </c>
      <c r="R196" s="461"/>
      <c r="S196" s="461"/>
      <c r="T196" s="461"/>
      <c r="U196" s="461"/>
      <c r="V196" s="461">
        <f>BC59</f>
        <v>100</v>
      </c>
      <c r="W196" s="461"/>
      <c r="X196" s="461"/>
      <c r="Y196" s="461"/>
      <c r="Z196" s="461"/>
      <c r="AA196" s="461">
        <f>BC60</f>
        <v>12</v>
      </c>
      <c r="AB196" s="461"/>
      <c r="AC196" s="461"/>
      <c r="AD196" s="461"/>
      <c r="AE196" s="461"/>
      <c r="AF196" s="464">
        <f>BC61</f>
        <v>100</v>
      </c>
      <c r="AG196" s="464"/>
      <c r="AH196" s="464"/>
      <c r="AI196" s="464"/>
      <c r="AJ196" s="461"/>
      <c r="AK196" s="461">
        <f>BC62</f>
        <v>12</v>
      </c>
      <c r="AL196" s="461"/>
      <c r="AM196" s="461"/>
      <c r="AN196" s="461"/>
      <c r="AO196" s="461"/>
      <c r="AP196" s="461" t="str">
        <f>BC63</f>
        <v>∞</v>
      </c>
      <c r="AQ196" s="461"/>
      <c r="AR196" s="461"/>
      <c r="AS196" s="461"/>
      <c r="AT196" s="461"/>
      <c r="AU196" s="461">
        <f>BC64</f>
        <v>12</v>
      </c>
      <c r="AV196" s="461"/>
      <c r="AW196" s="461"/>
      <c r="AX196" s="461"/>
      <c r="AY196" s="230"/>
      <c r="AZ196" s="230"/>
      <c r="BA196" s="230"/>
      <c r="BB196" s="230"/>
      <c r="BC196" s="230"/>
    </row>
    <row r="197" spans="1:75" ht="18.75" customHeight="1">
      <c r="A197" s="230"/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  <c r="N197" s="230"/>
      <c r="O197" s="230"/>
      <c r="P197" s="230"/>
      <c r="Q197" s="230"/>
      <c r="R197" s="230"/>
      <c r="S197" s="230"/>
      <c r="T197" s="230"/>
      <c r="U197" s="230"/>
      <c r="V197" s="230"/>
      <c r="W197" s="230"/>
      <c r="X197" s="230"/>
      <c r="Y197" s="230"/>
      <c r="Z197" s="230"/>
      <c r="AA197" s="230"/>
      <c r="AB197" s="230"/>
      <c r="AC197" s="230"/>
      <c r="AD197" s="230"/>
      <c r="AE197" s="230"/>
      <c r="AF197" s="230"/>
      <c r="AG197" s="230"/>
      <c r="AH197" s="230"/>
      <c r="AI197" s="230"/>
      <c r="AJ197" s="230"/>
      <c r="AK197" s="230"/>
      <c r="AL197" s="230"/>
      <c r="AM197" s="230"/>
      <c r="AN197" s="230"/>
      <c r="AO197" s="230"/>
      <c r="AP197" s="230"/>
      <c r="AQ197" s="230"/>
      <c r="AR197" s="230"/>
      <c r="AS197" s="230"/>
      <c r="AT197" s="230"/>
      <c r="AU197" s="230"/>
      <c r="AV197" s="230"/>
      <c r="AW197" s="230"/>
      <c r="AX197" s="230"/>
      <c r="AY197" s="230"/>
      <c r="AZ197" s="230"/>
      <c r="BA197" s="230"/>
      <c r="BB197" s="230"/>
      <c r="BC197" s="230"/>
      <c r="BD197" s="230"/>
      <c r="BE197" s="230"/>
      <c r="BF197" s="230"/>
      <c r="BG197" s="230"/>
      <c r="BH197" s="230"/>
    </row>
    <row r="198" spans="1:75" ht="18.75" customHeight="1">
      <c r="A198" s="57" t="s">
        <v>455</v>
      </c>
      <c r="B198" s="230"/>
      <c r="C198" s="230"/>
      <c r="D198" s="230"/>
      <c r="E198" s="230"/>
      <c r="F198" s="230"/>
      <c r="G198" s="230"/>
      <c r="H198" s="230"/>
      <c r="I198" s="230"/>
      <c r="J198" s="230"/>
      <c r="K198" s="230"/>
      <c r="L198" s="230"/>
      <c r="M198" s="230"/>
      <c r="N198" s="230"/>
      <c r="O198" s="230"/>
      <c r="P198" s="230"/>
      <c r="Q198" s="230"/>
      <c r="R198" s="230"/>
      <c r="S198" s="230"/>
      <c r="T198" s="230"/>
      <c r="U198" s="230"/>
      <c r="V198" s="230"/>
      <c r="W198" s="230"/>
      <c r="X198" s="230"/>
      <c r="Y198" s="230"/>
      <c r="Z198" s="230"/>
      <c r="AA198" s="230"/>
      <c r="AB198" s="230"/>
      <c r="AC198" s="230"/>
      <c r="AD198" s="230"/>
      <c r="AE198" s="230"/>
      <c r="AF198" s="230"/>
      <c r="AG198" s="230"/>
      <c r="AH198" s="230"/>
      <c r="AI198" s="230"/>
      <c r="AJ198" s="230"/>
      <c r="AK198" s="230"/>
      <c r="AL198" s="230"/>
      <c r="AM198" s="230"/>
      <c r="AN198" s="230"/>
      <c r="AO198" s="230"/>
      <c r="AP198" s="230"/>
      <c r="AQ198" s="230"/>
      <c r="AR198" s="230"/>
      <c r="AS198" s="230"/>
      <c r="AT198" s="230"/>
      <c r="AU198" s="230"/>
      <c r="AV198" s="230"/>
      <c r="AW198" s="230"/>
      <c r="AX198" s="230"/>
      <c r="AY198" s="230"/>
      <c r="AZ198" s="230"/>
      <c r="BA198" s="230"/>
      <c r="BB198" s="230"/>
      <c r="BC198" s="230"/>
      <c r="BD198" s="230"/>
    </row>
    <row r="199" spans="1:75" ht="18.75" customHeight="1">
      <c r="A199" s="57"/>
      <c r="B199" s="230" t="s">
        <v>456</v>
      </c>
      <c r="C199" s="230"/>
      <c r="D199" s="230"/>
      <c r="E199" s="230"/>
      <c r="F199" s="230"/>
      <c r="G199" s="230"/>
      <c r="H199" s="230"/>
      <c r="I199" s="230"/>
      <c r="J199" s="230"/>
      <c r="K199" s="230"/>
      <c r="L199" s="230"/>
      <c r="M199" s="230"/>
      <c r="N199" s="230"/>
      <c r="O199" s="230"/>
      <c r="P199" s="230"/>
      <c r="Q199" s="230"/>
      <c r="R199" s="230"/>
      <c r="S199" s="230"/>
      <c r="T199" s="230"/>
      <c r="U199" s="230"/>
      <c r="V199" s="230"/>
      <c r="W199" s="230"/>
      <c r="X199" s="230"/>
      <c r="Y199" s="230"/>
      <c r="Z199" s="230"/>
      <c r="AA199" s="230"/>
      <c r="AB199" s="230"/>
      <c r="AC199" s="230"/>
      <c r="AD199" s="230"/>
      <c r="AE199" s="230"/>
      <c r="AF199" s="230"/>
      <c r="AG199" s="230"/>
      <c r="AH199" s="230"/>
      <c r="AI199" s="230"/>
      <c r="AJ199" s="230"/>
      <c r="AK199" s="230"/>
      <c r="AL199" s="230"/>
      <c r="AM199" s="230"/>
      <c r="AN199" s="230"/>
      <c r="AO199" s="230"/>
      <c r="AP199" s="230"/>
      <c r="AQ199" s="230"/>
      <c r="AR199" s="230"/>
      <c r="AS199" s="230"/>
      <c r="AT199" s="230"/>
      <c r="AU199" s="230"/>
      <c r="AV199" s="230"/>
      <c r="AW199" s="230"/>
      <c r="AX199" s="230"/>
      <c r="AY199" s="230"/>
      <c r="AZ199" s="230"/>
      <c r="BA199" s="230"/>
      <c r="BB199" s="230"/>
      <c r="BC199" s="230"/>
      <c r="BD199" s="230"/>
    </row>
    <row r="200" spans="1:75" ht="18.75" customHeight="1">
      <c r="A200" s="57"/>
      <c r="B200" s="230"/>
      <c r="C200" s="230" t="s">
        <v>457</v>
      </c>
      <c r="D200" s="230"/>
      <c r="E200" s="230"/>
      <c r="F200" s="230"/>
      <c r="G200" s="230"/>
      <c r="H200" s="230"/>
      <c r="I200" s="230"/>
      <c r="J200" s="230"/>
      <c r="K200" s="230"/>
      <c r="L200" s="230"/>
      <c r="M200" s="230"/>
      <c r="N200" s="230"/>
      <c r="O200" s="230"/>
      <c r="P200" s="230"/>
      <c r="Q200" s="230"/>
      <c r="R200" s="230"/>
      <c r="S200" s="230"/>
      <c r="T200" s="230"/>
      <c r="U200" s="230"/>
      <c r="V200" s="230"/>
      <c r="W200" s="230"/>
      <c r="X200" s="230"/>
      <c r="Y200" s="230"/>
      <c r="Z200" s="230"/>
      <c r="AA200" s="230"/>
      <c r="AB200" s="230"/>
      <c r="AC200" s="230"/>
      <c r="AD200" s="230"/>
      <c r="AE200" s="230"/>
      <c r="AF200" s="230"/>
      <c r="AG200" s="230"/>
      <c r="AH200" s="230"/>
      <c r="AI200" s="230"/>
      <c r="AJ200" s="230"/>
      <c r="AK200" s="230"/>
      <c r="AL200" s="230"/>
      <c r="AM200" s="230"/>
      <c r="AN200" s="230"/>
      <c r="AO200" s="230"/>
      <c r="AP200" s="230"/>
      <c r="AQ200" s="230"/>
      <c r="AR200" s="230"/>
      <c r="AS200" s="230"/>
      <c r="AT200" s="230"/>
      <c r="AU200" s="230"/>
      <c r="AV200" s="230"/>
      <c r="AW200" s="230"/>
      <c r="AX200" s="230"/>
      <c r="AY200" s="230"/>
      <c r="AZ200" s="230"/>
      <c r="BA200" s="230"/>
      <c r="BB200" s="230"/>
      <c r="BC200" s="230"/>
      <c r="BD200" s="230"/>
    </row>
    <row r="201" spans="1:75" ht="18.75" customHeight="1">
      <c r="A201" s="57"/>
      <c r="B201" s="230"/>
      <c r="C201" s="56" t="s">
        <v>458</v>
      </c>
      <c r="D201" s="230"/>
      <c r="E201" s="230"/>
      <c r="F201" s="230"/>
      <c r="G201" s="230"/>
      <c r="H201" s="230"/>
      <c r="I201" s="230"/>
      <c r="J201" s="230"/>
      <c r="K201" s="230"/>
      <c r="L201" s="230"/>
      <c r="M201" s="230"/>
      <c r="N201" s="230"/>
      <c r="O201" s="230"/>
      <c r="P201" s="230"/>
      <c r="Q201" s="230"/>
      <c r="R201" s="230"/>
      <c r="S201" s="230"/>
      <c r="T201" s="230"/>
      <c r="U201" s="230"/>
      <c r="V201" s="230"/>
      <c r="W201" s="230"/>
      <c r="X201" s="230"/>
      <c r="Y201" s="230"/>
      <c r="Z201" s="230"/>
      <c r="AA201" s="230"/>
      <c r="AB201" s="230"/>
      <c r="AC201" s="230"/>
      <c r="AD201" s="230"/>
      <c r="AE201" s="230"/>
      <c r="AF201" s="230"/>
      <c r="AG201" s="230"/>
      <c r="AH201" s="230"/>
      <c r="AI201" s="230"/>
      <c r="AJ201" s="230"/>
      <c r="AK201" s="230"/>
      <c r="AL201" s="230"/>
      <c r="AM201" s="230"/>
      <c r="AN201" s="230"/>
      <c r="AO201" s="230"/>
      <c r="AP201" s="230"/>
      <c r="AQ201" s="230"/>
      <c r="AR201" s="230"/>
      <c r="AS201" s="230"/>
      <c r="AT201" s="230"/>
      <c r="AU201" s="230"/>
      <c r="AV201" s="230"/>
      <c r="AW201" s="230"/>
      <c r="AX201" s="230"/>
      <c r="AY201" s="230"/>
      <c r="AZ201" s="230"/>
      <c r="BA201" s="230"/>
      <c r="BB201" s="230"/>
      <c r="BC201" s="230"/>
      <c r="BD201" s="230"/>
    </row>
    <row r="202" spans="1:75" ht="18.75" customHeight="1">
      <c r="A202" s="57"/>
      <c r="B202" s="230"/>
      <c r="C202" s="224" t="s">
        <v>459</v>
      </c>
      <c r="D202" s="230"/>
      <c r="E202" s="230"/>
      <c r="F202" s="230"/>
      <c r="G202" s="230"/>
      <c r="H202" s="230"/>
      <c r="I202" s="230"/>
      <c r="J202" s="230"/>
      <c r="K202" s="230"/>
      <c r="L202" s="230"/>
      <c r="M202" s="230"/>
      <c r="N202" s="230"/>
      <c r="O202" s="230"/>
      <c r="P202" s="230"/>
      <c r="Q202" s="230"/>
      <c r="R202" s="230"/>
      <c r="S202" s="230"/>
      <c r="T202" s="230"/>
      <c r="U202" s="230"/>
      <c r="V202" s="230"/>
      <c r="W202" s="230"/>
      <c r="X202" s="230"/>
      <c r="Y202" s="230"/>
      <c r="Z202" s="230"/>
      <c r="AA202" s="230"/>
      <c r="AB202" s="230"/>
      <c r="AC202" s="230"/>
      <c r="AD202" s="230"/>
      <c r="AE202" s="230"/>
      <c r="AF202" s="230"/>
      <c r="AG202" s="230"/>
      <c r="AH202" s="230"/>
      <c r="AI202" s="230"/>
      <c r="AJ202" s="230"/>
      <c r="AK202" s="230"/>
      <c r="AL202" s="230"/>
      <c r="AM202" s="230"/>
      <c r="AN202" s="230"/>
      <c r="AO202" s="230"/>
      <c r="AP202" s="230"/>
      <c r="AQ202" s="230"/>
      <c r="AR202" s="230"/>
      <c r="AS202" s="230"/>
      <c r="AT202" s="230"/>
      <c r="AU202" s="230"/>
      <c r="AV202" s="230"/>
      <c r="AW202" s="230"/>
      <c r="AX202" s="230"/>
      <c r="AY202" s="230"/>
      <c r="AZ202" s="230"/>
      <c r="BA202" s="230"/>
      <c r="BB202" s="230"/>
      <c r="BC202" s="230"/>
      <c r="BD202" s="230"/>
    </row>
    <row r="203" spans="1:75" ht="18.75" customHeight="1">
      <c r="A203" s="57"/>
      <c r="B203" s="230"/>
      <c r="D203" s="230"/>
      <c r="E203" s="142"/>
      <c r="F203" s="230"/>
      <c r="G203" s="203"/>
      <c r="H203" s="221"/>
      <c r="I203" s="221"/>
      <c r="J203" s="221"/>
      <c r="R203" s="142"/>
      <c r="S203" s="151"/>
      <c r="T203" s="151"/>
      <c r="U203" s="151"/>
      <c r="V203" s="151"/>
      <c r="W203" s="151"/>
      <c r="X203" s="230"/>
      <c r="Y203" s="230"/>
      <c r="Z203" s="230"/>
      <c r="AA203" s="230"/>
      <c r="AB203" s="230"/>
      <c r="AC203" s="230"/>
      <c r="AD203" s="230"/>
      <c r="AE203" s="230"/>
      <c r="AF203" s="230"/>
      <c r="AG203" s="230"/>
      <c r="AH203" s="230"/>
      <c r="AI203" s="230"/>
      <c r="AJ203" s="230"/>
      <c r="AK203" s="230"/>
      <c r="AL203" s="230"/>
      <c r="AM203" s="230"/>
      <c r="AN203" s="230"/>
      <c r="AO203" s="230"/>
      <c r="AP203" s="230"/>
      <c r="AQ203" s="230"/>
      <c r="AR203" s="230"/>
      <c r="AS203" s="230"/>
      <c r="AT203" s="230"/>
      <c r="AU203" s="230"/>
      <c r="AV203" s="230"/>
      <c r="AW203" s="230"/>
      <c r="AX203" s="230"/>
      <c r="AY203" s="230"/>
      <c r="AZ203" s="230"/>
      <c r="BA203" s="230"/>
      <c r="BB203" s="230"/>
      <c r="BC203" s="230"/>
      <c r="BD203" s="230"/>
    </row>
    <row r="204" spans="1:75" ht="18.75" customHeight="1">
      <c r="A204" s="57"/>
      <c r="B204" s="230" t="s">
        <v>456</v>
      </c>
      <c r="C204" s="230"/>
      <c r="D204" s="230"/>
      <c r="E204" s="230"/>
      <c r="F204" s="230"/>
      <c r="G204" s="230"/>
      <c r="H204" s="230"/>
      <c r="I204" s="230"/>
      <c r="J204" s="230"/>
      <c r="K204" s="230"/>
      <c r="L204" s="230"/>
      <c r="M204" s="230"/>
      <c r="N204" s="230"/>
      <c r="O204" s="230"/>
      <c r="P204" s="230"/>
      <c r="Q204" s="230"/>
      <c r="R204" s="230"/>
      <c r="S204" s="230"/>
      <c r="T204" s="230"/>
      <c r="U204" s="230"/>
      <c r="V204" s="230"/>
      <c r="W204" s="230"/>
      <c r="X204" s="230"/>
      <c r="Y204" s="230"/>
      <c r="Z204" s="230"/>
      <c r="AA204" s="230"/>
      <c r="AB204" s="230"/>
      <c r="AC204" s="230"/>
      <c r="AD204" s="230"/>
      <c r="AE204" s="230"/>
      <c r="AF204" s="230"/>
      <c r="AG204" s="230"/>
      <c r="AH204" s="230"/>
      <c r="AI204" s="230"/>
      <c r="AJ204" s="230"/>
      <c r="AK204" s="230"/>
      <c r="AL204" s="230"/>
      <c r="AM204" s="230"/>
      <c r="AN204" s="230"/>
      <c r="AO204" s="230"/>
      <c r="AP204" s="230"/>
      <c r="AQ204" s="230"/>
      <c r="AR204" s="230"/>
      <c r="AS204" s="230"/>
      <c r="AT204" s="230"/>
      <c r="AU204" s="230"/>
      <c r="AV204" s="230"/>
      <c r="AW204" s="230"/>
      <c r="AX204" s="230"/>
      <c r="AY204" s="230"/>
      <c r="AZ204" s="230"/>
      <c r="BA204" s="230"/>
      <c r="BB204" s="230"/>
      <c r="BC204" s="230"/>
      <c r="BD204" s="230"/>
    </row>
    <row r="205" spans="1:75" ht="18.75" customHeight="1">
      <c r="A205" s="57"/>
      <c r="B205" s="230"/>
      <c r="C205" s="230" t="s">
        <v>460</v>
      </c>
      <c r="D205" s="230"/>
      <c r="E205" s="230"/>
      <c r="F205" s="230"/>
      <c r="G205" s="230"/>
      <c r="H205" s="230"/>
      <c r="I205" s="230"/>
      <c r="J205" s="230"/>
      <c r="K205" s="230"/>
      <c r="L205" s="230"/>
      <c r="M205" s="230"/>
      <c r="N205" s="230"/>
      <c r="O205" s="230"/>
      <c r="P205" s="230"/>
      <c r="Q205" s="230"/>
      <c r="R205" s="230"/>
      <c r="S205" s="230"/>
      <c r="T205" s="230"/>
      <c r="U205" s="230"/>
      <c r="V205" s="230"/>
      <c r="W205" s="230"/>
      <c r="X205" s="230"/>
      <c r="Y205" s="230"/>
      <c r="Z205" s="230"/>
      <c r="AA205" s="230"/>
      <c r="AB205" s="230"/>
      <c r="AC205" s="230"/>
      <c r="AD205" s="230"/>
      <c r="AE205" s="230"/>
      <c r="AF205" s="230"/>
      <c r="AG205" s="230"/>
      <c r="AH205" s="230"/>
      <c r="AI205" s="230"/>
      <c r="AJ205" s="230"/>
      <c r="AK205" s="230"/>
      <c r="AL205" s="230"/>
      <c r="AM205" s="230"/>
      <c r="AN205" s="230"/>
      <c r="AO205" s="230"/>
      <c r="AP205" s="230"/>
      <c r="AQ205" s="230"/>
      <c r="AR205" s="230"/>
      <c r="AS205" s="230"/>
      <c r="AT205" s="230"/>
      <c r="AU205" s="230"/>
      <c r="AV205" s="230"/>
      <c r="AW205" s="230"/>
      <c r="AX205" s="230"/>
      <c r="AY205" s="230"/>
      <c r="AZ205" s="230"/>
      <c r="BA205" s="230"/>
      <c r="BB205" s="230"/>
      <c r="BC205" s="230"/>
      <c r="BD205" s="230"/>
    </row>
    <row r="206" spans="1:75" ht="18.75" customHeight="1">
      <c r="B206" s="230"/>
      <c r="C206" s="230" t="s">
        <v>461</v>
      </c>
      <c r="D206" s="230"/>
      <c r="E206" s="230"/>
      <c r="F206" s="230"/>
      <c r="G206" s="230"/>
      <c r="H206" s="230"/>
      <c r="I206" s="230"/>
      <c r="J206" s="230"/>
      <c r="K206" s="230"/>
      <c r="L206" s="230"/>
      <c r="M206" s="230"/>
      <c r="N206" s="230"/>
      <c r="O206" s="230"/>
      <c r="P206" s="230"/>
      <c r="Q206" s="230"/>
      <c r="R206" s="230"/>
      <c r="S206" s="230"/>
      <c r="T206" s="230"/>
      <c r="U206" s="230"/>
      <c r="V206" s="230"/>
      <c r="W206" s="230"/>
      <c r="X206" s="230"/>
      <c r="Y206" s="230"/>
      <c r="Z206" s="230"/>
      <c r="AA206" s="230"/>
      <c r="AB206" s="230"/>
      <c r="AC206" s="230"/>
      <c r="AD206" s="230"/>
      <c r="AE206" s="230"/>
      <c r="AF206" s="230"/>
      <c r="AG206" s="230"/>
      <c r="AH206" s="230"/>
      <c r="AI206" s="230"/>
      <c r="AJ206" s="230"/>
      <c r="AK206" s="230"/>
      <c r="AL206" s="230"/>
      <c r="AM206" s="230"/>
      <c r="AN206" s="230"/>
      <c r="AO206" s="230"/>
      <c r="AP206" s="230"/>
      <c r="AQ206" s="230"/>
      <c r="AR206" s="230"/>
      <c r="AS206" s="230"/>
      <c r="AT206" s="230"/>
      <c r="AU206" s="230"/>
      <c r="AV206" s="230"/>
      <c r="AW206" s="230"/>
      <c r="AX206" s="230"/>
      <c r="AY206" s="230"/>
      <c r="AZ206" s="230"/>
      <c r="BA206" s="230"/>
      <c r="BB206" s="230"/>
      <c r="BC206" s="230"/>
      <c r="BD206" s="230"/>
    </row>
    <row r="207" spans="1:75" ht="18.75" customHeight="1">
      <c r="A207" s="230"/>
      <c r="B207" s="230"/>
      <c r="C207" s="56" t="s">
        <v>462</v>
      </c>
      <c r="AL207" s="230"/>
      <c r="AM207" s="230"/>
      <c r="AN207" s="230"/>
      <c r="AO207" s="230"/>
      <c r="AP207" s="230"/>
      <c r="AQ207" s="230"/>
      <c r="AR207" s="230"/>
      <c r="AS207" s="230"/>
      <c r="AT207" s="230"/>
      <c r="AU207" s="230"/>
      <c r="AV207" s="230"/>
      <c r="AW207" s="230"/>
      <c r="AX207" s="230"/>
      <c r="AY207" s="230"/>
      <c r="AZ207" s="230"/>
      <c r="BA207" s="230"/>
      <c r="BB207" s="230"/>
    </row>
    <row r="208" spans="1:75" ht="18.75" customHeight="1">
      <c r="A208" s="230"/>
      <c r="B208" s="230"/>
      <c r="AL208" s="230"/>
      <c r="AM208" s="230"/>
      <c r="AN208" s="230"/>
      <c r="AO208" s="230"/>
      <c r="AP208" s="230"/>
      <c r="AQ208" s="230"/>
      <c r="AR208" s="230"/>
      <c r="AS208" s="230"/>
      <c r="AT208" s="230"/>
      <c r="AU208" s="230"/>
      <c r="AV208" s="230"/>
      <c r="AW208" s="230"/>
      <c r="AX208" s="230"/>
      <c r="AY208" s="230"/>
      <c r="AZ208" s="230"/>
      <c r="BA208" s="230"/>
      <c r="BB208" s="230"/>
    </row>
    <row r="209" spans="1:53" ht="18.75" customHeight="1">
      <c r="A209" s="230"/>
      <c r="B209" s="230"/>
      <c r="C209" s="230"/>
      <c r="D209" s="230"/>
      <c r="E209" s="59"/>
      <c r="F209" s="230"/>
      <c r="G209" s="230"/>
      <c r="H209" s="203" t="s">
        <v>463</v>
      </c>
      <c r="I209" s="461" t="e">
        <f ca="1">Calcu!E57</f>
        <v>#N/A</v>
      </c>
      <c r="J209" s="461"/>
      <c r="K209" s="461"/>
      <c r="L209" s="225" t="s">
        <v>464</v>
      </c>
      <c r="M209" s="465" t="e">
        <f ca="1">F191</f>
        <v>#N/A</v>
      </c>
      <c r="N209" s="465"/>
      <c r="O209" s="465"/>
      <c r="P209" s="152"/>
      <c r="Q209" s="220"/>
      <c r="R209" s="466" t="e">
        <f ca="1">K191</f>
        <v>#N/A</v>
      </c>
      <c r="S209" s="445"/>
      <c r="T209" s="445"/>
      <c r="U209" s="230"/>
      <c r="V209" s="230"/>
      <c r="W209" s="230"/>
      <c r="X209" s="450" t="str">
        <f>Q191</f>
        <v>μm</v>
      </c>
      <c r="Y209" s="450"/>
      <c r="Z209" s="225" t="s">
        <v>465</v>
      </c>
      <c r="AA209" s="465" t="e">
        <f ca="1">Calcu!C46</f>
        <v>#N/A</v>
      </c>
      <c r="AB209" s="465"/>
      <c r="AC209" s="465"/>
      <c r="AD209" s="152"/>
      <c r="AE209" s="220"/>
      <c r="AF209" s="466" t="e">
        <f ca="1">Calcu!D46</f>
        <v>#N/A</v>
      </c>
      <c r="AG209" s="445"/>
      <c r="AH209" s="445"/>
      <c r="AI209" s="230"/>
      <c r="AJ209" s="230"/>
      <c r="AK209" s="230"/>
      <c r="AL209" s="450" t="str">
        <f>X209</f>
        <v>μm</v>
      </c>
      <c r="AM209" s="450"/>
      <c r="AN209" s="221" t="s">
        <v>466</v>
      </c>
      <c r="AO209" s="467" t="e">
        <f ca="1">AA209</f>
        <v>#N/A</v>
      </c>
      <c r="AP209" s="467"/>
      <c r="AQ209" s="467"/>
      <c r="AR209" s="152"/>
      <c r="AS209" s="468" t="e">
        <f ca="1">AF209</f>
        <v>#N/A</v>
      </c>
      <c r="AT209" s="468"/>
      <c r="AU209" s="468"/>
      <c r="AV209" s="219"/>
      <c r="AW209" s="230"/>
      <c r="AX209" s="230"/>
      <c r="AY209" s="230"/>
      <c r="AZ209" s="450" t="str">
        <f>AL209</f>
        <v>μm</v>
      </c>
      <c r="BA209" s="450"/>
    </row>
    <row r="214" spans="1:53" s="68" customFormat="1" ht="31.5">
      <c r="A214" s="67" t="s">
        <v>501</v>
      </c>
    </row>
    <row r="215" spans="1:53" s="68" customFormat="1" ht="18.75" customHeight="1"/>
    <row r="216" spans="1:53" s="68" customFormat="1" ht="18.75" customHeight="1">
      <c r="A216" s="69" t="s">
        <v>294</v>
      </c>
    </row>
    <row r="217" spans="1:53" s="68" customFormat="1" ht="18.75" customHeight="1">
      <c r="B217" s="533" t="s">
        <v>60</v>
      </c>
      <c r="C217" s="533"/>
      <c r="D217" s="533"/>
      <c r="E217" s="533"/>
      <c r="F217" s="533"/>
      <c r="G217" s="533"/>
      <c r="H217" s="534" t="s">
        <v>225</v>
      </c>
      <c r="I217" s="534"/>
      <c r="J217" s="534"/>
      <c r="K217" s="534"/>
      <c r="L217" s="534"/>
      <c r="M217" s="534"/>
      <c r="N217" s="533" t="s">
        <v>30</v>
      </c>
      <c r="O217" s="533"/>
      <c r="P217" s="533"/>
      <c r="Q217" s="533"/>
      <c r="R217" s="533"/>
      <c r="S217" s="533"/>
      <c r="T217" s="533" t="s">
        <v>297</v>
      </c>
      <c r="U217" s="533"/>
      <c r="V217" s="533"/>
      <c r="W217" s="533"/>
      <c r="X217" s="533"/>
      <c r="Y217" s="533"/>
    </row>
    <row r="218" spans="1:53" s="68" customFormat="1" ht="18.75" customHeight="1">
      <c r="B218" s="535">
        <f>Calcu!H65</f>
        <v>0</v>
      </c>
      <c r="C218" s="535"/>
      <c r="D218" s="535"/>
      <c r="E218" s="535"/>
      <c r="F218" s="535"/>
      <c r="G218" s="535"/>
      <c r="H218" s="536">
        <f>Calcu!I65</f>
        <v>1</v>
      </c>
      <c r="I218" s="536"/>
      <c r="J218" s="536"/>
      <c r="K218" s="536"/>
      <c r="L218" s="536"/>
      <c r="M218" s="536"/>
      <c r="N218" s="535" t="s">
        <v>526</v>
      </c>
      <c r="O218" s="535"/>
      <c r="P218" s="535"/>
      <c r="Q218" s="535"/>
      <c r="R218" s="535"/>
      <c r="S218" s="535"/>
      <c r="T218" s="535" t="s">
        <v>496</v>
      </c>
      <c r="U218" s="535"/>
      <c r="V218" s="535"/>
      <c r="W218" s="535"/>
      <c r="X218" s="535"/>
      <c r="Y218" s="535"/>
    </row>
    <row r="219" spans="1:53" s="68" customFormat="1" ht="18.75" customHeight="1"/>
    <row r="220" spans="1:53" ht="18.75" customHeight="1">
      <c r="A220" s="57" t="s">
        <v>298</v>
      </c>
      <c r="B220" s="265"/>
      <c r="C220" s="265"/>
      <c r="D220" s="265"/>
      <c r="E220" s="265"/>
      <c r="F220" s="265"/>
      <c r="G220" s="265"/>
      <c r="H220" s="265"/>
      <c r="I220" s="265"/>
      <c r="J220" s="265"/>
      <c r="K220" s="265"/>
      <c r="L220" s="265"/>
      <c r="M220" s="265"/>
      <c r="N220" s="265"/>
      <c r="O220" s="265"/>
      <c r="P220" s="265"/>
      <c r="Q220" s="265"/>
      <c r="R220" s="265"/>
      <c r="S220" s="265"/>
      <c r="T220" s="265"/>
      <c r="U220" s="265"/>
      <c r="V220" s="265"/>
      <c r="W220" s="265"/>
      <c r="X220" s="265"/>
      <c r="Y220" s="265"/>
      <c r="Z220" s="265"/>
      <c r="AA220" s="265"/>
      <c r="AB220" s="265"/>
      <c r="AC220" s="265"/>
      <c r="AD220" s="265"/>
      <c r="AE220" s="265"/>
      <c r="AF220" s="265"/>
      <c r="AG220" s="265"/>
      <c r="AH220" s="265"/>
      <c r="AI220" s="265"/>
      <c r="AJ220" s="265"/>
      <c r="AK220" s="265"/>
      <c r="AL220" s="265"/>
      <c r="AM220" s="265"/>
      <c r="AN220" s="265"/>
      <c r="AO220" s="265"/>
      <c r="AP220" s="265"/>
      <c r="AQ220" s="265"/>
      <c r="AR220" s="265"/>
    </row>
    <row r="221" spans="1:53" ht="18.75" customHeight="1">
      <c r="A221" s="57"/>
      <c r="B221" s="520" t="s">
        <v>92</v>
      </c>
      <c r="C221" s="521"/>
      <c r="D221" s="521"/>
      <c r="E221" s="521"/>
      <c r="F221" s="522"/>
      <c r="G221" s="537" t="str">
        <f>N218&amp;" 지시값"</f>
        <v>측정현미경 지시값</v>
      </c>
      <c r="H221" s="538"/>
      <c r="I221" s="538"/>
      <c r="J221" s="538"/>
      <c r="K221" s="538"/>
      <c r="L221" s="538"/>
      <c r="M221" s="538"/>
      <c r="N221" s="538"/>
      <c r="O221" s="538"/>
      <c r="P221" s="538"/>
      <c r="Q221" s="538"/>
      <c r="R221" s="538"/>
      <c r="S221" s="538"/>
      <c r="T221" s="538"/>
      <c r="U221" s="538"/>
      <c r="V221" s="538"/>
      <c r="W221" s="538"/>
      <c r="X221" s="538"/>
      <c r="Y221" s="538"/>
      <c r="Z221" s="538"/>
      <c r="AA221" s="538"/>
      <c r="AB221" s="538"/>
      <c r="AC221" s="538"/>
      <c r="AD221" s="538"/>
      <c r="AE221" s="539"/>
      <c r="AF221" s="520" t="s">
        <v>300</v>
      </c>
      <c r="AG221" s="521"/>
      <c r="AH221" s="521"/>
      <c r="AI221" s="521"/>
      <c r="AJ221" s="522"/>
      <c r="AK221" s="520" t="s">
        <v>235</v>
      </c>
      <c r="AL221" s="521"/>
      <c r="AM221" s="521"/>
      <c r="AN221" s="521"/>
      <c r="AO221" s="522"/>
    </row>
    <row r="222" spans="1:53" ht="18.75" customHeight="1">
      <c r="A222" s="57"/>
      <c r="B222" s="523"/>
      <c r="C222" s="524"/>
      <c r="D222" s="524"/>
      <c r="E222" s="524"/>
      <c r="F222" s="525"/>
      <c r="G222" s="537" t="s">
        <v>245</v>
      </c>
      <c r="H222" s="538"/>
      <c r="I222" s="538"/>
      <c r="J222" s="538"/>
      <c r="K222" s="539"/>
      <c r="L222" s="537" t="s">
        <v>246</v>
      </c>
      <c r="M222" s="538"/>
      <c r="N222" s="538"/>
      <c r="O222" s="538"/>
      <c r="P222" s="539"/>
      <c r="Q222" s="537" t="s">
        <v>303</v>
      </c>
      <c r="R222" s="538"/>
      <c r="S222" s="538"/>
      <c r="T222" s="538"/>
      <c r="U222" s="539"/>
      <c r="V222" s="537" t="s">
        <v>304</v>
      </c>
      <c r="W222" s="538"/>
      <c r="X222" s="538"/>
      <c r="Y222" s="538"/>
      <c r="Z222" s="539"/>
      <c r="AA222" s="537" t="s">
        <v>305</v>
      </c>
      <c r="AB222" s="538"/>
      <c r="AC222" s="538"/>
      <c r="AD222" s="538"/>
      <c r="AE222" s="539"/>
      <c r="AF222" s="523"/>
      <c r="AG222" s="524"/>
      <c r="AH222" s="524"/>
      <c r="AI222" s="524"/>
      <c r="AJ222" s="525"/>
      <c r="AK222" s="523"/>
      <c r="AL222" s="524"/>
      <c r="AM222" s="524"/>
      <c r="AN222" s="524"/>
      <c r="AO222" s="525"/>
    </row>
    <row r="223" spans="1:53" ht="18.75" customHeight="1">
      <c r="A223" s="57"/>
      <c r="B223" s="537" t="s">
        <v>184</v>
      </c>
      <c r="C223" s="538"/>
      <c r="D223" s="538"/>
      <c r="E223" s="538"/>
      <c r="F223" s="539"/>
      <c r="G223" s="537" t="str">
        <f>B223</f>
        <v>mm</v>
      </c>
      <c r="H223" s="538"/>
      <c r="I223" s="538"/>
      <c r="J223" s="538"/>
      <c r="K223" s="539"/>
      <c r="L223" s="537" t="str">
        <f>G223</f>
        <v>mm</v>
      </c>
      <c r="M223" s="538"/>
      <c r="N223" s="538"/>
      <c r="O223" s="538"/>
      <c r="P223" s="539"/>
      <c r="Q223" s="537" t="str">
        <f>L223</f>
        <v>mm</v>
      </c>
      <c r="R223" s="538"/>
      <c r="S223" s="538"/>
      <c r="T223" s="538"/>
      <c r="U223" s="539"/>
      <c r="V223" s="537" t="str">
        <f>Q223</f>
        <v>mm</v>
      </c>
      <c r="W223" s="538"/>
      <c r="X223" s="538"/>
      <c r="Y223" s="538"/>
      <c r="Z223" s="539"/>
      <c r="AA223" s="537" t="str">
        <f>V223</f>
        <v>mm</v>
      </c>
      <c r="AB223" s="538"/>
      <c r="AC223" s="538"/>
      <c r="AD223" s="538"/>
      <c r="AE223" s="539"/>
      <c r="AF223" s="537" t="s">
        <v>184</v>
      </c>
      <c r="AG223" s="538"/>
      <c r="AH223" s="538"/>
      <c r="AI223" s="538"/>
      <c r="AJ223" s="539"/>
      <c r="AK223" s="537" t="s">
        <v>184</v>
      </c>
      <c r="AL223" s="538"/>
      <c r="AM223" s="538"/>
      <c r="AN223" s="538"/>
      <c r="AO223" s="539"/>
    </row>
    <row r="224" spans="1:53" ht="18.75" customHeight="1">
      <c r="A224" s="57"/>
      <c r="B224" s="518" t="str">
        <f>Calcu!T71</f>
        <v/>
      </c>
      <c r="C224" s="484"/>
      <c r="D224" s="484"/>
      <c r="E224" s="484"/>
      <c r="F224" s="519"/>
      <c r="G224" s="518" t="str">
        <f>IF(Calcu!B71=TRUE,Calcu!E71*$H$218,"")</f>
        <v/>
      </c>
      <c r="H224" s="484"/>
      <c r="I224" s="484"/>
      <c r="J224" s="484"/>
      <c r="K224" s="519"/>
      <c r="L224" s="518" t="str">
        <f>IF(Calcu!B71=TRUE,Calcu!F71*H$218,"")</f>
        <v/>
      </c>
      <c r="M224" s="484"/>
      <c r="N224" s="484"/>
      <c r="O224" s="484"/>
      <c r="P224" s="519"/>
      <c r="Q224" s="518" t="str">
        <f>IF(Calcu!B71=TRUE,Calcu!G71*H$218,"")</f>
        <v/>
      </c>
      <c r="R224" s="484"/>
      <c r="S224" s="484"/>
      <c r="T224" s="484"/>
      <c r="U224" s="519"/>
      <c r="V224" s="518" t="str">
        <f>IF(Calcu!B71=TRUE,Calcu!H71*H$218,"")</f>
        <v/>
      </c>
      <c r="W224" s="484"/>
      <c r="X224" s="484"/>
      <c r="Y224" s="484"/>
      <c r="Z224" s="519"/>
      <c r="AA224" s="518" t="str">
        <f>IF(Calcu!B71=TRUE,Calcu!I71*H$218,"")</f>
        <v/>
      </c>
      <c r="AB224" s="484"/>
      <c r="AC224" s="484"/>
      <c r="AD224" s="484"/>
      <c r="AE224" s="519"/>
      <c r="AF224" s="518" t="str">
        <f>Calcu!M71</f>
        <v/>
      </c>
      <c r="AG224" s="484"/>
      <c r="AH224" s="484"/>
      <c r="AI224" s="484"/>
      <c r="AJ224" s="519"/>
      <c r="AK224" s="518" t="str">
        <f>Calcu!K71</f>
        <v/>
      </c>
      <c r="AL224" s="484"/>
      <c r="AM224" s="484"/>
      <c r="AN224" s="484"/>
      <c r="AO224" s="519"/>
    </row>
    <row r="225" spans="1:41" ht="18.75" customHeight="1">
      <c r="A225" s="57"/>
      <c r="B225" s="518" t="str">
        <f>Calcu!T72</f>
        <v/>
      </c>
      <c r="C225" s="484"/>
      <c r="D225" s="484"/>
      <c r="E225" s="484"/>
      <c r="F225" s="519"/>
      <c r="G225" s="518" t="str">
        <f>IF(Calcu!B72=TRUE,Calcu!E72*$H$218,"")</f>
        <v/>
      </c>
      <c r="H225" s="484"/>
      <c r="I225" s="484"/>
      <c r="J225" s="484"/>
      <c r="K225" s="519"/>
      <c r="L225" s="518" t="str">
        <f>IF(Calcu!B72=TRUE,Calcu!F72*H$218,"")</f>
        <v/>
      </c>
      <c r="M225" s="484"/>
      <c r="N225" s="484"/>
      <c r="O225" s="484"/>
      <c r="P225" s="519"/>
      <c r="Q225" s="518" t="str">
        <f>IF(Calcu!B72=TRUE,Calcu!G72*H$218,"")</f>
        <v/>
      </c>
      <c r="R225" s="484"/>
      <c r="S225" s="484"/>
      <c r="T225" s="484"/>
      <c r="U225" s="519"/>
      <c r="V225" s="518" t="str">
        <f>IF(Calcu!B72=TRUE,Calcu!H72*H$218,"")</f>
        <v/>
      </c>
      <c r="W225" s="484"/>
      <c r="X225" s="484"/>
      <c r="Y225" s="484"/>
      <c r="Z225" s="519"/>
      <c r="AA225" s="518" t="str">
        <f>IF(Calcu!B72=TRUE,Calcu!I72*H$218,"")</f>
        <v/>
      </c>
      <c r="AB225" s="484"/>
      <c r="AC225" s="484"/>
      <c r="AD225" s="484"/>
      <c r="AE225" s="519"/>
      <c r="AF225" s="518" t="str">
        <f>Calcu!M72</f>
        <v/>
      </c>
      <c r="AG225" s="484"/>
      <c r="AH225" s="484"/>
      <c r="AI225" s="484"/>
      <c r="AJ225" s="519"/>
      <c r="AK225" s="518" t="str">
        <f>Calcu!K72</f>
        <v/>
      </c>
      <c r="AL225" s="484"/>
      <c r="AM225" s="484"/>
      <c r="AN225" s="484"/>
      <c r="AO225" s="519"/>
    </row>
    <row r="226" spans="1:41" ht="18.75" customHeight="1">
      <c r="A226" s="57"/>
      <c r="B226" s="518" t="str">
        <f>Calcu!T73</f>
        <v/>
      </c>
      <c r="C226" s="484"/>
      <c r="D226" s="484"/>
      <c r="E226" s="484"/>
      <c r="F226" s="519"/>
      <c r="G226" s="518" t="str">
        <f>IF(Calcu!B73=TRUE,Calcu!E73*$H$218,"")</f>
        <v/>
      </c>
      <c r="H226" s="484"/>
      <c r="I226" s="484"/>
      <c r="J226" s="484"/>
      <c r="K226" s="519"/>
      <c r="L226" s="518" t="str">
        <f>IF(Calcu!B73=TRUE,Calcu!F73*H$218,"")</f>
        <v/>
      </c>
      <c r="M226" s="484"/>
      <c r="N226" s="484"/>
      <c r="O226" s="484"/>
      <c r="P226" s="519"/>
      <c r="Q226" s="518" t="str">
        <f>IF(Calcu!B73=TRUE,Calcu!G73*H$218,"")</f>
        <v/>
      </c>
      <c r="R226" s="484"/>
      <c r="S226" s="484"/>
      <c r="T226" s="484"/>
      <c r="U226" s="519"/>
      <c r="V226" s="518" t="str">
        <f>IF(Calcu!B73=TRUE,Calcu!H73*H$218,"")</f>
        <v/>
      </c>
      <c r="W226" s="484"/>
      <c r="X226" s="484"/>
      <c r="Y226" s="484"/>
      <c r="Z226" s="519"/>
      <c r="AA226" s="518" t="str">
        <f>IF(Calcu!B73=TRUE,Calcu!I73*H$218,"")</f>
        <v/>
      </c>
      <c r="AB226" s="484"/>
      <c r="AC226" s="484"/>
      <c r="AD226" s="484"/>
      <c r="AE226" s="519"/>
      <c r="AF226" s="518" t="str">
        <f>Calcu!M73</f>
        <v/>
      </c>
      <c r="AG226" s="484"/>
      <c r="AH226" s="484"/>
      <c r="AI226" s="484"/>
      <c r="AJ226" s="519"/>
      <c r="AK226" s="518" t="str">
        <f>Calcu!K73</f>
        <v/>
      </c>
      <c r="AL226" s="484"/>
      <c r="AM226" s="484"/>
      <c r="AN226" s="484"/>
      <c r="AO226" s="519"/>
    </row>
    <row r="227" spans="1:41" ht="18.75" customHeight="1">
      <c r="A227" s="57"/>
      <c r="B227" s="518" t="str">
        <f>Calcu!T74</f>
        <v/>
      </c>
      <c r="C227" s="484"/>
      <c r="D227" s="484"/>
      <c r="E227" s="484"/>
      <c r="F227" s="519"/>
      <c r="G227" s="518" t="str">
        <f>IF(Calcu!B74=TRUE,Calcu!E74*$H$218,"")</f>
        <v/>
      </c>
      <c r="H227" s="484"/>
      <c r="I227" s="484"/>
      <c r="J227" s="484"/>
      <c r="K227" s="519"/>
      <c r="L227" s="518" t="str">
        <f>IF(Calcu!B74=TRUE,Calcu!F74*H$218,"")</f>
        <v/>
      </c>
      <c r="M227" s="484"/>
      <c r="N227" s="484"/>
      <c r="O227" s="484"/>
      <c r="P227" s="519"/>
      <c r="Q227" s="518" t="str">
        <f>IF(Calcu!B74=TRUE,Calcu!G74*H$218,"")</f>
        <v/>
      </c>
      <c r="R227" s="484"/>
      <c r="S227" s="484"/>
      <c r="T227" s="484"/>
      <c r="U227" s="519"/>
      <c r="V227" s="518" t="str">
        <f>IF(Calcu!B74=TRUE,Calcu!H74*H$218,"")</f>
        <v/>
      </c>
      <c r="W227" s="484"/>
      <c r="X227" s="484"/>
      <c r="Y227" s="484"/>
      <c r="Z227" s="519"/>
      <c r="AA227" s="518" t="str">
        <f>IF(Calcu!B74=TRUE,Calcu!I74*H$218,"")</f>
        <v/>
      </c>
      <c r="AB227" s="484"/>
      <c r="AC227" s="484"/>
      <c r="AD227" s="484"/>
      <c r="AE227" s="519"/>
      <c r="AF227" s="518" t="str">
        <f>Calcu!M74</f>
        <v/>
      </c>
      <c r="AG227" s="484"/>
      <c r="AH227" s="484"/>
      <c r="AI227" s="484"/>
      <c r="AJ227" s="519"/>
      <c r="AK227" s="518" t="str">
        <f>Calcu!K74</f>
        <v/>
      </c>
      <c r="AL227" s="484"/>
      <c r="AM227" s="484"/>
      <c r="AN227" s="484"/>
      <c r="AO227" s="519"/>
    </row>
    <row r="228" spans="1:41" ht="18.75" customHeight="1">
      <c r="A228" s="57"/>
      <c r="B228" s="518" t="str">
        <f>Calcu!T75</f>
        <v/>
      </c>
      <c r="C228" s="484"/>
      <c r="D228" s="484"/>
      <c r="E228" s="484"/>
      <c r="F228" s="519"/>
      <c r="G228" s="518" t="str">
        <f>IF(Calcu!B75=TRUE,Calcu!E75*$H$218,"")</f>
        <v/>
      </c>
      <c r="H228" s="484"/>
      <c r="I228" s="484"/>
      <c r="J228" s="484"/>
      <c r="K228" s="519"/>
      <c r="L228" s="518" t="str">
        <f>IF(Calcu!B75=TRUE,Calcu!F75*H$218,"")</f>
        <v/>
      </c>
      <c r="M228" s="484"/>
      <c r="N228" s="484"/>
      <c r="O228" s="484"/>
      <c r="P228" s="519"/>
      <c r="Q228" s="518" t="str">
        <f>IF(Calcu!B75=TRUE,Calcu!G75*H$218,"")</f>
        <v/>
      </c>
      <c r="R228" s="484"/>
      <c r="S228" s="484"/>
      <c r="T228" s="484"/>
      <c r="U228" s="519"/>
      <c r="V228" s="518" t="str">
        <f>IF(Calcu!B75=TRUE,Calcu!H75*H$218,"")</f>
        <v/>
      </c>
      <c r="W228" s="484"/>
      <c r="X228" s="484"/>
      <c r="Y228" s="484"/>
      <c r="Z228" s="519"/>
      <c r="AA228" s="518" t="str">
        <f>IF(Calcu!B75=TRUE,Calcu!I75*H$218,"")</f>
        <v/>
      </c>
      <c r="AB228" s="484"/>
      <c r="AC228" s="484"/>
      <c r="AD228" s="484"/>
      <c r="AE228" s="519"/>
      <c r="AF228" s="518" t="str">
        <f>Calcu!M75</f>
        <v/>
      </c>
      <c r="AG228" s="484"/>
      <c r="AH228" s="484"/>
      <c r="AI228" s="484"/>
      <c r="AJ228" s="519"/>
      <c r="AK228" s="518" t="str">
        <f>Calcu!K75</f>
        <v/>
      </c>
      <c r="AL228" s="484"/>
      <c r="AM228" s="484"/>
      <c r="AN228" s="484"/>
      <c r="AO228" s="519"/>
    </row>
    <row r="229" spans="1:41" ht="18.75" customHeight="1">
      <c r="A229" s="57"/>
      <c r="B229" s="518" t="str">
        <f>Calcu!T76</f>
        <v/>
      </c>
      <c r="C229" s="484"/>
      <c r="D229" s="484"/>
      <c r="E229" s="484"/>
      <c r="F229" s="519"/>
      <c r="G229" s="518" t="str">
        <f>IF(Calcu!B76=TRUE,Calcu!E76*$H$218,"")</f>
        <v/>
      </c>
      <c r="H229" s="484"/>
      <c r="I229" s="484"/>
      <c r="J229" s="484"/>
      <c r="K229" s="519"/>
      <c r="L229" s="518" t="str">
        <f>IF(Calcu!B76=TRUE,Calcu!F76*H$218,"")</f>
        <v/>
      </c>
      <c r="M229" s="484"/>
      <c r="N229" s="484"/>
      <c r="O229" s="484"/>
      <c r="P229" s="519"/>
      <c r="Q229" s="518" t="str">
        <f>IF(Calcu!B76=TRUE,Calcu!G76*H$218,"")</f>
        <v/>
      </c>
      <c r="R229" s="484"/>
      <c r="S229" s="484"/>
      <c r="T229" s="484"/>
      <c r="U229" s="519"/>
      <c r="V229" s="518" t="str">
        <f>IF(Calcu!B76=TRUE,Calcu!H76*H$218,"")</f>
        <v/>
      </c>
      <c r="W229" s="484"/>
      <c r="X229" s="484"/>
      <c r="Y229" s="484"/>
      <c r="Z229" s="519"/>
      <c r="AA229" s="518" t="str">
        <f>IF(Calcu!B76=TRUE,Calcu!I76*H$218,"")</f>
        <v/>
      </c>
      <c r="AB229" s="484"/>
      <c r="AC229" s="484"/>
      <c r="AD229" s="484"/>
      <c r="AE229" s="519"/>
      <c r="AF229" s="518" t="str">
        <f>Calcu!M76</f>
        <v/>
      </c>
      <c r="AG229" s="484"/>
      <c r="AH229" s="484"/>
      <c r="AI229" s="484"/>
      <c r="AJ229" s="519"/>
      <c r="AK229" s="518" t="str">
        <f>Calcu!K76</f>
        <v/>
      </c>
      <c r="AL229" s="484"/>
      <c r="AM229" s="484"/>
      <c r="AN229" s="484"/>
      <c r="AO229" s="519"/>
    </row>
    <row r="230" spans="1:41" ht="18.75" customHeight="1">
      <c r="A230" s="57"/>
      <c r="B230" s="518" t="str">
        <f>Calcu!T77</f>
        <v/>
      </c>
      <c r="C230" s="484"/>
      <c r="D230" s="484"/>
      <c r="E230" s="484"/>
      <c r="F230" s="519"/>
      <c r="G230" s="518" t="str">
        <f>IF(Calcu!B77=TRUE,Calcu!E77*$H$218,"")</f>
        <v/>
      </c>
      <c r="H230" s="484"/>
      <c r="I230" s="484"/>
      <c r="J230" s="484"/>
      <c r="K230" s="519"/>
      <c r="L230" s="518" t="str">
        <f>IF(Calcu!B77=TRUE,Calcu!F77*H$218,"")</f>
        <v/>
      </c>
      <c r="M230" s="484"/>
      <c r="N230" s="484"/>
      <c r="O230" s="484"/>
      <c r="P230" s="519"/>
      <c r="Q230" s="518" t="str">
        <f>IF(Calcu!B77=TRUE,Calcu!G77*H$218,"")</f>
        <v/>
      </c>
      <c r="R230" s="484"/>
      <c r="S230" s="484"/>
      <c r="T230" s="484"/>
      <c r="U230" s="519"/>
      <c r="V230" s="518" t="str">
        <f>IF(Calcu!B77=TRUE,Calcu!H77*H$218,"")</f>
        <v/>
      </c>
      <c r="W230" s="484"/>
      <c r="X230" s="484"/>
      <c r="Y230" s="484"/>
      <c r="Z230" s="519"/>
      <c r="AA230" s="518" t="str">
        <f>IF(Calcu!B77=TRUE,Calcu!I77*H$218,"")</f>
        <v/>
      </c>
      <c r="AB230" s="484"/>
      <c r="AC230" s="484"/>
      <c r="AD230" s="484"/>
      <c r="AE230" s="519"/>
      <c r="AF230" s="518" t="str">
        <f>Calcu!M77</f>
        <v/>
      </c>
      <c r="AG230" s="484"/>
      <c r="AH230" s="484"/>
      <c r="AI230" s="484"/>
      <c r="AJ230" s="519"/>
      <c r="AK230" s="518" t="str">
        <f>Calcu!K77</f>
        <v/>
      </c>
      <c r="AL230" s="484"/>
      <c r="AM230" s="484"/>
      <c r="AN230" s="484"/>
      <c r="AO230" s="519"/>
    </row>
    <row r="231" spans="1:41" ht="18.75" customHeight="1">
      <c r="A231" s="57"/>
      <c r="B231" s="518" t="str">
        <f>Calcu!T78</f>
        <v/>
      </c>
      <c r="C231" s="484"/>
      <c r="D231" s="484"/>
      <c r="E231" s="484"/>
      <c r="F231" s="519"/>
      <c r="G231" s="518" t="str">
        <f>IF(Calcu!B78=TRUE,Calcu!E78*$H$218,"")</f>
        <v/>
      </c>
      <c r="H231" s="484"/>
      <c r="I231" s="484"/>
      <c r="J231" s="484"/>
      <c r="K231" s="519"/>
      <c r="L231" s="518" t="str">
        <f>IF(Calcu!B78=TRUE,Calcu!F78*H$218,"")</f>
        <v/>
      </c>
      <c r="M231" s="484"/>
      <c r="N231" s="484"/>
      <c r="O231" s="484"/>
      <c r="P231" s="519"/>
      <c r="Q231" s="518" t="str">
        <f>IF(Calcu!B78=TRUE,Calcu!G78*H$218,"")</f>
        <v/>
      </c>
      <c r="R231" s="484"/>
      <c r="S231" s="484"/>
      <c r="T231" s="484"/>
      <c r="U231" s="519"/>
      <c r="V231" s="518" t="str">
        <f>IF(Calcu!B78=TRUE,Calcu!H78*H$218,"")</f>
        <v/>
      </c>
      <c r="W231" s="484"/>
      <c r="X231" s="484"/>
      <c r="Y231" s="484"/>
      <c r="Z231" s="519"/>
      <c r="AA231" s="518" t="str">
        <f>IF(Calcu!B78=TRUE,Calcu!I78*H$218,"")</f>
        <v/>
      </c>
      <c r="AB231" s="484"/>
      <c r="AC231" s="484"/>
      <c r="AD231" s="484"/>
      <c r="AE231" s="519"/>
      <c r="AF231" s="518" t="str">
        <f>Calcu!M78</f>
        <v/>
      </c>
      <c r="AG231" s="484"/>
      <c r="AH231" s="484"/>
      <c r="AI231" s="484"/>
      <c r="AJ231" s="519"/>
      <c r="AK231" s="518" t="str">
        <f>Calcu!K78</f>
        <v/>
      </c>
      <c r="AL231" s="484"/>
      <c r="AM231" s="484"/>
      <c r="AN231" s="484"/>
      <c r="AO231" s="519"/>
    </row>
    <row r="232" spans="1:41" ht="18.75" customHeight="1">
      <c r="A232" s="57"/>
      <c r="B232" s="518" t="str">
        <f>Calcu!T79</f>
        <v/>
      </c>
      <c r="C232" s="484"/>
      <c r="D232" s="484"/>
      <c r="E232" s="484"/>
      <c r="F232" s="519"/>
      <c r="G232" s="518" t="str">
        <f>IF(Calcu!B79=TRUE,Calcu!E79*$H$218,"")</f>
        <v/>
      </c>
      <c r="H232" s="484"/>
      <c r="I232" s="484"/>
      <c r="J232" s="484"/>
      <c r="K232" s="519"/>
      <c r="L232" s="518" t="str">
        <f>IF(Calcu!B79=TRUE,Calcu!F79*H$218,"")</f>
        <v/>
      </c>
      <c r="M232" s="484"/>
      <c r="N232" s="484"/>
      <c r="O232" s="484"/>
      <c r="P232" s="519"/>
      <c r="Q232" s="518" t="str">
        <f>IF(Calcu!B79=TRUE,Calcu!G79*H$218,"")</f>
        <v/>
      </c>
      <c r="R232" s="484"/>
      <c r="S232" s="484"/>
      <c r="T232" s="484"/>
      <c r="U232" s="519"/>
      <c r="V232" s="518" t="str">
        <f>IF(Calcu!B79=TRUE,Calcu!H79*H$218,"")</f>
        <v/>
      </c>
      <c r="W232" s="484"/>
      <c r="X232" s="484"/>
      <c r="Y232" s="484"/>
      <c r="Z232" s="519"/>
      <c r="AA232" s="518" t="str">
        <f>IF(Calcu!B79=TRUE,Calcu!I79*H$218,"")</f>
        <v/>
      </c>
      <c r="AB232" s="484"/>
      <c r="AC232" s="484"/>
      <c r="AD232" s="484"/>
      <c r="AE232" s="519"/>
      <c r="AF232" s="518" t="str">
        <f>Calcu!M79</f>
        <v/>
      </c>
      <c r="AG232" s="484"/>
      <c r="AH232" s="484"/>
      <c r="AI232" s="484"/>
      <c r="AJ232" s="519"/>
      <c r="AK232" s="518" t="str">
        <f>Calcu!K79</f>
        <v/>
      </c>
      <c r="AL232" s="484"/>
      <c r="AM232" s="484"/>
      <c r="AN232" s="484"/>
      <c r="AO232" s="519"/>
    </row>
    <row r="233" spans="1:41" ht="18.75" customHeight="1">
      <c r="A233" s="57"/>
      <c r="B233" s="518" t="str">
        <f>Calcu!T80</f>
        <v/>
      </c>
      <c r="C233" s="484"/>
      <c r="D233" s="484"/>
      <c r="E233" s="484"/>
      <c r="F233" s="519"/>
      <c r="G233" s="518" t="str">
        <f>IF(Calcu!B80=TRUE,Calcu!E80*$H$218,"")</f>
        <v/>
      </c>
      <c r="H233" s="484"/>
      <c r="I233" s="484"/>
      <c r="J233" s="484"/>
      <c r="K233" s="519"/>
      <c r="L233" s="518" t="str">
        <f>IF(Calcu!B80=TRUE,Calcu!F80*H$218,"")</f>
        <v/>
      </c>
      <c r="M233" s="484"/>
      <c r="N233" s="484"/>
      <c r="O233" s="484"/>
      <c r="P233" s="519"/>
      <c r="Q233" s="518" t="str">
        <f>IF(Calcu!B80=TRUE,Calcu!G80*H$218,"")</f>
        <v/>
      </c>
      <c r="R233" s="484"/>
      <c r="S233" s="484"/>
      <c r="T233" s="484"/>
      <c r="U233" s="519"/>
      <c r="V233" s="518" t="str">
        <f>IF(Calcu!B80=TRUE,Calcu!H80*H$218,"")</f>
        <v/>
      </c>
      <c r="W233" s="484"/>
      <c r="X233" s="484"/>
      <c r="Y233" s="484"/>
      <c r="Z233" s="519"/>
      <c r="AA233" s="518" t="str">
        <f>IF(Calcu!B80=TRUE,Calcu!I80*H$218,"")</f>
        <v/>
      </c>
      <c r="AB233" s="484"/>
      <c r="AC233" s="484"/>
      <c r="AD233" s="484"/>
      <c r="AE233" s="519"/>
      <c r="AF233" s="518" t="str">
        <f>Calcu!M80</f>
        <v/>
      </c>
      <c r="AG233" s="484"/>
      <c r="AH233" s="484"/>
      <c r="AI233" s="484"/>
      <c r="AJ233" s="519"/>
      <c r="AK233" s="518" t="str">
        <f>Calcu!K80</f>
        <v/>
      </c>
      <c r="AL233" s="484"/>
      <c r="AM233" s="484"/>
      <c r="AN233" s="484"/>
      <c r="AO233" s="519"/>
    </row>
    <row r="234" spans="1:41" ht="18.75" customHeight="1">
      <c r="A234" s="57"/>
      <c r="B234" s="518" t="str">
        <f>Calcu!T81</f>
        <v/>
      </c>
      <c r="C234" s="484"/>
      <c r="D234" s="484"/>
      <c r="E234" s="484"/>
      <c r="F234" s="519"/>
      <c r="G234" s="518" t="str">
        <f>IF(Calcu!B81=TRUE,Calcu!E81*$H$218,"")</f>
        <v/>
      </c>
      <c r="H234" s="484"/>
      <c r="I234" s="484"/>
      <c r="J234" s="484"/>
      <c r="K234" s="519"/>
      <c r="L234" s="518" t="str">
        <f>IF(Calcu!B81=TRUE,Calcu!F81*H$218,"")</f>
        <v/>
      </c>
      <c r="M234" s="484"/>
      <c r="N234" s="484"/>
      <c r="O234" s="484"/>
      <c r="P234" s="519"/>
      <c r="Q234" s="518" t="str">
        <f>IF(Calcu!B81=TRUE,Calcu!G81*H$218,"")</f>
        <v/>
      </c>
      <c r="R234" s="484"/>
      <c r="S234" s="484"/>
      <c r="T234" s="484"/>
      <c r="U234" s="519"/>
      <c r="V234" s="518" t="str">
        <f>IF(Calcu!B81=TRUE,Calcu!H81*H$218,"")</f>
        <v/>
      </c>
      <c r="W234" s="484"/>
      <c r="X234" s="484"/>
      <c r="Y234" s="484"/>
      <c r="Z234" s="519"/>
      <c r="AA234" s="518" t="str">
        <f>IF(Calcu!B81=TRUE,Calcu!I81*H$218,"")</f>
        <v/>
      </c>
      <c r="AB234" s="484"/>
      <c r="AC234" s="484"/>
      <c r="AD234" s="484"/>
      <c r="AE234" s="519"/>
      <c r="AF234" s="518" t="str">
        <f>Calcu!M81</f>
        <v/>
      </c>
      <c r="AG234" s="484"/>
      <c r="AH234" s="484"/>
      <c r="AI234" s="484"/>
      <c r="AJ234" s="519"/>
      <c r="AK234" s="518" t="str">
        <f>Calcu!K81</f>
        <v/>
      </c>
      <c r="AL234" s="484"/>
      <c r="AM234" s="484"/>
      <c r="AN234" s="484"/>
      <c r="AO234" s="519"/>
    </row>
    <row r="235" spans="1:41" ht="18.75" customHeight="1">
      <c r="A235" s="57"/>
      <c r="B235" s="518" t="str">
        <f>Calcu!T82</f>
        <v/>
      </c>
      <c r="C235" s="484"/>
      <c r="D235" s="484"/>
      <c r="E235" s="484"/>
      <c r="F235" s="519"/>
      <c r="G235" s="518" t="str">
        <f>IF(Calcu!B82=TRUE,Calcu!E82*$H$218,"")</f>
        <v/>
      </c>
      <c r="H235" s="484"/>
      <c r="I235" s="484"/>
      <c r="J235" s="484"/>
      <c r="K235" s="519"/>
      <c r="L235" s="518" t="str">
        <f>IF(Calcu!B82=TRUE,Calcu!F82*H$218,"")</f>
        <v/>
      </c>
      <c r="M235" s="484"/>
      <c r="N235" s="484"/>
      <c r="O235" s="484"/>
      <c r="P235" s="519"/>
      <c r="Q235" s="518" t="str">
        <f>IF(Calcu!B82=TRUE,Calcu!G82*H$218,"")</f>
        <v/>
      </c>
      <c r="R235" s="484"/>
      <c r="S235" s="484"/>
      <c r="T235" s="484"/>
      <c r="U235" s="519"/>
      <c r="V235" s="518" t="str">
        <f>IF(Calcu!B82=TRUE,Calcu!H82*H$218,"")</f>
        <v/>
      </c>
      <c r="W235" s="484"/>
      <c r="X235" s="484"/>
      <c r="Y235" s="484"/>
      <c r="Z235" s="519"/>
      <c r="AA235" s="518" t="str">
        <f>IF(Calcu!B82=TRUE,Calcu!I82*H$218,"")</f>
        <v/>
      </c>
      <c r="AB235" s="484"/>
      <c r="AC235" s="484"/>
      <c r="AD235" s="484"/>
      <c r="AE235" s="519"/>
      <c r="AF235" s="518" t="str">
        <f>Calcu!M82</f>
        <v/>
      </c>
      <c r="AG235" s="484"/>
      <c r="AH235" s="484"/>
      <c r="AI235" s="484"/>
      <c r="AJ235" s="519"/>
      <c r="AK235" s="518" t="str">
        <f>Calcu!K82</f>
        <v/>
      </c>
      <c r="AL235" s="484"/>
      <c r="AM235" s="484"/>
      <c r="AN235" s="484"/>
      <c r="AO235" s="519"/>
    </row>
    <row r="236" spans="1:41" ht="18.75" customHeight="1">
      <c r="A236" s="57"/>
      <c r="B236" s="518" t="str">
        <f>Calcu!T83</f>
        <v/>
      </c>
      <c r="C236" s="484"/>
      <c r="D236" s="484"/>
      <c r="E236" s="484"/>
      <c r="F236" s="519"/>
      <c r="G236" s="518" t="str">
        <f>IF(Calcu!B83=TRUE,Calcu!E83*$H$218,"")</f>
        <v/>
      </c>
      <c r="H236" s="484"/>
      <c r="I236" s="484"/>
      <c r="J236" s="484"/>
      <c r="K236" s="519"/>
      <c r="L236" s="518" t="str">
        <f>IF(Calcu!B83=TRUE,Calcu!F83*H$218,"")</f>
        <v/>
      </c>
      <c r="M236" s="484"/>
      <c r="N236" s="484"/>
      <c r="O236" s="484"/>
      <c r="P236" s="519"/>
      <c r="Q236" s="518" t="str">
        <f>IF(Calcu!B83=TRUE,Calcu!G83*H$218,"")</f>
        <v/>
      </c>
      <c r="R236" s="484"/>
      <c r="S236" s="484"/>
      <c r="T236" s="484"/>
      <c r="U236" s="519"/>
      <c r="V236" s="518" t="str">
        <f>IF(Calcu!B83=TRUE,Calcu!H83*H$218,"")</f>
        <v/>
      </c>
      <c r="W236" s="484"/>
      <c r="X236" s="484"/>
      <c r="Y236" s="484"/>
      <c r="Z236" s="519"/>
      <c r="AA236" s="518" t="str">
        <f>IF(Calcu!B83=TRUE,Calcu!I83*H$218,"")</f>
        <v/>
      </c>
      <c r="AB236" s="484"/>
      <c r="AC236" s="484"/>
      <c r="AD236" s="484"/>
      <c r="AE236" s="519"/>
      <c r="AF236" s="518" t="str">
        <f>Calcu!M83</f>
        <v/>
      </c>
      <c r="AG236" s="484"/>
      <c r="AH236" s="484"/>
      <c r="AI236" s="484"/>
      <c r="AJ236" s="519"/>
      <c r="AK236" s="518" t="str">
        <f>Calcu!K83</f>
        <v/>
      </c>
      <c r="AL236" s="484"/>
      <c r="AM236" s="484"/>
      <c r="AN236" s="484"/>
      <c r="AO236" s="519"/>
    </row>
    <row r="237" spans="1:41" ht="18.75" customHeight="1">
      <c r="A237" s="57"/>
      <c r="B237" s="518" t="str">
        <f>Calcu!T84</f>
        <v/>
      </c>
      <c r="C237" s="484"/>
      <c r="D237" s="484"/>
      <c r="E237" s="484"/>
      <c r="F237" s="519"/>
      <c r="G237" s="518" t="str">
        <f>IF(Calcu!B84=TRUE,Calcu!E84*$H$218,"")</f>
        <v/>
      </c>
      <c r="H237" s="484"/>
      <c r="I237" s="484"/>
      <c r="J237" s="484"/>
      <c r="K237" s="519"/>
      <c r="L237" s="518" t="str">
        <f>IF(Calcu!B84=TRUE,Calcu!F84*H$218,"")</f>
        <v/>
      </c>
      <c r="M237" s="484"/>
      <c r="N237" s="484"/>
      <c r="O237" s="484"/>
      <c r="P237" s="519"/>
      <c r="Q237" s="518" t="str">
        <f>IF(Calcu!B84=TRUE,Calcu!G84*H$218,"")</f>
        <v/>
      </c>
      <c r="R237" s="484"/>
      <c r="S237" s="484"/>
      <c r="T237" s="484"/>
      <c r="U237" s="519"/>
      <c r="V237" s="518" t="str">
        <f>IF(Calcu!B84=TRUE,Calcu!H84*H$218,"")</f>
        <v/>
      </c>
      <c r="W237" s="484"/>
      <c r="X237" s="484"/>
      <c r="Y237" s="484"/>
      <c r="Z237" s="519"/>
      <c r="AA237" s="518" t="str">
        <f>IF(Calcu!B84=TRUE,Calcu!I84*H$218,"")</f>
        <v/>
      </c>
      <c r="AB237" s="484"/>
      <c r="AC237" s="484"/>
      <c r="AD237" s="484"/>
      <c r="AE237" s="519"/>
      <c r="AF237" s="518" t="str">
        <f>Calcu!M84</f>
        <v/>
      </c>
      <c r="AG237" s="484"/>
      <c r="AH237" s="484"/>
      <c r="AI237" s="484"/>
      <c r="AJ237" s="519"/>
      <c r="AK237" s="518" t="str">
        <f>Calcu!K84</f>
        <v/>
      </c>
      <c r="AL237" s="484"/>
      <c r="AM237" s="484"/>
      <c r="AN237" s="484"/>
      <c r="AO237" s="519"/>
    </row>
    <row r="238" spans="1:41" ht="18.75" customHeight="1">
      <c r="A238" s="57"/>
      <c r="B238" s="518" t="str">
        <f>Calcu!T85</f>
        <v/>
      </c>
      <c r="C238" s="484"/>
      <c r="D238" s="484"/>
      <c r="E238" s="484"/>
      <c r="F238" s="519"/>
      <c r="G238" s="518" t="str">
        <f>IF(Calcu!B85=TRUE,Calcu!E85*$H$218,"")</f>
        <v/>
      </c>
      <c r="H238" s="484"/>
      <c r="I238" s="484"/>
      <c r="J238" s="484"/>
      <c r="K238" s="519"/>
      <c r="L238" s="518" t="str">
        <f>IF(Calcu!B85=TRUE,Calcu!F85*H$218,"")</f>
        <v/>
      </c>
      <c r="M238" s="484"/>
      <c r="N238" s="484"/>
      <c r="O238" s="484"/>
      <c r="P238" s="519"/>
      <c r="Q238" s="518" t="str">
        <f>IF(Calcu!B85=TRUE,Calcu!G85*H$218,"")</f>
        <v/>
      </c>
      <c r="R238" s="484"/>
      <c r="S238" s="484"/>
      <c r="T238" s="484"/>
      <c r="U238" s="519"/>
      <c r="V238" s="518" t="str">
        <f>IF(Calcu!B85=TRUE,Calcu!H85*H$218,"")</f>
        <v/>
      </c>
      <c r="W238" s="484"/>
      <c r="X238" s="484"/>
      <c r="Y238" s="484"/>
      <c r="Z238" s="519"/>
      <c r="AA238" s="518" t="str">
        <f>IF(Calcu!B85=TRUE,Calcu!I85*H$218,"")</f>
        <v/>
      </c>
      <c r="AB238" s="484"/>
      <c r="AC238" s="484"/>
      <c r="AD238" s="484"/>
      <c r="AE238" s="519"/>
      <c r="AF238" s="518" t="str">
        <f>Calcu!M85</f>
        <v/>
      </c>
      <c r="AG238" s="484"/>
      <c r="AH238" s="484"/>
      <c r="AI238" s="484"/>
      <c r="AJ238" s="519"/>
      <c r="AK238" s="518" t="str">
        <f>Calcu!K85</f>
        <v/>
      </c>
      <c r="AL238" s="484"/>
      <c r="AM238" s="484"/>
      <c r="AN238" s="484"/>
      <c r="AO238" s="519"/>
    </row>
    <row r="239" spans="1:41" ht="18.75" customHeight="1">
      <c r="A239" s="57"/>
      <c r="B239" s="518" t="str">
        <f>Calcu!T86</f>
        <v/>
      </c>
      <c r="C239" s="484"/>
      <c r="D239" s="484"/>
      <c r="E239" s="484"/>
      <c r="F239" s="519"/>
      <c r="G239" s="518" t="str">
        <f>IF(Calcu!B86=TRUE,Calcu!E86*$H$218,"")</f>
        <v/>
      </c>
      <c r="H239" s="484"/>
      <c r="I239" s="484"/>
      <c r="J239" s="484"/>
      <c r="K239" s="519"/>
      <c r="L239" s="518" t="str">
        <f>IF(Calcu!B86=TRUE,Calcu!F86*H$218,"")</f>
        <v/>
      </c>
      <c r="M239" s="484"/>
      <c r="N239" s="484"/>
      <c r="O239" s="484"/>
      <c r="P239" s="519"/>
      <c r="Q239" s="518" t="str">
        <f>IF(Calcu!B86=TRUE,Calcu!G86*H$218,"")</f>
        <v/>
      </c>
      <c r="R239" s="484"/>
      <c r="S239" s="484"/>
      <c r="T239" s="484"/>
      <c r="U239" s="519"/>
      <c r="V239" s="518" t="str">
        <f>IF(Calcu!B86=TRUE,Calcu!H86*H$218,"")</f>
        <v/>
      </c>
      <c r="W239" s="484"/>
      <c r="X239" s="484"/>
      <c r="Y239" s="484"/>
      <c r="Z239" s="519"/>
      <c r="AA239" s="518" t="str">
        <f>IF(Calcu!B86=TRUE,Calcu!I86*H$218,"")</f>
        <v/>
      </c>
      <c r="AB239" s="484"/>
      <c r="AC239" s="484"/>
      <c r="AD239" s="484"/>
      <c r="AE239" s="519"/>
      <c r="AF239" s="518" t="str">
        <f>Calcu!M86</f>
        <v/>
      </c>
      <c r="AG239" s="484"/>
      <c r="AH239" s="484"/>
      <c r="AI239" s="484"/>
      <c r="AJ239" s="519"/>
      <c r="AK239" s="518" t="str">
        <f>Calcu!K86</f>
        <v/>
      </c>
      <c r="AL239" s="484"/>
      <c r="AM239" s="484"/>
      <c r="AN239" s="484"/>
      <c r="AO239" s="519"/>
    </row>
    <row r="240" spans="1:41" ht="18.75" customHeight="1">
      <c r="A240" s="57"/>
      <c r="B240" s="518" t="str">
        <f>Calcu!T87</f>
        <v/>
      </c>
      <c r="C240" s="484"/>
      <c r="D240" s="484"/>
      <c r="E240" s="484"/>
      <c r="F240" s="519"/>
      <c r="G240" s="518" t="str">
        <f>IF(Calcu!B87=TRUE,Calcu!E87*$H$218,"")</f>
        <v/>
      </c>
      <c r="H240" s="484"/>
      <c r="I240" s="484"/>
      <c r="J240" s="484"/>
      <c r="K240" s="519"/>
      <c r="L240" s="518" t="str">
        <f>IF(Calcu!B87=TRUE,Calcu!F87*H$218,"")</f>
        <v/>
      </c>
      <c r="M240" s="484"/>
      <c r="N240" s="484"/>
      <c r="O240" s="484"/>
      <c r="P240" s="519"/>
      <c r="Q240" s="518" t="str">
        <f>IF(Calcu!B87=TRUE,Calcu!G87*H$218,"")</f>
        <v/>
      </c>
      <c r="R240" s="484"/>
      <c r="S240" s="484"/>
      <c r="T240" s="484"/>
      <c r="U240" s="519"/>
      <c r="V240" s="518" t="str">
        <f>IF(Calcu!B87=TRUE,Calcu!H87*H$218,"")</f>
        <v/>
      </c>
      <c r="W240" s="484"/>
      <c r="X240" s="484"/>
      <c r="Y240" s="484"/>
      <c r="Z240" s="519"/>
      <c r="AA240" s="518" t="str">
        <f>IF(Calcu!B87=TRUE,Calcu!I87*H$218,"")</f>
        <v/>
      </c>
      <c r="AB240" s="484"/>
      <c r="AC240" s="484"/>
      <c r="AD240" s="484"/>
      <c r="AE240" s="519"/>
      <c r="AF240" s="518" t="str">
        <f>Calcu!M87</f>
        <v/>
      </c>
      <c r="AG240" s="484"/>
      <c r="AH240" s="484"/>
      <c r="AI240" s="484"/>
      <c r="AJ240" s="519"/>
      <c r="AK240" s="518" t="str">
        <f>Calcu!K87</f>
        <v/>
      </c>
      <c r="AL240" s="484"/>
      <c r="AM240" s="484"/>
      <c r="AN240" s="484"/>
      <c r="AO240" s="519"/>
    </row>
    <row r="241" spans="1:58" ht="18.75" customHeight="1">
      <c r="A241" s="57"/>
      <c r="B241" s="518" t="str">
        <f>Calcu!T88</f>
        <v/>
      </c>
      <c r="C241" s="484"/>
      <c r="D241" s="484"/>
      <c r="E241" s="484"/>
      <c r="F241" s="519"/>
      <c r="G241" s="518" t="str">
        <f>IF(Calcu!B88=TRUE,Calcu!E88*$H$218,"")</f>
        <v/>
      </c>
      <c r="H241" s="484"/>
      <c r="I241" s="484"/>
      <c r="J241" s="484"/>
      <c r="K241" s="519"/>
      <c r="L241" s="518" t="str">
        <f>IF(Calcu!B88=TRUE,Calcu!F88*H$218,"")</f>
        <v/>
      </c>
      <c r="M241" s="484"/>
      <c r="N241" s="484"/>
      <c r="O241" s="484"/>
      <c r="P241" s="519"/>
      <c r="Q241" s="518" t="str">
        <f>IF(Calcu!B88=TRUE,Calcu!G88*H$218,"")</f>
        <v/>
      </c>
      <c r="R241" s="484"/>
      <c r="S241" s="484"/>
      <c r="T241" s="484"/>
      <c r="U241" s="519"/>
      <c r="V241" s="518" t="str">
        <f>IF(Calcu!B88=TRUE,Calcu!H88*H$218,"")</f>
        <v/>
      </c>
      <c r="W241" s="484"/>
      <c r="X241" s="484"/>
      <c r="Y241" s="484"/>
      <c r="Z241" s="519"/>
      <c r="AA241" s="518" t="str">
        <f>IF(Calcu!B88=TRUE,Calcu!I88*H$218,"")</f>
        <v/>
      </c>
      <c r="AB241" s="484"/>
      <c r="AC241" s="484"/>
      <c r="AD241" s="484"/>
      <c r="AE241" s="519"/>
      <c r="AF241" s="518" t="str">
        <f>Calcu!M88</f>
        <v/>
      </c>
      <c r="AG241" s="484"/>
      <c r="AH241" s="484"/>
      <c r="AI241" s="484"/>
      <c r="AJ241" s="519"/>
      <c r="AK241" s="518" t="str">
        <f>Calcu!K88</f>
        <v/>
      </c>
      <c r="AL241" s="484"/>
      <c r="AM241" s="484"/>
      <c r="AN241" s="484"/>
      <c r="AO241" s="519"/>
    </row>
    <row r="242" spans="1:58" ht="18.75" customHeight="1">
      <c r="A242" s="57"/>
      <c r="B242" s="518" t="str">
        <f>Calcu!T89</f>
        <v/>
      </c>
      <c r="C242" s="484"/>
      <c r="D242" s="484"/>
      <c r="E242" s="484"/>
      <c r="F242" s="519"/>
      <c r="G242" s="518" t="str">
        <f>IF(Calcu!B89=TRUE,Calcu!E89*$H$218,"")</f>
        <v/>
      </c>
      <c r="H242" s="484"/>
      <c r="I242" s="484"/>
      <c r="J242" s="484"/>
      <c r="K242" s="519"/>
      <c r="L242" s="518" t="str">
        <f>IF(Calcu!B89=TRUE,Calcu!F89*H$218,"")</f>
        <v/>
      </c>
      <c r="M242" s="484"/>
      <c r="N242" s="484"/>
      <c r="O242" s="484"/>
      <c r="P242" s="519"/>
      <c r="Q242" s="518" t="str">
        <f>IF(Calcu!B89=TRUE,Calcu!G89*H$218,"")</f>
        <v/>
      </c>
      <c r="R242" s="484"/>
      <c r="S242" s="484"/>
      <c r="T242" s="484"/>
      <c r="U242" s="519"/>
      <c r="V242" s="518" t="str">
        <f>IF(Calcu!B89=TRUE,Calcu!H89*H$218,"")</f>
        <v/>
      </c>
      <c r="W242" s="484"/>
      <c r="X242" s="484"/>
      <c r="Y242" s="484"/>
      <c r="Z242" s="519"/>
      <c r="AA242" s="518" t="str">
        <f>IF(Calcu!B89=TRUE,Calcu!I89*H$218,"")</f>
        <v/>
      </c>
      <c r="AB242" s="484"/>
      <c r="AC242" s="484"/>
      <c r="AD242" s="484"/>
      <c r="AE242" s="519"/>
      <c r="AF242" s="518" t="str">
        <f>Calcu!M89</f>
        <v/>
      </c>
      <c r="AG242" s="484"/>
      <c r="AH242" s="484"/>
      <c r="AI242" s="484"/>
      <c r="AJ242" s="519"/>
      <c r="AK242" s="518" t="str">
        <f>Calcu!K89</f>
        <v/>
      </c>
      <c r="AL242" s="484"/>
      <c r="AM242" s="484"/>
      <c r="AN242" s="484"/>
      <c r="AO242" s="519"/>
    </row>
    <row r="243" spans="1:58" ht="18.75" customHeight="1">
      <c r="A243" s="57"/>
      <c r="B243" s="518" t="str">
        <f>Calcu!T90</f>
        <v/>
      </c>
      <c r="C243" s="484"/>
      <c r="D243" s="484"/>
      <c r="E243" s="484"/>
      <c r="F243" s="519"/>
      <c r="G243" s="518" t="str">
        <f>IF(Calcu!B90=TRUE,Calcu!E90*$H$218,"")</f>
        <v/>
      </c>
      <c r="H243" s="484"/>
      <c r="I243" s="484"/>
      <c r="J243" s="484"/>
      <c r="K243" s="519"/>
      <c r="L243" s="518" t="str">
        <f>IF(Calcu!B90=TRUE,Calcu!F90*H$218,"")</f>
        <v/>
      </c>
      <c r="M243" s="484"/>
      <c r="N243" s="484"/>
      <c r="O243" s="484"/>
      <c r="P243" s="519"/>
      <c r="Q243" s="518" t="str">
        <f>IF(Calcu!B90=TRUE,Calcu!G90*H$218,"")</f>
        <v/>
      </c>
      <c r="R243" s="484"/>
      <c r="S243" s="484"/>
      <c r="T243" s="484"/>
      <c r="U243" s="519"/>
      <c r="V243" s="518" t="str">
        <f>IF(Calcu!B90=TRUE,Calcu!H90*H$218,"")</f>
        <v/>
      </c>
      <c r="W243" s="484"/>
      <c r="X243" s="484"/>
      <c r="Y243" s="484"/>
      <c r="Z243" s="519"/>
      <c r="AA243" s="518" t="str">
        <f>IF(Calcu!B90=TRUE,Calcu!I90*H$218,"")</f>
        <v/>
      </c>
      <c r="AB243" s="484"/>
      <c r="AC243" s="484"/>
      <c r="AD243" s="484"/>
      <c r="AE243" s="519"/>
      <c r="AF243" s="518" t="str">
        <f>Calcu!M90</f>
        <v/>
      </c>
      <c r="AG243" s="484"/>
      <c r="AH243" s="484"/>
      <c r="AI243" s="484"/>
      <c r="AJ243" s="519"/>
      <c r="AK243" s="518" t="str">
        <f>Calcu!K90</f>
        <v/>
      </c>
      <c r="AL243" s="484"/>
      <c r="AM243" s="484"/>
      <c r="AN243" s="484"/>
      <c r="AO243" s="519"/>
    </row>
    <row r="244" spans="1:58" ht="18.75" customHeight="1">
      <c r="A244" s="57"/>
      <c r="B244" s="265"/>
      <c r="C244" s="265"/>
      <c r="D244" s="265"/>
      <c r="E244" s="265"/>
      <c r="F244" s="265"/>
      <c r="G244" s="265"/>
      <c r="H244" s="265"/>
      <c r="I244" s="265"/>
      <c r="J244" s="265"/>
      <c r="K244" s="265"/>
      <c r="L244" s="265"/>
      <c r="M244" s="265"/>
      <c r="N244" s="265"/>
      <c r="O244" s="265"/>
      <c r="P244" s="265"/>
      <c r="Q244" s="265"/>
      <c r="R244" s="265"/>
      <c r="S244" s="265"/>
      <c r="T244" s="265"/>
      <c r="U244" s="265"/>
      <c r="V244" s="265"/>
      <c r="W244" s="265"/>
      <c r="X244" s="265"/>
      <c r="Y244" s="265"/>
      <c r="Z244" s="265"/>
      <c r="AA244" s="265"/>
      <c r="AB244" s="265"/>
      <c r="AC244" s="265"/>
      <c r="AD244" s="265"/>
      <c r="AE244" s="265"/>
      <c r="AF244" s="265"/>
      <c r="AG244" s="265"/>
      <c r="AH244" s="265"/>
      <c r="AI244" s="265"/>
      <c r="AJ244" s="265"/>
      <c r="AK244" s="265"/>
      <c r="AL244" s="265"/>
      <c r="AM244" s="265"/>
      <c r="AN244" s="265"/>
      <c r="AO244" s="265"/>
      <c r="AP244" s="265"/>
      <c r="AQ244" s="265"/>
      <c r="AR244" s="265"/>
      <c r="AS244" s="265"/>
      <c r="AT244" s="265"/>
    </row>
    <row r="245" spans="1:58" ht="18.75" customHeight="1">
      <c r="A245" s="60" t="s">
        <v>322</v>
      </c>
      <c r="B245" s="230"/>
      <c r="C245" s="230"/>
      <c r="D245" s="230"/>
      <c r="E245" s="230"/>
      <c r="F245" s="230"/>
      <c r="G245" s="230"/>
      <c r="H245" s="230"/>
      <c r="I245" s="230"/>
      <c r="J245" s="230"/>
      <c r="K245" s="230"/>
      <c r="L245" s="230"/>
      <c r="M245" s="230"/>
      <c r="N245" s="230"/>
      <c r="O245" s="230"/>
      <c r="P245" s="230"/>
      <c r="Q245" s="230"/>
      <c r="R245" s="230"/>
      <c r="S245" s="230"/>
      <c r="T245" s="230"/>
      <c r="U245" s="230"/>
      <c r="V245" s="230"/>
      <c r="W245" s="230"/>
      <c r="X245" s="230"/>
      <c r="Y245" s="230"/>
      <c r="Z245" s="230"/>
      <c r="AA245" s="230"/>
      <c r="AB245" s="230"/>
      <c r="AC245" s="230"/>
      <c r="AD245" s="230"/>
      <c r="AE245" s="230"/>
      <c r="AF245" s="230"/>
      <c r="AG245" s="230"/>
      <c r="AH245" s="230"/>
      <c r="AI245" s="230"/>
      <c r="AJ245" s="230"/>
      <c r="AK245" s="230"/>
      <c r="AL245" s="230"/>
      <c r="AM245" s="230"/>
      <c r="AN245" s="230"/>
      <c r="AO245" s="230"/>
      <c r="AP245" s="230"/>
      <c r="AQ245" s="230"/>
      <c r="AR245" s="230"/>
      <c r="AS245" s="230"/>
      <c r="AT245" s="230"/>
    </row>
    <row r="246" spans="1:58" ht="18.75" customHeight="1">
      <c r="A246" s="230"/>
      <c r="B246" s="510"/>
      <c r="C246" s="511"/>
      <c r="D246" s="487"/>
      <c r="E246" s="488"/>
      <c r="F246" s="488"/>
      <c r="G246" s="489"/>
      <c r="H246" s="479">
        <v>1</v>
      </c>
      <c r="I246" s="479"/>
      <c r="J246" s="479"/>
      <c r="K246" s="479"/>
      <c r="L246" s="479"/>
      <c r="M246" s="479"/>
      <c r="N246" s="479"/>
      <c r="O246" s="487">
        <v>2</v>
      </c>
      <c r="P246" s="488"/>
      <c r="Q246" s="488"/>
      <c r="R246" s="488"/>
      <c r="S246" s="488"/>
      <c r="T246" s="488"/>
      <c r="U246" s="488"/>
      <c r="V246" s="488"/>
      <c r="W246" s="488"/>
      <c r="X246" s="488"/>
      <c r="Y246" s="488"/>
      <c r="Z246" s="488"/>
      <c r="AA246" s="489"/>
      <c r="AB246" s="479">
        <v>3</v>
      </c>
      <c r="AC246" s="479"/>
      <c r="AD246" s="479"/>
      <c r="AE246" s="479"/>
      <c r="AF246" s="479"/>
      <c r="AG246" s="487">
        <v>4</v>
      </c>
      <c r="AH246" s="488"/>
      <c r="AI246" s="488"/>
      <c r="AJ246" s="488"/>
      <c r="AK246" s="488"/>
      <c r="AL246" s="488"/>
      <c r="AM246" s="488"/>
      <c r="AN246" s="488"/>
      <c r="AO246" s="489"/>
      <c r="AP246" s="487">
        <v>5</v>
      </c>
      <c r="AQ246" s="488"/>
      <c r="AR246" s="488"/>
      <c r="AS246" s="488"/>
      <c r="AT246" s="488"/>
      <c r="AU246" s="488"/>
      <c r="AV246" s="488"/>
      <c r="AW246" s="488"/>
      <c r="AX246" s="488"/>
      <c r="AY246" s="488"/>
      <c r="AZ246" s="488"/>
      <c r="BA246" s="488"/>
      <c r="BB246" s="489"/>
      <c r="BC246" s="479">
        <v>6</v>
      </c>
      <c r="BD246" s="479"/>
      <c r="BE246" s="479"/>
      <c r="BF246" s="479"/>
    </row>
    <row r="247" spans="1:58" ht="18.75" customHeight="1">
      <c r="A247" s="230"/>
      <c r="B247" s="529"/>
      <c r="C247" s="530"/>
      <c r="D247" s="510" t="s">
        <v>166</v>
      </c>
      <c r="E247" s="464"/>
      <c r="F247" s="464"/>
      <c r="G247" s="511"/>
      <c r="H247" s="512" t="s">
        <v>167</v>
      </c>
      <c r="I247" s="512"/>
      <c r="J247" s="512"/>
      <c r="K247" s="512"/>
      <c r="L247" s="512"/>
      <c r="M247" s="512"/>
      <c r="N247" s="512"/>
      <c r="O247" s="510" t="s">
        <v>169</v>
      </c>
      <c r="P247" s="464"/>
      <c r="Q247" s="464"/>
      <c r="R247" s="464"/>
      <c r="S247" s="464"/>
      <c r="T247" s="464"/>
      <c r="U247" s="464"/>
      <c r="V247" s="464"/>
      <c r="W247" s="464"/>
      <c r="X247" s="464"/>
      <c r="Y247" s="464"/>
      <c r="Z247" s="464"/>
      <c r="AA247" s="511"/>
      <c r="AB247" s="512" t="s">
        <v>175</v>
      </c>
      <c r="AC247" s="512"/>
      <c r="AD247" s="512"/>
      <c r="AE247" s="512"/>
      <c r="AF247" s="512"/>
      <c r="AG247" s="510" t="s">
        <v>176</v>
      </c>
      <c r="AH247" s="464"/>
      <c r="AI247" s="464"/>
      <c r="AJ247" s="464"/>
      <c r="AK247" s="464"/>
      <c r="AL247" s="464"/>
      <c r="AM247" s="464"/>
      <c r="AN247" s="464"/>
      <c r="AO247" s="511"/>
      <c r="AP247" s="510" t="s">
        <v>328</v>
      </c>
      <c r="AQ247" s="464"/>
      <c r="AR247" s="464"/>
      <c r="AS247" s="464"/>
      <c r="AT247" s="464"/>
      <c r="AU247" s="464"/>
      <c r="AV247" s="464"/>
      <c r="AW247" s="464"/>
      <c r="AX247" s="464"/>
      <c r="AY247" s="464"/>
      <c r="AZ247" s="464"/>
      <c r="BA247" s="464"/>
      <c r="BB247" s="511"/>
      <c r="BC247" s="512" t="s">
        <v>178</v>
      </c>
      <c r="BD247" s="512"/>
      <c r="BE247" s="512"/>
      <c r="BF247" s="512"/>
    </row>
    <row r="248" spans="1:58" ht="18.75" customHeight="1">
      <c r="A248" s="230"/>
      <c r="B248" s="531"/>
      <c r="C248" s="532"/>
      <c r="D248" s="545" t="s">
        <v>330</v>
      </c>
      <c r="E248" s="546"/>
      <c r="F248" s="546"/>
      <c r="G248" s="547"/>
      <c r="H248" s="516" t="s">
        <v>331</v>
      </c>
      <c r="I248" s="516"/>
      <c r="J248" s="516"/>
      <c r="K248" s="516"/>
      <c r="L248" s="516"/>
      <c r="M248" s="516"/>
      <c r="N248" s="516"/>
      <c r="O248" s="513" t="s">
        <v>332</v>
      </c>
      <c r="P248" s="514"/>
      <c r="Q248" s="514"/>
      <c r="R248" s="514"/>
      <c r="S248" s="514"/>
      <c r="T248" s="514"/>
      <c r="U248" s="514"/>
      <c r="V248" s="514"/>
      <c r="W248" s="514"/>
      <c r="X248" s="514"/>
      <c r="Y248" s="514"/>
      <c r="Z248" s="514"/>
      <c r="AA248" s="515"/>
      <c r="AB248" s="516"/>
      <c r="AC248" s="516"/>
      <c r="AD248" s="516"/>
      <c r="AE248" s="516"/>
      <c r="AF248" s="516"/>
      <c r="AG248" s="513" t="s">
        <v>333</v>
      </c>
      <c r="AH248" s="514"/>
      <c r="AI248" s="514"/>
      <c r="AJ248" s="514"/>
      <c r="AK248" s="514"/>
      <c r="AL248" s="514"/>
      <c r="AM248" s="514"/>
      <c r="AN248" s="514"/>
      <c r="AO248" s="515"/>
      <c r="AP248" s="513" t="s">
        <v>334</v>
      </c>
      <c r="AQ248" s="514"/>
      <c r="AR248" s="514"/>
      <c r="AS248" s="514"/>
      <c r="AT248" s="514"/>
      <c r="AU248" s="514"/>
      <c r="AV248" s="514"/>
      <c r="AW248" s="514"/>
      <c r="AX248" s="514"/>
      <c r="AY248" s="514"/>
      <c r="AZ248" s="514"/>
      <c r="BA248" s="514"/>
      <c r="BB248" s="515"/>
      <c r="BC248" s="516"/>
      <c r="BD248" s="516"/>
      <c r="BE248" s="516"/>
      <c r="BF248" s="516"/>
    </row>
    <row r="249" spans="1:58" ht="18.75" customHeight="1">
      <c r="A249" s="230"/>
      <c r="B249" s="479" t="s">
        <v>181</v>
      </c>
      <c r="C249" s="479"/>
      <c r="D249" s="542" t="s">
        <v>311</v>
      </c>
      <c r="E249" s="543"/>
      <c r="F249" s="543"/>
      <c r="G249" s="544"/>
      <c r="H249" s="540" t="e">
        <f ca="1">Calcu!E95</f>
        <v>#N/A</v>
      </c>
      <c r="I249" s="541"/>
      <c r="J249" s="541"/>
      <c r="K249" s="541"/>
      <c r="L249" s="541"/>
      <c r="M249" s="508" t="str">
        <f>Calcu!F95</f>
        <v>mm</v>
      </c>
      <c r="N249" s="509"/>
      <c r="O249" s="494" t="e">
        <f ca="1">Calcu!K95</f>
        <v>#N/A</v>
      </c>
      <c r="P249" s="495"/>
      <c r="Q249" s="495"/>
      <c r="R249" s="242"/>
      <c r="S249" s="270"/>
      <c r="T249" s="484" t="e">
        <f ca="1">Calcu!L95</f>
        <v>#N/A</v>
      </c>
      <c r="U249" s="484"/>
      <c r="V249" s="484"/>
      <c r="W249" s="269"/>
      <c r="X249" s="269"/>
      <c r="Y249" s="269"/>
      <c r="Z249" s="496" t="str">
        <f>Calcu!M95</f>
        <v>μm</v>
      </c>
      <c r="AA249" s="497"/>
      <c r="AB249" s="479" t="str">
        <f>Calcu!N95</f>
        <v>정규</v>
      </c>
      <c r="AC249" s="479"/>
      <c r="AD249" s="479"/>
      <c r="AE249" s="479"/>
      <c r="AF249" s="479"/>
      <c r="AG249" s="487">
        <f>Calcu!Q95</f>
        <v>1</v>
      </c>
      <c r="AH249" s="488"/>
      <c r="AI249" s="488"/>
      <c r="AJ249" s="488"/>
      <c r="AK249" s="488"/>
      <c r="AL249" s="488"/>
      <c r="AM249" s="488"/>
      <c r="AN249" s="488"/>
      <c r="AO249" s="489"/>
      <c r="AP249" s="494" t="e">
        <f ca="1">Calcu!S95</f>
        <v>#N/A</v>
      </c>
      <c r="AQ249" s="495"/>
      <c r="AR249" s="495"/>
      <c r="AS249" s="242"/>
      <c r="AT249" s="270"/>
      <c r="AU249" s="484" t="e">
        <f ca="1">Calcu!T95</f>
        <v>#N/A</v>
      </c>
      <c r="AV249" s="484"/>
      <c r="AW249" s="484"/>
      <c r="AX249" s="269"/>
      <c r="AY249" s="269"/>
      <c r="AZ249" s="269"/>
      <c r="BA249" s="496" t="str">
        <f>Calcu!U95</f>
        <v>μm</v>
      </c>
      <c r="BB249" s="497"/>
      <c r="BC249" s="479" t="str">
        <f>Calcu!V95</f>
        <v>∞</v>
      </c>
      <c r="BD249" s="479"/>
      <c r="BE249" s="479"/>
      <c r="BF249" s="479"/>
    </row>
    <row r="250" spans="1:58" ht="18.75" customHeight="1">
      <c r="A250" s="230"/>
      <c r="B250" s="479" t="s">
        <v>189</v>
      </c>
      <c r="C250" s="479"/>
      <c r="D250" s="542" t="s">
        <v>313</v>
      </c>
      <c r="E250" s="543"/>
      <c r="F250" s="543"/>
      <c r="G250" s="544"/>
      <c r="H250" s="540" t="e">
        <f ca="1">Calcu!E96</f>
        <v>#N/A</v>
      </c>
      <c r="I250" s="541"/>
      <c r="J250" s="541"/>
      <c r="K250" s="541"/>
      <c r="L250" s="541"/>
      <c r="M250" s="508" t="str">
        <f>Calcu!F96</f>
        <v>mm</v>
      </c>
      <c r="N250" s="509"/>
      <c r="O250" s="498">
        <f>Calcu!K96</f>
        <v>0</v>
      </c>
      <c r="P250" s="499"/>
      <c r="Q250" s="499"/>
      <c r="R250" s="499"/>
      <c r="S250" s="499"/>
      <c r="T250" s="499"/>
      <c r="U250" s="499"/>
      <c r="V250" s="500" t="str">
        <f>Calcu!M96</f>
        <v>μm</v>
      </c>
      <c r="W250" s="500"/>
      <c r="X250" s="500"/>
      <c r="Y250" s="500"/>
      <c r="Z250" s="500"/>
      <c r="AA250" s="501"/>
      <c r="AB250" s="479" t="str">
        <f>Calcu!N96</f>
        <v>t</v>
      </c>
      <c r="AC250" s="479"/>
      <c r="AD250" s="479"/>
      <c r="AE250" s="479"/>
      <c r="AF250" s="479"/>
      <c r="AG250" s="487">
        <f>Calcu!Q96</f>
        <v>-1</v>
      </c>
      <c r="AH250" s="488"/>
      <c r="AI250" s="488"/>
      <c r="AJ250" s="488"/>
      <c r="AK250" s="488"/>
      <c r="AL250" s="488"/>
      <c r="AM250" s="488"/>
      <c r="AN250" s="488"/>
      <c r="AO250" s="489"/>
      <c r="AP250" s="498">
        <f>Calcu!S96</f>
        <v>0</v>
      </c>
      <c r="AQ250" s="499"/>
      <c r="AR250" s="499"/>
      <c r="AS250" s="499"/>
      <c r="AT250" s="499"/>
      <c r="AU250" s="499">
        <v>0</v>
      </c>
      <c r="AV250" s="499"/>
      <c r="AW250" s="500" t="str">
        <f>Calcu!U96</f>
        <v>μm</v>
      </c>
      <c r="AX250" s="500"/>
      <c r="AY250" s="500"/>
      <c r="AZ250" s="500"/>
      <c r="BA250" s="500"/>
      <c r="BB250" s="501"/>
      <c r="BC250" s="479">
        <f>Calcu!V96</f>
        <v>4</v>
      </c>
      <c r="BD250" s="479"/>
      <c r="BE250" s="479"/>
      <c r="BF250" s="479"/>
    </row>
    <row r="251" spans="1:58" ht="18.75" customHeight="1">
      <c r="A251" s="230"/>
      <c r="B251" s="479" t="s">
        <v>266</v>
      </c>
      <c r="C251" s="479"/>
      <c r="D251" s="542"/>
      <c r="E251" s="543"/>
      <c r="F251" s="543"/>
      <c r="G251" s="544"/>
      <c r="H251" s="540" t="e">
        <f ca="1">Calcu!E97</f>
        <v>#N/A</v>
      </c>
      <c r="I251" s="541"/>
      <c r="J251" s="541"/>
      <c r="K251" s="541"/>
      <c r="L251" s="541"/>
      <c r="M251" s="508" t="str">
        <f>Calcu!F97</f>
        <v>/℃</v>
      </c>
      <c r="N251" s="509"/>
      <c r="O251" s="505">
        <f>Calcu!L97</f>
        <v>4.0824829046386305E-7</v>
      </c>
      <c r="P251" s="506"/>
      <c r="Q251" s="506"/>
      <c r="R251" s="506"/>
      <c r="S251" s="506"/>
      <c r="T251" s="506"/>
      <c r="U251" s="506"/>
      <c r="V251" s="506"/>
      <c r="W251" s="506"/>
      <c r="X251" s="496" t="str">
        <f>Calcu!M97</f>
        <v>/℃</v>
      </c>
      <c r="Y251" s="496"/>
      <c r="Z251" s="496"/>
      <c r="AA251" s="497"/>
      <c r="AB251" s="479" t="str">
        <f>Calcu!N97</f>
        <v>삼각형</v>
      </c>
      <c r="AC251" s="479"/>
      <c r="AD251" s="479"/>
      <c r="AE251" s="479"/>
      <c r="AF251" s="479"/>
      <c r="AG251" s="502">
        <f>Calcu!Q97</f>
        <v>-200</v>
      </c>
      <c r="AH251" s="496"/>
      <c r="AI251" s="496"/>
      <c r="AJ251" s="496"/>
      <c r="AK251" s="496" t="s">
        <v>340</v>
      </c>
      <c r="AL251" s="496"/>
      <c r="AM251" s="496"/>
      <c r="AN251" s="496"/>
      <c r="AO251" s="497"/>
      <c r="AP251" s="503">
        <f>Calcu!T97</f>
        <v>8.1649658092772609E-5</v>
      </c>
      <c r="AQ251" s="504"/>
      <c r="AR251" s="504"/>
      <c r="AS251" s="504"/>
      <c r="AT251" s="504"/>
      <c r="AU251" s="504" t="s">
        <v>469</v>
      </c>
      <c r="AV251" s="504"/>
      <c r="AW251" s="496" t="s">
        <v>341</v>
      </c>
      <c r="AX251" s="496"/>
      <c r="AY251" s="496"/>
      <c r="AZ251" s="496"/>
      <c r="BA251" s="496"/>
      <c r="BB251" s="497"/>
      <c r="BC251" s="479">
        <f>Calcu!V97</f>
        <v>100</v>
      </c>
      <c r="BD251" s="479"/>
      <c r="BE251" s="479"/>
      <c r="BF251" s="479"/>
    </row>
    <row r="252" spans="1:58" ht="18.75" customHeight="1">
      <c r="A252" s="230"/>
      <c r="B252" s="479" t="s">
        <v>269</v>
      </c>
      <c r="C252" s="479"/>
      <c r="D252" s="542" t="s">
        <v>253</v>
      </c>
      <c r="E252" s="543"/>
      <c r="F252" s="543"/>
      <c r="G252" s="544"/>
      <c r="H252" s="540" t="str">
        <f>Calcu!E98</f>
        <v/>
      </c>
      <c r="I252" s="541"/>
      <c r="J252" s="541"/>
      <c r="K252" s="541"/>
      <c r="L252" s="541"/>
      <c r="M252" s="508" t="str">
        <f>Calcu!F98</f>
        <v>℃</v>
      </c>
      <c r="N252" s="509"/>
      <c r="O252" s="498">
        <f>Calcu!L98</f>
        <v>0.11547005383792516</v>
      </c>
      <c r="P252" s="499"/>
      <c r="Q252" s="499"/>
      <c r="R252" s="499"/>
      <c r="S252" s="499"/>
      <c r="T252" s="499"/>
      <c r="U252" s="499"/>
      <c r="V252" s="500" t="str">
        <f>Calcu!M98</f>
        <v>℃</v>
      </c>
      <c r="W252" s="500"/>
      <c r="X252" s="500"/>
      <c r="Y252" s="500"/>
      <c r="Z252" s="500"/>
      <c r="AA252" s="501"/>
      <c r="AB252" s="479" t="str">
        <f>Calcu!N98</f>
        <v>직사각형</v>
      </c>
      <c r="AC252" s="479"/>
      <c r="AD252" s="479"/>
      <c r="AE252" s="479"/>
      <c r="AF252" s="479"/>
      <c r="AG252" s="502" t="e">
        <f ca="1">Calcu!Q98</f>
        <v>#N/A</v>
      </c>
      <c r="AH252" s="496"/>
      <c r="AI252" s="496"/>
      <c r="AJ252" s="496"/>
      <c r="AK252" s="496" t="s">
        <v>344</v>
      </c>
      <c r="AL252" s="496"/>
      <c r="AM252" s="496"/>
      <c r="AN252" s="496"/>
      <c r="AO252" s="497"/>
      <c r="AP252" s="503" t="e">
        <f ca="1">Calcu!T98</f>
        <v>#N/A</v>
      </c>
      <c r="AQ252" s="504"/>
      <c r="AR252" s="504"/>
      <c r="AS252" s="504"/>
      <c r="AT252" s="504"/>
      <c r="AU252" s="504" t="s">
        <v>470</v>
      </c>
      <c r="AV252" s="504"/>
      <c r="AW252" s="496" t="s">
        <v>341</v>
      </c>
      <c r="AX252" s="496"/>
      <c r="AY252" s="496"/>
      <c r="AZ252" s="496"/>
      <c r="BA252" s="496"/>
      <c r="BB252" s="497"/>
      <c r="BC252" s="479">
        <f>Calcu!V98</f>
        <v>12</v>
      </c>
      <c r="BD252" s="479"/>
      <c r="BE252" s="479"/>
      <c r="BF252" s="479"/>
    </row>
    <row r="253" spans="1:58" ht="18.75" customHeight="1">
      <c r="A253" s="230"/>
      <c r="B253" s="479" t="s">
        <v>201</v>
      </c>
      <c r="C253" s="479"/>
      <c r="D253" s="542" t="s">
        <v>254</v>
      </c>
      <c r="E253" s="543"/>
      <c r="F253" s="543"/>
      <c r="G253" s="544"/>
      <c r="H253" s="540" t="e">
        <f ca="1">Calcu!E99</f>
        <v>#N/A</v>
      </c>
      <c r="I253" s="541"/>
      <c r="J253" s="541"/>
      <c r="K253" s="541"/>
      <c r="L253" s="541"/>
      <c r="M253" s="508" t="str">
        <f>Calcu!F99</f>
        <v>/℃</v>
      </c>
      <c r="N253" s="509"/>
      <c r="O253" s="505">
        <f>Calcu!L99</f>
        <v>8.1649658092772609E-7</v>
      </c>
      <c r="P253" s="506"/>
      <c r="Q253" s="506"/>
      <c r="R253" s="506"/>
      <c r="S253" s="506"/>
      <c r="T253" s="506"/>
      <c r="U253" s="506"/>
      <c r="V253" s="506"/>
      <c r="W253" s="506"/>
      <c r="X253" s="496" t="str">
        <f>Calcu!M99</f>
        <v>/℃</v>
      </c>
      <c r="Y253" s="496"/>
      <c r="Z253" s="496"/>
      <c r="AA253" s="497"/>
      <c r="AB253" s="479" t="str">
        <f>Calcu!N99</f>
        <v>삼각형</v>
      </c>
      <c r="AC253" s="479"/>
      <c r="AD253" s="479"/>
      <c r="AE253" s="479"/>
      <c r="AF253" s="479"/>
      <c r="AG253" s="502">
        <f>Calcu!Q99</f>
        <v>-100</v>
      </c>
      <c r="AH253" s="496"/>
      <c r="AI253" s="496"/>
      <c r="AJ253" s="496"/>
      <c r="AK253" s="496" t="s">
        <v>340</v>
      </c>
      <c r="AL253" s="496"/>
      <c r="AM253" s="496"/>
      <c r="AN253" s="496"/>
      <c r="AO253" s="497"/>
      <c r="AP253" s="503">
        <f>Calcu!T99</f>
        <v>8.1649658092772609E-5</v>
      </c>
      <c r="AQ253" s="504"/>
      <c r="AR253" s="504"/>
      <c r="AS253" s="504"/>
      <c r="AT253" s="504"/>
      <c r="AU253" s="504" t="s">
        <v>469</v>
      </c>
      <c r="AV253" s="504"/>
      <c r="AW253" s="496" t="s">
        <v>341</v>
      </c>
      <c r="AX253" s="496"/>
      <c r="AY253" s="496"/>
      <c r="AZ253" s="496"/>
      <c r="BA253" s="496"/>
      <c r="BB253" s="497"/>
      <c r="BC253" s="479">
        <f>Calcu!V99</f>
        <v>100</v>
      </c>
      <c r="BD253" s="479"/>
      <c r="BE253" s="479"/>
      <c r="BF253" s="479"/>
    </row>
    <row r="254" spans="1:58" ht="18.75" customHeight="1">
      <c r="A254" s="230"/>
      <c r="B254" s="479" t="s">
        <v>206</v>
      </c>
      <c r="C254" s="479"/>
      <c r="D254" s="542" t="s">
        <v>255</v>
      </c>
      <c r="E254" s="543"/>
      <c r="F254" s="543"/>
      <c r="G254" s="544"/>
      <c r="H254" s="540">
        <f>Calcu!E100</f>
        <v>0.1</v>
      </c>
      <c r="I254" s="541"/>
      <c r="J254" s="541"/>
      <c r="K254" s="541"/>
      <c r="L254" s="541"/>
      <c r="M254" s="508" t="str">
        <f>Calcu!F100</f>
        <v>℃</v>
      </c>
      <c r="N254" s="509"/>
      <c r="O254" s="498">
        <f>Calcu!L100</f>
        <v>0.57735026918962584</v>
      </c>
      <c r="P254" s="499"/>
      <c r="Q254" s="499"/>
      <c r="R254" s="499"/>
      <c r="S254" s="499"/>
      <c r="T254" s="499"/>
      <c r="U254" s="499"/>
      <c r="V254" s="500" t="str">
        <f>Calcu!M100</f>
        <v>℃</v>
      </c>
      <c r="W254" s="500"/>
      <c r="X254" s="500"/>
      <c r="Y254" s="500"/>
      <c r="Z254" s="500"/>
      <c r="AA254" s="501"/>
      <c r="AB254" s="479" t="str">
        <f>Calcu!N100</f>
        <v>직사각형</v>
      </c>
      <c r="AC254" s="479"/>
      <c r="AD254" s="479"/>
      <c r="AE254" s="479"/>
      <c r="AF254" s="479"/>
      <c r="AG254" s="502" t="e">
        <f ca="1">Calcu!Q100</f>
        <v>#N/A</v>
      </c>
      <c r="AH254" s="496"/>
      <c r="AI254" s="496"/>
      <c r="AJ254" s="496"/>
      <c r="AK254" s="496" t="s">
        <v>344</v>
      </c>
      <c r="AL254" s="496"/>
      <c r="AM254" s="496"/>
      <c r="AN254" s="496"/>
      <c r="AO254" s="497"/>
      <c r="AP254" s="503" t="e">
        <f ca="1">Calcu!T100</f>
        <v>#N/A</v>
      </c>
      <c r="AQ254" s="504"/>
      <c r="AR254" s="504"/>
      <c r="AS254" s="504"/>
      <c r="AT254" s="504"/>
      <c r="AU254" s="504" t="s">
        <v>470</v>
      </c>
      <c r="AV254" s="504"/>
      <c r="AW254" s="496" t="s">
        <v>341</v>
      </c>
      <c r="AX254" s="496"/>
      <c r="AY254" s="496"/>
      <c r="AZ254" s="496"/>
      <c r="BA254" s="496"/>
      <c r="BB254" s="497"/>
      <c r="BC254" s="479">
        <f>Calcu!V100</f>
        <v>12</v>
      </c>
      <c r="BD254" s="479"/>
      <c r="BE254" s="479"/>
      <c r="BF254" s="479"/>
    </row>
    <row r="255" spans="1:58" ht="18.75" customHeight="1">
      <c r="A255" s="230"/>
      <c r="B255" s="479" t="s">
        <v>209</v>
      </c>
      <c r="C255" s="479"/>
      <c r="D255" s="542" t="s">
        <v>605</v>
      </c>
      <c r="E255" s="543"/>
      <c r="F255" s="543"/>
      <c r="G255" s="544"/>
      <c r="H255" s="540">
        <f>Calcu!E101</f>
        <v>0</v>
      </c>
      <c r="I255" s="541"/>
      <c r="J255" s="541"/>
      <c r="K255" s="541"/>
      <c r="L255" s="541"/>
      <c r="M255" s="508" t="str">
        <f>Calcu!F101</f>
        <v>mm</v>
      </c>
      <c r="N255" s="509"/>
      <c r="O255" s="498">
        <f>Calcu!K101</f>
        <v>0</v>
      </c>
      <c r="P255" s="499"/>
      <c r="Q255" s="499"/>
      <c r="R255" s="499"/>
      <c r="S255" s="499"/>
      <c r="T255" s="499"/>
      <c r="U255" s="499"/>
      <c r="V255" s="500" t="str">
        <f>Calcu!M101</f>
        <v>μm</v>
      </c>
      <c r="W255" s="500"/>
      <c r="X255" s="500"/>
      <c r="Y255" s="500"/>
      <c r="Z255" s="500"/>
      <c r="AA255" s="501"/>
      <c r="AB255" s="479" t="str">
        <f>Calcu!N101</f>
        <v>직사각형</v>
      </c>
      <c r="AC255" s="479"/>
      <c r="AD255" s="479"/>
      <c r="AE255" s="479"/>
      <c r="AF255" s="479"/>
      <c r="AG255" s="487">
        <f>Calcu!Q101</f>
        <v>1</v>
      </c>
      <c r="AH255" s="488"/>
      <c r="AI255" s="488"/>
      <c r="AJ255" s="488"/>
      <c r="AK255" s="488"/>
      <c r="AL255" s="488"/>
      <c r="AM255" s="488"/>
      <c r="AN255" s="488"/>
      <c r="AO255" s="489"/>
      <c r="AP255" s="498">
        <f>Calcu!S101</f>
        <v>0</v>
      </c>
      <c r="AQ255" s="499"/>
      <c r="AR255" s="499"/>
      <c r="AS255" s="499"/>
      <c r="AT255" s="499"/>
      <c r="AU255" s="499">
        <v>0</v>
      </c>
      <c r="AV255" s="499"/>
      <c r="AW255" s="500" t="str">
        <f>Calcu!U101</f>
        <v>μm</v>
      </c>
      <c r="AX255" s="500"/>
      <c r="AY255" s="500"/>
      <c r="AZ255" s="500"/>
      <c r="BA255" s="500"/>
      <c r="BB255" s="501"/>
      <c r="BC255" s="479" t="str">
        <f>Calcu!V101</f>
        <v>∞</v>
      </c>
      <c r="BD255" s="479"/>
      <c r="BE255" s="479"/>
      <c r="BF255" s="479"/>
    </row>
    <row r="256" spans="1:58" ht="18.75" customHeight="1">
      <c r="A256" s="230"/>
      <c r="B256" s="479" t="s">
        <v>556</v>
      </c>
      <c r="C256" s="479"/>
      <c r="D256" s="542" t="s">
        <v>567</v>
      </c>
      <c r="E256" s="543"/>
      <c r="F256" s="543"/>
      <c r="G256" s="544"/>
      <c r="H256" s="540">
        <f>Calcu!E102</f>
        <v>0</v>
      </c>
      <c r="I256" s="541"/>
      <c r="J256" s="541"/>
      <c r="K256" s="541"/>
      <c r="L256" s="541"/>
      <c r="M256" s="508" t="str">
        <f>Calcu!F102</f>
        <v>mm</v>
      </c>
      <c r="N256" s="509"/>
      <c r="O256" s="498">
        <f>Calcu!K102</f>
        <v>0</v>
      </c>
      <c r="P256" s="499"/>
      <c r="Q256" s="499"/>
      <c r="R256" s="499"/>
      <c r="S256" s="499"/>
      <c r="T256" s="499"/>
      <c r="U256" s="499"/>
      <c r="V256" s="500" t="str">
        <f>Calcu!M102</f>
        <v>μm</v>
      </c>
      <c r="W256" s="500"/>
      <c r="X256" s="500"/>
      <c r="Y256" s="500"/>
      <c r="Z256" s="500"/>
      <c r="AA256" s="501"/>
      <c r="AB256" s="479" t="str">
        <f>Calcu!N102</f>
        <v>직사각형</v>
      </c>
      <c r="AC256" s="479"/>
      <c r="AD256" s="479"/>
      <c r="AE256" s="479"/>
      <c r="AF256" s="479"/>
      <c r="AG256" s="487">
        <f>Calcu!Q102</f>
        <v>1</v>
      </c>
      <c r="AH256" s="488"/>
      <c r="AI256" s="488"/>
      <c r="AJ256" s="488"/>
      <c r="AK256" s="488"/>
      <c r="AL256" s="488"/>
      <c r="AM256" s="488"/>
      <c r="AN256" s="488"/>
      <c r="AO256" s="489"/>
      <c r="AP256" s="498">
        <f>Calcu!S102</f>
        <v>0</v>
      </c>
      <c r="AQ256" s="499"/>
      <c r="AR256" s="499"/>
      <c r="AS256" s="499"/>
      <c r="AT256" s="499"/>
      <c r="AU256" s="499">
        <v>0</v>
      </c>
      <c r="AV256" s="499"/>
      <c r="AW256" s="500" t="str">
        <f>Calcu!U102</f>
        <v>μm</v>
      </c>
      <c r="AX256" s="500"/>
      <c r="AY256" s="500"/>
      <c r="AZ256" s="500"/>
      <c r="BA256" s="500"/>
      <c r="BB256" s="501"/>
      <c r="BC256" s="479">
        <f>Calcu!V102</f>
        <v>12</v>
      </c>
      <c r="BD256" s="479"/>
      <c r="BE256" s="479"/>
      <c r="BF256" s="479"/>
    </row>
    <row r="257" spans="1:75" ht="18.75" customHeight="1">
      <c r="A257" s="230"/>
      <c r="B257" s="479" t="s">
        <v>557</v>
      </c>
      <c r="C257" s="479"/>
      <c r="D257" s="542" t="s">
        <v>309</v>
      </c>
      <c r="E257" s="543"/>
      <c r="F257" s="543"/>
      <c r="G257" s="544"/>
      <c r="H257" s="540" t="e">
        <f ca="1">Calcu!E103</f>
        <v>#N/A</v>
      </c>
      <c r="I257" s="541"/>
      <c r="J257" s="541"/>
      <c r="K257" s="541"/>
      <c r="L257" s="541"/>
      <c r="M257" s="508" t="str">
        <f>Calcu!F103</f>
        <v>mm</v>
      </c>
      <c r="N257" s="509"/>
      <c r="O257" s="487"/>
      <c r="P257" s="488"/>
      <c r="Q257" s="488"/>
      <c r="R257" s="488"/>
      <c r="S257" s="488"/>
      <c r="T257" s="488"/>
      <c r="U257" s="488"/>
      <c r="V257" s="488"/>
      <c r="W257" s="488"/>
      <c r="X257" s="488"/>
      <c r="Y257" s="488"/>
      <c r="Z257" s="488"/>
      <c r="AA257" s="489"/>
      <c r="AB257" s="479"/>
      <c r="AC257" s="479"/>
      <c r="AD257" s="479"/>
      <c r="AE257" s="479"/>
      <c r="AF257" s="479"/>
      <c r="AG257" s="487"/>
      <c r="AH257" s="488"/>
      <c r="AI257" s="488"/>
      <c r="AJ257" s="488"/>
      <c r="AK257" s="488"/>
      <c r="AL257" s="488"/>
      <c r="AM257" s="488"/>
      <c r="AN257" s="488"/>
      <c r="AO257" s="489"/>
      <c r="AP257" s="494" t="e">
        <f ca="1">Calcu!S103</f>
        <v>#N/A</v>
      </c>
      <c r="AQ257" s="495"/>
      <c r="AR257" s="495"/>
      <c r="AS257" s="242"/>
      <c r="AT257" s="270"/>
      <c r="AU257" s="484" t="e">
        <f ca="1">Calcu!T103</f>
        <v>#N/A</v>
      </c>
      <c r="AV257" s="484"/>
      <c r="AW257" s="484"/>
      <c r="AX257" s="269"/>
      <c r="AY257" s="269"/>
      <c r="AZ257" s="269"/>
      <c r="BA257" s="496" t="str">
        <f>Calcu!U103</f>
        <v>μm</v>
      </c>
      <c r="BB257" s="497"/>
      <c r="BC257" s="479" t="e">
        <f ca="1">Calcu!V103</f>
        <v>#N/A</v>
      </c>
      <c r="BD257" s="479"/>
      <c r="BE257" s="479"/>
      <c r="BF257" s="479"/>
    </row>
    <row r="258" spans="1:75" ht="18.75" customHeight="1">
      <c r="A258" s="230"/>
      <c r="B258" s="230"/>
      <c r="C258" s="230"/>
      <c r="D258" s="230"/>
      <c r="E258" s="230"/>
      <c r="F258" s="230"/>
      <c r="G258" s="230"/>
      <c r="H258" s="230"/>
      <c r="I258" s="230"/>
      <c r="J258" s="230"/>
      <c r="K258" s="230"/>
      <c r="L258" s="230"/>
      <c r="M258" s="230"/>
      <c r="N258" s="230"/>
      <c r="O258" s="230"/>
      <c r="P258" s="230"/>
      <c r="Q258" s="230"/>
      <c r="R258" s="230"/>
      <c r="S258" s="230"/>
      <c r="T258" s="230"/>
      <c r="U258" s="230"/>
      <c r="V258" s="230"/>
      <c r="W258" s="230"/>
      <c r="X258" s="230"/>
      <c r="Y258" s="230"/>
      <c r="Z258" s="230"/>
      <c r="AA258" s="230"/>
      <c r="AB258" s="230"/>
      <c r="AC258" s="230"/>
      <c r="AD258" s="230"/>
      <c r="AE258" s="230"/>
      <c r="AF258" s="230"/>
      <c r="AG258" s="244" t="s">
        <v>573</v>
      </c>
      <c r="AH258" s="230"/>
      <c r="AI258" s="230"/>
      <c r="AJ258" s="230"/>
      <c r="AK258" s="230"/>
      <c r="AL258" s="230"/>
      <c r="AM258" s="230"/>
      <c r="AN258" s="230"/>
      <c r="AO258" s="230"/>
      <c r="AP258" s="230"/>
      <c r="AQ258" s="230"/>
      <c r="AR258" s="230"/>
      <c r="AS258" s="230"/>
      <c r="AT258" s="230"/>
    </row>
    <row r="259" spans="1:75" s="138" customFormat="1" ht="18.75" customHeight="1">
      <c r="B259" s="265"/>
      <c r="C259" s="57"/>
      <c r="D259" s="264"/>
      <c r="E259" s="264"/>
      <c r="F259" s="264"/>
      <c r="G259" s="265"/>
      <c r="H259" s="264"/>
      <c r="I259" s="264"/>
      <c r="J259" s="264"/>
      <c r="K259" s="264"/>
      <c r="L259" s="264"/>
      <c r="M259" s="264"/>
      <c r="N259" s="264"/>
      <c r="O259" s="264"/>
      <c r="P259" s="264"/>
      <c r="Q259" s="264"/>
      <c r="R259" s="264"/>
      <c r="S259" s="264"/>
      <c r="T259" s="264"/>
      <c r="U259" s="264"/>
      <c r="V259" s="264"/>
      <c r="W259" s="264"/>
      <c r="X259" s="264"/>
      <c r="Y259" s="264"/>
      <c r="Z259" s="264"/>
      <c r="AA259" s="264"/>
      <c r="AB259" s="264"/>
      <c r="AC259" s="264"/>
      <c r="AD259" s="264"/>
      <c r="AE259" s="265"/>
      <c r="AF259" s="264"/>
      <c r="AG259" s="265"/>
      <c r="AH259" s="265"/>
      <c r="AI259" s="265"/>
      <c r="AJ259" s="265"/>
      <c r="AK259" s="265"/>
      <c r="AL259" s="265"/>
      <c r="AM259" s="265"/>
      <c r="AN259" s="265"/>
      <c r="AO259" s="265"/>
      <c r="AP259" s="265"/>
      <c r="AQ259" s="265"/>
      <c r="AR259" s="265"/>
      <c r="AS259" s="265"/>
      <c r="AT259" s="265"/>
      <c r="AU259" s="265"/>
      <c r="AV259" s="265"/>
      <c r="AW259" s="265"/>
      <c r="AX259" s="265"/>
      <c r="AY259" s="265"/>
      <c r="AZ259" s="265"/>
      <c r="BA259" s="265"/>
      <c r="BB259" s="265"/>
      <c r="BC259" s="265"/>
      <c r="BD259" s="265"/>
      <c r="BE259" s="265"/>
      <c r="BF259" s="265"/>
      <c r="BG259" s="265"/>
    </row>
    <row r="260" spans="1:75" s="138" customFormat="1" ht="18.75" customHeight="1">
      <c r="A260" s="57" t="s">
        <v>450</v>
      </c>
      <c r="B260" s="265"/>
      <c r="C260" s="265"/>
      <c r="D260" s="265"/>
      <c r="E260" s="265"/>
      <c r="F260" s="265"/>
      <c r="G260" s="265"/>
      <c r="H260" s="265"/>
      <c r="I260" s="265"/>
      <c r="J260" s="265"/>
      <c r="K260" s="265"/>
      <c r="L260" s="265"/>
      <c r="M260" s="265"/>
      <c r="N260" s="265"/>
      <c r="O260" s="265"/>
      <c r="P260" s="265"/>
      <c r="Q260" s="265"/>
      <c r="R260" s="265"/>
      <c r="S260" s="265"/>
      <c r="T260" s="265"/>
      <c r="U260" s="265"/>
      <c r="V260" s="265"/>
      <c r="W260" s="265"/>
      <c r="X260" s="265"/>
      <c r="Y260" s="265"/>
      <c r="Z260" s="265"/>
      <c r="AA260" s="265"/>
      <c r="AB260" s="265"/>
      <c r="AC260" s="265"/>
      <c r="AD260" s="265"/>
      <c r="AE260" s="265"/>
      <c r="AF260" s="265"/>
      <c r="AG260" s="265"/>
      <c r="AH260" s="265"/>
      <c r="AI260" s="265"/>
      <c r="AJ260" s="265"/>
      <c r="AK260" s="265"/>
      <c r="AL260" s="265"/>
      <c r="AM260" s="265"/>
      <c r="AN260" s="265"/>
      <c r="AO260" s="265"/>
      <c r="AP260" s="265"/>
      <c r="AQ260" s="265"/>
      <c r="AR260" s="265"/>
      <c r="AS260" s="265"/>
      <c r="AT260" s="265"/>
      <c r="AU260" s="265"/>
      <c r="AV260" s="265"/>
      <c r="AW260" s="265"/>
      <c r="AX260" s="265"/>
      <c r="AY260" s="265"/>
      <c r="AZ260" s="265"/>
      <c r="BA260" s="265"/>
      <c r="BB260" s="265"/>
      <c r="BC260" s="265"/>
      <c r="BD260" s="265"/>
      <c r="BE260" s="265"/>
      <c r="BF260" s="265"/>
    </row>
    <row r="261" spans="1:75" s="138" customFormat="1" ht="18.75" customHeight="1">
      <c r="A261" s="265"/>
      <c r="B261" s="265"/>
      <c r="C261" s="265"/>
      <c r="D261" s="265"/>
      <c r="E261" s="265"/>
      <c r="F261" s="265"/>
      <c r="G261" s="265"/>
      <c r="H261" s="265"/>
      <c r="I261" s="265"/>
      <c r="J261" s="265"/>
      <c r="K261" s="265"/>
      <c r="L261" s="265"/>
      <c r="M261" s="265"/>
      <c r="N261" s="265"/>
      <c r="O261" s="265"/>
      <c r="P261" s="265"/>
      <c r="Q261" s="265"/>
      <c r="R261" s="265"/>
      <c r="S261" s="265"/>
      <c r="T261" s="265"/>
      <c r="U261" s="265"/>
      <c r="V261" s="265"/>
      <c r="W261" s="265"/>
      <c r="X261" s="265"/>
      <c r="Y261" s="265"/>
      <c r="Z261" s="265"/>
      <c r="AA261" s="265"/>
      <c r="AB261" s="265"/>
      <c r="AC261" s="265"/>
      <c r="AD261" s="265"/>
      <c r="AE261" s="264"/>
      <c r="AF261" s="265"/>
      <c r="AG261" s="265"/>
      <c r="AH261" s="265"/>
      <c r="AI261" s="265"/>
      <c r="AJ261" s="265"/>
      <c r="AK261" s="264"/>
      <c r="AL261" s="264"/>
      <c r="AM261" s="271"/>
      <c r="AN261" s="271"/>
      <c r="AO261" s="271"/>
      <c r="AP261" s="271"/>
      <c r="AQ261" s="264"/>
      <c r="AR261" s="265"/>
      <c r="AT261" s="252"/>
      <c r="AU261" s="252"/>
      <c r="AV261" s="252"/>
      <c r="AW261" s="264"/>
      <c r="AX261" s="264"/>
      <c r="AY261" s="265"/>
      <c r="BA261" s="265"/>
      <c r="BB261" s="265"/>
      <c r="BC261" s="265"/>
      <c r="BD261" s="265"/>
      <c r="BE261" s="265"/>
      <c r="BF261" s="265"/>
    </row>
    <row r="262" spans="1:75" s="138" customFormat="1" ht="18.75" customHeight="1">
      <c r="A262" s="265"/>
      <c r="B262" s="265"/>
      <c r="C262" s="265"/>
      <c r="D262" s="265"/>
      <c r="E262" s="265" t="s">
        <v>153</v>
      </c>
      <c r="F262" s="465" t="e">
        <f ca="1">AP249</f>
        <v>#N/A</v>
      </c>
      <c r="G262" s="465"/>
      <c r="H262" s="465"/>
      <c r="I262" s="264" t="s">
        <v>152</v>
      </c>
      <c r="J262" s="264"/>
      <c r="K262" s="461" t="s">
        <v>451</v>
      </c>
      <c r="L262" s="461"/>
      <c r="M262" s="548" t="e">
        <f ca="1">AU249</f>
        <v>#N/A</v>
      </c>
      <c r="N262" s="548"/>
      <c r="O262" s="548"/>
      <c r="P262" s="264" t="s">
        <v>341</v>
      </c>
      <c r="Q262" s="264"/>
      <c r="R262" s="265"/>
      <c r="T262" s="461" t="s">
        <v>452</v>
      </c>
      <c r="U262" s="461"/>
      <c r="V262" s="463">
        <f>AP250</f>
        <v>0</v>
      </c>
      <c r="W262" s="463"/>
      <c r="X262" s="463"/>
      <c r="Y262" s="264" t="s">
        <v>152</v>
      </c>
      <c r="Z262" s="264"/>
      <c r="AA262" s="461" t="s">
        <v>452</v>
      </c>
      <c r="AB262" s="461"/>
      <c r="AC262" s="451">
        <f>AP251</f>
        <v>8.1649658092772609E-5</v>
      </c>
      <c r="AD262" s="451"/>
      <c r="AE262" s="451"/>
      <c r="AF262" s="451"/>
      <c r="AG262" s="264" t="s">
        <v>341</v>
      </c>
      <c r="AH262" s="265"/>
      <c r="AK262" s="461" t="s">
        <v>452</v>
      </c>
      <c r="AL262" s="461"/>
      <c r="AM262" s="451" t="e">
        <f ca="1">AP252</f>
        <v>#N/A</v>
      </c>
      <c r="AN262" s="451"/>
      <c r="AO262" s="451"/>
      <c r="AP262" s="451"/>
      <c r="AQ262" s="264" t="s">
        <v>341</v>
      </c>
      <c r="AR262" s="265"/>
      <c r="AU262" s="265"/>
      <c r="AV262" s="265"/>
      <c r="AW262" s="265"/>
      <c r="AX262" s="265"/>
      <c r="AY262" s="265"/>
      <c r="AZ262" s="265"/>
      <c r="BA262" s="265"/>
      <c r="BB262" s="265"/>
      <c r="BC262" s="265"/>
      <c r="BD262" s="265"/>
      <c r="BE262" s="265"/>
      <c r="BF262" s="265"/>
    </row>
    <row r="263" spans="1:75" s="138" customFormat="1" ht="18.75" customHeight="1">
      <c r="A263" s="265"/>
      <c r="B263" s="265"/>
      <c r="C263" s="265"/>
      <c r="D263" s="265"/>
      <c r="E263" s="265"/>
      <c r="F263" s="461" t="s">
        <v>452</v>
      </c>
      <c r="G263" s="461"/>
      <c r="H263" s="451">
        <f>AP253</f>
        <v>8.1649658092772609E-5</v>
      </c>
      <c r="I263" s="451"/>
      <c r="J263" s="451"/>
      <c r="K263" s="451"/>
      <c r="L263" s="264" t="s">
        <v>341</v>
      </c>
      <c r="M263" s="265"/>
      <c r="P263" s="461" t="s">
        <v>452</v>
      </c>
      <c r="Q263" s="461"/>
      <c r="R263" s="451" t="e">
        <f ca="1">AP254</f>
        <v>#N/A</v>
      </c>
      <c r="S263" s="451"/>
      <c r="T263" s="451"/>
      <c r="U263" s="451"/>
      <c r="V263" s="264" t="s">
        <v>341</v>
      </c>
      <c r="W263" s="265"/>
      <c r="Z263" s="461" t="s">
        <v>451</v>
      </c>
      <c r="AA263" s="461"/>
      <c r="AB263" s="463">
        <f>AP255</f>
        <v>0</v>
      </c>
      <c r="AC263" s="463"/>
      <c r="AD263" s="463"/>
      <c r="AE263" s="264" t="s">
        <v>152</v>
      </c>
      <c r="AF263" s="264"/>
      <c r="AG263" s="268"/>
      <c r="AH263" s="461" t="s">
        <v>451</v>
      </c>
      <c r="AI263" s="461"/>
      <c r="AJ263" s="463">
        <f>AP256</f>
        <v>0</v>
      </c>
      <c r="AK263" s="463"/>
      <c r="AL263" s="463"/>
      <c r="AM263" s="303" t="s">
        <v>152</v>
      </c>
      <c r="AN263" s="303"/>
      <c r="AO263" s="306"/>
      <c r="AP263" s="264"/>
      <c r="AQ263" s="265"/>
      <c r="AS263" s="265"/>
      <c r="AT263" s="265"/>
      <c r="AU263" s="265"/>
      <c r="AV263" s="265"/>
      <c r="AW263" s="265"/>
      <c r="AX263" s="265"/>
      <c r="AY263" s="265"/>
      <c r="AZ263" s="265"/>
      <c r="BA263" s="265"/>
      <c r="BB263" s="265"/>
      <c r="BC263" s="265"/>
      <c r="BD263" s="265"/>
      <c r="BE263" s="265"/>
      <c r="BF263" s="265"/>
    </row>
    <row r="264" spans="1:75" s="58" customFormat="1" ht="18.75" customHeight="1">
      <c r="A264" s="264"/>
      <c r="B264" s="264"/>
      <c r="C264" s="264"/>
      <c r="D264" s="264"/>
      <c r="E264" s="265" t="s">
        <v>153</v>
      </c>
      <c r="F264" s="465" t="e">
        <f ca="1">AP257</f>
        <v>#N/A</v>
      </c>
      <c r="G264" s="465"/>
      <c r="H264" s="465"/>
      <c r="I264" s="264" t="s">
        <v>152</v>
      </c>
      <c r="J264" s="264"/>
      <c r="K264" s="461" t="s">
        <v>451</v>
      </c>
      <c r="L264" s="461"/>
      <c r="M264" s="548" t="e">
        <f ca="1">AU257</f>
        <v>#N/A</v>
      </c>
      <c r="N264" s="548"/>
      <c r="O264" s="548"/>
      <c r="P264" s="264" t="s">
        <v>341</v>
      </c>
      <c r="Q264" s="264"/>
      <c r="R264" s="265"/>
      <c r="S264" s="138"/>
      <c r="T264" s="264"/>
      <c r="U264" s="264"/>
      <c r="V264" s="264"/>
      <c r="W264" s="264"/>
      <c r="X264" s="264"/>
      <c r="Y264" s="264"/>
      <c r="Z264" s="264"/>
      <c r="AA264" s="264"/>
      <c r="AB264" s="264"/>
      <c r="AC264" s="264"/>
      <c r="AD264" s="264"/>
      <c r="AE264" s="264"/>
      <c r="AF264" s="264"/>
      <c r="AG264" s="265"/>
      <c r="AH264" s="264"/>
      <c r="AI264" s="264"/>
      <c r="AJ264" s="264"/>
      <c r="AK264" s="264"/>
      <c r="AL264" s="264"/>
      <c r="AM264" s="264"/>
      <c r="AN264" s="264"/>
      <c r="AO264" s="264"/>
      <c r="AP264" s="264"/>
      <c r="AQ264" s="264"/>
      <c r="AR264" s="264"/>
      <c r="AS264" s="264"/>
      <c r="AT264" s="264"/>
      <c r="AU264" s="264"/>
      <c r="AV264" s="264"/>
      <c r="AW264" s="264"/>
      <c r="AX264" s="264"/>
      <c r="AY264" s="264"/>
      <c r="AZ264" s="264"/>
      <c r="BA264" s="264"/>
      <c r="BB264" s="264"/>
      <c r="BC264" s="264"/>
      <c r="BD264" s="264"/>
      <c r="BE264" s="264"/>
      <c r="BF264" s="264"/>
      <c r="BG264" s="264"/>
      <c r="BH264" s="264"/>
    </row>
    <row r="265" spans="1:75" s="58" customFormat="1" ht="18.75" customHeight="1">
      <c r="A265" s="264"/>
      <c r="B265" s="264"/>
      <c r="C265" s="264"/>
      <c r="D265" s="266"/>
      <c r="E265" s="266"/>
      <c r="F265" s="266"/>
      <c r="G265" s="264"/>
      <c r="H265" s="264"/>
      <c r="I265" s="265"/>
      <c r="J265" s="265"/>
      <c r="K265" s="149"/>
      <c r="L265" s="149"/>
      <c r="M265" s="149"/>
      <c r="N265" s="149"/>
      <c r="O265" s="264"/>
      <c r="P265" s="264"/>
      <c r="Q265" s="264"/>
      <c r="R265" s="264"/>
      <c r="S265" s="264"/>
      <c r="T265" s="264"/>
      <c r="U265" s="264"/>
      <c r="V265" s="264"/>
      <c r="W265" s="264"/>
      <c r="X265" s="264"/>
      <c r="Y265" s="264"/>
      <c r="Z265" s="264"/>
      <c r="AA265" s="264"/>
      <c r="AB265" s="264"/>
      <c r="AC265" s="264"/>
      <c r="AD265" s="264"/>
      <c r="AE265" s="264"/>
      <c r="AF265" s="264"/>
      <c r="AG265" s="264"/>
      <c r="AH265" s="264"/>
      <c r="AI265" s="264"/>
      <c r="AJ265" s="264"/>
      <c r="AK265" s="264"/>
      <c r="AL265" s="264"/>
      <c r="AM265" s="264"/>
      <c r="AN265" s="264"/>
      <c r="AO265" s="264"/>
      <c r="AP265" s="264"/>
      <c r="AQ265" s="264"/>
      <c r="AR265" s="264"/>
      <c r="AS265" s="264"/>
      <c r="AT265" s="264"/>
      <c r="AU265" s="264"/>
      <c r="AV265" s="264"/>
      <c r="AW265" s="264"/>
      <c r="AX265" s="264"/>
      <c r="AY265" s="264"/>
      <c r="AZ265" s="264"/>
      <c r="BA265" s="264"/>
      <c r="BB265" s="264"/>
      <c r="BC265" s="264"/>
      <c r="BD265" s="264"/>
      <c r="BE265" s="264"/>
      <c r="BF265" s="264"/>
    </row>
    <row r="266" spans="1:75" s="138" customFormat="1" ht="18.75" customHeight="1">
      <c r="A266" s="265"/>
      <c r="B266" s="265"/>
      <c r="C266" s="265"/>
      <c r="D266" s="142" t="s">
        <v>453</v>
      </c>
      <c r="E266" s="265" t="s">
        <v>153</v>
      </c>
      <c r="F266" s="465" t="e">
        <f ca="1">F264</f>
        <v>#N/A</v>
      </c>
      <c r="G266" s="465"/>
      <c r="H266" s="465"/>
      <c r="I266" s="152"/>
      <c r="J266" s="267"/>
      <c r="K266" s="466" t="e">
        <f ca="1">M264</f>
        <v>#N/A</v>
      </c>
      <c r="L266" s="445"/>
      <c r="M266" s="445"/>
      <c r="N266" s="230"/>
      <c r="O266" s="230"/>
      <c r="P266" s="230"/>
      <c r="Q266" s="450" t="str">
        <f>BA257</f>
        <v>μm</v>
      </c>
      <c r="R266" s="450"/>
      <c r="T266" s="264"/>
      <c r="U266" s="264"/>
      <c r="V266" s="264"/>
      <c r="W266" s="264"/>
      <c r="X266" s="264"/>
      <c r="Y266" s="265"/>
      <c r="Z266" s="265"/>
      <c r="AA266" s="265"/>
      <c r="AB266" s="265"/>
      <c r="AC266" s="265"/>
      <c r="AD266" s="265"/>
      <c r="AE266" s="264"/>
      <c r="AF266" s="265"/>
      <c r="AG266" s="265"/>
      <c r="AH266" s="265"/>
      <c r="AI266" s="265"/>
      <c r="AJ266" s="265"/>
      <c r="AK266" s="265"/>
      <c r="AL266" s="265"/>
      <c r="AM266" s="265"/>
      <c r="AN266" s="265"/>
      <c r="AO266" s="265"/>
      <c r="AP266" s="265"/>
      <c r="AQ266" s="265"/>
      <c r="AR266" s="265"/>
      <c r="AS266" s="265"/>
      <c r="AT266" s="265"/>
      <c r="AU266" s="265"/>
      <c r="AV266" s="265"/>
      <c r="AW266" s="265"/>
      <c r="AX266" s="265"/>
      <c r="AY266" s="265"/>
      <c r="AZ266" s="265"/>
      <c r="BA266" s="265"/>
      <c r="BB266" s="265"/>
      <c r="BC266" s="265"/>
      <c r="BD266" s="265"/>
      <c r="BE266" s="265"/>
      <c r="BF266" s="265"/>
    </row>
    <row r="267" spans="1:75" s="264" customFormat="1" ht="18.75" customHeight="1"/>
    <row r="268" spans="1:75" ht="18.75" customHeight="1">
      <c r="A268" s="57" t="s">
        <v>454</v>
      </c>
      <c r="B268" s="230"/>
      <c r="C268" s="230"/>
      <c r="D268" s="230"/>
      <c r="E268" s="230"/>
      <c r="F268" s="230"/>
      <c r="G268" s="230"/>
      <c r="H268" s="230"/>
      <c r="I268" s="230"/>
      <c r="J268" s="230"/>
      <c r="K268" s="230"/>
      <c r="L268" s="230"/>
      <c r="M268" s="230"/>
      <c r="N268" s="230"/>
      <c r="O268" s="230"/>
      <c r="P268" s="230"/>
      <c r="Q268" s="230"/>
      <c r="R268" s="230"/>
      <c r="S268" s="230"/>
      <c r="T268" s="230"/>
      <c r="U268" s="230"/>
      <c r="V268" s="230"/>
      <c r="W268" s="230"/>
      <c r="X268" s="230"/>
      <c r="Y268" s="230"/>
      <c r="Z268" s="230"/>
      <c r="AA268" s="230"/>
      <c r="AB268" s="230"/>
      <c r="AC268" s="230"/>
      <c r="AD268" s="230"/>
      <c r="AE268" s="230"/>
      <c r="AF268" s="230"/>
      <c r="AG268" s="230"/>
      <c r="AH268" s="230"/>
      <c r="AI268" s="230"/>
      <c r="AJ268" s="230"/>
      <c r="AK268" s="230"/>
      <c r="AL268" s="230"/>
      <c r="AM268" s="230"/>
      <c r="AN268" s="230"/>
      <c r="AO268" s="230"/>
      <c r="AP268" s="230"/>
      <c r="AQ268" s="230"/>
      <c r="AR268" s="230"/>
      <c r="AS268" s="230"/>
      <c r="AZ268" s="230"/>
      <c r="BA268" s="230"/>
      <c r="BB268" s="230"/>
      <c r="BC268" s="230"/>
      <c r="BD268" s="230"/>
      <c r="BE268" s="230"/>
      <c r="BF268" s="230"/>
    </row>
    <row r="269" spans="1:75" ht="18.75" customHeight="1">
      <c r="A269" s="230"/>
      <c r="B269" s="230"/>
      <c r="C269" s="230"/>
      <c r="D269" s="230"/>
      <c r="E269" s="230"/>
      <c r="F269" s="230"/>
      <c r="G269" s="230"/>
      <c r="H269" s="230"/>
      <c r="I269" s="230"/>
      <c r="J269" s="230"/>
      <c r="K269" s="230"/>
      <c r="L269" s="471" t="e">
        <f ca="1">Calcu!W103</f>
        <v>#N/A</v>
      </c>
      <c r="M269" s="471"/>
      <c r="N269" s="471"/>
      <c r="O269" s="471"/>
      <c r="P269" s="471"/>
      <c r="Q269" s="471"/>
      <c r="R269" s="471"/>
      <c r="S269" s="471"/>
      <c r="T269" s="471"/>
      <c r="U269" s="471"/>
      <c r="V269" s="471"/>
      <c r="W269" s="471"/>
      <c r="X269" s="471"/>
      <c r="Y269" s="471"/>
      <c r="Z269" s="471"/>
      <c r="AA269" s="471"/>
      <c r="AB269" s="471"/>
      <c r="AC269" s="471"/>
      <c r="AD269" s="471"/>
      <c r="AE269" s="471"/>
      <c r="AF269" s="471"/>
      <c r="AG269" s="471"/>
      <c r="AH269" s="471"/>
      <c r="AI269" s="471"/>
      <c r="AJ269" s="471"/>
      <c r="AK269" s="471"/>
      <c r="AL269" s="471"/>
      <c r="AM269" s="471"/>
      <c r="AN269" s="471"/>
      <c r="AO269" s="471"/>
      <c r="AP269" s="471"/>
      <c r="AQ269" s="471"/>
      <c r="AR269" s="471"/>
      <c r="AS269" s="471"/>
      <c r="AT269" s="471"/>
      <c r="AU269" s="471"/>
      <c r="AV269" s="471"/>
      <c r="AW269" s="471"/>
      <c r="AX269" s="471"/>
      <c r="AY269" s="461" t="s">
        <v>153</v>
      </c>
      <c r="AZ269" s="469" t="e">
        <f ca="1">TRIM(BC257)</f>
        <v>#N/A</v>
      </c>
      <c r="BA269" s="469"/>
      <c r="BB269" s="469"/>
      <c r="BC269" s="469"/>
      <c r="BD269" s="469"/>
      <c r="BF269" s="150"/>
      <c r="BG269" s="150"/>
      <c r="BH269" s="150"/>
      <c r="BI269" s="150"/>
      <c r="BJ269" s="150"/>
      <c r="BK269" s="58"/>
      <c r="BL269" s="58"/>
      <c r="BM269" s="58"/>
      <c r="BN269" s="58"/>
      <c r="BO269" s="58"/>
      <c r="BP269" s="58"/>
      <c r="BQ269" s="58"/>
      <c r="BR269" s="58"/>
      <c r="BS269" s="58"/>
      <c r="BT269" s="58"/>
      <c r="BU269" s="58"/>
      <c r="BV269" s="58"/>
      <c r="BW269" s="58"/>
    </row>
    <row r="270" spans="1:75" ht="18.75" customHeight="1">
      <c r="A270" s="230"/>
      <c r="B270" s="230"/>
      <c r="C270" s="230"/>
      <c r="D270" s="230"/>
      <c r="E270" s="230"/>
      <c r="F270" s="230"/>
      <c r="G270" s="230"/>
      <c r="H270" s="230"/>
      <c r="I270" s="230"/>
      <c r="J270" s="230"/>
      <c r="K270" s="230"/>
      <c r="L270" s="470" t="e">
        <f ca="1">Calcu!W95</f>
        <v>#N/A</v>
      </c>
      <c r="M270" s="470"/>
      <c r="N270" s="470"/>
      <c r="O270" s="470"/>
      <c r="P270" s="461" t="s">
        <v>451</v>
      </c>
      <c r="Q270" s="470">
        <f>Calcu!W96</f>
        <v>0</v>
      </c>
      <c r="R270" s="470"/>
      <c r="S270" s="470"/>
      <c r="T270" s="470"/>
      <c r="U270" s="461" t="s">
        <v>452</v>
      </c>
      <c r="V270" s="471">
        <f>Calcu!W97</f>
        <v>0</v>
      </c>
      <c r="W270" s="471"/>
      <c r="X270" s="471"/>
      <c r="Y270" s="471"/>
      <c r="Z270" s="461" t="s">
        <v>452</v>
      </c>
      <c r="AA270" s="470" t="e">
        <f ca="1">Calcu!W98</f>
        <v>#N/A</v>
      </c>
      <c r="AB270" s="470"/>
      <c r="AC270" s="470"/>
      <c r="AD270" s="470"/>
      <c r="AE270" s="461" t="s">
        <v>452</v>
      </c>
      <c r="AF270" s="471">
        <f>Calcu!W99</f>
        <v>0</v>
      </c>
      <c r="AG270" s="471"/>
      <c r="AH270" s="471"/>
      <c r="AI270" s="471"/>
      <c r="AJ270" s="461" t="s">
        <v>452</v>
      </c>
      <c r="AK270" s="471" t="e">
        <f ca="1">Calcu!W100</f>
        <v>#N/A</v>
      </c>
      <c r="AL270" s="471"/>
      <c r="AM270" s="471"/>
      <c r="AN270" s="471"/>
      <c r="AO270" s="461" t="s">
        <v>452</v>
      </c>
      <c r="AP270" s="471">
        <f>Calcu!W101</f>
        <v>0</v>
      </c>
      <c r="AQ270" s="471"/>
      <c r="AR270" s="471"/>
      <c r="AS270" s="471"/>
      <c r="AT270" s="461" t="s">
        <v>452</v>
      </c>
      <c r="AU270" s="471">
        <f>Calcu!W102</f>
        <v>0</v>
      </c>
      <c r="AV270" s="471"/>
      <c r="AW270" s="471"/>
      <c r="AX270" s="471"/>
      <c r="AY270" s="461"/>
      <c r="AZ270" s="469"/>
      <c r="BA270" s="469"/>
      <c r="BB270" s="469"/>
      <c r="BC270" s="469"/>
      <c r="BD270" s="469"/>
      <c r="BF270" s="150"/>
      <c r="BG270" s="150"/>
      <c r="BH270" s="150"/>
      <c r="BI270" s="150"/>
      <c r="BJ270" s="150"/>
    </row>
    <row r="271" spans="1:75" ht="18.75" customHeight="1">
      <c r="A271" s="230"/>
      <c r="B271" s="230"/>
      <c r="C271" s="230"/>
      <c r="D271" s="230"/>
      <c r="E271" s="230"/>
      <c r="F271" s="230"/>
      <c r="G271" s="230"/>
      <c r="H271" s="230"/>
      <c r="I271" s="230"/>
      <c r="J271" s="230"/>
      <c r="K271" s="230"/>
      <c r="L271" s="461" t="str">
        <f>BC249</f>
        <v>∞</v>
      </c>
      <c r="M271" s="461"/>
      <c r="N271" s="461"/>
      <c r="O271" s="461"/>
      <c r="P271" s="461"/>
      <c r="Q271" s="461">
        <f>BC250</f>
        <v>4</v>
      </c>
      <c r="R271" s="461"/>
      <c r="S271" s="461"/>
      <c r="T271" s="461"/>
      <c r="U271" s="461"/>
      <c r="V271" s="461">
        <f>BC251</f>
        <v>100</v>
      </c>
      <c r="W271" s="461"/>
      <c r="X271" s="461"/>
      <c r="Y271" s="461"/>
      <c r="Z271" s="461"/>
      <c r="AA271" s="461">
        <f>BC252</f>
        <v>12</v>
      </c>
      <c r="AB271" s="461"/>
      <c r="AC271" s="461"/>
      <c r="AD271" s="461"/>
      <c r="AE271" s="461"/>
      <c r="AF271" s="464">
        <f>BC253</f>
        <v>100</v>
      </c>
      <c r="AG271" s="464"/>
      <c r="AH271" s="464"/>
      <c r="AI271" s="464"/>
      <c r="AJ271" s="461"/>
      <c r="AK271" s="461">
        <f>BC254</f>
        <v>12</v>
      </c>
      <c r="AL271" s="461"/>
      <c r="AM271" s="461"/>
      <c r="AN271" s="461"/>
      <c r="AO271" s="461"/>
      <c r="AP271" s="461" t="str">
        <f>BC255</f>
        <v>∞</v>
      </c>
      <c r="AQ271" s="461"/>
      <c r="AR271" s="461"/>
      <c r="AS271" s="461"/>
      <c r="AT271" s="461"/>
      <c r="AU271" s="461">
        <f>BC256</f>
        <v>12</v>
      </c>
      <c r="AV271" s="461"/>
      <c r="AW271" s="461"/>
      <c r="AX271" s="461"/>
      <c r="AY271" s="230"/>
      <c r="AZ271" s="230"/>
      <c r="BA271" s="230"/>
      <c r="BB271" s="230"/>
      <c r="BC271" s="230"/>
    </row>
    <row r="272" spans="1:75" ht="18.75" customHeight="1">
      <c r="A272" s="230"/>
      <c r="B272" s="230"/>
      <c r="C272" s="230"/>
      <c r="D272" s="230"/>
      <c r="E272" s="230"/>
      <c r="F272" s="230"/>
      <c r="G272" s="230"/>
      <c r="H272" s="230"/>
      <c r="I272" s="230"/>
      <c r="J272" s="230"/>
      <c r="K272" s="230"/>
      <c r="L272" s="230"/>
      <c r="M272" s="230"/>
      <c r="N272" s="230"/>
      <c r="O272" s="230"/>
      <c r="P272" s="230"/>
      <c r="Q272" s="230"/>
      <c r="R272" s="230"/>
      <c r="S272" s="230"/>
      <c r="T272" s="230"/>
      <c r="U272" s="230"/>
      <c r="V272" s="230"/>
      <c r="W272" s="230"/>
      <c r="X272" s="230"/>
      <c r="Y272" s="230"/>
      <c r="Z272" s="230"/>
      <c r="AA272" s="230"/>
      <c r="AB272" s="230"/>
      <c r="AC272" s="230"/>
      <c r="AD272" s="230"/>
      <c r="AE272" s="230"/>
      <c r="AF272" s="230"/>
      <c r="AG272" s="230"/>
      <c r="AH272" s="230"/>
      <c r="AI272" s="230"/>
      <c r="AJ272" s="230"/>
      <c r="AK272" s="230"/>
      <c r="AL272" s="230"/>
      <c r="AM272" s="230"/>
      <c r="AN272" s="230"/>
      <c r="AO272" s="230"/>
      <c r="AP272" s="230"/>
      <c r="AQ272" s="230"/>
      <c r="AR272" s="230"/>
      <c r="AS272" s="230"/>
      <c r="AT272" s="230"/>
      <c r="AU272" s="230"/>
      <c r="AV272" s="230"/>
      <c r="AW272" s="230"/>
      <c r="AX272" s="230"/>
      <c r="AY272" s="230"/>
      <c r="AZ272" s="230"/>
      <c r="BA272" s="230"/>
      <c r="BB272" s="230"/>
      <c r="BC272" s="230"/>
      <c r="BD272" s="230"/>
      <c r="BE272" s="230"/>
      <c r="BF272" s="230"/>
      <c r="BG272" s="230"/>
      <c r="BH272" s="230"/>
    </row>
    <row r="273" spans="1:56" ht="18.75" customHeight="1">
      <c r="A273" s="57" t="s">
        <v>455</v>
      </c>
      <c r="B273" s="230"/>
      <c r="C273" s="230"/>
      <c r="D273" s="230"/>
      <c r="E273" s="230"/>
      <c r="F273" s="230"/>
      <c r="G273" s="230"/>
      <c r="H273" s="230"/>
      <c r="I273" s="230"/>
      <c r="J273" s="230"/>
      <c r="K273" s="230"/>
      <c r="L273" s="230"/>
      <c r="M273" s="230"/>
      <c r="N273" s="230"/>
      <c r="O273" s="230"/>
      <c r="P273" s="230"/>
      <c r="Q273" s="230"/>
      <c r="R273" s="230"/>
      <c r="S273" s="230"/>
      <c r="T273" s="230"/>
      <c r="U273" s="230"/>
      <c r="V273" s="230"/>
      <c r="W273" s="230"/>
      <c r="X273" s="230"/>
      <c r="Y273" s="230"/>
      <c r="Z273" s="230"/>
      <c r="AA273" s="230"/>
      <c r="AB273" s="230"/>
      <c r="AC273" s="230"/>
      <c r="AD273" s="230"/>
      <c r="AE273" s="230"/>
      <c r="AF273" s="230"/>
      <c r="AG273" s="230"/>
      <c r="AH273" s="230"/>
      <c r="AI273" s="230"/>
      <c r="AJ273" s="230"/>
      <c r="AK273" s="230"/>
      <c r="AL273" s="230"/>
      <c r="AM273" s="230"/>
      <c r="AN273" s="230"/>
      <c r="AO273" s="230"/>
      <c r="AP273" s="230"/>
      <c r="AQ273" s="230"/>
      <c r="AR273" s="230"/>
      <c r="AS273" s="230"/>
      <c r="AT273" s="230"/>
      <c r="AU273" s="230"/>
      <c r="AV273" s="230"/>
      <c r="AW273" s="230"/>
      <c r="AX273" s="230"/>
      <c r="AY273" s="230"/>
      <c r="AZ273" s="230"/>
      <c r="BA273" s="230"/>
      <c r="BB273" s="230"/>
      <c r="BC273" s="230"/>
      <c r="BD273" s="230"/>
    </row>
    <row r="274" spans="1:56" ht="18.75" customHeight="1">
      <c r="A274" s="230"/>
      <c r="B274" s="230"/>
      <c r="C274" s="230"/>
      <c r="D274" s="230"/>
      <c r="E274" s="59"/>
      <c r="F274" s="230"/>
      <c r="G274" s="230"/>
      <c r="H274" s="203" t="s">
        <v>463</v>
      </c>
      <c r="I274" s="461" t="e">
        <f ca="1">Calcu!E118</f>
        <v>#N/A</v>
      </c>
      <c r="J274" s="461"/>
      <c r="K274" s="461"/>
      <c r="L274" s="225" t="s">
        <v>464</v>
      </c>
      <c r="M274" s="465" t="e">
        <f ca="1">F266</f>
        <v>#N/A</v>
      </c>
      <c r="N274" s="465"/>
      <c r="O274" s="465"/>
      <c r="P274" s="152"/>
      <c r="Q274" s="267"/>
      <c r="R274" s="466" t="e">
        <f ca="1">K266</f>
        <v>#N/A</v>
      </c>
      <c r="S274" s="445"/>
      <c r="T274" s="445"/>
      <c r="U274" s="230"/>
      <c r="V274" s="230"/>
      <c r="W274" s="230"/>
      <c r="X274" s="450" t="str">
        <f>Q266</f>
        <v>μm</v>
      </c>
      <c r="Y274" s="450"/>
      <c r="Z274" s="225" t="s">
        <v>465</v>
      </c>
      <c r="AA274" s="465" t="e">
        <f ca="1">Calcu!C107</f>
        <v>#N/A</v>
      </c>
      <c r="AB274" s="465"/>
      <c r="AC274" s="465"/>
      <c r="AD274" s="152"/>
      <c r="AE274" s="267"/>
      <c r="AF274" s="466" t="e">
        <f ca="1">Calcu!D107</f>
        <v>#N/A</v>
      </c>
      <c r="AG274" s="445"/>
      <c r="AH274" s="445"/>
      <c r="AI274" s="230"/>
      <c r="AJ274" s="230"/>
      <c r="AK274" s="230"/>
      <c r="AL274" s="450" t="str">
        <f>X274</f>
        <v>μm</v>
      </c>
      <c r="AM274" s="450"/>
      <c r="AN274" s="265" t="s">
        <v>466</v>
      </c>
      <c r="AO274" s="467" t="e">
        <f ca="1">AA274</f>
        <v>#N/A</v>
      </c>
      <c r="AP274" s="467"/>
      <c r="AQ274" s="467"/>
      <c r="AR274" s="152"/>
      <c r="AS274" s="468" t="e">
        <f ca="1">AF274</f>
        <v>#N/A</v>
      </c>
      <c r="AT274" s="468"/>
      <c r="AU274" s="468"/>
      <c r="AV274" s="268"/>
      <c r="AW274" s="230"/>
      <c r="AX274" s="230"/>
      <c r="AY274" s="230"/>
      <c r="AZ274" s="450" t="str">
        <f>AL274</f>
        <v>μm</v>
      </c>
      <c r="BA274" s="450"/>
    </row>
    <row r="279" spans="1:56" s="68" customFormat="1" ht="31.5">
      <c r="A279" s="67" t="s">
        <v>502</v>
      </c>
    </row>
    <row r="280" spans="1:56" s="68" customFormat="1" ht="18.75" customHeight="1"/>
    <row r="281" spans="1:56" s="68" customFormat="1" ht="18.75" customHeight="1">
      <c r="A281" s="69" t="s">
        <v>294</v>
      </c>
    </row>
    <row r="282" spans="1:56" s="68" customFormat="1" ht="18.75" customHeight="1">
      <c r="B282" s="533" t="s">
        <v>60</v>
      </c>
      <c r="C282" s="533"/>
      <c r="D282" s="533"/>
      <c r="E282" s="533"/>
      <c r="F282" s="533"/>
      <c r="G282" s="533"/>
      <c r="H282" s="534" t="s">
        <v>225</v>
      </c>
      <c r="I282" s="534"/>
      <c r="J282" s="534"/>
      <c r="K282" s="534"/>
      <c r="L282" s="534"/>
      <c r="M282" s="534"/>
      <c r="N282" s="533" t="s">
        <v>30</v>
      </c>
      <c r="O282" s="533"/>
      <c r="P282" s="533"/>
      <c r="Q282" s="533"/>
      <c r="R282" s="533"/>
      <c r="S282" s="533"/>
      <c r="T282" s="533" t="s">
        <v>297</v>
      </c>
      <c r="U282" s="533"/>
      <c r="V282" s="533"/>
      <c r="W282" s="533"/>
      <c r="X282" s="533"/>
      <c r="Y282" s="533"/>
    </row>
    <row r="283" spans="1:56" s="68" customFormat="1" ht="18.75" customHeight="1">
      <c r="B283" s="535">
        <f>Calcu!H126</f>
        <v>0</v>
      </c>
      <c r="C283" s="535"/>
      <c r="D283" s="535"/>
      <c r="E283" s="535"/>
      <c r="F283" s="535"/>
      <c r="G283" s="535"/>
      <c r="H283" s="536">
        <f>Calcu!I126</f>
        <v>1</v>
      </c>
      <c r="I283" s="536"/>
      <c r="J283" s="536"/>
      <c r="K283" s="536"/>
      <c r="L283" s="536"/>
      <c r="M283" s="536"/>
      <c r="N283" s="535" t="s">
        <v>526</v>
      </c>
      <c r="O283" s="535"/>
      <c r="P283" s="535"/>
      <c r="Q283" s="535"/>
      <c r="R283" s="535"/>
      <c r="S283" s="535"/>
      <c r="T283" s="535" t="s">
        <v>521</v>
      </c>
      <c r="U283" s="535"/>
      <c r="V283" s="535"/>
      <c r="W283" s="535"/>
      <c r="X283" s="535"/>
      <c r="Y283" s="535"/>
    </row>
    <row r="284" spans="1:56" s="68" customFormat="1" ht="18.75" customHeight="1"/>
    <row r="285" spans="1:56" ht="18.75" customHeight="1">
      <c r="A285" s="57" t="s">
        <v>298</v>
      </c>
      <c r="B285" s="279"/>
      <c r="C285" s="279"/>
      <c r="D285" s="279"/>
      <c r="E285" s="279"/>
      <c r="F285" s="279"/>
      <c r="G285" s="279"/>
      <c r="H285" s="279"/>
      <c r="I285" s="279"/>
      <c r="J285" s="279"/>
      <c r="K285" s="279"/>
      <c r="L285" s="279"/>
      <c r="M285" s="279"/>
      <c r="N285" s="279"/>
      <c r="O285" s="279"/>
      <c r="P285" s="279"/>
      <c r="Q285" s="279"/>
      <c r="R285" s="279"/>
      <c r="S285" s="279"/>
      <c r="T285" s="279"/>
      <c r="U285" s="279"/>
      <c r="V285" s="279"/>
      <c r="W285" s="279"/>
      <c r="X285" s="279"/>
      <c r="Y285" s="279"/>
      <c r="Z285" s="279"/>
      <c r="AA285" s="279"/>
      <c r="AB285" s="279"/>
      <c r="AC285" s="279"/>
      <c r="AD285" s="279"/>
      <c r="AE285" s="279"/>
      <c r="AF285" s="279"/>
      <c r="AG285" s="279"/>
      <c r="AH285" s="279"/>
      <c r="AI285" s="279"/>
      <c r="AJ285" s="279"/>
      <c r="AK285" s="279"/>
      <c r="AL285" s="279"/>
      <c r="AM285" s="279"/>
      <c r="AN285" s="279"/>
      <c r="AO285" s="279"/>
      <c r="AP285" s="279"/>
      <c r="AQ285" s="279"/>
      <c r="AR285" s="279"/>
    </row>
    <row r="286" spans="1:56" ht="18.75" customHeight="1">
      <c r="A286" s="57"/>
      <c r="B286" s="520" t="s">
        <v>92</v>
      </c>
      <c r="C286" s="521"/>
      <c r="D286" s="521"/>
      <c r="E286" s="521"/>
      <c r="F286" s="522"/>
      <c r="G286" s="537" t="str">
        <f>N283&amp;" 지시값"</f>
        <v>측정현미경 지시값</v>
      </c>
      <c r="H286" s="538"/>
      <c r="I286" s="538"/>
      <c r="J286" s="538"/>
      <c r="K286" s="538"/>
      <c r="L286" s="538"/>
      <c r="M286" s="538"/>
      <c r="N286" s="538"/>
      <c r="O286" s="538"/>
      <c r="P286" s="538"/>
      <c r="Q286" s="538"/>
      <c r="R286" s="538"/>
      <c r="S286" s="538"/>
      <c r="T286" s="538"/>
      <c r="U286" s="538"/>
      <c r="V286" s="538"/>
      <c r="W286" s="538"/>
      <c r="X286" s="538"/>
      <c r="Y286" s="538"/>
      <c r="Z286" s="538"/>
      <c r="AA286" s="538"/>
      <c r="AB286" s="538"/>
      <c r="AC286" s="538"/>
      <c r="AD286" s="538"/>
      <c r="AE286" s="539"/>
      <c r="AF286" s="520" t="s">
        <v>300</v>
      </c>
      <c r="AG286" s="521"/>
      <c r="AH286" s="521"/>
      <c r="AI286" s="521"/>
      <c r="AJ286" s="522"/>
      <c r="AK286" s="520" t="s">
        <v>235</v>
      </c>
      <c r="AL286" s="521"/>
      <c r="AM286" s="521"/>
      <c r="AN286" s="521"/>
      <c r="AO286" s="522"/>
    </row>
    <row r="287" spans="1:56" ht="18.75" customHeight="1">
      <c r="A287" s="57"/>
      <c r="B287" s="523"/>
      <c r="C287" s="524"/>
      <c r="D287" s="524"/>
      <c r="E287" s="524"/>
      <c r="F287" s="525"/>
      <c r="G287" s="537" t="s">
        <v>245</v>
      </c>
      <c r="H287" s="538"/>
      <c r="I287" s="538"/>
      <c r="J287" s="538"/>
      <c r="K287" s="539"/>
      <c r="L287" s="537" t="s">
        <v>246</v>
      </c>
      <c r="M287" s="538"/>
      <c r="N287" s="538"/>
      <c r="O287" s="538"/>
      <c r="P287" s="539"/>
      <c r="Q287" s="537" t="s">
        <v>303</v>
      </c>
      <c r="R287" s="538"/>
      <c r="S287" s="538"/>
      <c r="T287" s="538"/>
      <c r="U287" s="539"/>
      <c r="V287" s="537" t="s">
        <v>304</v>
      </c>
      <c r="W287" s="538"/>
      <c r="X287" s="538"/>
      <c r="Y287" s="538"/>
      <c r="Z287" s="539"/>
      <c r="AA287" s="537" t="s">
        <v>305</v>
      </c>
      <c r="AB287" s="538"/>
      <c r="AC287" s="538"/>
      <c r="AD287" s="538"/>
      <c r="AE287" s="539"/>
      <c r="AF287" s="523"/>
      <c r="AG287" s="524"/>
      <c r="AH287" s="524"/>
      <c r="AI287" s="524"/>
      <c r="AJ287" s="525"/>
      <c r="AK287" s="523"/>
      <c r="AL287" s="524"/>
      <c r="AM287" s="524"/>
      <c r="AN287" s="524"/>
      <c r="AO287" s="525"/>
    </row>
    <row r="288" spans="1:56" ht="18.75" customHeight="1">
      <c r="A288" s="57"/>
      <c r="B288" s="537" t="s">
        <v>184</v>
      </c>
      <c r="C288" s="538"/>
      <c r="D288" s="538"/>
      <c r="E288" s="538"/>
      <c r="F288" s="539"/>
      <c r="G288" s="537" t="str">
        <f>B288</f>
        <v>mm</v>
      </c>
      <c r="H288" s="538"/>
      <c r="I288" s="538"/>
      <c r="J288" s="538"/>
      <c r="K288" s="539"/>
      <c r="L288" s="537" t="str">
        <f>G288</f>
        <v>mm</v>
      </c>
      <c r="M288" s="538"/>
      <c r="N288" s="538"/>
      <c r="O288" s="538"/>
      <c r="P288" s="539"/>
      <c r="Q288" s="537" t="str">
        <f>L288</f>
        <v>mm</v>
      </c>
      <c r="R288" s="538"/>
      <c r="S288" s="538"/>
      <c r="T288" s="538"/>
      <c r="U288" s="539"/>
      <c r="V288" s="537" t="str">
        <f>Q288</f>
        <v>mm</v>
      </c>
      <c r="W288" s="538"/>
      <c r="X288" s="538"/>
      <c r="Y288" s="538"/>
      <c r="Z288" s="539"/>
      <c r="AA288" s="537" t="str">
        <f>V288</f>
        <v>mm</v>
      </c>
      <c r="AB288" s="538"/>
      <c r="AC288" s="538"/>
      <c r="AD288" s="538"/>
      <c r="AE288" s="539"/>
      <c r="AF288" s="537" t="s">
        <v>184</v>
      </c>
      <c r="AG288" s="538"/>
      <c r="AH288" s="538"/>
      <c r="AI288" s="538"/>
      <c r="AJ288" s="539"/>
      <c r="AK288" s="537" t="s">
        <v>184</v>
      </c>
      <c r="AL288" s="538"/>
      <c r="AM288" s="538"/>
      <c r="AN288" s="538"/>
      <c r="AO288" s="539"/>
    </row>
    <row r="289" spans="1:41" ht="18.75" customHeight="1">
      <c r="A289" s="57"/>
      <c r="B289" s="518" t="str">
        <f>Calcu!T132</f>
        <v/>
      </c>
      <c r="C289" s="484"/>
      <c r="D289" s="484"/>
      <c r="E289" s="484"/>
      <c r="F289" s="519"/>
      <c r="G289" s="518" t="str">
        <f>IF(Calcu!B132=TRUE,Calcu!E132*$H$283,"")</f>
        <v/>
      </c>
      <c r="H289" s="484"/>
      <c r="I289" s="484"/>
      <c r="J289" s="484"/>
      <c r="K289" s="519"/>
      <c r="L289" s="518" t="str">
        <f>IF(Calcu!B132=TRUE,Calcu!F132*H$283,"")</f>
        <v/>
      </c>
      <c r="M289" s="484"/>
      <c r="N289" s="484"/>
      <c r="O289" s="484"/>
      <c r="P289" s="519"/>
      <c r="Q289" s="518" t="str">
        <f>IF(Calcu!B132=TRUE,Calcu!G132*H$283,"")</f>
        <v/>
      </c>
      <c r="R289" s="484"/>
      <c r="S289" s="484"/>
      <c r="T289" s="484"/>
      <c r="U289" s="519"/>
      <c r="V289" s="518" t="str">
        <f>IF(Calcu!B132=TRUE,Calcu!H132*H$283,"")</f>
        <v/>
      </c>
      <c r="W289" s="484"/>
      <c r="X289" s="484"/>
      <c r="Y289" s="484"/>
      <c r="Z289" s="519"/>
      <c r="AA289" s="518" t="str">
        <f>IF(Calcu!B132=TRUE,Calcu!I132*H$283,"")</f>
        <v/>
      </c>
      <c r="AB289" s="484"/>
      <c r="AC289" s="484"/>
      <c r="AD289" s="484"/>
      <c r="AE289" s="519"/>
      <c r="AF289" s="518" t="str">
        <f>Calcu!M132</f>
        <v/>
      </c>
      <c r="AG289" s="484"/>
      <c r="AH289" s="484"/>
      <c r="AI289" s="484"/>
      <c r="AJ289" s="519"/>
      <c r="AK289" s="518" t="str">
        <f>Calcu!K132</f>
        <v/>
      </c>
      <c r="AL289" s="484"/>
      <c r="AM289" s="484"/>
      <c r="AN289" s="484"/>
      <c r="AO289" s="519"/>
    </row>
    <row r="290" spans="1:41" ht="18.75" customHeight="1">
      <c r="A290" s="57"/>
      <c r="B290" s="518" t="str">
        <f>Calcu!T133</f>
        <v/>
      </c>
      <c r="C290" s="484"/>
      <c r="D290" s="484"/>
      <c r="E290" s="484"/>
      <c r="F290" s="519"/>
      <c r="G290" s="518" t="str">
        <f>IF(Calcu!B133=TRUE,Calcu!E133*$H$283,"")</f>
        <v/>
      </c>
      <c r="H290" s="484"/>
      <c r="I290" s="484"/>
      <c r="J290" s="484"/>
      <c r="K290" s="519"/>
      <c r="L290" s="518" t="str">
        <f>IF(Calcu!B133=TRUE,Calcu!F133*H$283,"")</f>
        <v/>
      </c>
      <c r="M290" s="484"/>
      <c r="N290" s="484"/>
      <c r="O290" s="484"/>
      <c r="P290" s="519"/>
      <c r="Q290" s="518" t="str">
        <f>IF(Calcu!B133=TRUE,Calcu!G133*H$283,"")</f>
        <v/>
      </c>
      <c r="R290" s="484"/>
      <c r="S290" s="484"/>
      <c r="T290" s="484"/>
      <c r="U290" s="519"/>
      <c r="V290" s="518" t="str">
        <f>IF(Calcu!B133=TRUE,Calcu!H133*H$283,"")</f>
        <v/>
      </c>
      <c r="W290" s="484"/>
      <c r="X290" s="484"/>
      <c r="Y290" s="484"/>
      <c r="Z290" s="519"/>
      <c r="AA290" s="518" t="str">
        <f>IF(Calcu!B133=TRUE,Calcu!I133*H$283,"")</f>
        <v/>
      </c>
      <c r="AB290" s="484"/>
      <c r="AC290" s="484"/>
      <c r="AD290" s="484"/>
      <c r="AE290" s="519"/>
      <c r="AF290" s="518" t="str">
        <f>Calcu!M133</f>
        <v/>
      </c>
      <c r="AG290" s="484"/>
      <c r="AH290" s="484"/>
      <c r="AI290" s="484"/>
      <c r="AJ290" s="519"/>
      <c r="AK290" s="518" t="str">
        <f>Calcu!K133</f>
        <v/>
      </c>
      <c r="AL290" s="484"/>
      <c r="AM290" s="484"/>
      <c r="AN290" s="484"/>
      <c r="AO290" s="519"/>
    </row>
    <row r="291" spans="1:41" ht="18.75" customHeight="1">
      <c r="A291" s="57"/>
      <c r="B291" s="518" t="str">
        <f>Calcu!T134</f>
        <v/>
      </c>
      <c r="C291" s="484"/>
      <c r="D291" s="484"/>
      <c r="E291" s="484"/>
      <c r="F291" s="519"/>
      <c r="G291" s="518" t="str">
        <f>IF(Calcu!B134=TRUE,Calcu!E134*$H$283,"")</f>
        <v/>
      </c>
      <c r="H291" s="484"/>
      <c r="I291" s="484"/>
      <c r="J291" s="484"/>
      <c r="K291" s="519"/>
      <c r="L291" s="518" t="str">
        <f>IF(Calcu!B134=TRUE,Calcu!F134*H$283,"")</f>
        <v/>
      </c>
      <c r="M291" s="484"/>
      <c r="N291" s="484"/>
      <c r="O291" s="484"/>
      <c r="P291" s="519"/>
      <c r="Q291" s="518" t="str">
        <f>IF(Calcu!B134=TRUE,Calcu!G134*H$283,"")</f>
        <v/>
      </c>
      <c r="R291" s="484"/>
      <c r="S291" s="484"/>
      <c r="T291" s="484"/>
      <c r="U291" s="519"/>
      <c r="V291" s="518" t="str">
        <f>IF(Calcu!B134=TRUE,Calcu!H134*H$283,"")</f>
        <v/>
      </c>
      <c r="W291" s="484"/>
      <c r="X291" s="484"/>
      <c r="Y291" s="484"/>
      <c r="Z291" s="519"/>
      <c r="AA291" s="518" t="str">
        <f>IF(Calcu!B134=TRUE,Calcu!I134*H$283,"")</f>
        <v/>
      </c>
      <c r="AB291" s="484"/>
      <c r="AC291" s="484"/>
      <c r="AD291" s="484"/>
      <c r="AE291" s="519"/>
      <c r="AF291" s="518" t="str">
        <f>Calcu!M134</f>
        <v/>
      </c>
      <c r="AG291" s="484"/>
      <c r="AH291" s="484"/>
      <c r="AI291" s="484"/>
      <c r="AJ291" s="519"/>
      <c r="AK291" s="518" t="str">
        <f>Calcu!K134</f>
        <v/>
      </c>
      <c r="AL291" s="484"/>
      <c r="AM291" s="484"/>
      <c r="AN291" s="484"/>
      <c r="AO291" s="519"/>
    </row>
    <row r="292" spans="1:41" ht="18.75" customHeight="1">
      <c r="A292" s="57"/>
      <c r="B292" s="518" t="str">
        <f>Calcu!T135</f>
        <v/>
      </c>
      <c r="C292" s="484"/>
      <c r="D292" s="484"/>
      <c r="E292" s="484"/>
      <c r="F292" s="519"/>
      <c r="G292" s="518" t="str">
        <f>IF(Calcu!B135=TRUE,Calcu!E135*$H$283,"")</f>
        <v/>
      </c>
      <c r="H292" s="484"/>
      <c r="I292" s="484"/>
      <c r="J292" s="484"/>
      <c r="K292" s="519"/>
      <c r="L292" s="518" t="str">
        <f>IF(Calcu!B135=TRUE,Calcu!F135*H$283,"")</f>
        <v/>
      </c>
      <c r="M292" s="484"/>
      <c r="N292" s="484"/>
      <c r="O292" s="484"/>
      <c r="P292" s="519"/>
      <c r="Q292" s="518" t="str">
        <f>IF(Calcu!B135=TRUE,Calcu!G135*H$283,"")</f>
        <v/>
      </c>
      <c r="R292" s="484"/>
      <c r="S292" s="484"/>
      <c r="T292" s="484"/>
      <c r="U292" s="519"/>
      <c r="V292" s="518" t="str">
        <f>IF(Calcu!B135=TRUE,Calcu!H135*H$283,"")</f>
        <v/>
      </c>
      <c r="W292" s="484"/>
      <c r="X292" s="484"/>
      <c r="Y292" s="484"/>
      <c r="Z292" s="519"/>
      <c r="AA292" s="518" t="str">
        <f>IF(Calcu!B135=TRUE,Calcu!I135*H$283,"")</f>
        <v/>
      </c>
      <c r="AB292" s="484"/>
      <c r="AC292" s="484"/>
      <c r="AD292" s="484"/>
      <c r="AE292" s="519"/>
      <c r="AF292" s="518" t="str">
        <f>Calcu!M135</f>
        <v/>
      </c>
      <c r="AG292" s="484"/>
      <c r="AH292" s="484"/>
      <c r="AI292" s="484"/>
      <c r="AJ292" s="519"/>
      <c r="AK292" s="518" t="str">
        <f>Calcu!K135</f>
        <v/>
      </c>
      <c r="AL292" s="484"/>
      <c r="AM292" s="484"/>
      <c r="AN292" s="484"/>
      <c r="AO292" s="519"/>
    </row>
    <row r="293" spans="1:41" ht="18.75" customHeight="1">
      <c r="A293" s="57"/>
      <c r="B293" s="518" t="str">
        <f>Calcu!T136</f>
        <v/>
      </c>
      <c r="C293" s="484"/>
      <c r="D293" s="484"/>
      <c r="E293" s="484"/>
      <c r="F293" s="519"/>
      <c r="G293" s="518" t="str">
        <f>IF(Calcu!B136=TRUE,Calcu!E136*$H$283,"")</f>
        <v/>
      </c>
      <c r="H293" s="484"/>
      <c r="I293" s="484"/>
      <c r="J293" s="484"/>
      <c r="K293" s="519"/>
      <c r="L293" s="518" t="str">
        <f>IF(Calcu!B136=TRUE,Calcu!F136*H$283,"")</f>
        <v/>
      </c>
      <c r="M293" s="484"/>
      <c r="N293" s="484"/>
      <c r="O293" s="484"/>
      <c r="P293" s="519"/>
      <c r="Q293" s="518" t="str">
        <f>IF(Calcu!B136=TRUE,Calcu!G136*H$283,"")</f>
        <v/>
      </c>
      <c r="R293" s="484"/>
      <c r="S293" s="484"/>
      <c r="T293" s="484"/>
      <c r="U293" s="519"/>
      <c r="V293" s="518" t="str">
        <f>IF(Calcu!B136=TRUE,Calcu!H136*H$283,"")</f>
        <v/>
      </c>
      <c r="W293" s="484"/>
      <c r="X293" s="484"/>
      <c r="Y293" s="484"/>
      <c r="Z293" s="519"/>
      <c r="AA293" s="518" t="str">
        <f>IF(Calcu!B136=TRUE,Calcu!I136*H$283,"")</f>
        <v/>
      </c>
      <c r="AB293" s="484"/>
      <c r="AC293" s="484"/>
      <c r="AD293" s="484"/>
      <c r="AE293" s="519"/>
      <c r="AF293" s="518" t="str">
        <f>Calcu!M136</f>
        <v/>
      </c>
      <c r="AG293" s="484"/>
      <c r="AH293" s="484"/>
      <c r="AI293" s="484"/>
      <c r="AJ293" s="519"/>
      <c r="AK293" s="518" t="str">
        <f>Calcu!K136</f>
        <v/>
      </c>
      <c r="AL293" s="484"/>
      <c r="AM293" s="484"/>
      <c r="AN293" s="484"/>
      <c r="AO293" s="519"/>
    </row>
    <row r="294" spans="1:41" ht="18.75" customHeight="1">
      <c r="A294" s="57"/>
      <c r="B294" s="518" t="str">
        <f>Calcu!T137</f>
        <v/>
      </c>
      <c r="C294" s="484"/>
      <c r="D294" s="484"/>
      <c r="E294" s="484"/>
      <c r="F294" s="519"/>
      <c r="G294" s="518" t="str">
        <f>IF(Calcu!B137=TRUE,Calcu!E137*$H$283,"")</f>
        <v/>
      </c>
      <c r="H294" s="484"/>
      <c r="I294" s="484"/>
      <c r="J294" s="484"/>
      <c r="K294" s="519"/>
      <c r="L294" s="518" t="str">
        <f>IF(Calcu!B137=TRUE,Calcu!F137*H$283,"")</f>
        <v/>
      </c>
      <c r="M294" s="484"/>
      <c r="N294" s="484"/>
      <c r="O294" s="484"/>
      <c r="P294" s="519"/>
      <c r="Q294" s="518" t="str">
        <f>IF(Calcu!B137=TRUE,Calcu!G137*H$283,"")</f>
        <v/>
      </c>
      <c r="R294" s="484"/>
      <c r="S294" s="484"/>
      <c r="T294" s="484"/>
      <c r="U294" s="519"/>
      <c r="V294" s="518" t="str">
        <f>IF(Calcu!B137=TRUE,Calcu!H137*H$283,"")</f>
        <v/>
      </c>
      <c r="W294" s="484"/>
      <c r="X294" s="484"/>
      <c r="Y294" s="484"/>
      <c r="Z294" s="519"/>
      <c r="AA294" s="518" t="str">
        <f>IF(Calcu!B137=TRUE,Calcu!I137*H$283,"")</f>
        <v/>
      </c>
      <c r="AB294" s="484"/>
      <c r="AC294" s="484"/>
      <c r="AD294" s="484"/>
      <c r="AE294" s="519"/>
      <c r="AF294" s="518" t="str">
        <f>Calcu!M137</f>
        <v/>
      </c>
      <c r="AG294" s="484"/>
      <c r="AH294" s="484"/>
      <c r="AI294" s="484"/>
      <c r="AJ294" s="519"/>
      <c r="AK294" s="518" t="str">
        <f>Calcu!K137</f>
        <v/>
      </c>
      <c r="AL294" s="484"/>
      <c r="AM294" s="484"/>
      <c r="AN294" s="484"/>
      <c r="AO294" s="519"/>
    </row>
    <row r="295" spans="1:41" ht="18.75" customHeight="1">
      <c r="A295" s="57"/>
      <c r="B295" s="518" t="str">
        <f>Calcu!T138</f>
        <v/>
      </c>
      <c r="C295" s="484"/>
      <c r="D295" s="484"/>
      <c r="E295" s="484"/>
      <c r="F295" s="519"/>
      <c r="G295" s="518" t="str">
        <f>IF(Calcu!B138=TRUE,Calcu!E138*$H$283,"")</f>
        <v/>
      </c>
      <c r="H295" s="484"/>
      <c r="I295" s="484"/>
      <c r="J295" s="484"/>
      <c r="K295" s="519"/>
      <c r="L295" s="518" t="str">
        <f>IF(Calcu!B138=TRUE,Calcu!F138*H$283,"")</f>
        <v/>
      </c>
      <c r="M295" s="484"/>
      <c r="N295" s="484"/>
      <c r="O295" s="484"/>
      <c r="P295" s="519"/>
      <c r="Q295" s="518" t="str">
        <f>IF(Calcu!B138=TRUE,Calcu!G138*H$283,"")</f>
        <v/>
      </c>
      <c r="R295" s="484"/>
      <c r="S295" s="484"/>
      <c r="T295" s="484"/>
      <c r="U295" s="519"/>
      <c r="V295" s="518" t="str">
        <f>IF(Calcu!B138=TRUE,Calcu!H138*H$283,"")</f>
        <v/>
      </c>
      <c r="W295" s="484"/>
      <c r="X295" s="484"/>
      <c r="Y295" s="484"/>
      <c r="Z295" s="519"/>
      <c r="AA295" s="518" t="str">
        <f>IF(Calcu!B138=TRUE,Calcu!I138*H$283,"")</f>
        <v/>
      </c>
      <c r="AB295" s="484"/>
      <c r="AC295" s="484"/>
      <c r="AD295" s="484"/>
      <c r="AE295" s="519"/>
      <c r="AF295" s="518" t="str">
        <f>Calcu!M138</f>
        <v/>
      </c>
      <c r="AG295" s="484"/>
      <c r="AH295" s="484"/>
      <c r="AI295" s="484"/>
      <c r="AJ295" s="519"/>
      <c r="AK295" s="518" t="str">
        <f>Calcu!K138</f>
        <v/>
      </c>
      <c r="AL295" s="484"/>
      <c r="AM295" s="484"/>
      <c r="AN295" s="484"/>
      <c r="AO295" s="519"/>
    </row>
    <row r="296" spans="1:41" ht="18.75" customHeight="1">
      <c r="A296" s="57"/>
      <c r="B296" s="518" t="str">
        <f>Calcu!T139</f>
        <v/>
      </c>
      <c r="C296" s="484"/>
      <c r="D296" s="484"/>
      <c r="E296" s="484"/>
      <c r="F296" s="519"/>
      <c r="G296" s="518" t="str">
        <f>IF(Calcu!B139=TRUE,Calcu!E139*$H$283,"")</f>
        <v/>
      </c>
      <c r="H296" s="484"/>
      <c r="I296" s="484"/>
      <c r="J296" s="484"/>
      <c r="K296" s="519"/>
      <c r="L296" s="518" t="str">
        <f>IF(Calcu!B139=TRUE,Calcu!F139*H$283,"")</f>
        <v/>
      </c>
      <c r="M296" s="484"/>
      <c r="N296" s="484"/>
      <c r="O296" s="484"/>
      <c r="P296" s="519"/>
      <c r="Q296" s="518" t="str">
        <f>IF(Calcu!B139=TRUE,Calcu!G139*H$283,"")</f>
        <v/>
      </c>
      <c r="R296" s="484"/>
      <c r="S296" s="484"/>
      <c r="T296" s="484"/>
      <c r="U296" s="519"/>
      <c r="V296" s="518" t="str">
        <f>IF(Calcu!B139=TRUE,Calcu!H139*H$283,"")</f>
        <v/>
      </c>
      <c r="W296" s="484"/>
      <c r="X296" s="484"/>
      <c r="Y296" s="484"/>
      <c r="Z296" s="519"/>
      <c r="AA296" s="518" t="str">
        <f>IF(Calcu!B139=TRUE,Calcu!I139*H$283,"")</f>
        <v/>
      </c>
      <c r="AB296" s="484"/>
      <c r="AC296" s="484"/>
      <c r="AD296" s="484"/>
      <c r="AE296" s="519"/>
      <c r="AF296" s="518" t="str">
        <f>Calcu!M139</f>
        <v/>
      </c>
      <c r="AG296" s="484"/>
      <c r="AH296" s="484"/>
      <c r="AI296" s="484"/>
      <c r="AJ296" s="519"/>
      <c r="AK296" s="518" t="str">
        <f>Calcu!K139</f>
        <v/>
      </c>
      <c r="AL296" s="484"/>
      <c r="AM296" s="484"/>
      <c r="AN296" s="484"/>
      <c r="AO296" s="519"/>
    </row>
    <row r="297" spans="1:41" ht="18.75" customHeight="1">
      <c r="A297" s="57"/>
      <c r="B297" s="518" t="str">
        <f>Calcu!T140</f>
        <v/>
      </c>
      <c r="C297" s="484"/>
      <c r="D297" s="484"/>
      <c r="E297" s="484"/>
      <c r="F297" s="519"/>
      <c r="G297" s="518" t="str">
        <f>IF(Calcu!B140=TRUE,Calcu!E140*$H$283,"")</f>
        <v/>
      </c>
      <c r="H297" s="484"/>
      <c r="I297" s="484"/>
      <c r="J297" s="484"/>
      <c r="K297" s="519"/>
      <c r="L297" s="518" t="str">
        <f>IF(Calcu!B140=TRUE,Calcu!F140*H$283,"")</f>
        <v/>
      </c>
      <c r="M297" s="484"/>
      <c r="N297" s="484"/>
      <c r="O297" s="484"/>
      <c r="P297" s="519"/>
      <c r="Q297" s="518" t="str">
        <f>IF(Calcu!B140=TRUE,Calcu!G140*H$283,"")</f>
        <v/>
      </c>
      <c r="R297" s="484"/>
      <c r="S297" s="484"/>
      <c r="T297" s="484"/>
      <c r="U297" s="519"/>
      <c r="V297" s="518" t="str">
        <f>IF(Calcu!B140=TRUE,Calcu!H140*H$283,"")</f>
        <v/>
      </c>
      <c r="W297" s="484"/>
      <c r="X297" s="484"/>
      <c r="Y297" s="484"/>
      <c r="Z297" s="519"/>
      <c r="AA297" s="518" t="str">
        <f>IF(Calcu!B140=TRUE,Calcu!I140*H$283,"")</f>
        <v/>
      </c>
      <c r="AB297" s="484"/>
      <c r="AC297" s="484"/>
      <c r="AD297" s="484"/>
      <c r="AE297" s="519"/>
      <c r="AF297" s="518" t="str">
        <f>Calcu!M140</f>
        <v/>
      </c>
      <c r="AG297" s="484"/>
      <c r="AH297" s="484"/>
      <c r="AI297" s="484"/>
      <c r="AJ297" s="519"/>
      <c r="AK297" s="518" t="str">
        <f>Calcu!K140</f>
        <v/>
      </c>
      <c r="AL297" s="484"/>
      <c r="AM297" s="484"/>
      <c r="AN297" s="484"/>
      <c r="AO297" s="519"/>
    </row>
    <row r="298" spans="1:41" ht="18.75" customHeight="1">
      <c r="A298" s="57"/>
      <c r="B298" s="518" t="str">
        <f>Calcu!T141</f>
        <v/>
      </c>
      <c r="C298" s="484"/>
      <c r="D298" s="484"/>
      <c r="E298" s="484"/>
      <c r="F298" s="519"/>
      <c r="G298" s="518" t="str">
        <f>IF(Calcu!B141=TRUE,Calcu!E141*$H$283,"")</f>
        <v/>
      </c>
      <c r="H298" s="484"/>
      <c r="I298" s="484"/>
      <c r="J298" s="484"/>
      <c r="K298" s="519"/>
      <c r="L298" s="518" t="str">
        <f>IF(Calcu!B141=TRUE,Calcu!F141*H$283,"")</f>
        <v/>
      </c>
      <c r="M298" s="484"/>
      <c r="N298" s="484"/>
      <c r="O298" s="484"/>
      <c r="P298" s="519"/>
      <c r="Q298" s="518" t="str">
        <f>IF(Calcu!B141=TRUE,Calcu!G141*H$283,"")</f>
        <v/>
      </c>
      <c r="R298" s="484"/>
      <c r="S298" s="484"/>
      <c r="T298" s="484"/>
      <c r="U298" s="519"/>
      <c r="V298" s="518" t="str">
        <f>IF(Calcu!B141=TRUE,Calcu!H141*H$283,"")</f>
        <v/>
      </c>
      <c r="W298" s="484"/>
      <c r="X298" s="484"/>
      <c r="Y298" s="484"/>
      <c r="Z298" s="519"/>
      <c r="AA298" s="518" t="str">
        <f>IF(Calcu!B141=TRUE,Calcu!I141*H$283,"")</f>
        <v/>
      </c>
      <c r="AB298" s="484"/>
      <c r="AC298" s="484"/>
      <c r="AD298" s="484"/>
      <c r="AE298" s="519"/>
      <c r="AF298" s="518" t="str">
        <f>Calcu!M141</f>
        <v/>
      </c>
      <c r="AG298" s="484"/>
      <c r="AH298" s="484"/>
      <c r="AI298" s="484"/>
      <c r="AJ298" s="519"/>
      <c r="AK298" s="518" t="str">
        <f>Calcu!K141</f>
        <v/>
      </c>
      <c r="AL298" s="484"/>
      <c r="AM298" s="484"/>
      <c r="AN298" s="484"/>
      <c r="AO298" s="519"/>
    </row>
    <row r="299" spans="1:41" ht="18.75" customHeight="1">
      <c r="A299" s="57"/>
      <c r="B299" s="518" t="str">
        <f>Calcu!T142</f>
        <v/>
      </c>
      <c r="C299" s="484"/>
      <c r="D299" s="484"/>
      <c r="E299" s="484"/>
      <c r="F299" s="519"/>
      <c r="G299" s="518" t="str">
        <f>IF(Calcu!B142=TRUE,Calcu!E142*$H$283,"")</f>
        <v/>
      </c>
      <c r="H299" s="484"/>
      <c r="I299" s="484"/>
      <c r="J299" s="484"/>
      <c r="K299" s="519"/>
      <c r="L299" s="518" t="str">
        <f>IF(Calcu!B142=TRUE,Calcu!F142*H$283,"")</f>
        <v/>
      </c>
      <c r="M299" s="484"/>
      <c r="N299" s="484"/>
      <c r="O299" s="484"/>
      <c r="P299" s="519"/>
      <c r="Q299" s="518" t="str">
        <f>IF(Calcu!B142=TRUE,Calcu!G142*H$283,"")</f>
        <v/>
      </c>
      <c r="R299" s="484"/>
      <c r="S299" s="484"/>
      <c r="T299" s="484"/>
      <c r="U299" s="519"/>
      <c r="V299" s="518" t="str">
        <f>IF(Calcu!B142=TRUE,Calcu!H142*H$283,"")</f>
        <v/>
      </c>
      <c r="W299" s="484"/>
      <c r="X299" s="484"/>
      <c r="Y299" s="484"/>
      <c r="Z299" s="519"/>
      <c r="AA299" s="518" t="str">
        <f>IF(Calcu!B142=TRUE,Calcu!I142*H$283,"")</f>
        <v/>
      </c>
      <c r="AB299" s="484"/>
      <c r="AC299" s="484"/>
      <c r="AD299" s="484"/>
      <c r="AE299" s="519"/>
      <c r="AF299" s="518" t="str">
        <f>Calcu!M142</f>
        <v/>
      </c>
      <c r="AG299" s="484"/>
      <c r="AH299" s="484"/>
      <c r="AI299" s="484"/>
      <c r="AJ299" s="519"/>
      <c r="AK299" s="518" t="str">
        <f>Calcu!K142</f>
        <v/>
      </c>
      <c r="AL299" s="484"/>
      <c r="AM299" s="484"/>
      <c r="AN299" s="484"/>
      <c r="AO299" s="519"/>
    </row>
    <row r="300" spans="1:41" ht="18.75" customHeight="1">
      <c r="A300" s="57"/>
      <c r="B300" s="518" t="str">
        <f>Calcu!T143</f>
        <v/>
      </c>
      <c r="C300" s="484"/>
      <c r="D300" s="484"/>
      <c r="E300" s="484"/>
      <c r="F300" s="519"/>
      <c r="G300" s="518" t="str">
        <f>IF(Calcu!B143=TRUE,Calcu!E143*$H$283,"")</f>
        <v/>
      </c>
      <c r="H300" s="484"/>
      <c r="I300" s="484"/>
      <c r="J300" s="484"/>
      <c r="K300" s="519"/>
      <c r="L300" s="518" t="str">
        <f>IF(Calcu!B143=TRUE,Calcu!F143*H$283,"")</f>
        <v/>
      </c>
      <c r="M300" s="484"/>
      <c r="N300" s="484"/>
      <c r="O300" s="484"/>
      <c r="P300" s="519"/>
      <c r="Q300" s="518" t="str">
        <f>IF(Calcu!B143=TRUE,Calcu!G143*H$283,"")</f>
        <v/>
      </c>
      <c r="R300" s="484"/>
      <c r="S300" s="484"/>
      <c r="T300" s="484"/>
      <c r="U300" s="519"/>
      <c r="V300" s="518" t="str">
        <f>IF(Calcu!B143=TRUE,Calcu!H143*H$283,"")</f>
        <v/>
      </c>
      <c r="W300" s="484"/>
      <c r="X300" s="484"/>
      <c r="Y300" s="484"/>
      <c r="Z300" s="519"/>
      <c r="AA300" s="518" t="str">
        <f>IF(Calcu!B143=TRUE,Calcu!I143*H$283,"")</f>
        <v/>
      </c>
      <c r="AB300" s="484"/>
      <c r="AC300" s="484"/>
      <c r="AD300" s="484"/>
      <c r="AE300" s="519"/>
      <c r="AF300" s="518" t="str">
        <f>Calcu!M143</f>
        <v/>
      </c>
      <c r="AG300" s="484"/>
      <c r="AH300" s="484"/>
      <c r="AI300" s="484"/>
      <c r="AJ300" s="519"/>
      <c r="AK300" s="518" t="str">
        <f>Calcu!K143</f>
        <v/>
      </c>
      <c r="AL300" s="484"/>
      <c r="AM300" s="484"/>
      <c r="AN300" s="484"/>
      <c r="AO300" s="519"/>
    </row>
    <row r="301" spans="1:41" ht="18.75" customHeight="1">
      <c r="A301" s="57"/>
      <c r="B301" s="518" t="str">
        <f>Calcu!T144</f>
        <v/>
      </c>
      <c r="C301" s="484"/>
      <c r="D301" s="484"/>
      <c r="E301" s="484"/>
      <c r="F301" s="519"/>
      <c r="G301" s="518" t="str">
        <f>IF(Calcu!B144=TRUE,Calcu!E144*$H$283,"")</f>
        <v/>
      </c>
      <c r="H301" s="484"/>
      <c r="I301" s="484"/>
      <c r="J301" s="484"/>
      <c r="K301" s="519"/>
      <c r="L301" s="518" t="str">
        <f>IF(Calcu!B144=TRUE,Calcu!F144*H$283,"")</f>
        <v/>
      </c>
      <c r="M301" s="484"/>
      <c r="N301" s="484"/>
      <c r="O301" s="484"/>
      <c r="P301" s="519"/>
      <c r="Q301" s="518" t="str">
        <f>IF(Calcu!B144=TRUE,Calcu!G144*H$283,"")</f>
        <v/>
      </c>
      <c r="R301" s="484"/>
      <c r="S301" s="484"/>
      <c r="T301" s="484"/>
      <c r="U301" s="519"/>
      <c r="V301" s="518" t="str">
        <f>IF(Calcu!B144=TRUE,Calcu!H144*H$283,"")</f>
        <v/>
      </c>
      <c r="W301" s="484"/>
      <c r="X301" s="484"/>
      <c r="Y301" s="484"/>
      <c r="Z301" s="519"/>
      <c r="AA301" s="518" t="str">
        <f>IF(Calcu!B144=TRUE,Calcu!I144*H$283,"")</f>
        <v/>
      </c>
      <c r="AB301" s="484"/>
      <c r="AC301" s="484"/>
      <c r="AD301" s="484"/>
      <c r="AE301" s="519"/>
      <c r="AF301" s="518" t="str">
        <f>Calcu!M144</f>
        <v/>
      </c>
      <c r="AG301" s="484"/>
      <c r="AH301" s="484"/>
      <c r="AI301" s="484"/>
      <c r="AJ301" s="519"/>
      <c r="AK301" s="518" t="str">
        <f>Calcu!K144</f>
        <v/>
      </c>
      <c r="AL301" s="484"/>
      <c r="AM301" s="484"/>
      <c r="AN301" s="484"/>
      <c r="AO301" s="519"/>
    </row>
    <row r="302" spans="1:41" ht="18.75" customHeight="1">
      <c r="A302" s="57"/>
      <c r="B302" s="518" t="str">
        <f>Calcu!T145</f>
        <v/>
      </c>
      <c r="C302" s="484"/>
      <c r="D302" s="484"/>
      <c r="E302" s="484"/>
      <c r="F302" s="519"/>
      <c r="G302" s="518" t="str">
        <f>IF(Calcu!B145=TRUE,Calcu!E145*$H$283,"")</f>
        <v/>
      </c>
      <c r="H302" s="484"/>
      <c r="I302" s="484"/>
      <c r="J302" s="484"/>
      <c r="K302" s="519"/>
      <c r="L302" s="518" t="str">
        <f>IF(Calcu!B145=TRUE,Calcu!F145*H$283,"")</f>
        <v/>
      </c>
      <c r="M302" s="484"/>
      <c r="N302" s="484"/>
      <c r="O302" s="484"/>
      <c r="P302" s="519"/>
      <c r="Q302" s="518" t="str">
        <f>IF(Calcu!B145=TRUE,Calcu!G145*H$283,"")</f>
        <v/>
      </c>
      <c r="R302" s="484"/>
      <c r="S302" s="484"/>
      <c r="T302" s="484"/>
      <c r="U302" s="519"/>
      <c r="V302" s="518" t="str">
        <f>IF(Calcu!B145=TRUE,Calcu!H145*H$283,"")</f>
        <v/>
      </c>
      <c r="W302" s="484"/>
      <c r="X302" s="484"/>
      <c r="Y302" s="484"/>
      <c r="Z302" s="519"/>
      <c r="AA302" s="518" t="str">
        <f>IF(Calcu!B145=TRUE,Calcu!I145*H$283,"")</f>
        <v/>
      </c>
      <c r="AB302" s="484"/>
      <c r="AC302" s="484"/>
      <c r="AD302" s="484"/>
      <c r="AE302" s="519"/>
      <c r="AF302" s="518" t="str">
        <f>Calcu!M145</f>
        <v/>
      </c>
      <c r="AG302" s="484"/>
      <c r="AH302" s="484"/>
      <c r="AI302" s="484"/>
      <c r="AJ302" s="519"/>
      <c r="AK302" s="518" t="str">
        <f>Calcu!K145</f>
        <v/>
      </c>
      <c r="AL302" s="484"/>
      <c r="AM302" s="484"/>
      <c r="AN302" s="484"/>
      <c r="AO302" s="519"/>
    </row>
    <row r="303" spans="1:41" ht="18.75" customHeight="1">
      <c r="A303" s="57"/>
      <c r="B303" s="518" t="str">
        <f>Calcu!T146</f>
        <v/>
      </c>
      <c r="C303" s="484"/>
      <c r="D303" s="484"/>
      <c r="E303" s="484"/>
      <c r="F303" s="519"/>
      <c r="G303" s="518" t="str">
        <f>IF(Calcu!B146=TRUE,Calcu!E146*$H$283,"")</f>
        <v/>
      </c>
      <c r="H303" s="484"/>
      <c r="I303" s="484"/>
      <c r="J303" s="484"/>
      <c r="K303" s="519"/>
      <c r="L303" s="518" t="str">
        <f>IF(Calcu!B146=TRUE,Calcu!F146*H$283,"")</f>
        <v/>
      </c>
      <c r="M303" s="484"/>
      <c r="N303" s="484"/>
      <c r="O303" s="484"/>
      <c r="P303" s="519"/>
      <c r="Q303" s="518" t="str">
        <f>IF(Calcu!B146=TRUE,Calcu!G146*H$283,"")</f>
        <v/>
      </c>
      <c r="R303" s="484"/>
      <c r="S303" s="484"/>
      <c r="T303" s="484"/>
      <c r="U303" s="519"/>
      <c r="V303" s="518" t="str">
        <f>IF(Calcu!B146=TRUE,Calcu!H146*H$283,"")</f>
        <v/>
      </c>
      <c r="W303" s="484"/>
      <c r="X303" s="484"/>
      <c r="Y303" s="484"/>
      <c r="Z303" s="519"/>
      <c r="AA303" s="518" t="str">
        <f>IF(Calcu!B146=TRUE,Calcu!I146*H$283,"")</f>
        <v/>
      </c>
      <c r="AB303" s="484"/>
      <c r="AC303" s="484"/>
      <c r="AD303" s="484"/>
      <c r="AE303" s="519"/>
      <c r="AF303" s="518" t="str">
        <f>Calcu!M146</f>
        <v/>
      </c>
      <c r="AG303" s="484"/>
      <c r="AH303" s="484"/>
      <c r="AI303" s="484"/>
      <c r="AJ303" s="519"/>
      <c r="AK303" s="518" t="str">
        <f>Calcu!K146</f>
        <v/>
      </c>
      <c r="AL303" s="484"/>
      <c r="AM303" s="484"/>
      <c r="AN303" s="484"/>
      <c r="AO303" s="519"/>
    </row>
    <row r="304" spans="1:41" ht="18.75" customHeight="1">
      <c r="A304" s="57"/>
      <c r="B304" s="518" t="str">
        <f>Calcu!T147</f>
        <v/>
      </c>
      <c r="C304" s="484"/>
      <c r="D304" s="484"/>
      <c r="E304" s="484"/>
      <c r="F304" s="519"/>
      <c r="G304" s="518" t="str">
        <f>IF(Calcu!B147=TRUE,Calcu!E147*$H$283,"")</f>
        <v/>
      </c>
      <c r="H304" s="484"/>
      <c r="I304" s="484"/>
      <c r="J304" s="484"/>
      <c r="K304" s="519"/>
      <c r="L304" s="518" t="str">
        <f>IF(Calcu!B147=TRUE,Calcu!F147*H$283,"")</f>
        <v/>
      </c>
      <c r="M304" s="484"/>
      <c r="N304" s="484"/>
      <c r="O304" s="484"/>
      <c r="P304" s="519"/>
      <c r="Q304" s="518" t="str">
        <f>IF(Calcu!B147=TRUE,Calcu!G147*H$283,"")</f>
        <v/>
      </c>
      <c r="R304" s="484"/>
      <c r="S304" s="484"/>
      <c r="T304" s="484"/>
      <c r="U304" s="519"/>
      <c r="V304" s="518" t="str">
        <f>IF(Calcu!B147=TRUE,Calcu!H147*H$283,"")</f>
        <v/>
      </c>
      <c r="W304" s="484"/>
      <c r="X304" s="484"/>
      <c r="Y304" s="484"/>
      <c r="Z304" s="519"/>
      <c r="AA304" s="518" t="str">
        <f>IF(Calcu!B147=TRUE,Calcu!I147*H$283,"")</f>
        <v/>
      </c>
      <c r="AB304" s="484"/>
      <c r="AC304" s="484"/>
      <c r="AD304" s="484"/>
      <c r="AE304" s="519"/>
      <c r="AF304" s="518" t="str">
        <f>Calcu!M147</f>
        <v/>
      </c>
      <c r="AG304" s="484"/>
      <c r="AH304" s="484"/>
      <c r="AI304" s="484"/>
      <c r="AJ304" s="519"/>
      <c r="AK304" s="518" t="str">
        <f>Calcu!K147</f>
        <v/>
      </c>
      <c r="AL304" s="484"/>
      <c r="AM304" s="484"/>
      <c r="AN304" s="484"/>
      <c r="AO304" s="519"/>
    </row>
    <row r="305" spans="1:58" ht="18.75" customHeight="1">
      <c r="A305" s="57"/>
      <c r="B305" s="518" t="str">
        <f>Calcu!T148</f>
        <v/>
      </c>
      <c r="C305" s="484"/>
      <c r="D305" s="484"/>
      <c r="E305" s="484"/>
      <c r="F305" s="519"/>
      <c r="G305" s="518" t="str">
        <f>IF(Calcu!B148=TRUE,Calcu!E148*$H$283,"")</f>
        <v/>
      </c>
      <c r="H305" s="484"/>
      <c r="I305" s="484"/>
      <c r="J305" s="484"/>
      <c r="K305" s="519"/>
      <c r="L305" s="518" t="str">
        <f>IF(Calcu!B148=TRUE,Calcu!F148*H$283,"")</f>
        <v/>
      </c>
      <c r="M305" s="484"/>
      <c r="N305" s="484"/>
      <c r="O305" s="484"/>
      <c r="P305" s="519"/>
      <c r="Q305" s="518" t="str">
        <f>IF(Calcu!B148=TRUE,Calcu!G148*H$283,"")</f>
        <v/>
      </c>
      <c r="R305" s="484"/>
      <c r="S305" s="484"/>
      <c r="T305" s="484"/>
      <c r="U305" s="519"/>
      <c r="V305" s="518" t="str">
        <f>IF(Calcu!B148=TRUE,Calcu!H148*H$283,"")</f>
        <v/>
      </c>
      <c r="W305" s="484"/>
      <c r="X305" s="484"/>
      <c r="Y305" s="484"/>
      <c r="Z305" s="519"/>
      <c r="AA305" s="518" t="str">
        <f>IF(Calcu!B148=TRUE,Calcu!I148*H$283,"")</f>
        <v/>
      </c>
      <c r="AB305" s="484"/>
      <c r="AC305" s="484"/>
      <c r="AD305" s="484"/>
      <c r="AE305" s="519"/>
      <c r="AF305" s="518" t="str">
        <f>Calcu!M148</f>
        <v/>
      </c>
      <c r="AG305" s="484"/>
      <c r="AH305" s="484"/>
      <c r="AI305" s="484"/>
      <c r="AJ305" s="519"/>
      <c r="AK305" s="518" t="str">
        <f>Calcu!K148</f>
        <v/>
      </c>
      <c r="AL305" s="484"/>
      <c r="AM305" s="484"/>
      <c r="AN305" s="484"/>
      <c r="AO305" s="519"/>
    </row>
    <row r="306" spans="1:58" ht="18.75" customHeight="1">
      <c r="A306" s="57"/>
      <c r="B306" s="518" t="str">
        <f>Calcu!T149</f>
        <v/>
      </c>
      <c r="C306" s="484"/>
      <c r="D306" s="484"/>
      <c r="E306" s="484"/>
      <c r="F306" s="519"/>
      <c r="G306" s="518" t="str">
        <f>IF(Calcu!B149=TRUE,Calcu!E149*$H$283,"")</f>
        <v/>
      </c>
      <c r="H306" s="484"/>
      <c r="I306" s="484"/>
      <c r="J306" s="484"/>
      <c r="K306" s="519"/>
      <c r="L306" s="518" t="str">
        <f>IF(Calcu!B149=TRUE,Calcu!F149*H$283,"")</f>
        <v/>
      </c>
      <c r="M306" s="484"/>
      <c r="N306" s="484"/>
      <c r="O306" s="484"/>
      <c r="P306" s="519"/>
      <c r="Q306" s="518" t="str">
        <f>IF(Calcu!B149=TRUE,Calcu!G149*H$283,"")</f>
        <v/>
      </c>
      <c r="R306" s="484"/>
      <c r="S306" s="484"/>
      <c r="T306" s="484"/>
      <c r="U306" s="519"/>
      <c r="V306" s="518" t="str">
        <f>IF(Calcu!B149=TRUE,Calcu!H149*H$283,"")</f>
        <v/>
      </c>
      <c r="W306" s="484"/>
      <c r="X306" s="484"/>
      <c r="Y306" s="484"/>
      <c r="Z306" s="519"/>
      <c r="AA306" s="518" t="str">
        <f>IF(Calcu!B149=TRUE,Calcu!I149*H$283,"")</f>
        <v/>
      </c>
      <c r="AB306" s="484"/>
      <c r="AC306" s="484"/>
      <c r="AD306" s="484"/>
      <c r="AE306" s="519"/>
      <c r="AF306" s="518" t="str">
        <f>Calcu!M149</f>
        <v/>
      </c>
      <c r="AG306" s="484"/>
      <c r="AH306" s="484"/>
      <c r="AI306" s="484"/>
      <c r="AJ306" s="519"/>
      <c r="AK306" s="518" t="str">
        <f>Calcu!K149</f>
        <v/>
      </c>
      <c r="AL306" s="484"/>
      <c r="AM306" s="484"/>
      <c r="AN306" s="484"/>
      <c r="AO306" s="519"/>
    </row>
    <row r="307" spans="1:58" ht="18.75" customHeight="1">
      <c r="A307" s="57"/>
      <c r="B307" s="518" t="str">
        <f>Calcu!T150</f>
        <v/>
      </c>
      <c r="C307" s="484"/>
      <c r="D307" s="484"/>
      <c r="E307" s="484"/>
      <c r="F307" s="519"/>
      <c r="G307" s="518" t="str">
        <f>IF(Calcu!B150=TRUE,Calcu!E150*$H$283,"")</f>
        <v/>
      </c>
      <c r="H307" s="484"/>
      <c r="I307" s="484"/>
      <c r="J307" s="484"/>
      <c r="K307" s="519"/>
      <c r="L307" s="518" t="str">
        <f>IF(Calcu!B150=TRUE,Calcu!F150*H$283,"")</f>
        <v/>
      </c>
      <c r="M307" s="484"/>
      <c r="N307" s="484"/>
      <c r="O307" s="484"/>
      <c r="P307" s="519"/>
      <c r="Q307" s="518" t="str">
        <f>IF(Calcu!B150=TRUE,Calcu!G150*H$283,"")</f>
        <v/>
      </c>
      <c r="R307" s="484"/>
      <c r="S307" s="484"/>
      <c r="T307" s="484"/>
      <c r="U307" s="519"/>
      <c r="V307" s="518" t="str">
        <f>IF(Calcu!B150=TRUE,Calcu!H150*H$283,"")</f>
        <v/>
      </c>
      <c r="W307" s="484"/>
      <c r="X307" s="484"/>
      <c r="Y307" s="484"/>
      <c r="Z307" s="519"/>
      <c r="AA307" s="518" t="str">
        <f>IF(Calcu!B150=TRUE,Calcu!I150*H$283,"")</f>
        <v/>
      </c>
      <c r="AB307" s="484"/>
      <c r="AC307" s="484"/>
      <c r="AD307" s="484"/>
      <c r="AE307" s="519"/>
      <c r="AF307" s="518" t="str">
        <f>Calcu!M150</f>
        <v/>
      </c>
      <c r="AG307" s="484"/>
      <c r="AH307" s="484"/>
      <c r="AI307" s="484"/>
      <c r="AJ307" s="519"/>
      <c r="AK307" s="518" t="str">
        <f>Calcu!K150</f>
        <v/>
      </c>
      <c r="AL307" s="484"/>
      <c r="AM307" s="484"/>
      <c r="AN307" s="484"/>
      <c r="AO307" s="519"/>
    </row>
    <row r="308" spans="1:58" ht="18.75" customHeight="1">
      <c r="A308" s="57"/>
      <c r="B308" s="518" t="str">
        <f>Calcu!T151</f>
        <v/>
      </c>
      <c r="C308" s="484"/>
      <c r="D308" s="484"/>
      <c r="E308" s="484"/>
      <c r="F308" s="519"/>
      <c r="G308" s="518" t="str">
        <f>IF(Calcu!B151=TRUE,Calcu!E151*$H$283,"")</f>
        <v/>
      </c>
      <c r="H308" s="484"/>
      <c r="I308" s="484"/>
      <c r="J308" s="484"/>
      <c r="K308" s="519"/>
      <c r="L308" s="518" t="str">
        <f>IF(Calcu!B151=TRUE,Calcu!F151*H$283,"")</f>
        <v/>
      </c>
      <c r="M308" s="484"/>
      <c r="N308" s="484"/>
      <c r="O308" s="484"/>
      <c r="P308" s="519"/>
      <c r="Q308" s="518" t="str">
        <f>IF(Calcu!B151=TRUE,Calcu!G151*H$283,"")</f>
        <v/>
      </c>
      <c r="R308" s="484"/>
      <c r="S308" s="484"/>
      <c r="T308" s="484"/>
      <c r="U308" s="519"/>
      <c r="V308" s="518" t="str">
        <f>IF(Calcu!B151=TRUE,Calcu!H151*H$283,"")</f>
        <v/>
      </c>
      <c r="W308" s="484"/>
      <c r="X308" s="484"/>
      <c r="Y308" s="484"/>
      <c r="Z308" s="519"/>
      <c r="AA308" s="518" t="str">
        <f>IF(Calcu!B151=TRUE,Calcu!I151*H$283,"")</f>
        <v/>
      </c>
      <c r="AB308" s="484"/>
      <c r="AC308" s="484"/>
      <c r="AD308" s="484"/>
      <c r="AE308" s="519"/>
      <c r="AF308" s="518" t="str">
        <f>Calcu!M151</f>
        <v/>
      </c>
      <c r="AG308" s="484"/>
      <c r="AH308" s="484"/>
      <c r="AI308" s="484"/>
      <c r="AJ308" s="519"/>
      <c r="AK308" s="518" t="str">
        <f>Calcu!K151</f>
        <v/>
      </c>
      <c r="AL308" s="484"/>
      <c r="AM308" s="484"/>
      <c r="AN308" s="484"/>
      <c r="AO308" s="519"/>
    </row>
    <row r="309" spans="1:58" ht="18.75" customHeight="1">
      <c r="A309" s="57"/>
      <c r="B309" s="279"/>
      <c r="C309" s="279"/>
      <c r="D309" s="279"/>
      <c r="E309" s="279"/>
      <c r="F309" s="279"/>
      <c r="G309" s="279"/>
      <c r="H309" s="279"/>
      <c r="I309" s="279"/>
      <c r="J309" s="279"/>
      <c r="K309" s="279"/>
      <c r="L309" s="279"/>
      <c r="M309" s="279"/>
      <c r="N309" s="279"/>
      <c r="O309" s="279"/>
      <c r="P309" s="279"/>
      <c r="Q309" s="279"/>
      <c r="R309" s="279"/>
      <c r="S309" s="279"/>
      <c r="T309" s="279"/>
      <c r="U309" s="279"/>
      <c r="V309" s="279"/>
      <c r="W309" s="279"/>
      <c r="X309" s="279"/>
      <c r="Y309" s="279"/>
      <c r="Z309" s="279"/>
      <c r="AA309" s="279"/>
      <c r="AB309" s="279"/>
      <c r="AC309" s="279"/>
      <c r="AD309" s="279"/>
      <c r="AE309" s="279"/>
      <c r="AF309" s="279"/>
      <c r="AG309" s="279"/>
      <c r="AH309" s="279"/>
      <c r="AI309" s="279"/>
      <c r="AJ309" s="279"/>
      <c r="AK309" s="279"/>
      <c r="AL309" s="279"/>
      <c r="AM309" s="279"/>
      <c r="AN309" s="279"/>
      <c r="AO309" s="279"/>
      <c r="AP309" s="279"/>
      <c r="AQ309" s="279"/>
      <c r="AR309" s="279"/>
      <c r="AS309" s="279"/>
      <c r="AT309" s="279"/>
    </row>
    <row r="310" spans="1:58" ht="18.75" customHeight="1">
      <c r="A310" s="60" t="s">
        <v>322</v>
      </c>
      <c r="B310" s="230"/>
      <c r="C310" s="230"/>
      <c r="D310" s="230"/>
      <c r="E310" s="230"/>
      <c r="F310" s="230"/>
      <c r="G310" s="230"/>
      <c r="H310" s="230"/>
      <c r="I310" s="230"/>
      <c r="J310" s="230"/>
      <c r="K310" s="230"/>
      <c r="L310" s="230"/>
      <c r="M310" s="230"/>
      <c r="N310" s="230"/>
      <c r="O310" s="230"/>
      <c r="P310" s="230"/>
      <c r="Q310" s="230"/>
      <c r="R310" s="230"/>
      <c r="S310" s="230"/>
      <c r="T310" s="230"/>
      <c r="U310" s="230"/>
      <c r="V310" s="230"/>
      <c r="W310" s="230"/>
      <c r="X310" s="230"/>
      <c r="Y310" s="230"/>
      <c r="Z310" s="230"/>
      <c r="AA310" s="230"/>
      <c r="AB310" s="230"/>
      <c r="AC310" s="230"/>
      <c r="AD310" s="230"/>
      <c r="AE310" s="230"/>
      <c r="AF310" s="230"/>
      <c r="AG310" s="230"/>
      <c r="AH310" s="230"/>
      <c r="AI310" s="230"/>
      <c r="AJ310" s="230"/>
      <c r="AK310" s="230"/>
      <c r="AL310" s="230"/>
      <c r="AM310" s="230"/>
      <c r="AN310" s="230"/>
      <c r="AO310" s="230"/>
      <c r="AP310" s="230"/>
      <c r="AQ310" s="230"/>
      <c r="AR310" s="230"/>
      <c r="AS310" s="230"/>
      <c r="AT310" s="230"/>
    </row>
    <row r="311" spans="1:58" ht="18.75" customHeight="1">
      <c r="A311" s="230"/>
      <c r="B311" s="510"/>
      <c r="C311" s="511"/>
      <c r="D311" s="487"/>
      <c r="E311" s="488"/>
      <c r="F311" s="488"/>
      <c r="G311" s="489"/>
      <c r="H311" s="479">
        <v>1</v>
      </c>
      <c r="I311" s="479"/>
      <c r="J311" s="479"/>
      <c r="K311" s="479"/>
      <c r="L311" s="479"/>
      <c r="M311" s="479"/>
      <c r="N311" s="479"/>
      <c r="O311" s="487">
        <v>2</v>
      </c>
      <c r="P311" s="488"/>
      <c r="Q311" s="488"/>
      <c r="R311" s="488"/>
      <c r="S311" s="488"/>
      <c r="T311" s="488"/>
      <c r="U311" s="488"/>
      <c r="V311" s="488"/>
      <c r="W311" s="488"/>
      <c r="X311" s="488"/>
      <c r="Y311" s="488"/>
      <c r="Z311" s="488"/>
      <c r="AA311" s="489"/>
      <c r="AB311" s="479">
        <v>3</v>
      </c>
      <c r="AC311" s="479"/>
      <c r="AD311" s="479"/>
      <c r="AE311" s="479"/>
      <c r="AF311" s="479"/>
      <c r="AG311" s="487">
        <v>4</v>
      </c>
      <c r="AH311" s="488"/>
      <c r="AI311" s="488"/>
      <c r="AJ311" s="488"/>
      <c r="AK311" s="488"/>
      <c r="AL311" s="488"/>
      <c r="AM311" s="488"/>
      <c r="AN311" s="488"/>
      <c r="AO311" s="489"/>
      <c r="AP311" s="487">
        <v>5</v>
      </c>
      <c r="AQ311" s="488"/>
      <c r="AR311" s="488"/>
      <c r="AS311" s="488"/>
      <c r="AT311" s="488"/>
      <c r="AU311" s="488"/>
      <c r="AV311" s="488"/>
      <c r="AW311" s="488"/>
      <c r="AX311" s="488"/>
      <c r="AY311" s="488"/>
      <c r="AZ311" s="488"/>
      <c r="BA311" s="488"/>
      <c r="BB311" s="489"/>
      <c r="BC311" s="479">
        <v>6</v>
      </c>
      <c r="BD311" s="479"/>
      <c r="BE311" s="479"/>
      <c r="BF311" s="479"/>
    </row>
    <row r="312" spans="1:58" ht="18.75" customHeight="1">
      <c r="A312" s="230"/>
      <c r="B312" s="529"/>
      <c r="C312" s="530"/>
      <c r="D312" s="510" t="s">
        <v>166</v>
      </c>
      <c r="E312" s="464"/>
      <c r="F312" s="464"/>
      <c r="G312" s="511"/>
      <c r="H312" s="512" t="s">
        <v>167</v>
      </c>
      <c r="I312" s="512"/>
      <c r="J312" s="512"/>
      <c r="K312" s="512"/>
      <c r="L312" s="512"/>
      <c r="M312" s="512"/>
      <c r="N312" s="512"/>
      <c r="O312" s="510" t="s">
        <v>169</v>
      </c>
      <c r="P312" s="464"/>
      <c r="Q312" s="464"/>
      <c r="R312" s="464"/>
      <c r="S312" s="464"/>
      <c r="T312" s="464"/>
      <c r="U312" s="464"/>
      <c r="V312" s="464"/>
      <c r="W312" s="464"/>
      <c r="X312" s="464"/>
      <c r="Y312" s="464"/>
      <c r="Z312" s="464"/>
      <c r="AA312" s="511"/>
      <c r="AB312" s="512" t="s">
        <v>175</v>
      </c>
      <c r="AC312" s="512"/>
      <c r="AD312" s="512"/>
      <c r="AE312" s="512"/>
      <c r="AF312" s="512"/>
      <c r="AG312" s="510" t="s">
        <v>176</v>
      </c>
      <c r="AH312" s="464"/>
      <c r="AI312" s="464"/>
      <c r="AJ312" s="464"/>
      <c r="AK312" s="464"/>
      <c r="AL312" s="464"/>
      <c r="AM312" s="464"/>
      <c r="AN312" s="464"/>
      <c r="AO312" s="511"/>
      <c r="AP312" s="510" t="s">
        <v>328</v>
      </c>
      <c r="AQ312" s="464"/>
      <c r="AR312" s="464"/>
      <c r="AS312" s="464"/>
      <c r="AT312" s="464"/>
      <c r="AU312" s="464"/>
      <c r="AV312" s="464"/>
      <c r="AW312" s="464"/>
      <c r="AX312" s="464"/>
      <c r="AY312" s="464"/>
      <c r="AZ312" s="464"/>
      <c r="BA312" s="464"/>
      <c r="BB312" s="511"/>
      <c r="BC312" s="512" t="s">
        <v>178</v>
      </c>
      <c r="BD312" s="512"/>
      <c r="BE312" s="512"/>
      <c r="BF312" s="512"/>
    </row>
    <row r="313" spans="1:58" ht="18.75" customHeight="1">
      <c r="A313" s="230"/>
      <c r="B313" s="531"/>
      <c r="C313" s="532"/>
      <c r="D313" s="545" t="s">
        <v>330</v>
      </c>
      <c r="E313" s="546"/>
      <c r="F313" s="546"/>
      <c r="G313" s="547"/>
      <c r="H313" s="516" t="s">
        <v>331</v>
      </c>
      <c r="I313" s="516"/>
      <c r="J313" s="516"/>
      <c r="K313" s="516"/>
      <c r="L313" s="516"/>
      <c r="M313" s="516"/>
      <c r="N313" s="516"/>
      <c r="O313" s="513" t="s">
        <v>332</v>
      </c>
      <c r="P313" s="514"/>
      <c r="Q313" s="514"/>
      <c r="R313" s="514"/>
      <c r="S313" s="514"/>
      <c r="T313" s="514"/>
      <c r="U313" s="514"/>
      <c r="V313" s="514"/>
      <c r="W313" s="514"/>
      <c r="X313" s="514"/>
      <c r="Y313" s="514"/>
      <c r="Z313" s="514"/>
      <c r="AA313" s="515"/>
      <c r="AB313" s="516"/>
      <c r="AC313" s="516"/>
      <c r="AD313" s="516"/>
      <c r="AE313" s="516"/>
      <c r="AF313" s="516"/>
      <c r="AG313" s="513" t="s">
        <v>333</v>
      </c>
      <c r="AH313" s="514"/>
      <c r="AI313" s="514"/>
      <c r="AJ313" s="514"/>
      <c r="AK313" s="514"/>
      <c r="AL313" s="514"/>
      <c r="AM313" s="514"/>
      <c r="AN313" s="514"/>
      <c r="AO313" s="515"/>
      <c r="AP313" s="513" t="s">
        <v>334</v>
      </c>
      <c r="AQ313" s="514"/>
      <c r="AR313" s="514"/>
      <c r="AS313" s="514"/>
      <c r="AT313" s="514"/>
      <c r="AU313" s="514"/>
      <c r="AV313" s="514"/>
      <c r="AW313" s="514"/>
      <c r="AX313" s="514"/>
      <c r="AY313" s="514"/>
      <c r="AZ313" s="514"/>
      <c r="BA313" s="514"/>
      <c r="BB313" s="515"/>
      <c r="BC313" s="516"/>
      <c r="BD313" s="516"/>
      <c r="BE313" s="516"/>
      <c r="BF313" s="516"/>
    </row>
    <row r="314" spans="1:58" ht="18.75" customHeight="1">
      <c r="A314" s="230"/>
      <c r="B314" s="479" t="s">
        <v>181</v>
      </c>
      <c r="C314" s="479"/>
      <c r="D314" s="542" t="s">
        <v>311</v>
      </c>
      <c r="E314" s="543"/>
      <c r="F314" s="543"/>
      <c r="G314" s="544"/>
      <c r="H314" s="540" t="e">
        <f ca="1">Calcu!E156</f>
        <v>#N/A</v>
      </c>
      <c r="I314" s="541"/>
      <c r="J314" s="541"/>
      <c r="K314" s="541"/>
      <c r="L314" s="541"/>
      <c r="M314" s="508" t="str">
        <f>Calcu!F156</f>
        <v>mm</v>
      </c>
      <c r="N314" s="509"/>
      <c r="O314" s="494" t="e">
        <f ca="1">Calcu!K156</f>
        <v>#N/A</v>
      </c>
      <c r="P314" s="495"/>
      <c r="Q314" s="495"/>
      <c r="R314" s="242"/>
      <c r="S314" s="276"/>
      <c r="T314" s="484" t="e">
        <f ca="1">Calcu!L156</f>
        <v>#N/A</v>
      </c>
      <c r="U314" s="484"/>
      <c r="V314" s="484"/>
      <c r="W314" s="277"/>
      <c r="X314" s="277"/>
      <c r="Y314" s="277"/>
      <c r="Z314" s="496" t="str">
        <f>Calcu!M156</f>
        <v>μm</v>
      </c>
      <c r="AA314" s="497"/>
      <c r="AB314" s="479" t="str">
        <f>Calcu!N156</f>
        <v>정규</v>
      </c>
      <c r="AC314" s="479"/>
      <c r="AD314" s="479"/>
      <c r="AE314" s="479"/>
      <c r="AF314" s="479"/>
      <c r="AG314" s="487">
        <f>Calcu!Q156</f>
        <v>1</v>
      </c>
      <c r="AH314" s="488"/>
      <c r="AI314" s="488"/>
      <c r="AJ314" s="488"/>
      <c r="AK314" s="488"/>
      <c r="AL314" s="488"/>
      <c r="AM314" s="488"/>
      <c r="AN314" s="488"/>
      <c r="AO314" s="489"/>
      <c r="AP314" s="494" t="e">
        <f ca="1">Calcu!S156</f>
        <v>#N/A</v>
      </c>
      <c r="AQ314" s="495"/>
      <c r="AR314" s="495"/>
      <c r="AS314" s="242"/>
      <c r="AT314" s="276"/>
      <c r="AU314" s="484" t="e">
        <f ca="1">Calcu!T156</f>
        <v>#N/A</v>
      </c>
      <c r="AV314" s="484"/>
      <c r="AW314" s="484"/>
      <c r="AX314" s="277"/>
      <c r="AY314" s="277"/>
      <c r="AZ314" s="277"/>
      <c r="BA314" s="496" t="str">
        <f>Calcu!U156</f>
        <v>μm</v>
      </c>
      <c r="BB314" s="497"/>
      <c r="BC314" s="479" t="str">
        <f>Calcu!V156</f>
        <v>∞</v>
      </c>
      <c r="BD314" s="479"/>
      <c r="BE314" s="479"/>
      <c r="BF314" s="479"/>
    </row>
    <row r="315" spans="1:58" ht="18.75" customHeight="1">
      <c r="A315" s="230"/>
      <c r="B315" s="479" t="s">
        <v>189</v>
      </c>
      <c r="C315" s="479"/>
      <c r="D315" s="542" t="s">
        <v>313</v>
      </c>
      <c r="E315" s="543"/>
      <c r="F315" s="543"/>
      <c r="G315" s="544"/>
      <c r="H315" s="540" t="e">
        <f ca="1">Calcu!E157</f>
        <v>#N/A</v>
      </c>
      <c r="I315" s="541"/>
      <c r="J315" s="541"/>
      <c r="K315" s="541"/>
      <c r="L315" s="541"/>
      <c r="M315" s="508" t="str">
        <f>Calcu!F157</f>
        <v>mm</v>
      </c>
      <c r="N315" s="509"/>
      <c r="O315" s="498">
        <f>Calcu!K157</f>
        <v>0</v>
      </c>
      <c r="P315" s="499"/>
      <c r="Q315" s="499"/>
      <c r="R315" s="499"/>
      <c r="S315" s="499"/>
      <c r="T315" s="499"/>
      <c r="U315" s="499"/>
      <c r="V315" s="500" t="str">
        <f>Calcu!M157</f>
        <v>μm</v>
      </c>
      <c r="W315" s="500"/>
      <c r="X315" s="500"/>
      <c r="Y315" s="500"/>
      <c r="Z315" s="500"/>
      <c r="AA315" s="501"/>
      <c r="AB315" s="479" t="str">
        <f>Calcu!N157</f>
        <v>t</v>
      </c>
      <c r="AC315" s="479"/>
      <c r="AD315" s="479"/>
      <c r="AE315" s="479"/>
      <c r="AF315" s="479"/>
      <c r="AG315" s="487">
        <f>Calcu!Q157</f>
        <v>-1</v>
      </c>
      <c r="AH315" s="488"/>
      <c r="AI315" s="488"/>
      <c r="AJ315" s="488"/>
      <c r="AK315" s="488"/>
      <c r="AL315" s="488"/>
      <c r="AM315" s="488"/>
      <c r="AN315" s="488"/>
      <c r="AO315" s="489"/>
      <c r="AP315" s="498">
        <f>Calcu!S157</f>
        <v>0</v>
      </c>
      <c r="AQ315" s="499"/>
      <c r="AR315" s="499"/>
      <c r="AS315" s="499"/>
      <c r="AT315" s="499"/>
      <c r="AU315" s="499">
        <v>0</v>
      </c>
      <c r="AV315" s="499"/>
      <c r="AW315" s="500" t="str">
        <f>Calcu!U157</f>
        <v>μm</v>
      </c>
      <c r="AX315" s="500"/>
      <c r="AY315" s="500"/>
      <c r="AZ315" s="500"/>
      <c r="BA315" s="500"/>
      <c r="BB315" s="501"/>
      <c r="BC315" s="479">
        <f>Calcu!V157</f>
        <v>4</v>
      </c>
      <c r="BD315" s="479"/>
      <c r="BE315" s="479"/>
      <c r="BF315" s="479"/>
    </row>
    <row r="316" spans="1:58" ht="18.75" customHeight="1">
      <c r="A316" s="230"/>
      <c r="B316" s="479" t="s">
        <v>266</v>
      </c>
      <c r="C316" s="479"/>
      <c r="D316" s="542"/>
      <c r="E316" s="543"/>
      <c r="F316" s="543"/>
      <c r="G316" s="544"/>
      <c r="H316" s="540" t="e">
        <f ca="1">Calcu!E158</f>
        <v>#N/A</v>
      </c>
      <c r="I316" s="541"/>
      <c r="J316" s="541"/>
      <c r="K316" s="541"/>
      <c r="L316" s="541"/>
      <c r="M316" s="508" t="str">
        <f>Calcu!F158</f>
        <v>/℃</v>
      </c>
      <c r="N316" s="509"/>
      <c r="O316" s="505">
        <f>Calcu!L158</f>
        <v>4.0824829046386305E-7</v>
      </c>
      <c r="P316" s="506"/>
      <c r="Q316" s="506"/>
      <c r="R316" s="506"/>
      <c r="S316" s="506"/>
      <c r="T316" s="506"/>
      <c r="U316" s="506"/>
      <c r="V316" s="506"/>
      <c r="W316" s="506"/>
      <c r="X316" s="496" t="str">
        <f>Calcu!M158</f>
        <v>/℃</v>
      </c>
      <c r="Y316" s="496"/>
      <c r="Z316" s="496"/>
      <c r="AA316" s="497"/>
      <c r="AB316" s="479" t="str">
        <f>Calcu!N158</f>
        <v>삼각형</v>
      </c>
      <c r="AC316" s="479"/>
      <c r="AD316" s="479"/>
      <c r="AE316" s="479"/>
      <c r="AF316" s="479"/>
      <c r="AG316" s="502">
        <f>Calcu!Q158</f>
        <v>-200</v>
      </c>
      <c r="AH316" s="496"/>
      <c r="AI316" s="496"/>
      <c r="AJ316" s="496"/>
      <c r="AK316" s="496" t="s">
        <v>340</v>
      </c>
      <c r="AL316" s="496"/>
      <c r="AM316" s="496"/>
      <c r="AN316" s="496"/>
      <c r="AO316" s="497"/>
      <c r="AP316" s="503">
        <f>Calcu!T158</f>
        <v>8.1649658092772609E-5</v>
      </c>
      <c r="AQ316" s="504"/>
      <c r="AR316" s="504"/>
      <c r="AS316" s="504"/>
      <c r="AT316" s="504"/>
      <c r="AU316" s="504" t="s">
        <v>469</v>
      </c>
      <c r="AV316" s="504"/>
      <c r="AW316" s="496" t="s">
        <v>341</v>
      </c>
      <c r="AX316" s="496"/>
      <c r="AY316" s="496"/>
      <c r="AZ316" s="496"/>
      <c r="BA316" s="496"/>
      <c r="BB316" s="497"/>
      <c r="BC316" s="479">
        <f>Calcu!V158</f>
        <v>100</v>
      </c>
      <c r="BD316" s="479"/>
      <c r="BE316" s="479"/>
      <c r="BF316" s="479"/>
    </row>
    <row r="317" spans="1:58" ht="18.75" customHeight="1">
      <c r="A317" s="230"/>
      <c r="B317" s="479" t="s">
        <v>269</v>
      </c>
      <c r="C317" s="479"/>
      <c r="D317" s="542" t="s">
        <v>253</v>
      </c>
      <c r="E317" s="543"/>
      <c r="F317" s="543"/>
      <c r="G317" s="544"/>
      <c r="H317" s="540" t="str">
        <f>Calcu!E159</f>
        <v/>
      </c>
      <c r="I317" s="541"/>
      <c r="J317" s="541"/>
      <c r="K317" s="541"/>
      <c r="L317" s="541"/>
      <c r="M317" s="508" t="str">
        <f>Calcu!F159</f>
        <v>℃</v>
      </c>
      <c r="N317" s="509"/>
      <c r="O317" s="498">
        <f>Calcu!L159</f>
        <v>0.11547005383792516</v>
      </c>
      <c r="P317" s="499"/>
      <c r="Q317" s="499"/>
      <c r="R317" s="499"/>
      <c r="S317" s="499"/>
      <c r="T317" s="499"/>
      <c r="U317" s="499"/>
      <c r="V317" s="500" t="str">
        <f>Calcu!M159</f>
        <v>℃</v>
      </c>
      <c r="W317" s="500"/>
      <c r="X317" s="500"/>
      <c r="Y317" s="500"/>
      <c r="Z317" s="500"/>
      <c r="AA317" s="501"/>
      <c r="AB317" s="479" t="str">
        <f>Calcu!N159</f>
        <v>직사각형</v>
      </c>
      <c r="AC317" s="479"/>
      <c r="AD317" s="479"/>
      <c r="AE317" s="479"/>
      <c r="AF317" s="479"/>
      <c r="AG317" s="502" t="e">
        <f ca="1">Calcu!Q159</f>
        <v>#N/A</v>
      </c>
      <c r="AH317" s="496"/>
      <c r="AI317" s="496"/>
      <c r="AJ317" s="496"/>
      <c r="AK317" s="496" t="s">
        <v>344</v>
      </c>
      <c r="AL317" s="496"/>
      <c r="AM317" s="496"/>
      <c r="AN317" s="496"/>
      <c r="AO317" s="497"/>
      <c r="AP317" s="503" t="e">
        <f ca="1">Calcu!T159</f>
        <v>#N/A</v>
      </c>
      <c r="AQ317" s="504"/>
      <c r="AR317" s="504"/>
      <c r="AS317" s="504"/>
      <c r="AT317" s="504"/>
      <c r="AU317" s="504" t="s">
        <v>470</v>
      </c>
      <c r="AV317" s="504"/>
      <c r="AW317" s="496" t="s">
        <v>341</v>
      </c>
      <c r="AX317" s="496"/>
      <c r="AY317" s="496"/>
      <c r="AZ317" s="496"/>
      <c r="BA317" s="496"/>
      <c r="BB317" s="497"/>
      <c r="BC317" s="479">
        <f>Calcu!V159</f>
        <v>12</v>
      </c>
      <c r="BD317" s="479"/>
      <c r="BE317" s="479"/>
      <c r="BF317" s="479"/>
    </row>
    <row r="318" spans="1:58" ht="18.75" customHeight="1">
      <c r="A318" s="230"/>
      <c r="B318" s="479" t="s">
        <v>201</v>
      </c>
      <c r="C318" s="479"/>
      <c r="D318" s="542" t="s">
        <v>254</v>
      </c>
      <c r="E318" s="543"/>
      <c r="F318" s="543"/>
      <c r="G318" s="544"/>
      <c r="H318" s="540" t="e">
        <f ca="1">Calcu!E160</f>
        <v>#N/A</v>
      </c>
      <c r="I318" s="541"/>
      <c r="J318" s="541"/>
      <c r="K318" s="541"/>
      <c r="L318" s="541"/>
      <c r="M318" s="508" t="str">
        <f>Calcu!F160</f>
        <v>/℃</v>
      </c>
      <c r="N318" s="509"/>
      <c r="O318" s="505">
        <f>Calcu!L160</f>
        <v>8.1649658092772609E-7</v>
      </c>
      <c r="P318" s="506"/>
      <c r="Q318" s="506"/>
      <c r="R318" s="506"/>
      <c r="S318" s="506"/>
      <c r="T318" s="506"/>
      <c r="U318" s="506"/>
      <c r="V318" s="506"/>
      <c r="W318" s="506"/>
      <c r="X318" s="496" t="str">
        <f>Calcu!M160</f>
        <v>/℃</v>
      </c>
      <c r="Y318" s="496"/>
      <c r="Z318" s="496"/>
      <c r="AA318" s="497"/>
      <c r="AB318" s="479" t="str">
        <f>Calcu!N160</f>
        <v>삼각형</v>
      </c>
      <c r="AC318" s="479"/>
      <c r="AD318" s="479"/>
      <c r="AE318" s="479"/>
      <c r="AF318" s="479"/>
      <c r="AG318" s="502">
        <f>Calcu!Q160</f>
        <v>-100</v>
      </c>
      <c r="AH318" s="496"/>
      <c r="AI318" s="496"/>
      <c r="AJ318" s="496"/>
      <c r="AK318" s="496" t="s">
        <v>340</v>
      </c>
      <c r="AL318" s="496"/>
      <c r="AM318" s="496"/>
      <c r="AN318" s="496"/>
      <c r="AO318" s="497"/>
      <c r="AP318" s="503">
        <f>Calcu!T160</f>
        <v>8.1649658092772609E-5</v>
      </c>
      <c r="AQ318" s="504"/>
      <c r="AR318" s="504"/>
      <c r="AS318" s="504"/>
      <c r="AT318" s="504"/>
      <c r="AU318" s="504" t="s">
        <v>469</v>
      </c>
      <c r="AV318" s="504"/>
      <c r="AW318" s="496" t="s">
        <v>341</v>
      </c>
      <c r="AX318" s="496"/>
      <c r="AY318" s="496"/>
      <c r="AZ318" s="496"/>
      <c r="BA318" s="496"/>
      <c r="BB318" s="497"/>
      <c r="BC318" s="479">
        <f>Calcu!V160</f>
        <v>100</v>
      </c>
      <c r="BD318" s="479"/>
      <c r="BE318" s="479"/>
      <c r="BF318" s="479"/>
    </row>
    <row r="319" spans="1:58" ht="18.75" customHeight="1">
      <c r="A319" s="230"/>
      <c r="B319" s="479" t="s">
        <v>206</v>
      </c>
      <c r="C319" s="479"/>
      <c r="D319" s="542" t="s">
        <v>255</v>
      </c>
      <c r="E319" s="543"/>
      <c r="F319" s="543"/>
      <c r="G319" s="544"/>
      <c r="H319" s="540">
        <f>Calcu!E161</f>
        <v>0.1</v>
      </c>
      <c r="I319" s="541"/>
      <c r="J319" s="541"/>
      <c r="K319" s="541"/>
      <c r="L319" s="541"/>
      <c r="M319" s="508" t="str">
        <f>Calcu!F161</f>
        <v>℃</v>
      </c>
      <c r="N319" s="509"/>
      <c r="O319" s="498">
        <f>Calcu!L161</f>
        <v>0.57735026918962584</v>
      </c>
      <c r="P319" s="499"/>
      <c r="Q319" s="499"/>
      <c r="R319" s="499"/>
      <c r="S319" s="499"/>
      <c r="T319" s="499"/>
      <c r="U319" s="499"/>
      <c r="V319" s="500" t="str">
        <f>Calcu!M161</f>
        <v>℃</v>
      </c>
      <c r="W319" s="500"/>
      <c r="X319" s="500"/>
      <c r="Y319" s="500"/>
      <c r="Z319" s="500"/>
      <c r="AA319" s="501"/>
      <c r="AB319" s="479" t="str">
        <f>Calcu!N161</f>
        <v>직사각형</v>
      </c>
      <c r="AC319" s="479"/>
      <c r="AD319" s="479"/>
      <c r="AE319" s="479"/>
      <c r="AF319" s="479"/>
      <c r="AG319" s="502" t="e">
        <f ca="1">Calcu!Q161</f>
        <v>#N/A</v>
      </c>
      <c r="AH319" s="496"/>
      <c r="AI319" s="496"/>
      <c r="AJ319" s="496"/>
      <c r="AK319" s="496" t="s">
        <v>344</v>
      </c>
      <c r="AL319" s="496"/>
      <c r="AM319" s="496"/>
      <c r="AN319" s="496"/>
      <c r="AO319" s="497"/>
      <c r="AP319" s="503" t="e">
        <f ca="1">Calcu!T161</f>
        <v>#N/A</v>
      </c>
      <c r="AQ319" s="504"/>
      <c r="AR319" s="504"/>
      <c r="AS319" s="504"/>
      <c r="AT319" s="504"/>
      <c r="AU319" s="504" t="s">
        <v>470</v>
      </c>
      <c r="AV319" s="504"/>
      <c r="AW319" s="496" t="s">
        <v>341</v>
      </c>
      <c r="AX319" s="496"/>
      <c r="AY319" s="496"/>
      <c r="AZ319" s="496"/>
      <c r="BA319" s="496"/>
      <c r="BB319" s="497"/>
      <c r="BC319" s="479">
        <f>Calcu!V161</f>
        <v>12</v>
      </c>
      <c r="BD319" s="479"/>
      <c r="BE319" s="479"/>
      <c r="BF319" s="479"/>
    </row>
    <row r="320" spans="1:58" ht="18.75" customHeight="1">
      <c r="A320" s="230"/>
      <c r="B320" s="479" t="s">
        <v>209</v>
      </c>
      <c r="C320" s="479"/>
      <c r="D320" s="542" t="s">
        <v>602</v>
      </c>
      <c r="E320" s="543"/>
      <c r="F320" s="543"/>
      <c r="G320" s="544"/>
      <c r="H320" s="540">
        <f>Calcu!E162</f>
        <v>0</v>
      </c>
      <c r="I320" s="541"/>
      <c r="J320" s="541"/>
      <c r="K320" s="541"/>
      <c r="L320" s="541"/>
      <c r="M320" s="508" t="str">
        <f>Calcu!F162</f>
        <v>mm</v>
      </c>
      <c r="N320" s="509"/>
      <c r="O320" s="498">
        <f>Calcu!K162</f>
        <v>0</v>
      </c>
      <c r="P320" s="499"/>
      <c r="Q320" s="499"/>
      <c r="R320" s="499"/>
      <c r="S320" s="499"/>
      <c r="T320" s="499"/>
      <c r="U320" s="499"/>
      <c r="V320" s="500" t="str">
        <f>Calcu!M162</f>
        <v>μm</v>
      </c>
      <c r="W320" s="500"/>
      <c r="X320" s="500"/>
      <c r="Y320" s="500"/>
      <c r="Z320" s="500"/>
      <c r="AA320" s="501"/>
      <c r="AB320" s="479" t="str">
        <f>Calcu!N162</f>
        <v>직사각형</v>
      </c>
      <c r="AC320" s="479"/>
      <c r="AD320" s="479"/>
      <c r="AE320" s="479"/>
      <c r="AF320" s="479"/>
      <c r="AG320" s="487">
        <f>Calcu!Q162</f>
        <v>1</v>
      </c>
      <c r="AH320" s="488"/>
      <c r="AI320" s="488"/>
      <c r="AJ320" s="488"/>
      <c r="AK320" s="488"/>
      <c r="AL320" s="488"/>
      <c r="AM320" s="488"/>
      <c r="AN320" s="488"/>
      <c r="AO320" s="489"/>
      <c r="AP320" s="498">
        <f>Calcu!S162</f>
        <v>0</v>
      </c>
      <c r="AQ320" s="499"/>
      <c r="AR320" s="499"/>
      <c r="AS320" s="499"/>
      <c r="AT320" s="499"/>
      <c r="AU320" s="499">
        <v>0</v>
      </c>
      <c r="AV320" s="499"/>
      <c r="AW320" s="500" t="str">
        <f>Calcu!U162</f>
        <v>μm</v>
      </c>
      <c r="AX320" s="500"/>
      <c r="AY320" s="500"/>
      <c r="AZ320" s="500"/>
      <c r="BA320" s="500"/>
      <c r="BB320" s="501"/>
      <c r="BC320" s="479" t="str">
        <f>Calcu!V162</f>
        <v>∞</v>
      </c>
      <c r="BD320" s="479"/>
      <c r="BE320" s="479"/>
      <c r="BF320" s="479"/>
    </row>
    <row r="321" spans="1:75" ht="18.75" customHeight="1">
      <c r="A321" s="230"/>
      <c r="B321" s="479" t="s">
        <v>558</v>
      </c>
      <c r="C321" s="479"/>
      <c r="D321" s="542" t="s">
        <v>567</v>
      </c>
      <c r="E321" s="543"/>
      <c r="F321" s="543"/>
      <c r="G321" s="544"/>
      <c r="H321" s="540">
        <f>Calcu!E163</f>
        <v>0</v>
      </c>
      <c r="I321" s="541"/>
      <c r="J321" s="541"/>
      <c r="K321" s="541"/>
      <c r="L321" s="541"/>
      <c r="M321" s="508" t="str">
        <f>Calcu!F163</f>
        <v>mm</v>
      </c>
      <c r="N321" s="509"/>
      <c r="O321" s="498">
        <f>Calcu!K163</f>
        <v>0</v>
      </c>
      <c r="P321" s="499"/>
      <c r="Q321" s="499"/>
      <c r="R321" s="499"/>
      <c r="S321" s="499"/>
      <c r="T321" s="499"/>
      <c r="U321" s="499"/>
      <c r="V321" s="500" t="str">
        <f>Calcu!M163</f>
        <v>μm</v>
      </c>
      <c r="W321" s="500"/>
      <c r="X321" s="500"/>
      <c r="Y321" s="500"/>
      <c r="Z321" s="500"/>
      <c r="AA321" s="501"/>
      <c r="AB321" s="479" t="str">
        <f>Calcu!N163</f>
        <v>직사각형</v>
      </c>
      <c r="AC321" s="479"/>
      <c r="AD321" s="479"/>
      <c r="AE321" s="479"/>
      <c r="AF321" s="479"/>
      <c r="AG321" s="487">
        <f>Calcu!Q163</f>
        <v>1</v>
      </c>
      <c r="AH321" s="488"/>
      <c r="AI321" s="488"/>
      <c r="AJ321" s="488"/>
      <c r="AK321" s="488"/>
      <c r="AL321" s="488"/>
      <c r="AM321" s="488"/>
      <c r="AN321" s="488"/>
      <c r="AO321" s="489"/>
      <c r="AP321" s="498">
        <f>Calcu!S163</f>
        <v>0</v>
      </c>
      <c r="AQ321" s="499"/>
      <c r="AR321" s="499"/>
      <c r="AS321" s="499"/>
      <c r="AT321" s="499"/>
      <c r="AU321" s="499">
        <v>0</v>
      </c>
      <c r="AV321" s="499"/>
      <c r="AW321" s="500" t="str">
        <f>Calcu!U163</f>
        <v>μm</v>
      </c>
      <c r="AX321" s="500"/>
      <c r="AY321" s="500"/>
      <c r="AZ321" s="500"/>
      <c r="BA321" s="500"/>
      <c r="BB321" s="501"/>
      <c r="BC321" s="479">
        <f>Calcu!V163</f>
        <v>12</v>
      </c>
      <c r="BD321" s="479"/>
      <c r="BE321" s="479"/>
      <c r="BF321" s="479"/>
    </row>
    <row r="322" spans="1:75" ht="18.75" customHeight="1">
      <c r="A322" s="230"/>
      <c r="B322" s="479" t="s">
        <v>559</v>
      </c>
      <c r="C322" s="479"/>
      <c r="D322" s="542" t="s">
        <v>309</v>
      </c>
      <c r="E322" s="543"/>
      <c r="F322" s="543"/>
      <c r="G322" s="544"/>
      <c r="H322" s="540" t="e">
        <f ca="1">Calcu!E164</f>
        <v>#N/A</v>
      </c>
      <c r="I322" s="541"/>
      <c r="J322" s="541"/>
      <c r="K322" s="541"/>
      <c r="L322" s="541"/>
      <c r="M322" s="508" t="str">
        <f>Calcu!F164</f>
        <v>mm</v>
      </c>
      <c r="N322" s="509"/>
      <c r="O322" s="487"/>
      <c r="P322" s="488"/>
      <c r="Q322" s="488"/>
      <c r="R322" s="488"/>
      <c r="S322" s="488"/>
      <c r="T322" s="488"/>
      <c r="U322" s="488"/>
      <c r="V322" s="488"/>
      <c r="W322" s="488"/>
      <c r="X322" s="488"/>
      <c r="Y322" s="488"/>
      <c r="Z322" s="488"/>
      <c r="AA322" s="489"/>
      <c r="AB322" s="479"/>
      <c r="AC322" s="479"/>
      <c r="AD322" s="479"/>
      <c r="AE322" s="479"/>
      <c r="AF322" s="479"/>
      <c r="AG322" s="487"/>
      <c r="AH322" s="488"/>
      <c r="AI322" s="488"/>
      <c r="AJ322" s="488"/>
      <c r="AK322" s="488"/>
      <c r="AL322" s="488"/>
      <c r="AM322" s="488"/>
      <c r="AN322" s="488"/>
      <c r="AO322" s="489"/>
      <c r="AP322" s="494" t="e">
        <f ca="1">Calcu!S164</f>
        <v>#N/A</v>
      </c>
      <c r="AQ322" s="495"/>
      <c r="AR322" s="495"/>
      <c r="AS322" s="242"/>
      <c r="AT322" s="276"/>
      <c r="AU322" s="484" t="e">
        <f ca="1">Calcu!T164</f>
        <v>#N/A</v>
      </c>
      <c r="AV322" s="484"/>
      <c r="AW322" s="484"/>
      <c r="AX322" s="277"/>
      <c r="AY322" s="277"/>
      <c r="AZ322" s="277"/>
      <c r="BA322" s="496" t="str">
        <f>Calcu!U164</f>
        <v>μm</v>
      </c>
      <c r="BB322" s="497"/>
      <c r="BC322" s="479" t="e">
        <f ca="1">Calcu!V164</f>
        <v>#N/A</v>
      </c>
      <c r="BD322" s="479"/>
      <c r="BE322" s="479"/>
      <c r="BF322" s="479"/>
    </row>
    <row r="323" spans="1:75" ht="18.75" customHeight="1">
      <c r="A323" s="230"/>
      <c r="B323" s="230"/>
      <c r="C323" s="230"/>
      <c r="D323" s="230"/>
      <c r="E323" s="230"/>
      <c r="F323" s="230"/>
      <c r="G323" s="230"/>
      <c r="H323" s="230"/>
      <c r="I323" s="230"/>
      <c r="J323" s="230"/>
      <c r="K323" s="230"/>
      <c r="L323" s="230"/>
      <c r="M323" s="230"/>
      <c r="N323" s="230"/>
      <c r="O323" s="230"/>
      <c r="P323" s="230"/>
      <c r="Q323" s="230"/>
      <c r="R323" s="230"/>
      <c r="S323" s="230"/>
      <c r="T323" s="230"/>
      <c r="U323" s="230"/>
      <c r="V323" s="230"/>
      <c r="W323" s="230"/>
      <c r="X323" s="230"/>
      <c r="Y323" s="230"/>
      <c r="Z323" s="230"/>
      <c r="AA323" s="230"/>
      <c r="AB323" s="230"/>
      <c r="AC323" s="230"/>
      <c r="AD323" s="230"/>
      <c r="AE323" s="230"/>
      <c r="AF323" s="230"/>
      <c r="AG323" s="244" t="s">
        <v>572</v>
      </c>
      <c r="AH323" s="230"/>
      <c r="AI323" s="230"/>
      <c r="AJ323" s="230"/>
      <c r="AK323" s="230"/>
      <c r="AL323" s="230"/>
      <c r="AM323" s="230"/>
      <c r="AN323" s="230"/>
      <c r="AO323" s="230"/>
      <c r="AP323" s="230"/>
      <c r="AQ323" s="230"/>
      <c r="AR323" s="230"/>
      <c r="AS323" s="230"/>
      <c r="AT323" s="230"/>
    </row>
    <row r="324" spans="1:75" s="138" customFormat="1" ht="18.75" customHeight="1">
      <c r="B324" s="279"/>
      <c r="C324" s="57"/>
      <c r="D324" s="273"/>
      <c r="E324" s="273"/>
      <c r="F324" s="273"/>
      <c r="G324" s="279"/>
      <c r="H324" s="273"/>
      <c r="I324" s="273"/>
      <c r="J324" s="273"/>
      <c r="K324" s="273"/>
      <c r="L324" s="273"/>
      <c r="M324" s="273"/>
      <c r="N324" s="273"/>
      <c r="O324" s="273"/>
      <c r="P324" s="273"/>
      <c r="Q324" s="273"/>
      <c r="R324" s="273"/>
      <c r="S324" s="273"/>
      <c r="T324" s="273"/>
      <c r="U324" s="273"/>
      <c r="V324" s="273"/>
      <c r="W324" s="273"/>
      <c r="X324" s="273"/>
      <c r="Y324" s="273"/>
      <c r="Z324" s="273"/>
      <c r="AA324" s="273"/>
      <c r="AB324" s="273"/>
      <c r="AC324" s="273"/>
      <c r="AD324" s="273"/>
      <c r="AE324" s="279"/>
      <c r="AF324" s="273"/>
      <c r="AG324" s="279"/>
      <c r="AH324" s="279"/>
      <c r="AI324" s="279"/>
      <c r="AJ324" s="279"/>
      <c r="AK324" s="279"/>
      <c r="AL324" s="279"/>
      <c r="AM324" s="279"/>
      <c r="AN324" s="279"/>
      <c r="AO324" s="279"/>
      <c r="AP324" s="279"/>
      <c r="AQ324" s="279"/>
      <c r="AR324" s="279"/>
      <c r="AS324" s="279"/>
      <c r="AT324" s="279"/>
      <c r="AU324" s="279"/>
      <c r="AV324" s="279"/>
      <c r="AW324" s="279"/>
      <c r="AX324" s="279"/>
      <c r="AY324" s="279"/>
      <c r="AZ324" s="279"/>
      <c r="BA324" s="279"/>
      <c r="BB324" s="279"/>
      <c r="BC324" s="279"/>
      <c r="BD324" s="279"/>
      <c r="BE324" s="279"/>
      <c r="BF324" s="279"/>
      <c r="BG324" s="279"/>
    </row>
    <row r="325" spans="1:75" s="138" customFormat="1" ht="18.75" customHeight="1">
      <c r="A325" s="57" t="s">
        <v>450</v>
      </c>
      <c r="B325" s="279"/>
      <c r="C325" s="279"/>
      <c r="D325" s="279"/>
      <c r="E325" s="279"/>
      <c r="F325" s="279"/>
      <c r="G325" s="279"/>
      <c r="H325" s="279"/>
      <c r="I325" s="279"/>
      <c r="J325" s="279"/>
      <c r="K325" s="279"/>
      <c r="L325" s="279"/>
      <c r="M325" s="279"/>
      <c r="N325" s="279"/>
      <c r="O325" s="279"/>
      <c r="P325" s="279"/>
      <c r="Q325" s="279"/>
      <c r="R325" s="279"/>
      <c r="S325" s="279"/>
      <c r="T325" s="279"/>
      <c r="U325" s="279"/>
      <c r="V325" s="279"/>
      <c r="W325" s="279"/>
      <c r="X325" s="279"/>
      <c r="Y325" s="279"/>
      <c r="Z325" s="279"/>
      <c r="AA325" s="279"/>
      <c r="AB325" s="279"/>
      <c r="AC325" s="279"/>
      <c r="AD325" s="279"/>
      <c r="AE325" s="279"/>
      <c r="AF325" s="279"/>
      <c r="AG325" s="279"/>
      <c r="AH325" s="279"/>
      <c r="AI325" s="279"/>
      <c r="AJ325" s="279"/>
      <c r="AK325" s="279"/>
      <c r="AL325" s="279"/>
      <c r="AM325" s="279"/>
      <c r="AN325" s="279"/>
      <c r="AO325" s="279"/>
      <c r="AP325" s="279"/>
      <c r="AQ325" s="279"/>
      <c r="AR325" s="279"/>
      <c r="AS325" s="279"/>
      <c r="AT325" s="279"/>
      <c r="AU325" s="279"/>
      <c r="AV325" s="279"/>
      <c r="AW325" s="279"/>
      <c r="AX325" s="279"/>
      <c r="AY325" s="279"/>
      <c r="AZ325" s="279"/>
      <c r="BA325" s="279"/>
      <c r="BB325" s="279"/>
      <c r="BC325" s="279"/>
      <c r="BD325" s="279"/>
      <c r="BE325" s="279"/>
      <c r="BF325" s="279"/>
    </row>
    <row r="326" spans="1:75" s="138" customFormat="1" ht="18.75" customHeight="1">
      <c r="A326" s="279"/>
      <c r="B326" s="279"/>
      <c r="C326" s="279"/>
      <c r="D326" s="279"/>
      <c r="E326" s="279"/>
      <c r="F326" s="279"/>
      <c r="G326" s="279"/>
      <c r="H326" s="279"/>
      <c r="I326" s="279"/>
      <c r="J326" s="279"/>
      <c r="K326" s="279"/>
      <c r="L326" s="279"/>
      <c r="M326" s="279"/>
      <c r="N326" s="279"/>
      <c r="O326" s="279"/>
      <c r="P326" s="279"/>
      <c r="Q326" s="279"/>
      <c r="R326" s="279"/>
      <c r="S326" s="279"/>
      <c r="T326" s="279"/>
      <c r="U326" s="279"/>
      <c r="V326" s="279"/>
      <c r="W326" s="279"/>
      <c r="X326" s="279"/>
      <c r="Y326" s="279"/>
      <c r="Z326" s="279"/>
      <c r="AA326" s="279"/>
      <c r="AB326" s="279"/>
      <c r="AC326" s="279"/>
      <c r="AD326" s="279"/>
      <c r="AE326" s="273"/>
      <c r="AF326" s="279"/>
      <c r="AG326" s="279"/>
      <c r="AH326" s="279"/>
      <c r="AI326" s="279"/>
      <c r="AJ326" s="279"/>
      <c r="AK326" s="273"/>
      <c r="AL326" s="273"/>
      <c r="AM326" s="274"/>
      <c r="AN326" s="274"/>
      <c r="AO326" s="274"/>
      <c r="AP326" s="274"/>
      <c r="AQ326" s="273"/>
      <c r="AR326" s="279"/>
      <c r="AT326" s="252"/>
      <c r="AU326" s="252"/>
      <c r="AV326" s="252"/>
      <c r="AW326" s="273"/>
      <c r="AX326" s="273"/>
      <c r="AY326" s="279"/>
      <c r="BA326" s="279"/>
      <c r="BB326" s="279"/>
      <c r="BC326" s="279"/>
      <c r="BD326" s="279"/>
      <c r="BE326" s="279"/>
      <c r="BF326" s="279"/>
    </row>
    <row r="327" spans="1:75" s="138" customFormat="1" ht="18.75" customHeight="1">
      <c r="A327" s="279"/>
      <c r="B327" s="279"/>
      <c r="C327" s="279"/>
      <c r="D327" s="279"/>
      <c r="E327" s="279" t="s">
        <v>153</v>
      </c>
      <c r="F327" s="465" t="e">
        <f ca="1">AP314</f>
        <v>#N/A</v>
      </c>
      <c r="G327" s="465"/>
      <c r="H327" s="465"/>
      <c r="I327" s="273" t="s">
        <v>152</v>
      </c>
      <c r="J327" s="273"/>
      <c r="K327" s="461" t="s">
        <v>451</v>
      </c>
      <c r="L327" s="461"/>
      <c r="M327" s="548" t="e">
        <f ca="1">AU314</f>
        <v>#N/A</v>
      </c>
      <c r="N327" s="548"/>
      <c r="O327" s="548"/>
      <c r="P327" s="273" t="s">
        <v>341</v>
      </c>
      <c r="Q327" s="273"/>
      <c r="R327" s="279"/>
      <c r="T327" s="461" t="s">
        <v>451</v>
      </c>
      <c r="U327" s="461"/>
      <c r="V327" s="463">
        <f>AP315</f>
        <v>0</v>
      </c>
      <c r="W327" s="463"/>
      <c r="X327" s="463"/>
      <c r="Y327" s="273" t="s">
        <v>152</v>
      </c>
      <c r="Z327" s="273"/>
      <c r="AA327" s="461" t="s">
        <v>451</v>
      </c>
      <c r="AB327" s="461"/>
      <c r="AC327" s="451">
        <f>AP316</f>
        <v>8.1649658092772609E-5</v>
      </c>
      <c r="AD327" s="451"/>
      <c r="AE327" s="451"/>
      <c r="AF327" s="451"/>
      <c r="AG327" s="273" t="s">
        <v>341</v>
      </c>
      <c r="AH327" s="279"/>
      <c r="AK327" s="461" t="s">
        <v>451</v>
      </c>
      <c r="AL327" s="461"/>
      <c r="AM327" s="451" t="e">
        <f ca="1">AP317</f>
        <v>#N/A</v>
      </c>
      <c r="AN327" s="451"/>
      <c r="AO327" s="451"/>
      <c r="AP327" s="451"/>
      <c r="AQ327" s="273" t="s">
        <v>341</v>
      </c>
      <c r="AR327" s="279"/>
      <c r="AU327" s="279"/>
      <c r="AV327" s="279"/>
      <c r="AW327" s="279"/>
      <c r="AX327" s="279"/>
      <c r="AY327" s="279"/>
      <c r="AZ327" s="279"/>
      <c r="BA327" s="279"/>
      <c r="BB327" s="279"/>
      <c r="BC327" s="279"/>
      <c r="BD327" s="279"/>
      <c r="BE327" s="279"/>
      <c r="BF327" s="279"/>
    </row>
    <row r="328" spans="1:75" s="138" customFormat="1" ht="18.75" customHeight="1">
      <c r="A328" s="279"/>
      <c r="B328" s="279"/>
      <c r="C328" s="279"/>
      <c r="D328" s="279"/>
      <c r="E328" s="279"/>
      <c r="F328" s="461" t="s">
        <v>451</v>
      </c>
      <c r="G328" s="461"/>
      <c r="H328" s="451">
        <f>AP318</f>
        <v>8.1649658092772609E-5</v>
      </c>
      <c r="I328" s="451"/>
      <c r="J328" s="451"/>
      <c r="K328" s="451"/>
      <c r="L328" s="273" t="s">
        <v>341</v>
      </c>
      <c r="M328" s="279"/>
      <c r="P328" s="461" t="s">
        <v>451</v>
      </c>
      <c r="Q328" s="461"/>
      <c r="R328" s="451" t="e">
        <f ca="1">AP319</f>
        <v>#N/A</v>
      </c>
      <c r="S328" s="451"/>
      <c r="T328" s="451"/>
      <c r="U328" s="451"/>
      <c r="V328" s="273" t="s">
        <v>341</v>
      </c>
      <c r="W328" s="279"/>
      <c r="Z328" s="461" t="s">
        <v>451</v>
      </c>
      <c r="AA328" s="461"/>
      <c r="AB328" s="463">
        <f>AP320</f>
        <v>0</v>
      </c>
      <c r="AC328" s="463"/>
      <c r="AD328" s="463"/>
      <c r="AE328" s="273" t="s">
        <v>152</v>
      </c>
      <c r="AF328" s="273"/>
      <c r="AG328" s="278"/>
      <c r="AH328" s="461" t="s">
        <v>451</v>
      </c>
      <c r="AI328" s="461"/>
      <c r="AJ328" s="463">
        <f>AP321</f>
        <v>0</v>
      </c>
      <c r="AK328" s="463"/>
      <c r="AL328" s="463"/>
      <c r="AM328" s="303" t="s">
        <v>152</v>
      </c>
      <c r="AN328" s="303"/>
      <c r="AO328" s="273"/>
      <c r="AP328" s="273"/>
      <c r="AQ328" s="279"/>
      <c r="AS328" s="279"/>
      <c r="AT328" s="279"/>
      <c r="AU328" s="279"/>
      <c r="AV328" s="279"/>
      <c r="AW328" s="279"/>
      <c r="AX328" s="279"/>
      <c r="AY328" s="279"/>
      <c r="AZ328" s="279"/>
      <c r="BA328" s="279"/>
      <c r="BB328" s="279"/>
      <c r="BC328" s="279"/>
      <c r="BD328" s="279"/>
      <c r="BE328" s="279"/>
      <c r="BF328" s="279"/>
    </row>
    <row r="329" spans="1:75" s="58" customFormat="1" ht="18.75" customHeight="1">
      <c r="A329" s="273"/>
      <c r="B329" s="273"/>
      <c r="C329" s="273"/>
      <c r="D329" s="273"/>
      <c r="E329" s="279" t="s">
        <v>153</v>
      </c>
      <c r="F329" s="465" t="e">
        <f ca="1">AP322</f>
        <v>#N/A</v>
      </c>
      <c r="G329" s="465"/>
      <c r="H329" s="465"/>
      <c r="I329" s="273" t="s">
        <v>152</v>
      </c>
      <c r="J329" s="273"/>
      <c r="K329" s="461" t="s">
        <v>451</v>
      </c>
      <c r="L329" s="461"/>
      <c r="M329" s="548" t="e">
        <f ca="1">AU322</f>
        <v>#N/A</v>
      </c>
      <c r="N329" s="548"/>
      <c r="O329" s="548"/>
      <c r="P329" s="273" t="s">
        <v>341</v>
      </c>
      <c r="Q329" s="273"/>
      <c r="R329" s="279"/>
      <c r="S329" s="138"/>
      <c r="T329" s="273"/>
      <c r="U329" s="273"/>
      <c r="V329" s="273"/>
      <c r="W329" s="273"/>
      <c r="X329" s="273"/>
      <c r="Y329" s="273"/>
      <c r="Z329" s="273"/>
      <c r="AA329" s="273"/>
      <c r="AB329" s="273"/>
      <c r="AC329" s="273"/>
      <c r="AD329" s="273"/>
      <c r="AE329" s="273"/>
      <c r="AF329" s="273"/>
      <c r="AG329" s="279"/>
      <c r="AH329" s="273"/>
      <c r="AI329" s="273"/>
      <c r="AJ329" s="273"/>
      <c r="AK329" s="273"/>
      <c r="AL329" s="273"/>
      <c r="AM329" s="273"/>
      <c r="AN329" s="273"/>
      <c r="AO329" s="273"/>
      <c r="AP329" s="273"/>
      <c r="AQ329" s="273"/>
      <c r="AR329" s="273"/>
      <c r="AS329" s="273"/>
      <c r="AT329" s="273"/>
      <c r="AU329" s="273"/>
      <c r="AV329" s="273"/>
      <c r="AW329" s="273"/>
      <c r="AX329" s="273"/>
      <c r="AY329" s="273"/>
      <c r="AZ329" s="273"/>
      <c r="BA329" s="273"/>
      <c r="BB329" s="273"/>
      <c r="BC329" s="273"/>
      <c r="BD329" s="273"/>
      <c r="BE329" s="273"/>
      <c r="BF329" s="273"/>
      <c r="BG329" s="273"/>
      <c r="BH329" s="273"/>
    </row>
    <row r="330" spans="1:75" s="58" customFormat="1" ht="18.75" customHeight="1">
      <c r="A330" s="273"/>
      <c r="B330" s="273"/>
      <c r="C330" s="273"/>
      <c r="D330" s="280"/>
      <c r="E330" s="280"/>
      <c r="F330" s="280"/>
      <c r="G330" s="273"/>
      <c r="H330" s="273"/>
      <c r="I330" s="279"/>
      <c r="J330" s="279"/>
      <c r="K330" s="149"/>
      <c r="L330" s="149"/>
      <c r="M330" s="149"/>
      <c r="N330" s="149"/>
      <c r="O330" s="273"/>
      <c r="P330" s="273"/>
      <c r="Q330" s="273"/>
      <c r="R330" s="273"/>
      <c r="S330" s="273"/>
      <c r="T330" s="273"/>
      <c r="U330" s="273"/>
      <c r="V330" s="273"/>
      <c r="W330" s="273"/>
      <c r="X330" s="273"/>
      <c r="Y330" s="273"/>
      <c r="Z330" s="273"/>
      <c r="AA330" s="273"/>
      <c r="AB330" s="273"/>
      <c r="AC330" s="273"/>
      <c r="AD330" s="273"/>
      <c r="AE330" s="273"/>
      <c r="AF330" s="273"/>
      <c r="AG330" s="273"/>
      <c r="AH330" s="273"/>
      <c r="AI330" s="273"/>
      <c r="AJ330" s="273"/>
      <c r="AK330" s="273"/>
      <c r="AL330" s="273"/>
      <c r="AM330" s="273"/>
      <c r="AN330" s="273"/>
      <c r="AO330" s="273"/>
      <c r="AP330" s="273"/>
      <c r="AQ330" s="273"/>
      <c r="AR330" s="273"/>
      <c r="AS330" s="273"/>
      <c r="AT330" s="273"/>
      <c r="AU330" s="273"/>
      <c r="AV330" s="273"/>
      <c r="AW330" s="273"/>
      <c r="AX330" s="273"/>
      <c r="AY330" s="273"/>
      <c r="AZ330" s="273"/>
      <c r="BA330" s="273"/>
      <c r="BB330" s="273"/>
      <c r="BC330" s="273"/>
      <c r="BD330" s="273"/>
      <c r="BE330" s="273"/>
      <c r="BF330" s="273"/>
    </row>
    <row r="331" spans="1:75" s="138" customFormat="1" ht="18.75" customHeight="1">
      <c r="A331" s="279"/>
      <c r="B331" s="279"/>
      <c r="C331" s="279"/>
      <c r="D331" s="142" t="s">
        <v>453</v>
      </c>
      <c r="E331" s="279" t="s">
        <v>153</v>
      </c>
      <c r="F331" s="465" t="e">
        <f ca="1">F329</f>
        <v>#N/A</v>
      </c>
      <c r="G331" s="465"/>
      <c r="H331" s="465"/>
      <c r="I331" s="152"/>
      <c r="J331" s="275"/>
      <c r="K331" s="466" t="e">
        <f ca="1">M329</f>
        <v>#N/A</v>
      </c>
      <c r="L331" s="445"/>
      <c r="M331" s="445"/>
      <c r="N331" s="230"/>
      <c r="O331" s="230"/>
      <c r="P331" s="230"/>
      <c r="Q331" s="450" t="str">
        <f>BA322</f>
        <v>μm</v>
      </c>
      <c r="R331" s="450"/>
      <c r="T331" s="273"/>
      <c r="U331" s="273"/>
      <c r="V331" s="273"/>
      <c r="W331" s="273"/>
      <c r="X331" s="273"/>
      <c r="Y331" s="279"/>
      <c r="Z331" s="279"/>
      <c r="AA331" s="279"/>
      <c r="AB331" s="279"/>
      <c r="AC331" s="279"/>
      <c r="AD331" s="279"/>
      <c r="AE331" s="273"/>
      <c r="AF331" s="279"/>
      <c r="AG331" s="279"/>
      <c r="AH331" s="279"/>
      <c r="AI331" s="279"/>
      <c r="AJ331" s="279"/>
      <c r="AK331" s="279"/>
      <c r="AL331" s="279"/>
      <c r="AM331" s="279"/>
      <c r="AN331" s="279"/>
      <c r="AO331" s="279"/>
      <c r="AP331" s="279"/>
      <c r="AQ331" s="279"/>
      <c r="AR331" s="279"/>
      <c r="AS331" s="279"/>
      <c r="AT331" s="279"/>
      <c r="AU331" s="279"/>
      <c r="AV331" s="279"/>
      <c r="AW331" s="279"/>
      <c r="AX331" s="279"/>
      <c r="AY331" s="279"/>
      <c r="AZ331" s="279"/>
      <c r="BA331" s="279"/>
      <c r="BB331" s="279"/>
      <c r="BC331" s="279"/>
      <c r="BD331" s="279"/>
      <c r="BE331" s="279"/>
      <c r="BF331" s="279"/>
    </row>
    <row r="332" spans="1:75" s="273" customFormat="1" ht="18.75" customHeight="1"/>
    <row r="333" spans="1:75" ht="18.75" customHeight="1">
      <c r="A333" s="57" t="s">
        <v>454</v>
      </c>
      <c r="B333" s="230"/>
      <c r="C333" s="230"/>
      <c r="D333" s="230"/>
      <c r="E333" s="230"/>
      <c r="F333" s="230"/>
      <c r="G333" s="230"/>
      <c r="H333" s="230"/>
      <c r="I333" s="230"/>
      <c r="J333" s="230"/>
      <c r="K333" s="230"/>
      <c r="L333" s="230"/>
      <c r="M333" s="230"/>
      <c r="N333" s="230"/>
      <c r="O333" s="230"/>
      <c r="P333" s="230"/>
      <c r="Q333" s="230"/>
      <c r="R333" s="230"/>
      <c r="S333" s="230"/>
      <c r="T333" s="230"/>
      <c r="U333" s="230"/>
      <c r="V333" s="230"/>
      <c r="W333" s="230"/>
      <c r="X333" s="230"/>
      <c r="Y333" s="230"/>
      <c r="Z333" s="230"/>
      <c r="AA333" s="230"/>
      <c r="AB333" s="230"/>
      <c r="AC333" s="230"/>
      <c r="AD333" s="230"/>
      <c r="AE333" s="230"/>
      <c r="AF333" s="230"/>
      <c r="AG333" s="230"/>
      <c r="AH333" s="230"/>
      <c r="AI333" s="230"/>
      <c r="AJ333" s="230"/>
      <c r="AK333" s="230"/>
      <c r="AL333" s="230"/>
      <c r="AM333" s="230"/>
      <c r="AN333" s="230"/>
      <c r="AO333" s="230"/>
      <c r="AP333" s="230"/>
      <c r="AQ333" s="230"/>
      <c r="AR333" s="230"/>
      <c r="AS333" s="230"/>
      <c r="AZ333" s="230"/>
      <c r="BA333" s="230"/>
      <c r="BB333" s="230"/>
      <c r="BC333" s="230"/>
      <c r="BD333" s="230"/>
      <c r="BE333" s="230"/>
      <c r="BF333" s="230"/>
    </row>
    <row r="334" spans="1:75" ht="18.75" customHeight="1">
      <c r="A334" s="230"/>
      <c r="B334" s="230"/>
      <c r="C334" s="230"/>
      <c r="D334" s="230"/>
      <c r="E334" s="230"/>
      <c r="F334" s="230"/>
      <c r="G334" s="230"/>
      <c r="H334" s="230"/>
      <c r="I334" s="230"/>
      <c r="J334" s="230"/>
      <c r="K334" s="230"/>
      <c r="L334" s="471" t="e">
        <f ca="1">Calcu!W164</f>
        <v>#N/A</v>
      </c>
      <c r="M334" s="471"/>
      <c r="N334" s="471"/>
      <c r="O334" s="471"/>
      <c r="P334" s="471"/>
      <c r="Q334" s="471"/>
      <c r="R334" s="471"/>
      <c r="S334" s="471"/>
      <c r="T334" s="471"/>
      <c r="U334" s="471"/>
      <c r="V334" s="471"/>
      <c r="W334" s="471"/>
      <c r="X334" s="471"/>
      <c r="Y334" s="471"/>
      <c r="Z334" s="471"/>
      <c r="AA334" s="471"/>
      <c r="AB334" s="471"/>
      <c r="AC334" s="471"/>
      <c r="AD334" s="471"/>
      <c r="AE334" s="471"/>
      <c r="AF334" s="471"/>
      <c r="AG334" s="471"/>
      <c r="AH334" s="471"/>
      <c r="AI334" s="471"/>
      <c r="AJ334" s="471"/>
      <c r="AK334" s="471"/>
      <c r="AL334" s="471"/>
      <c r="AM334" s="471"/>
      <c r="AN334" s="471"/>
      <c r="AO334" s="471"/>
      <c r="AP334" s="471"/>
      <c r="AQ334" s="471"/>
      <c r="AR334" s="471"/>
      <c r="AS334" s="471"/>
      <c r="AT334" s="471"/>
      <c r="AU334" s="471"/>
      <c r="AV334" s="471"/>
      <c r="AW334" s="471"/>
      <c r="AX334" s="471"/>
      <c r="AY334" s="461" t="s">
        <v>153</v>
      </c>
      <c r="AZ334" s="469" t="e">
        <f ca="1">TRIM(BC322)</f>
        <v>#N/A</v>
      </c>
      <c r="BA334" s="469"/>
      <c r="BB334" s="469"/>
      <c r="BC334" s="469"/>
      <c r="BD334" s="469"/>
      <c r="BF334" s="150"/>
      <c r="BG334" s="150"/>
      <c r="BH334" s="150"/>
      <c r="BI334" s="150"/>
      <c r="BJ334" s="150"/>
      <c r="BK334" s="58"/>
      <c r="BL334" s="58"/>
      <c r="BM334" s="58"/>
      <c r="BN334" s="58"/>
      <c r="BO334" s="58"/>
      <c r="BP334" s="58"/>
      <c r="BQ334" s="58"/>
      <c r="BR334" s="58"/>
      <c r="BS334" s="58"/>
      <c r="BT334" s="58"/>
      <c r="BU334" s="58"/>
      <c r="BV334" s="58"/>
      <c r="BW334" s="58"/>
    </row>
    <row r="335" spans="1:75" ht="18.75" customHeight="1">
      <c r="A335" s="230"/>
      <c r="B335" s="230"/>
      <c r="C335" s="230"/>
      <c r="D335" s="230"/>
      <c r="E335" s="230"/>
      <c r="F335" s="230"/>
      <c r="G335" s="230"/>
      <c r="H335" s="230"/>
      <c r="I335" s="230"/>
      <c r="J335" s="230"/>
      <c r="K335" s="230"/>
      <c r="L335" s="470" t="e">
        <f ca="1">Calcu!W156</f>
        <v>#N/A</v>
      </c>
      <c r="M335" s="470"/>
      <c r="N335" s="470"/>
      <c r="O335" s="470"/>
      <c r="P335" s="461" t="s">
        <v>451</v>
      </c>
      <c r="Q335" s="470">
        <f>Calcu!W157</f>
        <v>0</v>
      </c>
      <c r="R335" s="470"/>
      <c r="S335" s="470"/>
      <c r="T335" s="470"/>
      <c r="U335" s="461" t="s">
        <v>451</v>
      </c>
      <c r="V335" s="471">
        <f>Calcu!W158</f>
        <v>0</v>
      </c>
      <c r="W335" s="471"/>
      <c r="X335" s="471"/>
      <c r="Y335" s="471"/>
      <c r="Z335" s="461" t="s">
        <v>451</v>
      </c>
      <c r="AA335" s="470" t="e">
        <f ca="1">Calcu!W159</f>
        <v>#N/A</v>
      </c>
      <c r="AB335" s="470"/>
      <c r="AC335" s="470"/>
      <c r="AD335" s="470"/>
      <c r="AE335" s="461" t="s">
        <v>451</v>
      </c>
      <c r="AF335" s="471">
        <f>Calcu!W160</f>
        <v>0</v>
      </c>
      <c r="AG335" s="471"/>
      <c r="AH335" s="471"/>
      <c r="AI335" s="471"/>
      <c r="AJ335" s="461" t="s">
        <v>451</v>
      </c>
      <c r="AK335" s="471" t="e">
        <f ca="1">Calcu!W161</f>
        <v>#N/A</v>
      </c>
      <c r="AL335" s="471"/>
      <c r="AM335" s="471"/>
      <c r="AN335" s="471"/>
      <c r="AO335" s="461" t="s">
        <v>451</v>
      </c>
      <c r="AP335" s="471">
        <f>Calcu!W162</f>
        <v>0</v>
      </c>
      <c r="AQ335" s="471"/>
      <c r="AR335" s="471"/>
      <c r="AS335" s="471"/>
      <c r="AT335" s="461" t="s">
        <v>451</v>
      </c>
      <c r="AU335" s="471">
        <f>Calcu!W163</f>
        <v>0</v>
      </c>
      <c r="AV335" s="471"/>
      <c r="AW335" s="471"/>
      <c r="AX335" s="471"/>
      <c r="AY335" s="461"/>
      <c r="AZ335" s="469"/>
      <c r="BA335" s="469"/>
      <c r="BB335" s="469"/>
      <c r="BC335" s="469"/>
      <c r="BD335" s="469"/>
      <c r="BF335" s="150"/>
      <c r="BG335" s="150"/>
      <c r="BH335" s="150"/>
      <c r="BI335" s="150"/>
      <c r="BJ335" s="150"/>
    </row>
    <row r="336" spans="1:75" ht="18.75" customHeight="1">
      <c r="A336" s="230"/>
      <c r="B336" s="230"/>
      <c r="C336" s="230"/>
      <c r="D336" s="230"/>
      <c r="E336" s="230"/>
      <c r="F336" s="230"/>
      <c r="G336" s="230"/>
      <c r="H336" s="230"/>
      <c r="I336" s="230"/>
      <c r="J336" s="230"/>
      <c r="K336" s="230"/>
      <c r="L336" s="461" t="str">
        <f>BC314</f>
        <v>∞</v>
      </c>
      <c r="M336" s="461"/>
      <c r="N336" s="461"/>
      <c r="O336" s="461"/>
      <c r="P336" s="461"/>
      <c r="Q336" s="461">
        <f>BC315</f>
        <v>4</v>
      </c>
      <c r="R336" s="461"/>
      <c r="S336" s="461"/>
      <c r="T336" s="461"/>
      <c r="U336" s="461"/>
      <c r="V336" s="461">
        <f>BC316</f>
        <v>100</v>
      </c>
      <c r="W336" s="461"/>
      <c r="X336" s="461"/>
      <c r="Y336" s="461"/>
      <c r="Z336" s="461"/>
      <c r="AA336" s="461">
        <f>BC317</f>
        <v>12</v>
      </c>
      <c r="AB336" s="461"/>
      <c r="AC336" s="461"/>
      <c r="AD336" s="461"/>
      <c r="AE336" s="461"/>
      <c r="AF336" s="464">
        <f>BC318</f>
        <v>100</v>
      </c>
      <c r="AG336" s="464"/>
      <c r="AH336" s="464"/>
      <c r="AI336" s="464"/>
      <c r="AJ336" s="461"/>
      <c r="AK336" s="461">
        <f>BC319</f>
        <v>12</v>
      </c>
      <c r="AL336" s="461"/>
      <c r="AM336" s="461"/>
      <c r="AN336" s="461"/>
      <c r="AO336" s="461"/>
      <c r="AP336" s="461" t="str">
        <f>BC320</f>
        <v>∞</v>
      </c>
      <c r="AQ336" s="461"/>
      <c r="AR336" s="461"/>
      <c r="AS336" s="461"/>
      <c r="AT336" s="461"/>
      <c r="AU336" s="461">
        <f>BC321</f>
        <v>12</v>
      </c>
      <c r="AV336" s="461"/>
      <c r="AW336" s="461"/>
      <c r="AX336" s="461"/>
      <c r="AY336" s="230"/>
      <c r="AZ336" s="230"/>
      <c r="BA336" s="230"/>
      <c r="BB336" s="230"/>
      <c r="BC336" s="230"/>
    </row>
    <row r="337" spans="1:60" ht="18.75" customHeight="1">
      <c r="A337" s="230"/>
      <c r="B337" s="230"/>
      <c r="C337" s="230"/>
      <c r="D337" s="230"/>
      <c r="E337" s="230"/>
      <c r="F337" s="230"/>
      <c r="G337" s="230"/>
      <c r="H337" s="230"/>
      <c r="I337" s="230"/>
      <c r="J337" s="230"/>
      <c r="K337" s="230"/>
      <c r="L337" s="230"/>
      <c r="M337" s="230"/>
      <c r="N337" s="230"/>
      <c r="O337" s="230"/>
      <c r="P337" s="230"/>
      <c r="Q337" s="230"/>
      <c r="R337" s="230"/>
      <c r="S337" s="230"/>
      <c r="T337" s="230"/>
      <c r="U337" s="230"/>
      <c r="V337" s="230"/>
      <c r="W337" s="230"/>
      <c r="X337" s="230"/>
      <c r="Y337" s="230"/>
      <c r="Z337" s="230"/>
      <c r="AA337" s="230"/>
      <c r="AB337" s="230"/>
      <c r="AC337" s="230"/>
      <c r="AD337" s="230"/>
      <c r="AE337" s="230"/>
      <c r="AF337" s="230"/>
      <c r="AG337" s="230"/>
      <c r="AH337" s="230"/>
      <c r="AI337" s="230"/>
      <c r="AJ337" s="230"/>
      <c r="AK337" s="230"/>
      <c r="AL337" s="230"/>
      <c r="AM337" s="230"/>
      <c r="AN337" s="230"/>
      <c r="AO337" s="230"/>
      <c r="AP337" s="230"/>
      <c r="AQ337" s="230"/>
      <c r="AR337" s="230"/>
      <c r="AS337" s="230"/>
      <c r="AT337" s="230"/>
      <c r="AU337" s="230"/>
      <c r="AV337" s="230"/>
      <c r="AW337" s="230"/>
      <c r="AX337" s="230"/>
      <c r="AY337" s="230"/>
      <c r="AZ337" s="230"/>
      <c r="BA337" s="230"/>
      <c r="BB337" s="230"/>
      <c r="BC337" s="230"/>
      <c r="BD337" s="230"/>
      <c r="BE337" s="230"/>
      <c r="BF337" s="230"/>
      <c r="BG337" s="230"/>
      <c r="BH337" s="230"/>
    </row>
    <row r="338" spans="1:60" ht="18.75" customHeight="1">
      <c r="A338" s="57" t="s">
        <v>455</v>
      </c>
      <c r="B338" s="230"/>
      <c r="C338" s="230"/>
      <c r="D338" s="230"/>
      <c r="E338" s="230"/>
      <c r="F338" s="230"/>
      <c r="G338" s="230"/>
      <c r="H338" s="230"/>
      <c r="I338" s="230"/>
      <c r="J338" s="230"/>
      <c r="K338" s="230"/>
      <c r="L338" s="230"/>
      <c r="M338" s="230"/>
      <c r="N338" s="230"/>
      <c r="O338" s="230"/>
      <c r="P338" s="230"/>
      <c r="Q338" s="230"/>
      <c r="R338" s="230"/>
      <c r="S338" s="230"/>
      <c r="T338" s="230"/>
      <c r="U338" s="230"/>
      <c r="V338" s="230"/>
      <c r="W338" s="230"/>
      <c r="X338" s="230"/>
      <c r="Y338" s="230"/>
      <c r="Z338" s="230"/>
      <c r="AA338" s="230"/>
      <c r="AB338" s="230"/>
      <c r="AC338" s="230"/>
      <c r="AD338" s="230"/>
      <c r="AE338" s="230"/>
      <c r="AF338" s="230"/>
      <c r="AG338" s="230"/>
      <c r="AH338" s="230"/>
      <c r="AI338" s="230"/>
      <c r="AJ338" s="230"/>
      <c r="AK338" s="230"/>
      <c r="AL338" s="230"/>
      <c r="AM338" s="230"/>
      <c r="AN338" s="230"/>
      <c r="AO338" s="230"/>
      <c r="AP338" s="230"/>
      <c r="AQ338" s="230"/>
      <c r="AR338" s="230"/>
      <c r="AS338" s="230"/>
      <c r="AT338" s="230"/>
      <c r="AU338" s="230"/>
      <c r="AV338" s="230"/>
      <c r="AW338" s="230"/>
      <c r="AX338" s="230"/>
      <c r="AY338" s="230"/>
      <c r="AZ338" s="230"/>
      <c r="BA338" s="230"/>
      <c r="BB338" s="230"/>
      <c r="BC338" s="230"/>
      <c r="BD338" s="230"/>
    </row>
    <row r="339" spans="1:60" ht="18.75" customHeight="1">
      <c r="A339" s="230"/>
      <c r="B339" s="230"/>
      <c r="C339" s="230"/>
      <c r="D339" s="230"/>
      <c r="E339" s="59"/>
      <c r="F339" s="230"/>
      <c r="G339" s="230"/>
      <c r="H339" s="203" t="s">
        <v>463</v>
      </c>
      <c r="I339" s="461" t="e">
        <f ca="1">Calcu!E179</f>
        <v>#N/A</v>
      </c>
      <c r="J339" s="461"/>
      <c r="K339" s="461"/>
      <c r="L339" s="225" t="s">
        <v>80</v>
      </c>
      <c r="M339" s="465" t="e">
        <f ca="1">F331</f>
        <v>#N/A</v>
      </c>
      <c r="N339" s="465"/>
      <c r="O339" s="465"/>
      <c r="P339" s="152"/>
      <c r="Q339" s="275"/>
      <c r="R339" s="466" t="e">
        <f ca="1">K331</f>
        <v>#N/A</v>
      </c>
      <c r="S339" s="445"/>
      <c r="T339" s="445"/>
      <c r="U339" s="230"/>
      <c r="V339" s="230"/>
      <c r="W339" s="230"/>
      <c r="X339" s="450" t="str">
        <f>Q331</f>
        <v>μm</v>
      </c>
      <c r="Y339" s="450"/>
      <c r="Z339" s="225" t="s">
        <v>153</v>
      </c>
      <c r="AA339" s="465" t="e">
        <f ca="1">Calcu!C168</f>
        <v>#N/A</v>
      </c>
      <c r="AB339" s="465"/>
      <c r="AC339" s="465"/>
      <c r="AD339" s="152"/>
      <c r="AE339" s="275"/>
      <c r="AF339" s="466" t="e">
        <f ca="1">Calcu!D168</f>
        <v>#N/A</v>
      </c>
      <c r="AG339" s="445"/>
      <c r="AH339" s="445"/>
      <c r="AI339" s="230"/>
      <c r="AJ339" s="230"/>
      <c r="AK339" s="230"/>
      <c r="AL339" s="450" t="str">
        <f>X339</f>
        <v>μm</v>
      </c>
      <c r="AM339" s="450"/>
      <c r="AN339" s="279" t="s">
        <v>466</v>
      </c>
      <c r="AO339" s="467" t="e">
        <f ca="1">AA339</f>
        <v>#N/A</v>
      </c>
      <c r="AP339" s="467"/>
      <c r="AQ339" s="467"/>
      <c r="AR339" s="152"/>
      <c r="AS339" s="468" t="e">
        <f ca="1">AF339</f>
        <v>#N/A</v>
      </c>
      <c r="AT339" s="468"/>
      <c r="AU339" s="468"/>
      <c r="AV339" s="278"/>
      <c r="AW339" s="230"/>
      <c r="AX339" s="230"/>
      <c r="AY339" s="230"/>
      <c r="AZ339" s="450" t="str">
        <f>AL339</f>
        <v>μm</v>
      </c>
      <c r="BA339" s="450"/>
    </row>
  </sheetData>
  <mergeCells count="1282">
    <mergeCell ref="H321:L321"/>
    <mergeCell ref="M321:N321"/>
    <mergeCell ref="O321:U321"/>
    <mergeCell ref="V321:AA321"/>
    <mergeCell ref="AB321:AF321"/>
    <mergeCell ref="AG321:AO321"/>
    <mergeCell ref="B298:F298"/>
    <mergeCell ref="G298:K298"/>
    <mergeCell ref="L298:P298"/>
    <mergeCell ref="Q298:U298"/>
    <mergeCell ref="V298:Z298"/>
    <mergeCell ref="AA298:AE298"/>
    <mergeCell ref="AF292:AJ292"/>
    <mergeCell ref="AK292:AO292"/>
    <mergeCell ref="B293:F293"/>
    <mergeCell ref="G293:K293"/>
    <mergeCell ref="L293:P293"/>
    <mergeCell ref="Q293:U293"/>
    <mergeCell ref="V293:Z293"/>
    <mergeCell ref="AA293:AE293"/>
    <mergeCell ref="AF293:AJ293"/>
    <mergeCell ref="AK293:AO293"/>
    <mergeCell ref="B292:F292"/>
    <mergeCell ref="G292:K292"/>
    <mergeCell ref="L292:P292"/>
    <mergeCell ref="Q292:U292"/>
    <mergeCell ref="V292:Z292"/>
    <mergeCell ref="AA292:AE292"/>
    <mergeCell ref="B295:F295"/>
    <mergeCell ref="G295:K295"/>
    <mergeCell ref="L295:P295"/>
    <mergeCell ref="Q295:U295"/>
    <mergeCell ref="AP321:AV321"/>
    <mergeCell ref="AW321:BB321"/>
    <mergeCell ref="BC321:BF321"/>
    <mergeCell ref="AH328:AI328"/>
    <mergeCell ref="AJ328:AL328"/>
    <mergeCell ref="AT335:AT336"/>
    <mergeCell ref="AU335:AX335"/>
    <mergeCell ref="AU336:AX336"/>
    <mergeCell ref="L334:AX334"/>
    <mergeCell ref="B256:C256"/>
    <mergeCell ref="D256:G256"/>
    <mergeCell ref="H256:L256"/>
    <mergeCell ref="M256:N256"/>
    <mergeCell ref="O256:U256"/>
    <mergeCell ref="V256:AA256"/>
    <mergeCell ref="AB256:AF256"/>
    <mergeCell ref="AG256:AO256"/>
    <mergeCell ref="AP256:AV256"/>
    <mergeCell ref="AW256:BB256"/>
    <mergeCell ref="L294:P294"/>
    <mergeCell ref="Q294:U294"/>
    <mergeCell ref="V294:Z294"/>
    <mergeCell ref="AA294:AE294"/>
    <mergeCell ref="AA288:AE288"/>
    <mergeCell ref="AF290:AJ290"/>
    <mergeCell ref="AK290:AO290"/>
    <mergeCell ref="B282:G282"/>
    <mergeCell ref="H282:M282"/>
    <mergeCell ref="N282:S282"/>
    <mergeCell ref="T282:Y282"/>
    <mergeCell ref="B321:C321"/>
    <mergeCell ref="D321:G321"/>
    <mergeCell ref="B254:C254"/>
    <mergeCell ref="D254:G254"/>
    <mergeCell ref="H254:L254"/>
    <mergeCell ref="M254:N254"/>
    <mergeCell ref="O254:U254"/>
    <mergeCell ref="V254:AA254"/>
    <mergeCell ref="AB254:AF254"/>
    <mergeCell ref="AG254:AJ254"/>
    <mergeCell ref="AK254:AO254"/>
    <mergeCell ref="AP254:AV254"/>
    <mergeCell ref="AW254:BB254"/>
    <mergeCell ref="C44:E44"/>
    <mergeCell ref="B64:C64"/>
    <mergeCell ref="D64:G64"/>
    <mergeCell ref="H64:L64"/>
    <mergeCell ref="M64:N64"/>
    <mergeCell ref="O64:U64"/>
    <mergeCell ref="V64:AA64"/>
    <mergeCell ref="AB64:AF64"/>
    <mergeCell ref="AG64:AO64"/>
    <mergeCell ref="AP64:AV64"/>
    <mergeCell ref="AW64:BB64"/>
    <mergeCell ref="B57:C57"/>
    <mergeCell ref="M57:N57"/>
    <mergeCell ref="AG252:AJ252"/>
    <mergeCell ref="AK252:AO252"/>
    <mergeCell ref="AB250:AF250"/>
    <mergeCell ref="AG250:AO250"/>
    <mergeCell ref="AB252:AF252"/>
    <mergeCell ref="AB249:AF249"/>
    <mergeCell ref="C166:G167"/>
    <mergeCell ref="B58:C58"/>
    <mergeCell ref="M62:N62"/>
    <mergeCell ref="M60:N60"/>
    <mergeCell ref="B60:C60"/>
    <mergeCell ref="B59:C59"/>
    <mergeCell ref="D59:G59"/>
    <mergeCell ref="N163:O164"/>
    <mergeCell ref="L165:M165"/>
    <mergeCell ref="O165:Q165"/>
    <mergeCell ref="H59:L59"/>
    <mergeCell ref="C150:H151"/>
    <mergeCell ref="C75:H76"/>
    <mergeCell ref="K85:M86"/>
    <mergeCell ref="N85:N86"/>
    <mergeCell ref="O85:P85"/>
    <mergeCell ref="Q85:Q86"/>
    <mergeCell ref="H128:J128"/>
    <mergeCell ref="C134:H135"/>
    <mergeCell ref="C123:G124"/>
    <mergeCell ref="J96:W97"/>
    <mergeCell ref="J98:Z99"/>
    <mergeCell ref="C104:H105"/>
    <mergeCell ref="R104:S105"/>
    <mergeCell ref="R85:T85"/>
    <mergeCell ref="D63:G63"/>
    <mergeCell ref="H63:L63"/>
    <mergeCell ref="B63:C63"/>
    <mergeCell ref="P159:R159"/>
    <mergeCell ref="K160:M161"/>
    <mergeCell ref="C163:H164"/>
    <mergeCell ref="X160:X161"/>
    <mergeCell ref="I87:P87"/>
    <mergeCell ref="C88:H89"/>
    <mergeCell ref="N283:S283"/>
    <mergeCell ref="T283:Y283"/>
    <mergeCell ref="B286:F287"/>
    <mergeCell ref="G286:AE286"/>
    <mergeCell ref="AF286:AJ287"/>
    <mergeCell ref="AK286:AO287"/>
    <mergeCell ref="G287:K287"/>
    <mergeCell ref="L287:P287"/>
    <mergeCell ref="Q287:U287"/>
    <mergeCell ref="V287:Z287"/>
    <mergeCell ref="B290:F290"/>
    <mergeCell ref="G290:K290"/>
    <mergeCell ref="L290:P290"/>
    <mergeCell ref="Q290:U290"/>
    <mergeCell ref="V290:Z290"/>
    <mergeCell ref="AA290:AE290"/>
    <mergeCell ref="B289:F289"/>
    <mergeCell ref="G289:K289"/>
    <mergeCell ref="L289:P289"/>
    <mergeCell ref="Q289:U289"/>
    <mergeCell ref="V289:Z289"/>
    <mergeCell ref="AA289:AE289"/>
    <mergeCell ref="AF289:AJ289"/>
    <mergeCell ref="AK289:AO289"/>
    <mergeCell ref="B288:F288"/>
    <mergeCell ref="G288:K288"/>
    <mergeCell ref="L288:P288"/>
    <mergeCell ref="Q288:U288"/>
    <mergeCell ref="V288:Z288"/>
    <mergeCell ref="B283:G283"/>
    <mergeCell ref="H283:M283"/>
    <mergeCell ref="V295:Z295"/>
    <mergeCell ref="AA295:AE295"/>
    <mergeCell ref="AF295:AJ295"/>
    <mergeCell ref="AK295:AO295"/>
    <mergeCell ref="B294:F294"/>
    <mergeCell ref="G294:K294"/>
    <mergeCell ref="L300:P300"/>
    <mergeCell ref="Q300:U300"/>
    <mergeCell ref="V300:Z300"/>
    <mergeCell ref="AA300:AE300"/>
    <mergeCell ref="AF302:AJ302"/>
    <mergeCell ref="AK302:AO302"/>
    <mergeCell ref="B297:F297"/>
    <mergeCell ref="G297:K297"/>
    <mergeCell ref="L297:P297"/>
    <mergeCell ref="Q297:U297"/>
    <mergeCell ref="V297:Z297"/>
    <mergeCell ref="AA297:AE297"/>
    <mergeCell ref="AF297:AJ297"/>
    <mergeCell ref="AK297:AO297"/>
    <mergeCell ref="AF296:AJ296"/>
    <mergeCell ref="AK296:AO296"/>
    <mergeCell ref="B299:F299"/>
    <mergeCell ref="G299:K299"/>
    <mergeCell ref="L299:P299"/>
    <mergeCell ref="Q299:U299"/>
    <mergeCell ref="V299:Z299"/>
    <mergeCell ref="AA299:AE299"/>
    <mergeCell ref="B301:F301"/>
    <mergeCell ref="G301:K301"/>
    <mergeCell ref="L301:P301"/>
    <mergeCell ref="Q301:U301"/>
    <mergeCell ref="B291:F291"/>
    <mergeCell ref="G291:K291"/>
    <mergeCell ref="L291:P291"/>
    <mergeCell ref="Q291:U291"/>
    <mergeCell ref="V291:Z291"/>
    <mergeCell ref="AA291:AE291"/>
    <mergeCell ref="AF291:AJ291"/>
    <mergeCell ref="AK291:AO291"/>
    <mergeCell ref="B296:F296"/>
    <mergeCell ref="G296:K296"/>
    <mergeCell ref="L296:P296"/>
    <mergeCell ref="Q296:U296"/>
    <mergeCell ref="V296:Z296"/>
    <mergeCell ref="AA296:AE296"/>
    <mergeCell ref="AF299:AJ299"/>
    <mergeCell ref="AK299:AO299"/>
    <mergeCell ref="B303:F303"/>
    <mergeCell ref="G303:K303"/>
    <mergeCell ref="L303:P303"/>
    <mergeCell ref="Q303:U303"/>
    <mergeCell ref="V303:Z303"/>
    <mergeCell ref="AA303:AE303"/>
    <mergeCell ref="AF303:AJ303"/>
    <mergeCell ref="AK303:AO303"/>
    <mergeCell ref="B302:F302"/>
    <mergeCell ref="G302:K302"/>
    <mergeCell ref="L302:P302"/>
    <mergeCell ref="Q302:U302"/>
    <mergeCell ref="V302:Z302"/>
    <mergeCell ref="AA302:AE302"/>
    <mergeCell ref="AF298:AJ298"/>
    <mergeCell ref="AK298:AO298"/>
    <mergeCell ref="V301:Z301"/>
    <mergeCell ref="AA301:AE301"/>
    <mergeCell ref="AF301:AJ301"/>
    <mergeCell ref="AK301:AO301"/>
    <mergeCell ref="B300:F300"/>
    <mergeCell ref="G300:K300"/>
    <mergeCell ref="AF304:AJ304"/>
    <mergeCell ref="AK304:AO304"/>
    <mergeCell ref="B305:F305"/>
    <mergeCell ref="G305:K305"/>
    <mergeCell ref="L305:P305"/>
    <mergeCell ref="Q305:U305"/>
    <mergeCell ref="V305:Z305"/>
    <mergeCell ref="AA305:AE305"/>
    <mergeCell ref="AF305:AJ305"/>
    <mergeCell ref="AK305:AO305"/>
    <mergeCell ref="B304:F304"/>
    <mergeCell ref="G304:K304"/>
    <mergeCell ref="L304:P304"/>
    <mergeCell ref="Q304:U304"/>
    <mergeCell ref="V304:Z304"/>
    <mergeCell ref="AA304:AE304"/>
    <mergeCell ref="B308:F308"/>
    <mergeCell ref="G308:K308"/>
    <mergeCell ref="L308:P308"/>
    <mergeCell ref="Q308:U308"/>
    <mergeCell ref="V308:Z308"/>
    <mergeCell ref="AA308:AE308"/>
    <mergeCell ref="AB313:AF313"/>
    <mergeCell ref="AG313:AO313"/>
    <mergeCell ref="AF306:AJ306"/>
    <mergeCell ref="AK306:AO306"/>
    <mergeCell ref="B307:F307"/>
    <mergeCell ref="G307:K307"/>
    <mergeCell ref="L307:P307"/>
    <mergeCell ref="Q307:U307"/>
    <mergeCell ref="V307:Z307"/>
    <mergeCell ref="AA307:AE307"/>
    <mergeCell ref="AF307:AJ307"/>
    <mergeCell ref="AK307:AO307"/>
    <mergeCell ref="B306:F306"/>
    <mergeCell ref="G306:K306"/>
    <mergeCell ref="L306:P306"/>
    <mergeCell ref="Q306:U306"/>
    <mergeCell ref="V306:Z306"/>
    <mergeCell ref="AA306:AE306"/>
    <mergeCell ref="AF308:AJ308"/>
    <mergeCell ref="AK308:AO308"/>
    <mergeCell ref="BC311:BF311"/>
    <mergeCell ref="D312:G312"/>
    <mergeCell ref="H312:N312"/>
    <mergeCell ref="O312:AA312"/>
    <mergeCell ref="AB312:AF312"/>
    <mergeCell ref="AG312:AO312"/>
    <mergeCell ref="AP312:BB312"/>
    <mergeCell ref="BC312:BF312"/>
    <mergeCell ref="T314:V314"/>
    <mergeCell ref="Z314:AA314"/>
    <mergeCell ref="AB314:AF314"/>
    <mergeCell ref="AG314:AO314"/>
    <mergeCell ref="AP313:BB313"/>
    <mergeCell ref="BC313:BF313"/>
    <mergeCell ref="B314:C314"/>
    <mergeCell ref="D314:G314"/>
    <mergeCell ref="H314:L314"/>
    <mergeCell ref="M314:N314"/>
    <mergeCell ref="O314:Q314"/>
    <mergeCell ref="BA314:BB314"/>
    <mergeCell ref="BC314:BF314"/>
    <mergeCell ref="AP314:AR314"/>
    <mergeCell ref="AU314:AW314"/>
    <mergeCell ref="B311:C313"/>
    <mergeCell ref="D311:G311"/>
    <mergeCell ref="H311:N311"/>
    <mergeCell ref="O311:AA311"/>
    <mergeCell ref="AB311:AF311"/>
    <mergeCell ref="AG311:AO311"/>
    <mergeCell ref="D313:G313"/>
    <mergeCell ref="H313:N313"/>
    <mergeCell ref="O313:AA313"/>
    <mergeCell ref="BC315:BF315"/>
    <mergeCell ref="B316:C316"/>
    <mergeCell ref="D316:G316"/>
    <mergeCell ref="H316:L316"/>
    <mergeCell ref="M316:N316"/>
    <mergeCell ref="O316:W316"/>
    <mergeCell ref="X316:AA316"/>
    <mergeCell ref="AB316:AF316"/>
    <mergeCell ref="AG316:AJ316"/>
    <mergeCell ref="AK316:AO316"/>
    <mergeCell ref="AP316:AV316"/>
    <mergeCell ref="AW316:BB316"/>
    <mergeCell ref="BC316:BF316"/>
    <mergeCell ref="B315:C315"/>
    <mergeCell ref="D315:G315"/>
    <mergeCell ref="H315:L315"/>
    <mergeCell ref="M315:N315"/>
    <mergeCell ref="O315:U315"/>
    <mergeCell ref="V315:AA315"/>
    <mergeCell ref="AB315:AF315"/>
    <mergeCell ref="AG315:AO315"/>
    <mergeCell ref="B317:C317"/>
    <mergeCell ref="D317:G317"/>
    <mergeCell ref="H317:L317"/>
    <mergeCell ref="M317:N317"/>
    <mergeCell ref="O317:U317"/>
    <mergeCell ref="BC317:BF317"/>
    <mergeCell ref="B318:C318"/>
    <mergeCell ref="D318:G318"/>
    <mergeCell ref="H318:L318"/>
    <mergeCell ref="M318:N318"/>
    <mergeCell ref="O318:W318"/>
    <mergeCell ref="X318:AA318"/>
    <mergeCell ref="AB318:AF318"/>
    <mergeCell ref="AG318:AJ318"/>
    <mergeCell ref="AK318:AO318"/>
    <mergeCell ref="V317:AA317"/>
    <mergeCell ref="AB317:AF317"/>
    <mergeCell ref="AG317:AJ317"/>
    <mergeCell ref="AK317:AO317"/>
    <mergeCell ref="AP317:AV317"/>
    <mergeCell ref="AW317:BB317"/>
    <mergeCell ref="B320:C320"/>
    <mergeCell ref="D320:G320"/>
    <mergeCell ref="H320:L320"/>
    <mergeCell ref="M320:N320"/>
    <mergeCell ref="O320:U320"/>
    <mergeCell ref="AP318:AV318"/>
    <mergeCell ref="AW318:BB318"/>
    <mergeCell ref="BC318:BF318"/>
    <mergeCell ref="B319:C319"/>
    <mergeCell ref="D319:G319"/>
    <mergeCell ref="H319:L319"/>
    <mergeCell ref="M319:N319"/>
    <mergeCell ref="O319:U319"/>
    <mergeCell ref="V319:AA319"/>
    <mergeCell ref="AB319:AF319"/>
    <mergeCell ref="V320:AA320"/>
    <mergeCell ref="AB320:AF320"/>
    <mergeCell ref="AG320:AO320"/>
    <mergeCell ref="AP320:AV320"/>
    <mergeCell ref="AW320:BB320"/>
    <mergeCell ref="BC320:BF320"/>
    <mergeCell ref="AG319:AJ319"/>
    <mergeCell ref="AK319:AO319"/>
    <mergeCell ref="AP319:AV319"/>
    <mergeCell ref="AW319:BB319"/>
    <mergeCell ref="BC319:BF319"/>
    <mergeCell ref="BC322:BF322"/>
    <mergeCell ref="F327:H327"/>
    <mergeCell ref="K327:L327"/>
    <mergeCell ref="M327:O327"/>
    <mergeCell ref="T327:U327"/>
    <mergeCell ref="V327:X327"/>
    <mergeCell ref="B322:C322"/>
    <mergeCell ref="D322:G322"/>
    <mergeCell ref="H322:L322"/>
    <mergeCell ref="M322:N322"/>
    <mergeCell ref="O322:AA322"/>
    <mergeCell ref="AB322:AF322"/>
    <mergeCell ref="AM327:AP327"/>
    <mergeCell ref="F328:G328"/>
    <mergeCell ref="H328:K328"/>
    <mergeCell ref="P328:Q328"/>
    <mergeCell ref="R328:U328"/>
    <mergeCell ref="Z328:AA328"/>
    <mergeCell ref="AB328:AD328"/>
    <mergeCell ref="AG322:AO322"/>
    <mergeCell ref="AP322:AR322"/>
    <mergeCell ref="F329:H329"/>
    <mergeCell ref="K329:L329"/>
    <mergeCell ref="M329:O329"/>
    <mergeCell ref="F331:H331"/>
    <mergeCell ref="K331:M331"/>
    <mergeCell ref="Q331:R331"/>
    <mergeCell ref="AA327:AB327"/>
    <mergeCell ref="AC327:AF327"/>
    <mergeCell ref="AK327:AL327"/>
    <mergeCell ref="AO335:AO336"/>
    <mergeCell ref="AP335:AS335"/>
    <mergeCell ref="AP336:AS336"/>
    <mergeCell ref="AY334:AY335"/>
    <mergeCell ref="AZ334:BD335"/>
    <mergeCell ref="L335:O335"/>
    <mergeCell ref="P335:P336"/>
    <mergeCell ref="Q335:T335"/>
    <mergeCell ref="U335:U336"/>
    <mergeCell ref="V335:Y335"/>
    <mergeCell ref="Z335:Z336"/>
    <mergeCell ref="AA335:AD335"/>
    <mergeCell ref="L336:O336"/>
    <mergeCell ref="Q336:T336"/>
    <mergeCell ref="V336:Y336"/>
    <mergeCell ref="AA336:AD336"/>
    <mergeCell ref="AF336:AI336"/>
    <mergeCell ref="AK336:AN336"/>
    <mergeCell ref="AE335:AE336"/>
    <mergeCell ref="AF335:AI335"/>
    <mergeCell ref="AJ335:AJ336"/>
    <mergeCell ref="AK335:AN335"/>
    <mergeCell ref="AL274:AM274"/>
    <mergeCell ref="AO274:AQ274"/>
    <mergeCell ref="AS274:AU274"/>
    <mergeCell ref="AZ274:BA274"/>
    <mergeCell ref="I274:K274"/>
    <mergeCell ref="M274:O274"/>
    <mergeCell ref="R274:T274"/>
    <mergeCell ref="X274:Y274"/>
    <mergeCell ref="AA274:AC274"/>
    <mergeCell ref="AF274:AH274"/>
    <mergeCell ref="AL339:AM339"/>
    <mergeCell ref="AO339:AQ339"/>
    <mergeCell ref="AS339:AU339"/>
    <mergeCell ref="AZ339:BA339"/>
    <mergeCell ref="I339:K339"/>
    <mergeCell ref="M339:O339"/>
    <mergeCell ref="R339:T339"/>
    <mergeCell ref="X339:Y339"/>
    <mergeCell ref="AA339:AC339"/>
    <mergeCell ref="AF339:AH339"/>
    <mergeCell ref="AU322:AW322"/>
    <mergeCell ref="BA322:BB322"/>
    <mergeCell ref="AP315:AV315"/>
    <mergeCell ref="AW315:BB315"/>
    <mergeCell ref="AP311:BB311"/>
    <mergeCell ref="AF300:AJ300"/>
    <mergeCell ref="AK300:AO300"/>
    <mergeCell ref="AF294:AJ294"/>
    <mergeCell ref="AK294:AO294"/>
    <mergeCell ref="AF288:AJ288"/>
    <mergeCell ref="AK288:AO288"/>
    <mergeCell ref="AA287:AE287"/>
    <mergeCell ref="T262:U262"/>
    <mergeCell ref="V262:X262"/>
    <mergeCell ref="AO270:AO271"/>
    <mergeCell ref="AP270:AS270"/>
    <mergeCell ref="AP271:AS271"/>
    <mergeCell ref="AY269:AY270"/>
    <mergeCell ref="AZ269:BD270"/>
    <mergeCell ref="L270:O270"/>
    <mergeCell ref="P270:P271"/>
    <mergeCell ref="Q270:T270"/>
    <mergeCell ref="U270:U271"/>
    <mergeCell ref="V270:Y270"/>
    <mergeCell ref="Z270:Z271"/>
    <mergeCell ref="AA270:AD270"/>
    <mergeCell ref="L271:O271"/>
    <mergeCell ref="Q271:T271"/>
    <mergeCell ref="V271:Y271"/>
    <mergeCell ref="AA271:AD271"/>
    <mergeCell ref="AF271:AI271"/>
    <mergeCell ref="AK271:AN271"/>
    <mergeCell ref="AE270:AE271"/>
    <mergeCell ref="AF270:AI270"/>
    <mergeCell ref="AJ270:AJ271"/>
    <mergeCell ref="AK270:AN270"/>
    <mergeCell ref="AH263:AI263"/>
    <mergeCell ref="AJ263:AL263"/>
    <mergeCell ref="AT270:AT271"/>
    <mergeCell ref="AU270:AX270"/>
    <mergeCell ref="AU271:AX271"/>
    <mergeCell ref="L269:AX269"/>
    <mergeCell ref="B257:C257"/>
    <mergeCell ref="D257:G257"/>
    <mergeCell ref="H257:L257"/>
    <mergeCell ref="F264:H264"/>
    <mergeCell ref="K264:L264"/>
    <mergeCell ref="M264:O264"/>
    <mergeCell ref="F266:H266"/>
    <mergeCell ref="K266:M266"/>
    <mergeCell ref="Q266:R266"/>
    <mergeCell ref="AA262:AB262"/>
    <mergeCell ref="AC262:AF262"/>
    <mergeCell ref="AK262:AL262"/>
    <mergeCell ref="H255:L255"/>
    <mergeCell ref="M255:N255"/>
    <mergeCell ref="O255:U255"/>
    <mergeCell ref="V255:AA255"/>
    <mergeCell ref="AB255:AF255"/>
    <mergeCell ref="AG255:AO255"/>
    <mergeCell ref="B255:C255"/>
    <mergeCell ref="D255:G255"/>
    <mergeCell ref="AM262:AP262"/>
    <mergeCell ref="F263:G263"/>
    <mergeCell ref="H263:K263"/>
    <mergeCell ref="P263:Q263"/>
    <mergeCell ref="R263:U263"/>
    <mergeCell ref="Z263:AA263"/>
    <mergeCell ref="AB263:AD263"/>
    <mergeCell ref="AP255:AV255"/>
    <mergeCell ref="AU257:AW257"/>
    <mergeCell ref="F262:H262"/>
    <mergeCell ref="K262:L262"/>
    <mergeCell ref="M262:O262"/>
    <mergeCell ref="BA257:BB257"/>
    <mergeCell ref="BC257:BF257"/>
    <mergeCell ref="AW255:BB255"/>
    <mergeCell ref="BC255:BF255"/>
    <mergeCell ref="M257:N257"/>
    <mergeCell ref="O257:AA257"/>
    <mergeCell ref="AP252:AV252"/>
    <mergeCell ref="AW252:BB252"/>
    <mergeCell ref="BC252:BF252"/>
    <mergeCell ref="AB257:AF257"/>
    <mergeCell ref="AG257:AO257"/>
    <mergeCell ref="AP257:AR257"/>
    <mergeCell ref="BC254:BF254"/>
    <mergeCell ref="BC256:BF256"/>
    <mergeCell ref="B253:C253"/>
    <mergeCell ref="D253:G253"/>
    <mergeCell ref="H253:L253"/>
    <mergeCell ref="M253:N253"/>
    <mergeCell ref="O253:W253"/>
    <mergeCell ref="X253:AA253"/>
    <mergeCell ref="AB253:AF253"/>
    <mergeCell ref="AG253:AJ253"/>
    <mergeCell ref="AK253:AO253"/>
    <mergeCell ref="AP253:AV253"/>
    <mergeCell ref="AW253:BB253"/>
    <mergeCell ref="BC253:BF253"/>
    <mergeCell ref="B252:C252"/>
    <mergeCell ref="D252:G252"/>
    <mergeCell ref="H252:L252"/>
    <mergeCell ref="M252:N252"/>
    <mergeCell ref="O252:U252"/>
    <mergeCell ref="V252:AA252"/>
    <mergeCell ref="BC250:BF250"/>
    <mergeCell ref="B251:C251"/>
    <mergeCell ref="D251:G251"/>
    <mergeCell ref="H251:L251"/>
    <mergeCell ref="M251:N251"/>
    <mergeCell ref="O251:W251"/>
    <mergeCell ref="B250:C250"/>
    <mergeCell ref="D250:G250"/>
    <mergeCell ref="H250:L250"/>
    <mergeCell ref="M250:N250"/>
    <mergeCell ref="O250:U250"/>
    <mergeCell ref="V250:AA250"/>
    <mergeCell ref="BC251:BF251"/>
    <mergeCell ref="X251:AA251"/>
    <mergeCell ref="AB251:AF251"/>
    <mergeCell ref="AG251:AJ251"/>
    <mergeCell ref="AK251:AO251"/>
    <mergeCell ref="AP251:AV251"/>
    <mergeCell ref="AW251:BB251"/>
    <mergeCell ref="AP250:AV250"/>
    <mergeCell ref="AW250:BB250"/>
    <mergeCell ref="AG249:AO249"/>
    <mergeCell ref="AP249:AR249"/>
    <mergeCell ref="AU249:AW249"/>
    <mergeCell ref="BA249:BB249"/>
    <mergeCell ref="BC249:BF249"/>
    <mergeCell ref="AG248:AO248"/>
    <mergeCell ref="AP248:BB248"/>
    <mergeCell ref="BC248:BF248"/>
    <mergeCell ref="B249:C249"/>
    <mergeCell ref="D249:G249"/>
    <mergeCell ref="H249:L249"/>
    <mergeCell ref="M249:N249"/>
    <mergeCell ref="O249:Q249"/>
    <mergeCell ref="T249:V249"/>
    <mergeCell ref="Z249:AA249"/>
    <mergeCell ref="AP246:BB246"/>
    <mergeCell ref="BC246:BF246"/>
    <mergeCell ref="D247:G247"/>
    <mergeCell ref="H247:N247"/>
    <mergeCell ref="O247:AA247"/>
    <mergeCell ref="AB247:AF247"/>
    <mergeCell ref="AG247:AO247"/>
    <mergeCell ref="AP247:BB247"/>
    <mergeCell ref="BC247:BF247"/>
    <mergeCell ref="B246:C248"/>
    <mergeCell ref="D246:G246"/>
    <mergeCell ref="H246:N246"/>
    <mergeCell ref="O246:AA246"/>
    <mergeCell ref="AB246:AF246"/>
    <mergeCell ref="AG246:AO246"/>
    <mergeCell ref="D248:G248"/>
    <mergeCell ref="H248:N248"/>
    <mergeCell ref="AK243:AO243"/>
    <mergeCell ref="B243:F243"/>
    <mergeCell ref="G243:K243"/>
    <mergeCell ref="L243:P243"/>
    <mergeCell ref="Q243:U243"/>
    <mergeCell ref="V243:Z243"/>
    <mergeCell ref="AA243:AE243"/>
    <mergeCell ref="O248:AA248"/>
    <mergeCell ref="AB248:AF248"/>
    <mergeCell ref="AF243:AJ243"/>
    <mergeCell ref="AF241:AJ241"/>
    <mergeCell ref="AK241:AO241"/>
    <mergeCell ref="B242:F242"/>
    <mergeCell ref="G242:K242"/>
    <mergeCell ref="L242:P242"/>
    <mergeCell ref="Q242:U242"/>
    <mergeCell ref="V242:Z242"/>
    <mergeCell ref="AA242:AE242"/>
    <mergeCell ref="AF242:AJ242"/>
    <mergeCell ref="AK242:AO242"/>
    <mergeCell ref="B241:F241"/>
    <mergeCell ref="G241:K241"/>
    <mergeCell ref="L241:P241"/>
    <mergeCell ref="Q241:U241"/>
    <mergeCell ref="V241:Z241"/>
    <mergeCell ref="AA241:AE241"/>
    <mergeCell ref="AF239:AJ239"/>
    <mergeCell ref="AK239:AO239"/>
    <mergeCell ref="B240:F240"/>
    <mergeCell ref="G240:K240"/>
    <mergeCell ref="L240:P240"/>
    <mergeCell ref="Q240:U240"/>
    <mergeCell ref="V240:Z240"/>
    <mergeCell ref="AA240:AE240"/>
    <mergeCell ref="AF240:AJ240"/>
    <mergeCell ref="AK240:AO240"/>
    <mergeCell ref="B239:F239"/>
    <mergeCell ref="G239:K239"/>
    <mergeCell ref="L239:P239"/>
    <mergeCell ref="Q239:U239"/>
    <mergeCell ref="V239:Z239"/>
    <mergeCell ref="AA239:AE239"/>
    <mergeCell ref="AF237:AJ237"/>
    <mergeCell ref="AK237:AO237"/>
    <mergeCell ref="B238:F238"/>
    <mergeCell ref="G238:K238"/>
    <mergeCell ref="L238:P238"/>
    <mergeCell ref="Q238:U238"/>
    <mergeCell ref="V238:Z238"/>
    <mergeCell ref="AA238:AE238"/>
    <mergeCell ref="AF238:AJ238"/>
    <mergeCell ref="AK238:AO238"/>
    <mergeCell ref="B237:F237"/>
    <mergeCell ref="G237:K237"/>
    <mergeCell ref="L237:P237"/>
    <mergeCell ref="Q237:U237"/>
    <mergeCell ref="V237:Z237"/>
    <mergeCell ref="AA237:AE237"/>
    <mergeCell ref="AF235:AJ235"/>
    <mergeCell ref="AK235:AO235"/>
    <mergeCell ref="B236:F236"/>
    <mergeCell ref="G236:K236"/>
    <mergeCell ref="L236:P236"/>
    <mergeCell ref="Q236:U236"/>
    <mergeCell ref="V236:Z236"/>
    <mergeCell ref="AA236:AE236"/>
    <mergeCell ref="AF236:AJ236"/>
    <mergeCell ref="AK236:AO236"/>
    <mergeCell ref="B235:F235"/>
    <mergeCell ref="G235:K235"/>
    <mergeCell ref="L235:P235"/>
    <mergeCell ref="Q235:U235"/>
    <mergeCell ref="V235:Z235"/>
    <mergeCell ref="AA235:AE235"/>
    <mergeCell ref="AF233:AJ233"/>
    <mergeCell ref="AK233:AO233"/>
    <mergeCell ref="B234:F234"/>
    <mergeCell ref="G234:K234"/>
    <mergeCell ref="L234:P234"/>
    <mergeCell ref="Q234:U234"/>
    <mergeCell ref="V234:Z234"/>
    <mergeCell ref="AA234:AE234"/>
    <mergeCell ref="AF234:AJ234"/>
    <mergeCell ref="AK234:AO234"/>
    <mergeCell ref="B233:F233"/>
    <mergeCell ref="G233:K233"/>
    <mergeCell ref="L233:P233"/>
    <mergeCell ref="Q233:U233"/>
    <mergeCell ref="V233:Z233"/>
    <mergeCell ref="AA233:AE233"/>
    <mergeCell ref="AF231:AJ231"/>
    <mergeCell ref="AK231:AO231"/>
    <mergeCell ref="B232:F232"/>
    <mergeCell ref="G232:K232"/>
    <mergeCell ref="L232:P232"/>
    <mergeCell ref="Q232:U232"/>
    <mergeCell ref="V232:Z232"/>
    <mergeCell ref="AA232:AE232"/>
    <mergeCell ref="AF232:AJ232"/>
    <mergeCell ref="AK232:AO232"/>
    <mergeCell ref="B231:F231"/>
    <mergeCell ref="G231:K231"/>
    <mergeCell ref="L231:P231"/>
    <mergeCell ref="Q231:U231"/>
    <mergeCell ref="V231:Z231"/>
    <mergeCell ref="AA231:AE231"/>
    <mergeCell ref="AF229:AJ229"/>
    <mergeCell ref="AK229:AO229"/>
    <mergeCell ref="B230:F230"/>
    <mergeCell ref="G230:K230"/>
    <mergeCell ref="L230:P230"/>
    <mergeCell ref="Q230:U230"/>
    <mergeCell ref="V230:Z230"/>
    <mergeCell ref="AA230:AE230"/>
    <mergeCell ref="AF230:AJ230"/>
    <mergeCell ref="AK230:AO230"/>
    <mergeCell ref="B229:F229"/>
    <mergeCell ref="G229:K229"/>
    <mergeCell ref="L229:P229"/>
    <mergeCell ref="Q229:U229"/>
    <mergeCell ref="V229:Z229"/>
    <mergeCell ref="AA229:AE229"/>
    <mergeCell ref="AF227:AJ227"/>
    <mergeCell ref="AK227:AO227"/>
    <mergeCell ref="B228:F228"/>
    <mergeCell ref="G228:K228"/>
    <mergeCell ref="L228:P228"/>
    <mergeCell ref="Q228:U228"/>
    <mergeCell ref="V228:Z228"/>
    <mergeCell ref="AA228:AE228"/>
    <mergeCell ref="AF228:AJ228"/>
    <mergeCell ref="AK228:AO228"/>
    <mergeCell ref="B227:F227"/>
    <mergeCell ref="G227:K227"/>
    <mergeCell ref="L227:P227"/>
    <mergeCell ref="Q227:U227"/>
    <mergeCell ref="V227:Z227"/>
    <mergeCell ref="AA227:AE227"/>
    <mergeCell ref="AF225:AJ225"/>
    <mergeCell ref="AK225:AO225"/>
    <mergeCell ref="B226:F226"/>
    <mergeCell ref="G226:K226"/>
    <mergeCell ref="L226:P226"/>
    <mergeCell ref="Q226:U226"/>
    <mergeCell ref="V226:Z226"/>
    <mergeCell ref="AA226:AE226"/>
    <mergeCell ref="AF226:AJ226"/>
    <mergeCell ref="AK226:AO226"/>
    <mergeCell ref="B225:F225"/>
    <mergeCell ref="G225:K225"/>
    <mergeCell ref="L225:P225"/>
    <mergeCell ref="Q225:U225"/>
    <mergeCell ref="V225:Z225"/>
    <mergeCell ref="AA225:AE225"/>
    <mergeCell ref="AF224:AJ224"/>
    <mergeCell ref="AK224:AO224"/>
    <mergeCell ref="B223:F223"/>
    <mergeCell ref="G223:K223"/>
    <mergeCell ref="L223:P223"/>
    <mergeCell ref="Q223:U223"/>
    <mergeCell ref="V223:Z223"/>
    <mergeCell ref="AA223:AE223"/>
    <mergeCell ref="AF221:AJ222"/>
    <mergeCell ref="AK221:AO222"/>
    <mergeCell ref="G222:K222"/>
    <mergeCell ref="L222:P222"/>
    <mergeCell ref="Q222:U222"/>
    <mergeCell ref="V222:Z222"/>
    <mergeCell ref="AA222:AE222"/>
    <mergeCell ref="AF223:AJ223"/>
    <mergeCell ref="AK223:AO223"/>
    <mergeCell ref="B224:F224"/>
    <mergeCell ref="G224:K224"/>
    <mergeCell ref="L224:P224"/>
    <mergeCell ref="Q224:U224"/>
    <mergeCell ref="V224:Z224"/>
    <mergeCell ref="AA224:AE224"/>
    <mergeCell ref="B217:G217"/>
    <mergeCell ref="H217:M217"/>
    <mergeCell ref="N217:S217"/>
    <mergeCell ref="T217:Y217"/>
    <mergeCell ref="B218:G218"/>
    <mergeCell ref="H218:M218"/>
    <mergeCell ref="N218:S218"/>
    <mergeCell ref="T218:Y218"/>
    <mergeCell ref="H95:J95"/>
    <mergeCell ref="C96:I97"/>
    <mergeCell ref="B221:F222"/>
    <mergeCell ref="G221:AE221"/>
    <mergeCell ref="L106:M106"/>
    <mergeCell ref="J117:L118"/>
    <mergeCell ref="M117:M118"/>
    <mergeCell ref="N117:O117"/>
    <mergeCell ref="R117:R118"/>
    <mergeCell ref="S117:U118"/>
    <mergeCell ref="V117:W118"/>
    <mergeCell ref="F191:H191"/>
    <mergeCell ref="V165:X165"/>
    <mergeCell ref="I149:P149"/>
    <mergeCell ref="Y160:AA161"/>
    <mergeCell ref="S160:S161"/>
    <mergeCell ref="T160:U160"/>
    <mergeCell ref="F189:H189"/>
    <mergeCell ref="K189:L189"/>
    <mergeCell ref="M189:O189"/>
    <mergeCell ref="F187:H187"/>
    <mergeCell ref="K187:L187"/>
    <mergeCell ref="M187:O187"/>
    <mergeCell ref="F188:G188"/>
    <mergeCell ref="H56:N56"/>
    <mergeCell ref="AF30:AJ30"/>
    <mergeCell ref="AK30:AO30"/>
    <mergeCell ref="AA29:AE29"/>
    <mergeCell ref="AF29:AJ29"/>
    <mergeCell ref="AK29:AO29"/>
    <mergeCell ref="AA30:AE30"/>
    <mergeCell ref="L29:P29"/>
    <mergeCell ref="Q29:U29"/>
    <mergeCell ref="V29:Z29"/>
    <mergeCell ref="AB109:AC110"/>
    <mergeCell ref="M65:N65"/>
    <mergeCell ref="B65:C65"/>
    <mergeCell ref="D65:G65"/>
    <mergeCell ref="H65:L65"/>
    <mergeCell ref="D61:G61"/>
    <mergeCell ref="H61:L61"/>
    <mergeCell ref="M61:N61"/>
    <mergeCell ref="O65:AA65"/>
    <mergeCell ref="AG101:AK102"/>
    <mergeCell ref="T104:Y105"/>
    <mergeCell ref="Z104:Z105"/>
    <mergeCell ref="AA104:AB105"/>
    <mergeCell ref="M59:N59"/>
    <mergeCell ref="D60:G60"/>
    <mergeCell ref="H60:L60"/>
    <mergeCell ref="B61:C61"/>
    <mergeCell ref="D58:G58"/>
    <mergeCell ref="M58:N58"/>
    <mergeCell ref="B62:C62"/>
    <mergeCell ref="D62:G62"/>
    <mergeCell ref="H62:L62"/>
    <mergeCell ref="AF28:AJ28"/>
    <mergeCell ref="AK28:AO28"/>
    <mergeCell ref="V26:Z26"/>
    <mergeCell ref="AA26:AE26"/>
    <mergeCell ref="AF26:AJ26"/>
    <mergeCell ref="AK26:AO26"/>
    <mergeCell ref="V27:Z27"/>
    <mergeCell ref="AF27:AJ27"/>
    <mergeCell ref="AK27:AO27"/>
    <mergeCell ref="AA27:AE27"/>
    <mergeCell ref="AA28:AE28"/>
    <mergeCell ref="H58:L58"/>
    <mergeCell ref="Q26:U26"/>
    <mergeCell ref="V30:Z30"/>
    <mergeCell ref="G27:K27"/>
    <mergeCell ref="D57:G57"/>
    <mergeCell ref="H57:L57"/>
    <mergeCell ref="Q27:U27"/>
    <mergeCell ref="Q30:U30"/>
    <mergeCell ref="Q28:U28"/>
    <mergeCell ref="V28:Z28"/>
    <mergeCell ref="B26:F26"/>
    <mergeCell ref="G26:K26"/>
    <mergeCell ref="B28:F28"/>
    <mergeCell ref="G28:K28"/>
    <mergeCell ref="L28:P28"/>
    <mergeCell ref="B29:F29"/>
    <mergeCell ref="C35:E35"/>
    <mergeCell ref="C37:E37"/>
    <mergeCell ref="C36:E36"/>
    <mergeCell ref="L26:P26"/>
    <mergeCell ref="D56:G56"/>
    <mergeCell ref="AF22:AJ22"/>
    <mergeCell ref="AK22:AO22"/>
    <mergeCell ref="B21:F21"/>
    <mergeCell ref="G21:K21"/>
    <mergeCell ref="L21:P21"/>
    <mergeCell ref="Q21:U21"/>
    <mergeCell ref="V21:Z21"/>
    <mergeCell ref="AA21:AE21"/>
    <mergeCell ref="AF21:AJ21"/>
    <mergeCell ref="AK21:AO21"/>
    <mergeCell ref="V22:Z22"/>
    <mergeCell ref="AA20:AE20"/>
    <mergeCell ref="Q22:U22"/>
    <mergeCell ref="Q20:U20"/>
    <mergeCell ref="V20:Z20"/>
    <mergeCell ref="B25:F25"/>
    <mergeCell ref="G25:K25"/>
    <mergeCell ref="B22:F22"/>
    <mergeCell ref="G22:K22"/>
    <mergeCell ref="L22:P22"/>
    <mergeCell ref="B23:F23"/>
    <mergeCell ref="G23:K23"/>
    <mergeCell ref="L23:P23"/>
    <mergeCell ref="AK8:AO9"/>
    <mergeCell ref="G9:K9"/>
    <mergeCell ref="L9:P9"/>
    <mergeCell ref="Q9:U9"/>
    <mergeCell ref="B12:F12"/>
    <mergeCell ref="G12:K12"/>
    <mergeCell ref="L12:P12"/>
    <mergeCell ref="Q12:U12"/>
    <mergeCell ref="V12:Z12"/>
    <mergeCell ref="AA12:AE12"/>
    <mergeCell ref="AF12:AJ12"/>
    <mergeCell ref="AK12:AO12"/>
    <mergeCell ref="AK10:AO10"/>
    <mergeCell ref="B11:F11"/>
    <mergeCell ref="AA9:AE9"/>
    <mergeCell ref="B13:F13"/>
    <mergeCell ref="G13:K13"/>
    <mergeCell ref="AA11:AE11"/>
    <mergeCell ref="L13:P13"/>
    <mergeCell ref="Q13:U13"/>
    <mergeCell ref="V13:Z13"/>
    <mergeCell ref="AF11:AJ11"/>
    <mergeCell ref="AK11:AO11"/>
    <mergeCell ref="AF10:AJ10"/>
    <mergeCell ref="V10:Z10"/>
    <mergeCell ref="AA10:AE10"/>
    <mergeCell ref="Q10:U10"/>
    <mergeCell ref="Q11:U11"/>
    <mergeCell ref="V11:Z11"/>
    <mergeCell ref="L11:P11"/>
    <mergeCell ref="B8:F9"/>
    <mergeCell ref="G8:AE8"/>
    <mergeCell ref="AK13:AO13"/>
    <mergeCell ref="AK16:AO16"/>
    <mergeCell ref="L15:P15"/>
    <mergeCell ref="AF14:AJ14"/>
    <mergeCell ref="AK14:AO14"/>
    <mergeCell ref="Q15:U15"/>
    <mergeCell ref="V25:Z25"/>
    <mergeCell ref="AA25:AE25"/>
    <mergeCell ref="AF25:AJ25"/>
    <mergeCell ref="AK25:AO25"/>
    <mergeCell ref="AA15:AE15"/>
    <mergeCell ref="AF15:AJ15"/>
    <mergeCell ref="AK15:AO15"/>
    <mergeCell ref="AK18:AO18"/>
    <mergeCell ref="AK19:AO19"/>
    <mergeCell ref="AK17:AO17"/>
    <mergeCell ref="AA14:AE14"/>
    <mergeCell ref="Q18:U18"/>
    <mergeCell ref="L25:P25"/>
    <mergeCell ref="AA23:AE23"/>
    <mergeCell ref="AF23:AJ23"/>
    <mergeCell ref="AK23:AO23"/>
    <mergeCell ref="L24:P24"/>
    <mergeCell ref="Q24:U24"/>
    <mergeCell ref="V24:Z24"/>
    <mergeCell ref="AA24:AE24"/>
    <mergeCell ref="AF24:AJ24"/>
    <mergeCell ref="AK24:AO24"/>
    <mergeCell ref="Q25:U25"/>
    <mergeCell ref="AF20:AJ20"/>
    <mergeCell ref="AK20:AO20"/>
    <mergeCell ref="AA22:AE22"/>
    <mergeCell ref="AA17:AE17"/>
    <mergeCell ref="G15:K15"/>
    <mergeCell ref="B18:F18"/>
    <mergeCell ref="G18:K18"/>
    <mergeCell ref="L18:P18"/>
    <mergeCell ref="B20:F20"/>
    <mergeCell ref="G20:K20"/>
    <mergeCell ref="AF18:AJ18"/>
    <mergeCell ref="B4:G4"/>
    <mergeCell ref="H4:M4"/>
    <mergeCell ref="B5:G5"/>
    <mergeCell ref="H5:M5"/>
    <mergeCell ref="B14:F14"/>
    <mergeCell ref="G14:K14"/>
    <mergeCell ref="L14:P14"/>
    <mergeCell ref="B15:F15"/>
    <mergeCell ref="G10:K10"/>
    <mergeCell ref="L10:P10"/>
    <mergeCell ref="B10:F10"/>
    <mergeCell ref="G11:K11"/>
    <mergeCell ref="N4:S4"/>
    <mergeCell ref="B16:F16"/>
    <mergeCell ref="B19:F19"/>
    <mergeCell ref="G19:K19"/>
    <mergeCell ref="L19:P19"/>
    <mergeCell ref="Q19:U19"/>
    <mergeCell ref="B17:F17"/>
    <mergeCell ref="G17:K17"/>
    <mergeCell ref="T4:Y4"/>
    <mergeCell ref="N5:S5"/>
    <mergeCell ref="T5:Y5"/>
    <mergeCell ref="V9:Z9"/>
    <mergeCell ref="L17:P17"/>
    <mergeCell ref="Q17:U17"/>
    <mergeCell ref="V17:Z17"/>
    <mergeCell ref="V15:Z15"/>
    <mergeCell ref="Q23:U23"/>
    <mergeCell ref="V23:Z23"/>
    <mergeCell ref="Q14:U14"/>
    <mergeCell ref="V14:Z14"/>
    <mergeCell ref="G16:K16"/>
    <mergeCell ref="L16:P16"/>
    <mergeCell ref="Q16:U16"/>
    <mergeCell ref="B24:F24"/>
    <mergeCell ref="G24:K24"/>
    <mergeCell ref="C38:E38"/>
    <mergeCell ref="C45:E45"/>
    <mergeCell ref="B54:C56"/>
    <mergeCell ref="D54:G54"/>
    <mergeCell ref="H54:N54"/>
    <mergeCell ref="B27:F27"/>
    <mergeCell ref="L27:P27"/>
    <mergeCell ref="B30:F30"/>
    <mergeCell ref="L30:P30"/>
    <mergeCell ref="G30:K30"/>
    <mergeCell ref="G29:K29"/>
    <mergeCell ref="L20:P20"/>
    <mergeCell ref="D55:G55"/>
    <mergeCell ref="H55:N55"/>
    <mergeCell ref="C39:E39"/>
    <mergeCell ref="C40:E40"/>
    <mergeCell ref="C41:E41"/>
    <mergeCell ref="C42:E42"/>
    <mergeCell ref="C43:E43"/>
    <mergeCell ref="AB63:AF63"/>
    <mergeCell ref="AB70:AD70"/>
    <mergeCell ref="K72:M73"/>
    <mergeCell ref="N72:N73"/>
    <mergeCell ref="I162:P162"/>
    <mergeCell ref="O58:U58"/>
    <mergeCell ref="V58:AA58"/>
    <mergeCell ref="AB58:AF58"/>
    <mergeCell ref="AA13:AE13"/>
    <mergeCell ref="AF13:AJ13"/>
    <mergeCell ref="AF17:AJ17"/>
    <mergeCell ref="V19:Z19"/>
    <mergeCell ref="AA19:AE19"/>
    <mergeCell ref="AF19:AJ19"/>
    <mergeCell ref="AF16:AJ16"/>
    <mergeCell ref="AF8:AJ9"/>
    <mergeCell ref="V18:Z18"/>
    <mergeCell ref="AA18:AE18"/>
    <mergeCell ref="V16:Z16"/>
    <mergeCell ref="AA16:AE16"/>
    <mergeCell ref="AG61:AJ61"/>
    <mergeCell ref="U85:V85"/>
    <mergeCell ref="W85:W86"/>
    <mergeCell ref="X85:Z86"/>
    <mergeCell ref="AA85:AB86"/>
    <mergeCell ref="O86:P86"/>
    <mergeCell ref="R86:V86"/>
    <mergeCell ref="AC120:AC121"/>
    <mergeCell ref="AD120:AG121"/>
    <mergeCell ref="H116:O116"/>
    <mergeCell ref="AG98:AL99"/>
    <mergeCell ref="C120:H121"/>
    <mergeCell ref="AP54:BB54"/>
    <mergeCell ref="BC54:BF54"/>
    <mergeCell ref="O55:AA55"/>
    <mergeCell ref="AB55:AF55"/>
    <mergeCell ref="AG55:AO55"/>
    <mergeCell ref="AP55:BB55"/>
    <mergeCell ref="BC55:BF55"/>
    <mergeCell ref="O56:AA56"/>
    <mergeCell ref="AB56:AF56"/>
    <mergeCell ref="AG56:AO56"/>
    <mergeCell ref="AP56:BB56"/>
    <mergeCell ref="BC56:BF56"/>
    <mergeCell ref="AB54:AF54"/>
    <mergeCell ref="AG54:AO54"/>
    <mergeCell ref="O54:AA54"/>
    <mergeCell ref="AG57:AO57"/>
    <mergeCell ref="AP57:AR57"/>
    <mergeCell ref="AU57:AW57"/>
    <mergeCell ref="BA57:BB57"/>
    <mergeCell ref="BC57:BF57"/>
    <mergeCell ref="AK61:AO61"/>
    <mergeCell ref="AP61:AV61"/>
    <mergeCell ref="AW61:BB61"/>
    <mergeCell ref="BC61:BF61"/>
    <mergeCell ref="O61:W61"/>
    <mergeCell ref="X61:AA61"/>
    <mergeCell ref="AB61:AF61"/>
    <mergeCell ref="AC104:AG105"/>
    <mergeCell ref="C107:G108"/>
    <mergeCell ref="AF98:AF99"/>
    <mergeCell ref="C117:I118"/>
    <mergeCell ref="L122:O122"/>
    <mergeCell ref="I119:P119"/>
    <mergeCell ref="U120:AB121"/>
    <mergeCell ref="I103:P103"/>
    <mergeCell ref="R120:T121"/>
    <mergeCell ref="AA98:AE98"/>
    <mergeCell ref="AA106:AD106"/>
    <mergeCell ref="M63:N63"/>
    <mergeCell ref="O63:U63"/>
    <mergeCell ref="V63:AA63"/>
    <mergeCell ref="AB62:AF62"/>
    <mergeCell ref="AG62:AJ62"/>
    <mergeCell ref="AK62:AO62"/>
    <mergeCell ref="AP62:AV62"/>
    <mergeCell ref="AW62:BB62"/>
    <mergeCell ref="BC62:BF62"/>
    <mergeCell ref="O62:U62"/>
    <mergeCell ref="V62:AA62"/>
    <mergeCell ref="AG63:AO63"/>
    <mergeCell ref="AP63:AV63"/>
    <mergeCell ref="AW63:BB63"/>
    <mergeCell ref="AP58:AV58"/>
    <mergeCell ref="AW58:BB58"/>
    <mergeCell ref="BC58:BF58"/>
    <mergeCell ref="AG59:AJ59"/>
    <mergeCell ref="AK59:AO59"/>
    <mergeCell ref="AP59:AV59"/>
    <mergeCell ref="AW59:BB59"/>
    <mergeCell ref="BC59:BF59"/>
    <mergeCell ref="O57:Q57"/>
    <mergeCell ref="T57:V57"/>
    <mergeCell ref="Z57:AA57"/>
    <mergeCell ref="AB57:AF57"/>
    <mergeCell ref="O59:W59"/>
    <mergeCell ref="X59:AA59"/>
    <mergeCell ref="AB59:AF59"/>
    <mergeCell ref="O60:U60"/>
    <mergeCell ref="V60:AA60"/>
    <mergeCell ref="AB60:AF60"/>
    <mergeCell ref="AG60:AJ60"/>
    <mergeCell ref="AK60:AO60"/>
    <mergeCell ref="AP60:AV60"/>
    <mergeCell ref="AW60:BB60"/>
    <mergeCell ref="BC60:BF60"/>
    <mergeCell ref="AG58:AO58"/>
    <mergeCell ref="BC63:BF63"/>
    <mergeCell ref="BC65:BF65"/>
    <mergeCell ref="AC72:AD73"/>
    <mergeCell ref="AF72:AI73"/>
    <mergeCell ref="AM72:AN73"/>
    <mergeCell ref="P73:Z73"/>
    <mergeCell ref="AU65:AW65"/>
    <mergeCell ref="BC64:BF64"/>
    <mergeCell ref="AI77:AK77"/>
    <mergeCell ref="AO77:AP77"/>
    <mergeCell ref="I83:M83"/>
    <mergeCell ref="N83:O83"/>
    <mergeCell ref="Q84:S84"/>
    <mergeCell ref="T84:U84"/>
    <mergeCell ref="T77:V77"/>
    <mergeCell ref="Z77:AA77"/>
    <mergeCell ref="AD77:AF77"/>
    <mergeCell ref="AA72:AA73"/>
    <mergeCell ref="AB65:AF65"/>
    <mergeCell ref="I74:M74"/>
    <mergeCell ref="AG65:AO65"/>
    <mergeCell ref="I69:M69"/>
    <mergeCell ref="N69:O69"/>
    <mergeCell ref="Y70:Z70"/>
    <mergeCell ref="P72:Q72"/>
    <mergeCell ref="S72:U72"/>
    <mergeCell ref="Y72:Z72"/>
    <mergeCell ref="N75:O76"/>
    <mergeCell ref="L77:M77"/>
    <mergeCell ref="O77:Q77"/>
    <mergeCell ref="AP65:AR65"/>
    <mergeCell ref="BA65:BB65"/>
    <mergeCell ref="AK187:AL187"/>
    <mergeCell ref="AH120:AN121"/>
    <mergeCell ref="P122:T122"/>
    <mergeCell ref="U122:X122"/>
    <mergeCell ref="AA122:AD122"/>
    <mergeCell ref="I133:P133"/>
    <mergeCell ref="S134:T135"/>
    <mergeCell ref="U134:Z135"/>
    <mergeCell ref="AA134:AA135"/>
    <mergeCell ref="AB134:AD135"/>
    <mergeCell ref="AE134:AI135"/>
    <mergeCell ref="T161:W161"/>
    <mergeCell ref="O161:R161"/>
    <mergeCell ref="S150:U151"/>
    <mergeCell ref="V150:AC151"/>
    <mergeCell ref="AD150:AD151"/>
    <mergeCell ref="AB160:AC161"/>
    <mergeCell ref="AE150:AH151"/>
    <mergeCell ref="N160:N161"/>
    <mergeCell ref="O160:R160"/>
    <mergeCell ref="R165:S165"/>
    <mergeCell ref="AH188:AI188"/>
    <mergeCell ref="AJ188:AL188"/>
    <mergeCell ref="AT195:AT196"/>
    <mergeCell ref="AU195:AX195"/>
    <mergeCell ref="Q172:T172"/>
    <mergeCell ref="I178:P178"/>
    <mergeCell ref="C179:H180"/>
    <mergeCell ref="N179:O180"/>
    <mergeCell ref="L181:M181"/>
    <mergeCell ref="O181:Q181"/>
    <mergeCell ref="AP195:AS195"/>
    <mergeCell ref="Z188:AA188"/>
    <mergeCell ref="AB188:AD188"/>
    <mergeCell ref="K191:M191"/>
    <mergeCell ref="Q191:R191"/>
    <mergeCell ref="P188:Q188"/>
    <mergeCell ref="R188:U188"/>
    <mergeCell ref="AU196:AX196"/>
    <mergeCell ref="L194:AX194"/>
    <mergeCell ref="H174:O174"/>
    <mergeCell ref="R175:T175"/>
    <mergeCell ref="K176:M177"/>
    <mergeCell ref="N176:N177"/>
    <mergeCell ref="T176:T177"/>
    <mergeCell ref="U176:W177"/>
    <mergeCell ref="X176:Y177"/>
    <mergeCell ref="R181:S181"/>
    <mergeCell ref="H188:K188"/>
    <mergeCell ref="V181:X181"/>
    <mergeCell ref="C182:G183"/>
    <mergeCell ref="O176:Q176"/>
    <mergeCell ref="O177:S177"/>
    <mergeCell ref="AZ209:BA209"/>
    <mergeCell ref="L196:O196"/>
    <mergeCell ref="Q196:T196"/>
    <mergeCell ref="V196:Y196"/>
    <mergeCell ref="AA196:AD196"/>
    <mergeCell ref="AF196:AI196"/>
    <mergeCell ref="AK196:AN196"/>
    <mergeCell ref="AP196:AS196"/>
    <mergeCell ref="I209:K209"/>
    <mergeCell ref="M209:O209"/>
    <mergeCell ref="R209:T209"/>
    <mergeCell ref="X209:Y209"/>
    <mergeCell ref="AA209:AC209"/>
    <mergeCell ref="AF209:AH209"/>
    <mergeCell ref="AL209:AM209"/>
    <mergeCell ref="AO209:AQ209"/>
    <mergeCell ref="AY194:AY195"/>
    <mergeCell ref="AS209:AU209"/>
    <mergeCell ref="AZ194:BD195"/>
    <mergeCell ref="L195:O195"/>
    <mergeCell ref="P195:P196"/>
    <mergeCell ref="Q195:T195"/>
    <mergeCell ref="U195:U196"/>
    <mergeCell ref="V195:Y195"/>
    <mergeCell ref="Z195:Z196"/>
    <mergeCell ref="AA195:AD195"/>
    <mergeCell ref="AE195:AE196"/>
    <mergeCell ref="AF195:AI195"/>
    <mergeCell ref="AJ195:AJ196"/>
    <mergeCell ref="AK195:AN195"/>
    <mergeCell ref="AO195:AO196"/>
    <mergeCell ref="N88:O89"/>
    <mergeCell ref="L90:M90"/>
    <mergeCell ref="O90:Q90"/>
    <mergeCell ref="R90:S90"/>
    <mergeCell ref="V90:X90"/>
    <mergeCell ref="Y90:Z90"/>
    <mergeCell ref="L152:N152"/>
    <mergeCell ref="O152:S152"/>
    <mergeCell ref="AM187:AP187"/>
    <mergeCell ref="AC187:AF187"/>
    <mergeCell ref="AB136:AE136"/>
    <mergeCell ref="C137:G138"/>
    <mergeCell ref="Z139:AA140"/>
    <mergeCell ref="H146:O146"/>
    <mergeCell ref="C147:I148"/>
    <mergeCell ref="J147:L148"/>
    <mergeCell ref="S147:U148"/>
    <mergeCell ref="AC172:AG172"/>
    <mergeCell ref="S173:W173"/>
    <mergeCell ref="T152:W152"/>
    <mergeCell ref="Z152:AC152"/>
    <mergeCell ref="L136:N136"/>
    <mergeCell ref="C153:G154"/>
    <mergeCell ref="H158:O158"/>
    <mergeCell ref="V147:W148"/>
    <mergeCell ref="T187:U187"/>
    <mergeCell ref="AI150:AO151"/>
    <mergeCell ref="M147:M148"/>
    <mergeCell ref="N147:O147"/>
    <mergeCell ref="R147:R148"/>
    <mergeCell ref="V187:X187"/>
    <mergeCell ref="AA187:AB187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213"/>
  <sheetViews>
    <sheetView showGridLines="0" zoomScaleNormal="100" workbookViewId="0"/>
  </sheetViews>
  <sheetFormatPr defaultColWidth="8.77734375" defaultRowHeight="18" customHeight="1"/>
  <cols>
    <col min="1" max="1" width="2.77734375" style="121" customWidth="1"/>
    <col min="2" max="2" width="8.77734375" style="123"/>
    <col min="3" max="3" width="10.77734375" style="123" bestFit="1" customWidth="1"/>
    <col min="4" max="4" width="8.77734375" style="123"/>
    <col min="5" max="21" width="8.77734375" style="122"/>
    <col min="22" max="16384" width="8.77734375" style="121"/>
  </cols>
  <sheetData>
    <row r="1" spans="1:32" ht="18" customHeight="1">
      <c r="A1" s="272" t="s">
        <v>535</v>
      </c>
    </row>
    <row r="2" spans="1:32" ht="15" customHeight="1">
      <c r="A2" s="118" t="s">
        <v>219</v>
      </c>
      <c r="B2" s="119"/>
      <c r="C2" s="119"/>
      <c r="D2" s="119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</row>
    <row r="3" spans="1:32" ht="24">
      <c r="B3" s="217" t="s">
        <v>161</v>
      </c>
      <c r="C3" s="217" t="s">
        <v>220</v>
      </c>
      <c r="D3" s="217" t="s">
        <v>221</v>
      </c>
      <c r="E3" s="217" t="s">
        <v>222</v>
      </c>
      <c r="F3" s="217" t="s">
        <v>223</v>
      </c>
      <c r="G3" s="217" t="s">
        <v>162</v>
      </c>
      <c r="H3" s="217" t="s">
        <v>224</v>
      </c>
      <c r="I3" s="217" t="s">
        <v>225</v>
      </c>
      <c r="J3" s="217" t="s">
        <v>226</v>
      </c>
      <c r="K3" s="217" t="s">
        <v>227</v>
      </c>
      <c r="L3" s="258" t="s">
        <v>473</v>
      </c>
      <c r="M3" s="217" t="s">
        <v>228</v>
      </c>
      <c r="N3" s="339" t="s">
        <v>619</v>
      </c>
      <c r="O3" s="217" t="s">
        <v>163</v>
      </c>
      <c r="P3" s="217" t="s">
        <v>229</v>
      </c>
      <c r="Q3" s="217" t="s">
        <v>164</v>
      </c>
      <c r="R3" s="217" t="s">
        <v>230</v>
      </c>
      <c r="T3" s="178" t="s">
        <v>117</v>
      </c>
      <c r="U3" s="178" t="s">
        <v>118</v>
      </c>
      <c r="V3" s="122"/>
    </row>
    <row r="4" spans="1:32" ht="15" customHeight="1">
      <c r="B4" s="171" t="e">
        <f>C4</f>
        <v>#DIV/0!</v>
      </c>
      <c r="C4" s="171" t="e">
        <f>AVERAGE(기본정보!B12:B13)</f>
        <v>#DIV/0!</v>
      </c>
      <c r="D4" s="171">
        <f>MIN(C10:C29)</f>
        <v>0</v>
      </c>
      <c r="E4" s="171">
        <f>MAX(C10:C29)</f>
        <v>0</v>
      </c>
      <c r="F4" s="171">
        <f>Length_5_R1!G4</f>
        <v>0</v>
      </c>
      <c r="G4" s="171">
        <f>Length_5_R1!H4</f>
        <v>0</v>
      </c>
      <c r="H4" s="171">
        <f>Length_5_R1!I4</f>
        <v>0</v>
      </c>
      <c r="I4" s="171">
        <f>IF(H4="inch",25.4,1)</f>
        <v>1</v>
      </c>
      <c r="J4" s="171">
        <f>MIN(T10:T29)</f>
        <v>0</v>
      </c>
      <c r="K4" s="171">
        <f>MAX(T10:T29)</f>
        <v>0</v>
      </c>
      <c r="L4" s="171" t="str">
        <f>TEXT(K4,IF(K4&gt;=1000,"# ###","G/표준"))</f>
        <v>0</v>
      </c>
      <c r="M4" s="171">
        <f>F4*I4</f>
        <v>0</v>
      </c>
      <c r="N4" s="344" t="str">
        <f ca="1">TEXT(M4,OFFSET(P50,MATCH(IFERROR(LEN(M4)-FIND(".",M4),0),O51:O60,0),0))</f>
        <v>0</v>
      </c>
      <c r="O4" s="171">
        <f>G4*I4</f>
        <v>0</v>
      </c>
      <c r="P4" s="171" t="e">
        <f ca="1">OFFSET(Length_5_R1!C3,MATCH($K4,$T10:$T29,0),0)</f>
        <v>#N/A</v>
      </c>
      <c r="Q4" s="171" t="e">
        <f ca="1">OFFSET(Length_5_R1!D3,MATCH($K4,$T10:$T29,0),0)</f>
        <v>#N/A</v>
      </c>
      <c r="R4" s="171" t="e">
        <f ca="1">OFFSET(Length_5_R1!E3,MATCH($K4,$T10:$T29,0),0)</f>
        <v>#N/A</v>
      </c>
      <c r="T4" s="287" t="str">
        <f ca="1">IF(SUM(R46,R107,R168)=0,"","초과")</f>
        <v/>
      </c>
      <c r="U4" s="287" t="str">
        <f>IF(SUM(AE9,AE70,AE131)=0,"","FAIL")</f>
        <v/>
      </c>
      <c r="V4" s="122"/>
    </row>
    <row r="5" spans="1:32" ht="15" customHeight="1">
      <c r="B5" s="119"/>
      <c r="C5" s="119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</row>
    <row r="6" spans="1:32" ht="15" customHeight="1">
      <c r="A6" s="118" t="s">
        <v>231</v>
      </c>
      <c r="C6" s="119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1"/>
      <c r="Y6" s="131" t="s">
        <v>232</v>
      </c>
    </row>
    <row r="7" spans="1:32" ht="15" customHeight="1">
      <c r="B7" s="560" t="s">
        <v>233</v>
      </c>
      <c r="C7" s="554" t="s">
        <v>234</v>
      </c>
      <c r="D7" s="554" t="s">
        <v>168</v>
      </c>
      <c r="E7" s="557" t="s">
        <v>525</v>
      </c>
      <c r="F7" s="557"/>
      <c r="G7" s="557"/>
      <c r="H7" s="557"/>
      <c r="I7" s="557"/>
      <c r="J7" s="557"/>
      <c r="K7" s="558" t="s">
        <v>235</v>
      </c>
      <c r="L7" s="217" t="s">
        <v>236</v>
      </c>
      <c r="M7" s="217" t="s">
        <v>190</v>
      </c>
      <c r="N7" s="549" t="s">
        <v>237</v>
      </c>
      <c r="O7" s="561"/>
      <c r="P7" s="550"/>
      <c r="Q7" s="217" t="s">
        <v>238</v>
      </c>
      <c r="R7" s="179" t="s">
        <v>239</v>
      </c>
      <c r="S7" s="217" t="s">
        <v>240</v>
      </c>
      <c r="T7" s="217" t="s">
        <v>234</v>
      </c>
      <c r="U7" s="217" t="s">
        <v>241</v>
      </c>
      <c r="V7" s="549" t="s">
        <v>242</v>
      </c>
      <c r="W7" s="550"/>
      <c r="X7" s="124"/>
      <c r="Y7" s="570" t="s">
        <v>243</v>
      </c>
      <c r="Z7" s="571"/>
      <c r="AA7" s="572" t="s">
        <v>244</v>
      </c>
      <c r="AB7" s="573"/>
      <c r="AC7" s="573"/>
      <c r="AD7" s="573"/>
      <c r="AE7" s="573"/>
      <c r="AF7" s="573"/>
    </row>
    <row r="8" spans="1:32" ht="15" customHeight="1">
      <c r="B8" s="560"/>
      <c r="C8" s="555"/>
      <c r="D8" s="555"/>
      <c r="E8" s="180" t="s">
        <v>245</v>
      </c>
      <c r="F8" s="218" t="s">
        <v>246</v>
      </c>
      <c r="G8" s="180" t="s">
        <v>109</v>
      </c>
      <c r="H8" s="218" t="s">
        <v>110</v>
      </c>
      <c r="I8" s="180" t="s">
        <v>111</v>
      </c>
      <c r="J8" s="218" t="s">
        <v>247</v>
      </c>
      <c r="K8" s="559"/>
      <c r="L8" s="217" t="s">
        <v>248</v>
      </c>
      <c r="M8" s="217" t="s">
        <v>249</v>
      </c>
      <c r="N8" s="217" t="s">
        <v>250</v>
      </c>
      <c r="O8" s="217" t="s">
        <v>251</v>
      </c>
      <c r="P8" s="217" t="s">
        <v>252</v>
      </c>
      <c r="Q8" s="217" t="s">
        <v>253</v>
      </c>
      <c r="R8" s="217" t="s">
        <v>254</v>
      </c>
      <c r="S8" s="217" t="s">
        <v>255</v>
      </c>
      <c r="T8" s="217" t="s">
        <v>256</v>
      </c>
      <c r="U8" s="217" t="s">
        <v>257</v>
      </c>
      <c r="V8" s="217" t="s">
        <v>241</v>
      </c>
      <c r="W8" s="217" t="s">
        <v>258</v>
      </c>
      <c r="X8" s="124"/>
      <c r="Y8" s="212" t="s">
        <v>259</v>
      </c>
      <c r="Z8" s="212" t="s">
        <v>260</v>
      </c>
      <c r="AA8" s="217" t="s">
        <v>261</v>
      </c>
      <c r="AB8" s="216" t="s">
        <v>241</v>
      </c>
      <c r="AC8" s="217" t="s">
        <v>258</v>
      </c>
      <c r="AD8" s="211" t="s">
        <v>243</v>
      </c>
      <c r="AE8" s="211" t="s">
        <v>262</v>
      </c>
      <c r="AF8" s="211" t="s">
        <v>475</v>
      </c>
    </row>
    <row r="9" spans="1:32" ht="15" customHeight="1">
      <c r="B9" s="560"/>
      <c r="C9" s="556"/>
      <c r="D9" s="556"/>
      <c r="E9" s="218">
        <f>H4</f>
        <v>0</v>
      </c>
      <c r="F9" s="218">
        <f t="shared" ref="F9:J9" si="0">E9</f>
        <v>0</v>
      </c>
      <c r="G9" s="218">
        <f t="shared" si="0"/>
        <v>0</v>
      </c>
      <c r="H9" s="218">
        <f t="shared" si="0"/>
        <v>0</v>
      </c>
      <c r="I9" s="218">
        <f t="shared" si="0"/>
        <v>0</v>
      </c>
      <c r="J9" s="218">
        <f t="shared" si="0"/>
        <v>0</v>
      </c>
      <c r="K9" s="217" t="s">
        <v>184</v>
      </c>
      <c r="L9" s="217" t="s">
        <v>184</v>
      </c>
      <c r="M9" s="217" t="s">
        <v>184</v>
      </c>
      <c r="N9" s="213" t="s">
        <v>194</v>
      </c>
      <c r="O9" s="213" t="s">
        <v>194</v>
      </c>
      <c r="P9" s="213" t="s">
        <v>194</v>
      </c>
      <c r="Q9" s="213" t="s">
        <v>199</v>
      </c>
      <c r="R9" s="213" t="s">
        <v>203</v>
      </c>
      <c r="S9" s="213" t="s">
        <v>199</v>
      </c>
      <c r="T9" s="217" t="s">
        <v>191</v>
      </c>
      <c r="U9" s="217" t="s">
        <v>191</v>
      </c>
      <c r="V9" s="217" t="s">
        <v>191</v>
      </c>
      <c r="W9" s="217" t="s">
        <v>191</v>
      </c>
      <c r="X9" s="124"/>
      <c r="Y9" s="212" t="s">
        <v>191</v>
      </c>
      <c r="Z9" s="212" t="s">
        <v>191</v>
      </c>
      <c r="AA9" s="217" t="s">
        <v>191</v>
      </c>
      <c r="AB9" s="217" t="s">
        <v>191</v>
      </c>
      <c r="AC9" s="217" t="s">
        <v>191</v>
      </c>
      <c r="AD9" s="211" t="s">
        <v>191</v>
      </c>
      <c r="AE9" s="240">
        <f>IF(TYPE(MATCH("FAIL",AE10:AE29,0))=16,0,1)</f>
        <v>0</v>
      </c>
      <c r="AF9" s="211" t="s">
        <v>476</v>
      </c>
    </row>
    <row r="10" spans="1:32" ht="15" customHeight="1">
      <c r="B10" s="177" t="b">
        <f>IF(TRIM(Length_5_R1!A4)="",FALSE,TRUE)</f>
        <v>0</v>
      </c>
      <c r="C10" s="171" t="str">
        <f>IF($B10=FALSE,"",VALUE(Length_5_R1!A4))</f>
        <v/>
      </c>
      <c r="D10" s="171" t="str">
        <f>IF($B10=FALSE,"",Length_5_R1!B4)</f>
        <v/>
      </c>
      <c r="E10" s="177" t="str">
        <f>IF(B10=FALSE,"",Length_5_R1!M4)</f>
        <v/>
      </c>
      <c r="F10" s="177" t="str">
        <f>IF(B10=FALSE,"",Length_5_R1!N4)</f>
        <v/>
      </c>
      <c r="G10" s="177" t="str">
        <f>IF(B10=FALSE,"",Length_5_R1!O4)</f>
        <v/>
      </c>
      <c r="H10" s="177" t="str">
        <f>IF(B10=FALSE,"",Length_5_R1!P4)</f>
        <v/>
      </c>
      <c r="I10" s="177" t="str">
        <f>IF(B10=FALSE,"",Length_5_R1!Q4)</f>
        <v/>
      </c>
      <c r="J10" s="171" t="str">
        <f t="shared" ref="J10:J29" si="1">IF(B10=FALSE,"",AVERAGE(E10:I10))</f>
        <v/>
      </c>
      <c r="K10" s="181" t="str">
        <f t="shared" ref="K10:K29" si="2">IF(B10=FALSE,"",STDEV(E10:I10)*I$4)</f>
        <v/>
      </c>
      <c r="L10" s="182" t="str">
        <f>IF(B10=FALSE,"",Length_5_R1!D27)</f>
        <v/>
      </c>
      <c r="M10" s="183" t="str">
        <f>IF(B10=FALSE,"",Calcu!J10*I$4)</f>
        <v/>
      </c>
      <c r="N10" s="184" t="str">
        <f>IF(B10=FALSE,"",8*10^-6)</f>
        <v/>
      </c>
      <c r="O10" s="184" t="str">
        <f>IF(B10=FALSE,"",Length_5_R1!K27)</f>
        <v/>
      </c>
      <c r="P10" s="184" t="str">
        <f t="shared" ref="P10:P29" si="3">IF(B10=FALSE,"",AVERAGE(N10:O10))</f>
        <v/>
      </c>
      <c r="Q10" s="171" t="str">
        <f t="shared" ref="Q10:Q29" si="4">IF(B10=FALSE,"",B$4-C$4)</f>
        <v/>
      </c>
      <c r="R10" s="171" t="str">
        <f t="shared" ref="R10:R29" si="5">IF(B10=FALSE,"",N10-O10)</f>
        <v/>
      </c>
      <c r="S10" s="256" t="str">
        <f t="shared" ref="S10:S29" si="6">IF(B10=FALSE,"",AVERAGE(B$4:C$4)-20)</f>
        <v/>
      </c>
      <c r="T10" s="185" t="str">
        <f t="shared" ref="T10:T29" si="7">IF(B10=FALSE,"",C10*I$4)</f>
        <v/>
      </c>
      <c r="U10" s="186" t="str">
        <f t="shared" ref="U10:U29" si="8">IF(B10=FALSE,"",L10-M10-(P10*Q10+R10*S10)*T10)</f>
        <v/>
      </c>
      <c r="V10" s="171" t="str">
        <f>IF($B10=FALSE,"",ROUND(U10,$L$46))</f>
        <v/>
      </c>
      <c r="W10" s="171" t="str">
        <f>IF($B10=FALSE,"",ROUND(T10+V10,$L$46))</f>
        <v/>
      </c>
      <c r="X10" s="124"/>
      <c r="Y10" s="171">
        <f>IF(Length_5_R1!J4&lt;0,ROUNDUP(Length_5_R1!J4*I$4,$L$46),ROUNDDOWN(Length_5_R1!J4*I$4,$L$46))</f>
        <v>0</v>
      </c>
      <c r="Z10" s="171">
        <f>IF(Length_5_R1!K4&lt;0,ROUNDDOWN(Length_5_R1!K4*I$4,$L$46),ROUNDUP(Length_5_R1!K4*I$4,$L$46))</f>
        <v>0</v>
      </c>
      <c r="AA10" s="171" t="e">
        <f t="shared" ref="AA10:AA29" ca="1" si="9">TEXT(T10,IF(T10&gt;=1000,"# ##","")&amp;$P$46)</f>
        <v>#N/A</v>
      </c>
      <c r="AB10" s="174" t="e">
        <f t="shared" ref="AB10:AB29" ca="1" si="10">TEXT(V10,$P$46)</f>
        <v>#N/A</v>
      </c>
      <c r="AC10" s="171" t="e">
        <f t="shared" ref="AC10:AC29" ca="1" si="11">TEXT(W10,IF(W10&gt;=1000,"# ##","")&amp;$P$46)</f>
        <v>#N/A</v>
      </c>
      <c r="AD10" s="171" t="e">
        <f t="shared" ref="AD10:AD29" ca="1" si="12">"± "&amp;TEXT(Z10-T10,P$46)</f>
        <v>#VALUE!</v>
      </c>
      <c r="AE10" s="171" t="str">
        <f>IF($B10=FALSE,"",IF(AND(Y10&lt;=W10,W10&lt;=Z10),"PASS","FAIL"))</f>
        <v/>
      </c>
      <c r="AF10" s="171" t="e">
        <f ca="1">S$46</f>
        <v>#N/A</v>
      </c>
    </row>
    <row r="11" spans="1:32" ht="15" customHeight="1">
      <c r="B11" s="177" t="b">
        <f>IF(TRIM(Length_5_R1!A5)="",FALSE,TRUE)</f>
        <v>0</v>
      </c>
      <c r="C11" s="171" t="str">
        <f>IF($B11=FALSE,"",VALUE(Length_5_R1!A5))</f>
        <v/>
      </c>
      <c r="D11" s="171" t="str">
        <f>IF($B11=FALSE,"",Length_5_R1!B5)</f>
        <v/>
      </c>
      <c r="E11" s="177" t="str">
        <f>IF(B11=FALSE,"",Length_5_R1!M5)</f>
        <v/>
      </c>
      <c r="F11" s="177" t="str">
        <f>IF(B11=FALSE,"",Length_5_R1!N5)</f>
        <v/>
      </c>
      <c r="G11" s="177" t="str">
        <f>IF(B11=FALSE,"",Length_5_R1!O5)</f>
        <v/>
      </c>
      <c r="H11" s="177" t="str">
        <f>IF(B11=FALSE,"",Length_5_R1!P5)</f>
        <v/>
      </c>
      <c r="I11" s="177" t="str">
        <f>IF(B11=FALSE,"",Length_5_R1!Q5)</f>
        <v/>
      </c>
      <c r="J11" s="171" t="str">
        <f t="shared" si="1"/>
        <v/>
      </c>
      <c r="K11" s="181" t="str">
        <f t="shared" si="2"/>
        <v/>
      </c>
      <c r="L11" s="182" t="str">
        <f>IF(B11=FALSE,"",Length_5_R1!D28)</f>
        <v/>
      </c>
      <c r="M11" s="183" t="str">
        <f>IF(B11=FALSE,"",Calcu!J11*I$4)</f>
        <v/>
      </c>
      <c r="N11" s="184" t="str">
        <f t="shared" ref="N11:N29" si="13">IF(B11=FALSE,"",8*10^-6)</f>
        <v/>
      </c>
      <c r="O11" s="184" t="str">
        <f>IF(B11=FALSE,"",Length_5_R1!K28)</f>
        <v/>
      </c>
      <c r="P11" s="184" t="str">
        <f t="shared" si="3"/>
        <v/>
      </c>
      <c r="Q11" s="171" t="str">
        <f t="shared" si="4"/>
        <v/>
      </c>
      <c r="R11" s="171" t="str">
        <f t="shared" si="5"/>
        <v/>
      </c>
      <c r="S11" s="256" t="str">
        <f t="shared" si="6"/>
        <v/>
      </c>
      <c r="T11" s="185" t="str">
        <f t="shared" si="7"/>
        <v/>
      </c>
      <c r="U11" s="186" t="str">
        <f t="shared" si="8"/>
        <v/>
      </c>
      <c r="V11" s="332" t="str">
        <f t="shared" ref="V11:V29" si="14">IF($B11=FALSE,"",ROUND(U11,$L$46))</f>
        <v/>
      </c>
      <c r="W11" s="332" t="str">
        <f t="shared" ref="W11:W29" si="15">IF($B11=FALSE,"",ROUND(T11+V11,$L$46))</f>
        <v/>
      </c>
      <c r="X11" s="124"/>
      <c r="Y11" s="171">
        <f>IF(Length_5_R1!J5&lt;0,ROUNDUP(Length_5_R1!J5*I$4,$L$46),ROUNDDOWN(Length_5_R1!J5*I$4,$L$46))</f>
        <v>0</v>
      </c>
      <c r="Z11" s="171">
        <f>IF(Length_5_R1!K5&lt;0,ROUNDDOWN(Length_5_R1!K5*I$4,$L$46),ROUNDUP(Length_5_R1!K5*I$4,$L$46))</f>
        <v>0</v>
      </c>
      <c r="AA11" s="171" t="e">
        <f t="shared" ca="1" si="9"/>
        <v>#N/A</v>
      </c>
      <c r="AB11" s="174" t="e">
        <f t="shared" ca="1" si="10"/>
        <v>#N/A</v>
      </c>
      <c r="AC11" s="171" t="e">
        <f t="shared" ca="1" si="11"/>
        <v>#N/A</v>
      </c>
      <c r="AD11" s="171" t="e">
        <f t="shared" ca="1" si="12"/>
        <v>#VALUE!</v>
      </c>
      <c r="AE11" s="332" t="str">
        <f t="shared" ref="AE11:AE29" si="16">IF($B11=FALSE,"",IF(AND(Y11&lt;=W11,W11&lt;=Z11),"PASS","FAIL"))</f>
        <v/>
      </c>
      <c r="AF11" s="332" t="e">
        <f t="shared" ref="AF11:AF29" ca="1" si="17">S$46</f>
        <v>#N/A</v>
      </c>
    </row>
    <row r="12" spans="1:32" ht="15" customHeight="1">
      <c r="B12" s="177" t="b">
        <f>IF(TRIM(Length_5_R1!A6)="",FALSE,TRUE)</f>
        <v>0</v>
      </c>
      <c r="C12" s="171" t="str">
        <f>IF($B12=FALSE,"",VALUE(Length_5_R1!A6))</f>
        <v/>
      </c>
      <c r="D12" s="171" t="str">
        <f>IF($B12=FALSE,"",Length_5_R1!B6)</f>
        <v/>
      </c>
      <c r="E12" s="177" t="str">
        <f>IF(B12=FALSE,"",Length_5_R1!M6)</f>
        <v/>
      </c>
      <c r="F12" s="177" t="str">
        <f>IF(B12=FALSE,"",Length_5_R1!N6)</f>
        <v/>
      </c>
      <c r="G12" s="177" t="str">
        <f>IF(B12=FALSE,"",Length_5_R1!O6)</f>
        <v/>
      </c>
      <c r="H12" s="177" t="str">
        <f>IF(B12=FALSE,"",Length_5_R1!P6)</f>
        <v/>
      </c>
      <c r="I12" s="177" t="str">
        <f>IF(B12=FALSE,"",Length_5_R1!Q6)</f>
        <v/>
      </c>
      <c r="J12" s="171" t="str">
        <f t="shared" si="1"/>
        <v/>
      </c>
      <c r="K12" s="181" t="str">
        <f t="shared" si="2"/>
        <v/>
      </c>
      <c r="L12" s="182" t="str">
        <f>IF(B12=FALSE,"",Length_5_R1!D29)</f>
        <v/>
      </c>
      <c r="M12" s="183" t="str">
        <f>IF(B12=FALSE,"",Calcu!J12*I$4)</f>
        <v/>
      </c>
      <c r="N12" s="184" t="str">
        <f t="shared" si="13"/>
        <v/>
      </c>
      <c r="O12" s="184" t="str">
        <f>IF(B12=FALSE,"",Length_5_R1!K29)</f>
        <v/>
      </c>
      <c r="P12" s="184" t="str">
        <f t="shared" si="3"/>
        <v/>
      </c>
      <c r="Q12" s="171" t="str">
        <f t="shared" si="4"/>
        <v/>
      </c>
      <c r="R12" s="171" t="str">
        <f t="shared" si="5"/>
        <v/>
      </c>
      <c r="S12" s="256" t="str">
        <f t="shared" si="6"/>
        <v/>
      </c>
      <c r="T12" s="185" t="str">
        <f t="shared" si="7"/>
        <v/>
      </c>
      <c r="U12" s="186" t="str">
        <f t="shared" si="8"/>
        <v/>
      </c>
      <c r="V12" s="332" t="str">
        <f t="shared" si="14"/>
        <v/>
      </c>
      <c r="W12" s="332" t="str">
        <f t="shared" si="15"/>
        <v/>
      </c>
      <c r="X12" s="124"/>
      <c r="Y12" s="171">
        <f>IF(Length_5_R1!J6&lt;0,ROUNDUP(Length_5_R1!J6*I$4,$L$46),ROUNDDOWN(Length_5_R1!J6*I$4,$L$46))</f>
        <v>0</v>
      </c>
      <c r="Z12" s="171">
        <f>IF(Length_5_R1!K6&lt;0,ROUNDDOWN(Length_5_R1!K6*I$4,$L$46),ROUNDUP(Length_5_R1!K6*I$4,$L$46))</f>
        <v>0</v>
      </c>
      <c r="AA12" s="171" t="e">
        <f t="shared" ca="1" si="9"/>
        <v>#N/A</v>
      </c>
      <c r="AB12" s="174" t="e">
        <f t="shared" ca="1" si="10"/>
        <v>#N/A</v>
      </c>
      <c r="AC12" s="171" t="e">
        <f t="shared" ca="1" si="11"/>
        <v>#N/A</v>
      </c>
      <c r="AD12" s="171" t="e">
        <f t="shared" ca="1" si="12"/>
        <v>#VALUE!</v>
      </c>
      <c r="AE12" s="332" t="str">
        <f t="shared" si="16"/>
        <v/>
      </c>
      <c r="AF12" s="332" t="e">
        <f t="shared" ca="1" si="17"/>
        <v>#N/A</v>
      </c>
    </row>
    <row r="13" spans="1:32" ht="15" customHeight="1">
      <c r="B13" s="177" t="b">
        <f>IF(TRIM(Length_5_R1!A7)="",FALSE,TRUE)</f>
        <v>0</v>
      </c>
      <c r="C13" s="171" t="str">
        <f>IF($B13=FALSE,"",VALUE(Length_5_R1!A7))</f>
        <v/>
      </c>
      <c r="D13" s="171" t="str">
        <f>IF($B13=FALSE,"",Length_5_R1!B7)</f>
        <v/>
      </c>
      <c r="E13" s="177" t="str">
        <f>IF(B13=FALSE,"",Length_5_R1!M7)</f>
        <v/>
      </c>
      <c r="F13" s="177" t="str">
        <f>IF(B13=FALSE,"",Length_5_R1!N7)</f>
        <v/>
      </c>
      <c r="G13" s="177" t="str">
        <f>IF(B13=FALSE,"",Length_5_R1!O7)</f>
        <v/>
      </c>
      <c r="H13" s="177" t="str">
        <f>IF(B13=FALSE,"",Length_5_R1!P7)</f>
        <v/>
      </c>
      <c r="I13" s="177" t="str">
        <f>IF(B13=FALSE,"",Length_5_R1!Q7)</f>
        <v/>
      </c>
      <c r="J13" s="171" t="str">
        <f t="shared" si="1"/>
        <v/>
      </c>
      <c r="K13" s="181" t="str">
        <f t="shared" si="2"/>
        <v/>
      </c>
      <c r="L13" s="182" t="str">
        <f>IF(B13=FALSE,"",Length_5_R1!D30)</f>
        <v/>
      </c>
      <c r="M13" s="183" t="str">
        <f>IF(B13=FALSE,"",Calcu!J13*I$4)</f>
        <v/>
      </c>
      <c r="N13" s="184" t="str">
        <f t="shared" si="13"/>
        <v/>
      </c>
      <c r="O13" s="184" t="str">
        <f>IF(B13=FALSE,"",Length_5_R1!K30)</f>
        <v/>
      </c>
      <c r="P13" s="184" t="str">
        <f t="shared" si="3"/>
        <v/>
      </c>
      <c r="Q13" s="171" t="str">
        <f t="shared" si="4"/>
        <v/>
      </c>
      <c r="R13" s="171" t="str">
        <f t="shared" si="5"/>
        <v/>
      </c>
      <c r="S13" s="256" t="str">
        <f t="shared" si="6"/>
        <v/>
      </c>
      <c r="T13" s="185" t="str">
        <f t="shared" si="7"/>
        <v/>
      </c>
      <c r="U13" s="186" t="str">
        <f t="shared" si="8"/>
        <v/>
      </c>
      <c r="V13" s="332" t="str">
        <f t="shared" si="14"/>
        <v/>
      </c>
      <c r="W13" s="332" t="str">
        <f t="shared" si="15"/>
        <v/>
      </c>
      <c r="X13" s="124"/>
      <c r="Y13" s="171">
        <f>IF(Length_5_R1!J7&lt;0,ROUNDUP(Length_5_R1!J7*I$4,$L$46),ROUNDDOWN(Length_5_R1!J7*I$4,$L$46))</f>
        <v>0</v>
      </c>
      <c r="Z13" s="171">
        <f>IF(Length_5_R1!K7&lt;0,ROUNDDOWN(Length_5_R1!K7*I$4,$L$46),ROUNDUP(Length_5_R1!K7*I$4,$L$46))</f>
        <v>0</v>
      </c>
      <c r="AA13" s="171" t="e">
        <f t="shared" ca="1" si="9"/>
        <v>#N/A</v>
      </c>
      <c r="AB13" s="174" t="e">
        <f t="shared" ca="1" si="10"/>
        <v>#N/A</v>
      </c>
      <c r="AC13" s="171" t="e">
        <f t="shared" ca="1" si="11"/>
        <v>#N/A</v>
      </c>
      <c r="AD13" s="171" t="e">
        <f t="shared" ca="1" si="12"/>
        <v>#VALUE!</v>
      </c>
      <c r="AE13" s="332" t="str">
        <f t="shared" si="16"/>
        <v/>
      </c>
      <c r="AF13" s="332" t="e">
        <f t="shared" ca="1" si="17"/>
        <v>#N/A</v>
      </c>
    </row>
    <row r="14" spans="1:32" ht="15" customHeight="1">
      <c r="B14" s="177" t="b">
        <f>IF(TRIM(Length_5_R1!A8)="",FALSE,TRUE)</f>
        <v>0</v>
      </c>
      <c r="C14" s="171" t="str">
        <f>IF($B14=FALSE,"",VALUE(Length_5_R1!A8))</f>
        <v/>
      </c>
      <c r="D14" s="171" t="str">
        <f>IF($B14=FALSE,"",Length_5_R1!B8)</f>
        <v/>
      </c>
      <c r="E14" s="177" t="str">
        <f>IF(B14=FALSE,"",Length_5_R1!M8)</f>
        <v/>
      </c>
      <c r="F14" s="177" t="str">
        <f>IF(B14=FALSE,"",Length_5_R1!N8)</f>
        <v/>
      </c>
      <c r="G14" s="177" t="str">
        <f>IF(B14=FALSE,"",Length_5_R1!O8)</f>
        <v/>
      </c>
      <c r="H14" s="177" t="str">
        <f>IF(B14=FALSE,"",Length_5_R1!P8)</f>
        <v/>
      </c>
      <c r="I14" s="177" t="str">
        <f>IF(B14=FALSE,"",Length_5_R1!Q8)</f>
        <v/>
      </c>
      <c r="J14" s="171" t="str">
        <f t="shared" si="1"/>
        <v/>
      </c>
      <c r="K14" s="181" t="str">
        <f t="shared" si="2"/>
        <v/>
      </c>
      <c r="L14" s="182" t="str">
        <f>IF(B14=FALSE,"",Length_5_R1!D31)</f>
        <v/>
      </c>
      <c r="M14" s="183" t="str">
        <f>IF(B14=FALSE,"",Calcu!J14*I$4)</f>
        <v/>
      </c>
      <c r="N14" s="184" t="str">
        <f t="shared" si="13"/>
        <v/>
      </c>
      <c r="O14" s="184" t="str">
        <f>IF(B14=FALSE,"",Length_5_R1!K31)</f>
        <v/>
      </c>
      <c r="P14" s="184" t="str">
        <f t="shared" si="3"/>
        <v/>
      </c>
      <c r="Q14" s="171" t="str">
        <f t="shared" si="4"/>
        <v/>
      </c>
      <c r="R14" s="171" t="str">
        <f t="shared" si="5"/>
        <v/>
      </c>
      <c r="S14" s="256" t="str">
        <f t="shared" si="6"/>
        <v/>
      </c>
      <c r="T14" s="185" t="str">
        <f t="shared" si="7"/>
        <v/>
      </c>
      <c r="U14" s="186" t="str">
        <f t="shared" si="8"/>
        <v/>
      </c>
      <c r="V14" s="332" t="str">
        <f t="shared" si="14"/>
        <v/>
      </c>
      <c r="W14" s="332" t="str">
        <f t="shared" si="15"/>
        <v/>
      </c>
      <c r="X14" s="124"/>
      <c r="Y14" s="171">
        <f>IF(Length_5_R1!J8&lt;0,ROUNDUP(Length_5_R1!J8*I$4,$L$46),ROUNDDOWN(Length_5_R1!J8*I$4,$L$46))</f>
        <v>0</v>
      </c>
      <c r="Z14" s="171">
        <f>IF(Length_5_R1!K8&lt;0,ROUNDDOWN(Length_5_R1!K8*I$4,$L$46),ROUNDUP(Length_5_R1!K8*I$4,$L$46))</f>
        <v>0</v>
      </c>
      <c r="AA14" s="171" t="e">
        <f t="shared" ca="1" si="9"/>
        <v>#N/A</v>
      </c>
      <c r="AB14" s="174" t="e">
        <f t="shared" ca="1" si="10"/>
        <v>#N/A</v>
      </c>
      <c r="AC14" s="171" t="e">
        <f t="shared" ca="1" si="11"/>
        <v>#N/A</v>
      </c>
      <c r="AD14" s="171" t="e">
        <f t="shared" ca="1" si="12"/>
        <v>#VALUE!</v>
      </c>
      <c r="AE14" s="332" t="str">
        <f t="shared" si="16"/>
        <v/>
      </c>
      <c r="AF14" s="332" t="e">
        <f t="shared" ca="1" si="17"/>
        <v>#N/A</v>
      </c>
    </row>
    <row r="15" spans="1:32" ht="15" customHeight="1">
      <c r="B15" s="177" t="b">
        <f>IF(TRIM(Length_5_R1!A9)="",FALSE,TRUE)</f>
        <v>0</v>
      </c>
      <c r="C15" s="171" t="str">
        <f>IF($B15=FALSE,"",VALUE(Length_5_R1!A9))</f>
        <v/>
      </c>
      <c r="D15" s="171" t="str">
        <f>IF($B15=FALSE,"",Length_5_R1!B9)</f>
        <v/>
      </c>
      <c r="E15" s="177" t="str">
        <f>IF(B15=FALSE,"",Length_5_R1!M9)</f>
        <v/>
      </c>
      <c r="F15" s="177" t="str">
        <f>IF(B15=FALSE,"",Length_5_R1!N9)</f>
        <v/>
      </c>
      <c r="G15" s="177" t="str">
        <f>IF(B15=FALSE,"",Length_5_R1!O9)</f>
        <v/>
      </c>
      <c r="H15" s="177" t="str">
        <f>IF(B15=FALSE,"",Length_5_R1!P9)</f>
        <v/>
      </c>
      <c r="I15" s="177" t="str">
        <f>IF(B15=FALSE,"",Length_5_R1!Q9)</f>
        <v/>
      </c>
      <c r="J15" s="171" t="str">
        <f t="shared" si="1"/>
        <v/>
      </c>
      <c r="K15" s="181" t="str">
        <f t="shared" si="2"/>
        <v/>
      </c>
      <c r="L15" s="182" t="str">
        <f>IF(B15=FALSE,"",Length_5_R1!D32)</f>
        <v/>
      </c>
      <c r="M15" s="183" t="str">
        <f>IF(B15=FALSE,"",Calcu!J15*I$4)</f>
        <v/>
      </c>
      <c r="N15" s="184" t="str">
        <f t="shared" si="13"/>
        <v/>
      </c>
      <c r="O15" s="184" t="str">
        <f>IF(B15=FALSE,"",Length_5_R1!K32)</f>
        <v/>
      </c>
      <c r="P15" s="184" t="str">
        <f t="shared" si="3"/>
        <v/>
      </c>
      <c r="Q15" s="171" t="str">
        <f t="shared" si="4"/>
        <v/>
      </c>
      <c r="R15" s="171" t="str">
        <f t="shared" si="5"/>
        <v/>
      </c>
      <c r="S15" s="256" t="str">
        <f t="shared" si="6"/>
        <v/>
      </c>
      <c r="T15" s="185" t="str">
        <f t="shared" si="7"/>
        <v/>
      </c>
      <c r="U15" s="186" t="str">
        <f t="shared" si="8"/>
        <v/>
      </c>
      <c r="V15" s="332" t="str">
        <f t="shared" si="14"/>
        <v/>
      </c>
      <c r="W15" s="332" t="str">
        <f t="shared" si="15"/>
        <v/>
      </c>
      <c r="X15" s="124"/>
      <c r="Y15" s="171">
        <f>IF(Length_5_R1!J9&lt;0,ROUNDUP(Length_5_R1!J9*I$4,$L$46),ROUNDDOWN(Length_5_R1!J9*I$4,$L$46))</f>
        <v>0</v>
      </c>
      <c r="Z15" s="171">
        <f>IF(Length_5_R1!K9&lt;0,ROUNDDOWN(Length_5_R1!K9*I$4,$L$46),ROUNDUP(Length_5_R1!K9*I$4,$L$46))</f>
        <v>0</v>
      </c>
      <c r="AA15" s="171" t="e">
        <f t="shared" ca="1" si="9"/>
        <v>#N/A</v>
      </c>
      <c r="AB15" s="174" t="e">
        <f t="shared" ca="1" si="10"/>
        <v>#N/A</v>
      </c>
      <c r="AC15" s="171" t="e">
        <f t="shared" ca="1" si="11"/>
        <v>#N/A</v>
      </c>
      <c r="AD15" s="171" t="e">
        <f t="shared" ca="1" si="12"/>
        <v>#VALUE!</v>
      </c>
      <c r="AE15" s="332" t="str">
        <f t="shared" si="16"/>
        <v/>
      </c>
      <c r="AF15" s="332" t="e">
        <f t="shared" ca="1" si="17"/>
        <v>#N/A</v>
      </c>
    </row>
    <row r="16" spans="1:32" ht="15" customHeight="1">
      <c r="B16" s="177" t="b">
        <f>IF(TRIM(Length_5_R1!A10)="",FALSE,TRUE)</f>
        <v>0</v>
      </c>
      <c r="C16" s="171" t="str">
        <f>IF($B16=FALSE,"",VALUE(Length_5_R1!A10))</f>
        <v/>
      </c>
      <c r="D16" s="171" t="str">
        <f>IF($B16=FALSE,"",Length_5_R1!B10)</f>
        <v/>
      </c>
      <c r="E16" s="177" t="str">
        <f>IF(B16=FALSE,"",Length_5_R1!M10)</f>
        <v/>
      </c>
      <c r="F16" s="177" t="str">
        <f>IF(B16=FALSE,"",Length_5_R1!N10)</f>
        <v/>
      </c>
      <c r="G16" s="177" t="str">
        <f>IF(B16=FALSE,"",Length_5_R1!O10)</f>
        <v/>
      </c>
      <c r="H16" s="177" t="str">
        <f>IF(B16=FALSE,"",Length_5_R1!P10)</f>
        <v/>
      </c>
      <c r="I16" s="177" t="str">
        <f>IF(B16=FALSE,"",Length_5_R1!Q10)</f>
        <v/>
      </c>
      <c r="J16" s="171" t="str">
        <f t="shared" si="1"/>
        <v/>
      </c>
      <c r="K16" s="181" t="str">
        <f t="shared" si="2"/>
        <v/>
      </c>
      <c r="L16" s="182" t="str">
        <f>IF(B16=FALSE,"",Length_5_R1!D33)</f>
        <v/>
      </c>
      <c r="M16" s="183" t="str">
        <f>IF(B16=FALSE,"",Calcu!J16*I$4)</f>
        <v/>
      </c>
      <c r="N16" s="184" t="str">
        <f t="shared" si="13"/>
        <v/>
      </c>
      <c r="O16" s="184" t="str">
        <f>IF(B16=FALSE,"",Length_5_R1!K33)</f>
        <v/>
      </c>
      <c r="P16" s="184" t="str">
        <f t="shared" si="3"/>
        <v/>
      </c>
      <c r="Q16" s="171" t="str">
        <f t="shared" si="4"/>
        <v/>
      </c>
      <c r="R16" s="171" t="str">
        <f t="shared" si="5"/>
        <v/>
      </c>
      <c r="S16" s="256" t="str">
        <f t="shared" si="6"/>
        <v/>
      </c>
      <c r="T16" s="185" t="str">
        <f t="shared" si="7"/>
        <v/>
      </c>
      <c r="U16" s="186" t="str">
        <f t="shared" si="8"/>
        <v/>
      </c>
      <c r="V16" s="332" t="str">
        <f t="shared" si="14"/>
        <v/>
      </c>
      <c r="W16" s="332" t="str">
        <f t="shared" si="15"/>
        <v/>
      </c>
      <c r="X16" s="124"/>
      <c r="Y16" s="171">
        <f>IF(Length_5_R1!J10&lt;0,ROUNDUP(Length_5_R1!J10*I$4,$L$46),ROUNDDOWN(Length_5_R1!J10*I$4,$L$46))</f>
        <v>0</v>
      </c>
      <c r="Z16" s="171">
        <f>IF(Length_5_R1!K10&lt;0,ROUNDDOWN(Length_5_R1!K10*I$4,$L$46),ROUNDUP(Length_5_R1!K10*I$4,$L$46))</f>
        <v>0</v>
      </c>
      <c r="AA16" s="171" t="e">
        <f t="shared" ca="1" si="9"/>
        <v>#N/A</v>
      </c>
      <c r="AB16" s="174" t="e">
        <f t="shared" ca="1" si="10"/>
        <v>#N/A</v>
      </c>
      <c r="AC16" s="171" t="e">
        <f t="shared" ca="1" si="11"/>
        <v>#N/A</v>
      </c>
      <c r="AD16" s="171" t="e">
        <f t="shared" ca="1" si="12"/>
        <v>#VALUE!</v>
      </c>
      <c r="AE16" s="332" t="str">
        <f t="shared" si="16"/>
        <v/>
      </c>
      <c r="AF16" s="332" t="e">
        <f t="shared" ca="1" si="17"/>
        <v>#N/A</v>
      </c>
    </row>
    <row r="17" spans="1:32" ht="15" customHeight="1">
      <c r="B17" s="177" t="b">
        <f>IF(TRIM(Length_5_R1!A11)="",FALSE,TRUE)</f>
        <v>0</v>
      </c>
      <c r="C17" s="171" t="str">
        <f>IF($B17=FALSE,"",VALUE(Length_5_R1!A11))</f>
        <v/>
      </c>
      <c r="D17" s="171" t="str">
        <f>IF($B17=FALSE,"",Length_5_R1!B11)</f>
        <v/>
      </c>
      <c r="E17" s="177" t="str">
        <f>IF(B17=FALSE,"",Length_5_R1!M11)</f>
        <v/>
      </c>
      <c r="F17" s="177" t="str">
        <f>IF(B17=FALSE,"",Length_5_R1!N11)</f>
        <v/>
      </c>
      <c r="G17" s="177" t="str">
        <f>IF(B17=FALSE,"",Length_5_R1!O11)</f>
        <v/>
      </c>
      <c r="H17" s="177" t="str">
        <f>IF(B17=FALSE,"",Length_5_R1!P11)</f>
        <v/>
      </c>
      <c r="I17" s="177" t="str">
        <f>IF(B17=FALSE,"",Length_5_R1!Q11)</f>
        <v/>
      </c>
      <c r="J17" s="171" t="str">
        <f t="shared" si="1"/>
        <v/>
      </c>
      <c r="K17" s="181" t="str">
        <f t="shared" si="2"/>
        <v/>
      </c>
      <c r="L17" s="182" t="str">
        <f>IF(B17=FALSE,"",Length_5_R1!D34)</f>
        <v/>
      </c>
      <c r="M17" s="183" t="str">
        <f>IF(B17=FALSE,"",Calcu!J17*I$4)</f>
        <v/>
      </c>
      <c r="N17" s="184" t="str">
        <f t="shared" si="13"/>
        <v/>
      </c>
      <c r="O17" s="184" t="str">
        <f>IF(B17=FALSE,"",Length_5_R1!K34)</f>
        <v/>
      </c>
      <c r="P17" s="184" t="str">
        <f t="shared" si="3"/>
        <v/>
      </c>
      <c r="Q17" s="171" t="str">
        <f t="shared" si="4"/>
        <v/>
      </c>
      <c r="R17" s="171" t="str">
        <f t="shared" si="5"/>
        <v/>
      </c>
      <c r="S17" s="256" t="str">
        <f t="shared" si="6"/>
        <v/>
      </c>
      <c r="T17" s="185" t="str">
        <f t="shared" si="7"/>
        <v/>
      </c>
      <c r="U17" s="186" t="str">
        <f t="shared" si="8"/>
        <v/>
      </c>
      <c r="V17" s="332" t="str">
        <f t="shared" si="14"/>
        <v/>
      </c>
      <c r="W17" s="332" t="str">
        <f t="shared" si="15"/>
        <v/>
      </c>
      <c r="X17" s="124"/>
      <c r="Y17" s="171">
        <f>IF(Length_5_R1!J11&lt;0,ROUNDUP(Length_5_R1!J11*I$4,$L$46),ROUNDDOWN(Length_5_R1!J11*I$4,$L$46))</f>
        <v>0</v>
      </c>
      <c r="Z17" s="171">
        <f>IF(Length_5_R1!K11&lt;0,ROUNDDOWN(Length_5_R1!K11*I$4,$L$46),ROUNDUP(Length_5_R1!K11*I$4,$L$46))</f>
        <v>0</v>
      </c>
      <c r="AA17" s="171" t="e">
        <f t="shared" ca="1" si="9"/>
        <v>#N/A</v>
      </c>
      <c r="AB17" s="174" t="e">
        <f t="shared" ca="1" si="10"/>
        <v>#N/A</v>
      </c>
      <c r="AC17" s="171" t="e">
        <f t="shared" ca="1" si="11"/>
        <v>#N/A</v>
      </c>
      <c r="AD17" s="171" t="e">
        <f t="shared" ca="1" si="12"/>
        <v>#VALUE!</v>
      </c>
      <c r="AE17" s="332" t="str">
        <f t="shared" si="16"/>
        <v/>
      </c>
      <c r="AF17" s="332" t="e">
        <f t="shared" ca="1" si="17"/>
        <v>#N/A</v>
      </c>
    </row>
    <row r="18" spans="1:32" ht="15" customHeight="1">
      <c r="B18" s="177" t="b">
        <f>IF(TRIM(Length_5_R1!A12)="",FALSE,TRUE)</f>
        <v>0</v>
      </c>
      <c r="C18" s="171" t="str">
        <f>IF($B18=FALSE,"",VALUE(Length_5_R1!A12))</f>
        <v/>
      </c>
      <c r="D18" s="171" t="str">
        <f>IF($B18=FALSE,"",Length_5_R1!B12)</f>
        <v/>
      </c>
      <c r="E18" s="177" t="str">
        <f>IF(B18=FALSE,"",Length_5_R1!M12)</f>
        <v/>
      </c>
      <c r="F18" s="177" t="str">
        <f>IF(B18=FALSE,"",Length_5_R1!N12)</f>
        <v/>
      </c>
      <c r="G18" s="177" t="str">
        <f>IF(B18=FALSE,"",Length_5_R1!O12)</f>
        <v/>
      </c>
      <c r="H18" s="177" t="str">
        <f>IF(B18=FALSE,"",Length_5_R1!P12)</f>
        <v/>
      </c>
      <c r="I18" s="177" t="str">
        <f>IF(B18=FALSE,"",Length_5_R1!Q12)</f>
        <v/>
      </c>
      <c r="J18" s="171" t="str">
        <f t="shared" si="1"/>
        <v/>
      </c>
      <c r="K18" s="181" t="str">
        <f t="shared" si="2"/>
        <v/>
      </c>
      <c r="L18" s="182" t="str">
        <f>IF(B18=FALSE,"",Length_5_R1!D35)</f>
        <v/>
      </c>
      <c r="M18" s="183" t="str">
        <f>IF(B18=FALSE,"",Calcu!J18*I$4)</f>
        <v/>
      </c>
      <c r="N18" s="184" t="str">
        <f t="shared" si="13"/>
        <v/>
      </c>
      <c r="O18" s="184" t="str">
        <f>IF(B18=FALSE,"",Length_5_R1!K35)</f>
        <v/>
      </c>
      <c r="P18" s="184" t="str">
        <f t="shared" si="3"/>
        <v/>
      </c>
      <c r="Q18" s="171" t="str">
        <f t="shared" si="4"/>
        <v/>
      </c>
      <c r="R18" s="171" t="str">
        <f t="shared" si="5"/>
        <v/>
      </c>
      <c r="S18" s="256" t="str">
        <f t="shared" si="6"/>
        <v/>
      </c>
      <c r="T18" s="185" t="str">
        <f t="shared" si="7"/>
        <v/>
      </c>
      <c r="U18" s="186" t="str">
        <f t="shared" si="8"/>
        <v/>
      </c>
      <c r="V18" s="332" t="str">
        <f t="shared" si="14"/>
        <v/>
      </c>
      <c r="W18" s="332" t="str">
        <f t="shared" si="15"/>
        <v/>
      </c>
      <c r="X18" s="124"/>
      <c r="Y18" s="171">
        <f>IF(Length_5_R1!J12&lt;0,ROUNDUP(Length_5_R1!J12*I$4,$L$46),ROUNDDOWN(Length_5_R1!J12*I$4,$L$46))</f>
        <v>0</v>
      </c>
      <c r="Z18" s="171">
        <f>IF(Length_5_R1!K12&lt;0,ROUNDDOWN(Length_5_R1!K12*I$4,$L$46),ROUNDUP(Length_5_R1!K12*I$4,$L$46))</f>
        <v>0</v>
      </c>
      <c r="AA18" s="171" t="e">
        <f t="shared" ca="1" si="9"/>
        <v>#N/A</v>
      </c>
      <c r="AB18" s="174" t="e">
        <f t="shared" ca="1" si="10"/>
        <v>#N/A</v>
      </c>
      <c r="AC18" s="171" t="e">
        <f t="shared" ca="1" si="11"/>
        <v>#N/A</v>
      </c>
      <c r="AD18" s="171" t="e">
        <f t="shared" ca="1" si="12"/>
        <v>#VALUE!</v>
      </c>
      <c r="AE18" s="332" t="str">
        <f t="shared" si="16"/>
        <v/>
      </c>
      <c r="AF18" s="332" t="e">
        <f t="shared" ca="1" si="17"/>
        <v>#N/A</v>
      </c>
    </row>
    <row r="19" spans="1:32" ht="15" customHeight="1">
      <c r="B19" s="177" t="b">
        <f>IF(TRIM(Length_5_R1!A13)="",FALSE,TRUE)</f>
        <v>0</v>
      </c>
      <c r="C19" s="171" t="str">
        <f>IF($B19=FALSE,"",VALUE(Length_5_R1!A13))</f>
        <v/>
      </c>
      <c r="D19" s="171" t="str">
        <f>IF($B19=FALSE,"",Length_5_R1!B13)</f>
        <v/>
      </c>
      <c r="E19" s="177" t="str">
        <f>IF(B19=FALSE,"",Length_5_R1!M13)</f>
        <v/>
      </c>
      <c r="F19" s="177" t="str">
        <f>IF(B19=FALSE,"",Length_5_R1!N13)</f>
        <v/>
      </c>
      <c r="G19" s="177" t="str">
        <f>IF(B19=FALSE,"",Length_5_R1!O13)</f>
        <v/>
      </c>
      <c r="H19" s="177" t="str">
        <f>IF(B19=FALSE,"",Length_5_R1!P13)</f>
        <v/>
      </c>
      <c r="I19" s="177" t="str">
        <f>IF(B19=FALSE,"",Length_5_R1!Q13)</f>
        <v/>
      </c>
      <c r="J19" s="171" t="str">
        <f t="shared" si="1"/>
        <v/>
      </c>
      <c r="K19" s="181" t="str">
        <f t="shared" si="2"/>
        <v/>
      </c>
      <c r="L19" s="182" t="str">
        <f>IF(B19=FALSE,"",Length_5_R1!D36)</f>
        <v/>
      </c>
      <c r="M19" s="183" t="str">
        <f>IF(B19=FALSE,"",Calcu!J19*I$4)</f>
        <v/>
      </c>
      <c r="N19" s="184" t="str">
        <f t="shared" si="13"/>
        <v/>
      </c>
      <c r="O19" s="184" t="str">
        <f>IF(B19=FALSE,"",Length_5_R1!K36)</f>
        <v/>
      </c>
      <c r="P19" s="184" t="str">
        <f t="shared" si="3"/>
        <v/>
      </c>
      <c r="Q19" s="171" t="str">
        <f t="shared" si="4"/>
        <v/>
      </c>
      <c r="R19" s="171" t="str">
        <f t="shared" si="5"/>
        <v/>
      </c>
      <c r="S19" s="256" t="str">
        <f t="shared" si="6"/>
        <v/>
      </c>
      <c r="T19" s="185" t="str">
        <f t="shared" si="7"/>
        <v/>
      </c>
      <c r="U19" s="186" t="str">
        <f t="shared" si="8"/>
        <v/>
      </c>
      <c r="V19" s="332" t="str">
        <f t="shared" si="14"/>
        <v/>
      </c>
      <c r="W19" s="332" t="str">
        <f t="shared" si="15"/>
        <v/>
      </c>
      <c r="X19" s="124"/>
      <c r="Y19" s="171">
        <f>IF(Length_5_R1!J13&lt;0,ROUNDUP(Length_5_R1!J13*I$4,$L$46),ROUNDDOWN(Length_5_R1!J13*I$4,$L$46))</f>
        <v>0</v>
      </c>
      <c r="Z19" s="171">
        <f>IF(Length_5_R1!K13&lt;0,ROUNDDOWN(Length_5_R1!K13*I$4,$L$46),ROUNDUP(Length_5_R1!K13*I$4,$L$46))</f>
        <v>0</v>
      </c>
      <c r="AA19" s="171" t="e">
        <f t="shared" ca="1" si="9"/>
        <v>#N/A</v>
      </c>
      <c r="AB19" s="174" t="e">
        <f t="shared" ca="1" si="10"/>
        <v>#N/A</v>
      </c>
      <c r="AC19" s="171" t="e">
        <f t="shared" ca="1" si="11"/>
        <v>#N/A</v>
      </c>
      <c r="AD19" s="171" t="e">
        <f t="shared" ca="1" si="12"/>
        <v>#VALUE!</v>
      </c>
      <c r="AE19" s="332" t="str">
        <f t="shared" si="16"/>
        <v/>
      </c>
      <c r="AF19" s="332" t="e">
        <f t="shared" ca="1" si="17"/>
        <v>#N/A</v>
      </c>
    </row>
    <row r="20" spans="1:32" ht="15" customHeight="1">
      <c r="B20" s="177" t="b">
        <f>IF(TRIM(Length_5_R1!A14)="",FALSE,TRUE)</f>
        <v>0</v>
      </c>
      <c r="C20" s="171" t="str">
        <f>IF($B20=FALSE,"",VALUE(Length_5_R1!A14))</f>
        <v/>
      </c>
      <c r="D20" s="171" t="str">
        <f>IF($B20=FALSE,"",Length_5_R1!B14)</f>
        <v/>
      </c>
      <c r="E20" s="177" t="str">
        <f>IF(B20=FALSE,"",Length_5_R1!M14)</f>
        <v/>
      </c>
      <c r="F20" s="177" t="str">
        <f>IF(B20=FALSE,"",Length_5_R1!N14)</f>
        <v/>
      </c>
      <c r="G20" s="177" t="str">
        <f>IF(B20=FALSE,"",Length_5_R1!O14)</f>
        <v/>
      </c>
      <c r="H20" s="177" t="str">
        <f>IF(B20=FALSE,"",Length_5_R1!P14)</f>
        <v/>
      </c>
      <c r="I20" s="177" t="str">
        <f>IF(B20=FALSE,"",Length_5_R1!Q14)</f>
        <v/>
      </c>
      <c r="J20" s="171" t="str">
        <f t="shared" si="1"/>
        <v/>
      </c>
      <c r="K20" s="181" t="str">
        <f t="shared" si="2"/>
        <v/>
      </c>
      <c r="L20" s="182" t="str">
        <f>IF(B20=FALSE,"",Length_5_R1!D37)</f>
        <v/>
      </c>
      <c r="M20" s="183" t="str">
        <f>IF(B20=FALSE,"",Calcu!J20*I$4)</f>
        <v/>
      </c>
      <c r="N20" s="184" t="str">
        <f t="shared" si="13"/>
        <v/>
      </c>
      <c r="O20" s="184" t="str">
        <f>IF(B20=FALSE,"",Length_5_R1!K37)</f>
        <v/>
      </c>
      <c r="P20" s="184" t="str">
        <f t="shared" si="3"/>
        <v/>
      </c>
      <c r="Q20" s="171" t="str">
        <f t="shared" si="4"/>
        <v/>
      </c>
      <c r="R20" s="171" t="str">
        <f t="shared" si="5"/>
        <v/>
      </c>
      <c r="S20" s="256" t="str">
        <f t="shared" si="6"/>
        <v/>
      </c>
      <c r="T20" s="185" t="str">
        <f t="shared" si="7"/>
        <v/>
      </c>
      <c r="U20" s="186" t="str">
        <f t="shared" si="8"/>
        <v/>
      </c>
      <c r="V20" s="332" t="str">
        <f t="shared" si="14"/>
        <v/>
      </c>
      <c r="W20" s="332" t="str">
        <f t="shared" si="15"/>
        <v/>
      </c>
      <c r="X20" s="124"/>
      <c r="Y20" s="171">
        <f>IF(Length_5_R1!J14&lt;0,ROUNDUP(Length_5_R1!J14*I$4,$L$46),ROUNDDOWN(Length_5_R1!J14*I$4,$L$46))</f>
        <v>0</v>
      </c>
      <c r="Z20" s="171">
        <f>IF(Length_5_R1!K14&lt;0,ROUNDDOWN(Length_5_R1!K14*I$4,$L$46),ROUNDUP(Length_5_R1!K14*I$4,$L$46))</f>
        <v>0</v>
      </c>
      <c r="AA20" s="171" t="e">
        <f t="shared" ca="1" si="9"/>
        <v>#N/A</v>
      </c>
      <c r="AB20" s="174" t="e">
        <f t="shared" ca="1" si="10"/>
        <v>#N/A</v>
      </c>
      <c r="AC20" s="171" t="e">
        <f t="shared" ca="1" si="11"/>
        <v>#N/A</v>
      </c>
      <c r="AD20" s="171" t="e">
        <f t="shared" ca="1" si="12"/>
        <v>#VALUE!</v>
      </c>
      <c r="AE20" s="332" t="str">
        <f t="shared" si="16"/>
        <v/>
      </c>
      <c r="AF20" s="332" t="e">
        <f t="shared" ca="1" si="17"/>
        <v>#N/A</v>
      </c>
    </row>
    <row r="21" spans="1:32" ht="15" customHeight="1">
      <c r="B21" s="177" t="b">
        <f>IF(TRIM(Length_5_R1!A15)="",FALSE,TRUE)</f>
        <v>0</v>
      </c>
      <c r="C21" s="171" t="str">
        <f>IF($B21=FALSE,"",VALUE(Length_5_R1!A15))</f>
        <v/>
      </c>
      <c r="D21" s="171" t="str">
        <f>IF($B21=FALSE,"",Length_5_R1!B15)</f>
        <v/>
      </c>
      <c r="E21" s="177" t="str">
        <f>IF(B21=FALSE,"",Length_5_R1!M15)</f>
        <v/>
      </c>
      <c r="F21" s="177" t="str">
        <f>IF(B21=FALSE,"",Length_5_R1!N15)</f>
        <v/>
      </c>
      <c r="G21" s="177" t="str">
        <f>IF(B21=FALSE,"",Length_5_R1!O15)</f>
        <v/>
      </c>
      <c r="H21" s="177" t="str">
        <f>IF(B21=FALSE,"",Length_5_R1!P15)</f>
        <v/>
      </c>
      <c r="I21" s="177" t="str">
        <f>IF(B21=FALSE,"",Length_5_R1!Q15)</f>
        <v/>
      </c>
      <c r="J21" s="171" t="str">
        <f t="shared" si="1"/>
        <v/>
      </c>
      <c r="K21" s="181" t="str">
        <f t="shared" si="2"/>
        <v/>
      </c>
      <c r="L21" s="182" t="str">
        <f>IF(B21=FALSE,"",Length_5_R1!D38)</f>
        <v/>
      </c>
      <c r="M21" s="183" t="str">
        <f>IF(B21=FALSE,"",Calcu!J21*I$4)</f>
        <v/>
      </c>
      <c r="N21" s="184" t="str">
        <f t="shared" si="13"/>
        <v/>
      </c>
      <c r="O21" s="184" t="str">
        <f>IF(B21=FALSE,"",Length_5_R1!K38)</f>
        <v/>
      </c>
      <c r="P21" s="184" t="str">
        <f t="shared" si="3"/>
        <v/>
      </c>
      <c r="Q21" s="171" t="str">
        <f t="shared" si="4"/>
        <v/>
      </c>
      <c r="R21" s="171" t="str">
        <f t="shared" si="5"/>
        <v/>
      </c>
      <c r="S21" s="256" t="str">
        <f t="shared" si="6"/>
        <v/>
      </c>
      <c r="T21" s="185" t="str">
        <f t="shared" si="7"/>
        <v/>
      </c>
      <c r="U21" s="186" t="str">
        <f t="shared" si="8"/>
        <v/>
      </c>
      <c r="V21" s="332" t="str">
        <f t="shared" si="14"/>
        <v/>
      </c>
      <c r="W21" s="332" t="str">
        <f t="shared" si="15"/>
        <v/>
      </c>
      <c r="X21" s="124"/>
      <c r="Y21" s="171">
        <f>IF(Length_5_R1!J15&lt;0,ROUNDUP(Length_5_R1!J15*I$4,$L$46),ROUNDDOWN(Length_5_R1!J15*I$4,$L$46))</f>
        <v>0</v>
      </c>
      <c r="Z21" s="171">
        <f>IF(Length_5_R1!K15&lt;0,ROUNDDOWN(Length_5_R1!K15*I$4,$L$46),ROUNDUP(Length_5_R1!K15*I$4,$L$46))</f>
        <v>0</v>
      </c>
      <c r="AA21" s="171" t="e">
        <f t="shared" ca="1" si="9"/>
        <v>#N/A</v>
      </c>
      <c r="AB21" s="174" t="e">
        <f t="shared" ca="1" si="10"/>
        <v>#N/A</v>
      </c>
      <c r="AC21" s="171" t="e">
        <f t="shared" ca="1" si="11"/>
        <v>#N/A</v>
      </c>
      <c r="AD21" s="171" t="e">
        <f t="shared" ca="1" si="12"/>
        <v>#VALUE!</v>
      </c>
      <c r="AE21" s="332" t="str">
        <f t="shared" si="16"/>
        <v/>
      </c>
      <c r="AF21" s="332" t="e">
        <f t="shared" ca="1" si="17"/>
        <v>#N/A</v>
      </c>
    </row>
    <row r="22" spans="1:32" ht="15" customHeight="1">
      <c r="B22" s="177" t="b">
        <f>IF(TRIM(Length_5_R1!A16)="",FALSE,TRUE)</f>
        <v>0</v>
      </c>
      <c r="C22" s="171" t="str">
        <f>IF($B22=FALSE,"",VALUE(Length_5_R1!A16))</f>
        <v/>
      </c>
      <c r="D22" s="171" t="str">
        <f>IF($B22=FALSE,"",Length_5_R1!B16)</f>
        <v/>
      </c>
      <c r="E22" s="177" t="str">
        <f>IF(B22=FALSE,"",Length_5_R1!M16)</f>
        <v/>
      </c>
      <c r="F22" s="177" t="str">
        <f>IF(B22=FALSE,"",Length_5_R1!N16)</f>
        <v/>
      </c>
      <c r="G22" s="177" t="str">
        <f>IF(B22=FALSE,"",Length_5_R1!O16)</f>
        <v/>
      </c>
      <c r="H22" s="177" t="str">
        <f>IF(B22=FALSE,"",Length_5_R1!P16)</f>
        <v/>
      </c>
      <c r="I22" s="177" t="str">
        <f>IF(B22=FALSE,"",Length_5_R1!Q16)</f>
        <v/>
      </c>
      <c r="J22" s="171" t="str">
        <f t="shared" si="1"/>
        <v/>
      </c>
      <c r="K22" s="181" t="str">
        <f t="shared" si="2"/>
        <v/>
      </c>
      <c r="L22" s="182" t="str">
        <f>IF(B22=FALSE,"",Length_5_R1!D39)</f>
        <v/>
      </c>
      <c r="M22" s="183" t="str">
        <f>IF(B22=FALSE,"",Calcu!J22*I$4)</f>
        <v/>
      </c>
      <c r="N22" s="184" t="str">
        <f t="shared" si="13"/>
        <v/>
      </c>
      <c r="O22" s="184" t="str">
        <f>IF(B22=FALSE,"",Length_5_R1!K39)</f>
        <v/>
      </c>
      <c r="P22" s="184" t="str">
        <f t="shared" si="3"/>
        <v/>
      </c>
      <c r="Q22" s="171" t="str">
        <f t="shared" si="4"/>
        <v/>
      </c>
      <c r="R22" s="171" t="str">
        <f t="shared" si="5"/>
        <v/>
      </c>
      <c r="S22" s="256" t="str">
        <f t="shared" si="6"/>
        <v/>
      </c>
      <c r="T22" s="185" t="str">
        <f t="shared" si="7"/>
        <v/>
      </c>
      <c r="U22" s="186" t="str">
        <f t="shared" si="8"/>
        <v/>
      </c>
      <c r="V22" s="332" t="str">
        <f t="shared" si="14"/>
        <v/>
      </c>
      <c r="W22" s="332" t="str">
        <f t="shared" si="15"/>
        <v/>
      </c>
      <c r="X22" s="124"/>
      <c r="Y22" s="171">
        <f>IF(Length_5_R1!J16&lt;0,ROUNDUP(Length_5_R1!J16*I$4,$L$46),ROUNDDOWN(Length_5_R1!J16*I$4,$L$46))</f>
        <v>0</v>
      </c>
      <c r="Z22" s="171">
        <f>IF(Length_5_R1!K16&lt;0,ROUNDDOWN(Length_5_R1!K16*I$4,$L$46),ROUNDUP(Length_5_R1!K16*I$4,$L$46))</f>
        <v>0</v>
      </c>
      <c r="AA22" s="171" t="e">
        <f t="shared" ca="1" si="9"/>
        <v>#N/A</v>
      </c>
      <c r="AB22" s="174" t="e">
        <f t="shared" ca="1" si="10"/>
        <v>#N/A</v>
      </c>
      <c r="AC22" s="171" t="e">
        <f t="shared" ca="1" si="11"/>
        <v>#N/A</v>
      </c>
      <c r="AD22" s="171" t="e">
        <f t="shared" ca="1" si="12"/>
        <v>#VALUE!</v>
      </c>
      <c r="AE22" s="332" t="str">
        <f t="shared" si="16"/>
        <v/>
      </c>
      <c r="AF22" s="332" t="e">
        <f t="shared" ca="1" si="17"/>
        <v>#N/A</v>
      </c>
    </row>
    <row r="23" spans="1:32" ht="15" customHeight="1">
      <c r="B23" s="177" t="b">
        <f>IF(TRIM(Length_5_R1!A17)="",FALSE,TRUE)</f>
        <v>0</v>
      </c>
      <c r="C23" s="171" t="str">
        <f>IF($B23=FALSE,"",VALUE(Length_5_R1!A17))</f>
        <v/>
      </c>
      <c r="D23" s="171" t="str">
        <f>IF($B23=FALSE,"",Length_5_R1!B17)</f>
        <v/>
      </c>
      <c r="E23" s="177" t="str">
        <f>IF(B23=FALSE,"",Length_5_R1!M17)</f>
        <v/>
      </c>
      <c r="F23" s="177" t="str">
        <f>IF(B23=FALSE,"",Length_5_R1!N17)</f>
        <v/>
      </c>
      <c r="G23" s="177" t="str">
        <f>IF(B23=FALSE,"",Length_5_R1!O17)</f>
        <v/>
      </c>
      <c r="H23" s="177" t="str">
        <f>IF(B23=FALSE,"",Length_5_R1!P17)</f>
        <v/>
      </c>
      <c r="I23" s="177" t="str">
        <f>IF(B23=FALSE,"",Length_5_R1!Q17)</f>
        <v/>
      </c>
      <c r="J23" s="171" t="str">
        <f t="shared" si="1"/>
        <v/>
      </c>
      <c r="K23" s="181" t="str">
        <f t="shared" si="2"/>
        <v/>
      </c>
      <c r="L23" s="182" t="str">
        <f>IF(B23=FALSE,"",Length_5_R1!D40)</f>
        <v/>
      </c>
      <c r="M23" s="183" t="str">
        <f>IF(B23=FALSE,"",Calcu!J23*I$4)</f>
        <v/>
      </c>
      <c r="N23" s="184" t="str">
        <f t="shared" si="13"/>
        <v/>
      </c>
      <c r="O23" s="184" t="str">
        <f>IF(B23=FALSE,"",Length_5_R1!K40)</f>
        <v/>
      </c>
      <c r="P23" s="184" t="str">
        <f t="shared" si="3"/>
        <v/>
      </c>
      <c r="Q23" s="171" t="str">
        <f t="shared" si="4"/>
        <v/>
      </c>
      <c r="R23" s="171" t="str">
        <f t="shared" si="5"/>
        <v/>
      </c>
      <c r="S23" s="256" t="str">
        <f t="shared" si="6"/>
        <v/>
      </c>
      <c r="T23" s="185" t="str">
        <f t="shared" si="7"/>
        <v/>
      </c>
      <c r="U23" s="186" t="str">
        <f t="shared" si="8"/>
        <v/>
      </c>
      <c r="V23" s="332" t="str">
        <f t="shared" si="14"/>
        <v/>
      </c>
      <c r="W23" s="332" t="str">
        <f t="shared" si="15"/>
        <v/>
      </c>
      <c r="X23" s="124"/>
      <c r="Y23" s="171">
        <f>IF(Length_5_R1!J17&lt;0,ROUNDUP(Length_5_R1!J17*I$4,$L$46),ROUNDDOWN(Length_5_R1!J17*I$4,$L$46))</f>
        <v>0</v>
      </c>
      <c r="Z23" s="171">
        <f>IF(Length_5_R1!K17&lt;0,ROUNDDOWN(Length_5_R1!K17*I$4,$L$46),ROUNDUP(Length_5_R1!K17*I$4,$L$46))</f>
        <v>0</v>
      </c>
      <c r="AA23" s="171" t="e">
        <f t="shared" ca="1" si="9"/>
        <v>#N/A</v>
      </c>
      <c r="AB23" s="174" t="e">
        <f t="shared" ca="1" si="10"/>
        <v>#N/A</v>
      </c>
      <c r="AC23" s="171" t="e">
        <f t="shared" ca="1" si="11"/>
        <v>#N/A</v>
      </c>
      <c r="AD23" s="171" t="e">
        <f t="shared" ca="1" si="12"/>
        <v>#VALUE!</v>
      </c>
      <c r="AE23" s="332" t="str">
        <f t="shared" si="16"/>
        <v/>
      </c>
      <c r="AF23" s="332" t="e">
        <f t="shared" ca="1" si="17"/>
        <v>#N/A</v>
      </c>
    </row>
    <row r="24" spans="1:32" ht="15" customHeight="1">
      <c r="B24" s="177" t="b">
        <f>IF(TRIM(Length_5_R1!A18)="",FALSE,TRUE)</f>
        <v>0</v>
      </c>
      <c r="C24" s="171" t="str">
        <f>IF($B24=FALSE,"",VALUE(Length_5_R1!A18))</f>
        <v/>
      </c>
      <c r="D24" s="171" t="str">
        <f>IF($B24=FALSE,"",Length_5_R1!B18)</f>
        <v/>
      </c>
      <c r="E24" s="177" t="str">
        <f>IF(B24=FALSE,"",Length_5_R1!M18)</f>
        <v/>
      </c>
      <c r="F24" s="177" t="str">
        <f>IF(B24=FALSE,"",Length_5_R1!N18)</f>
        <v/>
      </c>
      <c r="G24" s="177" t="str">
        <f>IF(B24=FALSE,"",Length_5_R1!O18)</f>
        <v/>
      </c>
      <c r="H24" s="177" t="str">
        <f>IF(B24=FALSE,"",Length_5_R1!P18)</f>
        <v/>
      </c>
      <c r="I24" s="177" t="str">
        <f>IF(B24=FALSE,"",Length_5_R1!Q18)</f>
        <v/>
      </c>
      <c r="J24" s="171" t="str">
        <f t="shared" si="1"/>
        <v/>
      </c>
      <c r="K24" s="181" t="str">
        <f t="shared" si="2"/>
        <v/>
      </c>
      <c r="L24" s="182" t="str">
        <f>IF(B24=FALSE,"",Length_5_R1!D41)</f>
        <v/>
      </c>
      <c r="M24" s="183" t="str">
        <f>IF(B24=FALSE,"",Calcu!J24*I$4)</f>
        <v/>
      </c>
      <c r="N24" s="184" t="str">
        <f t="shared" si="13"/>
        <v/>
      </c>
      <c r="O24" s="184" t="str">
        <f>IF(B24=FALSE,"",Length_5_R1!K41)</f>
        <v/>
      </c>
      <c r="P24" s="184" t="str">
        <f t="shared" si="3"/>
        <v/>
      </c>
      <c r="Q24" s="171" t="str">
        <f t="shared" si="4"/>
        <v/>
      </c>
      <c r="R24" s="171" t="str">
        <f t="shared" si="5"/>
        <v/>
      </c>
      <c r="S24" s="256" t="str">
        <f t="shared" si="6"/>
        <v/>
      </c>
      <c r="T24" s="185" t="str">
        <f t="shared" si="7"/>
        <v/>
      </c>
      <c r="U24" s="186" t="str">
        <f t="shared" si="8"/>
        <v/>
      </c>
      <c r="V24" s="332" t="str">
        <f t="shared" si="14"/>
        <v/>
      </c>
      <c r="W24" s="332" t="str">
        <f t="shared" si="15"/>
        <v/>
      </c>
      <c r="X24" s="124"/>
      <c r="Y24" s="171">
        <f>IF(Length_5_R1!J18&lt;0,ROUNDUP(Length_5_R1!J18*I$4,$L$46),ROUNDDOWN(Length_5_R1!J18*I$4,$L$46))</f>
        <v>0</v>
      </c>
      <c r="Z24" s="171">
        <f>IF(Length_5_R1!K18&lt;0,ROUNDDOWN(Length_5_R1!K18*I$4,$L$46),ROUNDUP(Length_5_R1!K18*I$4,$L$46))</f>
        <v>0</v>
      </c>
      <c r="AA24" s="171" t="e">
        <f t="shared" ca="1" si="9"/>
        <v>#N/A</v>
      </c>
      <c r="AB24" s="174" t="e">
        <f t="shared" ca="1" si="10"/>
        <v>#N/A</v>
      </c>
      <c r="AC24" s="171" t="e">
        <f t="shared" ca="1" si="11"/>
        <v>#N/A</v>
      </c>
      <c r="AD24" s="171" t="e">
        <f t="shared" ca="1" si="12"/>
        <v>#VALUE!</v>
      </c>
      <c r="AE24" s="332" t="str">
        <f t="shared" si="16"/>
        <v/>
      </c>
      <c r="AF24" s="332" t="e">
        <f t="shared" ca="1" si="17"/>
        <v>#N/A</v>
      </c>
    </row>
    <row r="25" spans="1:32" ht="15" customHeight="1">
      <c r="B25" s="177" t="b">
        <f>IF(TRIM(Length_5_R1!A19)="",FALSE,TRUE)</f>
        <v>0</v>
      </c>
      <c r="C25" s="171" t="str">
        <f>IF($B25=FALSE,"",VALUE(Length_5_R1!A19))</f>
        <v/>
      </c>
      <c r="D25" s="171" t="str">
        <f>IF($B25=FALSE,"",Length_5_R1!B19)</f>
        <v/>
      </c>
      <c r="E25" s="177" t="str">
        <f>IF(B25=FALSE,"",Length_5_R1!M19)</f>
        <v/>
      </c>
      <c r="F25" s="177" t="str">
        <f>IF(B25=FALSE,"",Length_5_R1!N19)</f>
        <v/>
      </c>
      <c r="G25" s="177" t="str">
        <f>IF(B25=FALSE,"",Length_5_R1!O19)</f>
        <v/>
      </c>
      <c r="H25" s="177" t="str">
        <f>IF(B25=FALSE,"",Length_5_R1!P19)</f>
        <v/>
      </c>
      <c r="I25" s="177" t="str">
        <f>IF(B25=FALSE,"",Length_5_R1!Q19)</f>
        <v/>
      </c>
      <c r="J25" s="171" t="str">
        <f t="shared" si="1"/>
        <v/>
      </c>
      <c r="K25" s="181" t="str">
        <f t="shared" si="2"/>
        <v/>
      </c>
      <c r="L25" s="182" t="str">
        <f>IF(B25=FALSE,"",Length_5_R1!D42)</f>
        <v/>
      </c>
      <c r="M25" s="183" t="str">
        <f>IF(B25=FALSE,"",Calcu!J25*I$4)</f>
        <v/>
      </c>
      <c r="N25" s="184" t="str">
        <f t="shared" si="13"/>
        <v/>
      </c>
      <c r="O25" s="184" t="str">
        <f>IF(B25=FALSE,"",Length_5_R1!K42)</f>
        <v/>
      </c>
      <c r="P25" s="184" t="str">
        <f t="shared" si="3"/>
        <v/>
      </c>
      <c r="Q25" s="171" t="str">
        <f t="shared" si="4"/>
        <v/>
      </c>
      <c r="R25" s="171" t="str">
        <f t="shared" si="5"/>
        <v/>
      </c>
      <c r="S25" s="256" t="str">
        <f t="shared" si="6"/>
        <v/>
      </c>
      <c r="T25" s="185" t="str">
        <f t="shared" si="7"/>
        <v/>
      </c>
      <c r="U25" s="186" t="str">
        <f t="shared" si="8"/>
        <v/>
      </c>
      <c r="V25" s="332" t="str">
        <f t="shared" si="14"/>
        <v/>
      </c>
      <c r="W25" s="332" t="str">
        <f t="shared" si="15"/>
        <v/>
      </c>
      <c r="X25" s="124"/>
      <c r="Y25" s="171">
        <f>IF(Length_5_R1!J19&lt;0,ROUNDUP(Length_5_R1!J19*I$4,$L$46),ROUNDDOWN(Length_5_R1!J19*I$4,$L$46))</f>
        <v>0</v>
      </c>
      <c r="Z25" s="171">
        <f>IF(Length_5_R1!K19&lt;0,ROUNDDOWN(Length_5_R1!K19*I$4,$L$46),ROUNDUP(Length_5_R1!K19*I$4,$L$46))</f>
        <v>0</v>
      </c>
      <c r="AA25" s="171" t="e">
        <f t="shared" ca="1" si="9"/>
        <v>#N/A</v>
      </c>
      <c r="AB25" s="174" t="e">
        <f t="shared" ca="1" si="10"/>
        <v>#N/A</v>
      </c>
      <c r="AC25" s="171" t="e">
        <f t="shared" ca="1" si="11"/>
        <v>#N/A</v>
      </c>
      <c r="AD25" s="171" t="e">
        <f t="shared" ca="1" si="12"/>
        <v>#VALUE!</v>
      </c>
      <c r="AE25" s="332" t="str">
        <f t="shared" si="16"/>
        <v/>
      </c>
      <c r="AF25" s="332" t="e">
        <f t="shared" ca="1" si="17"/>
        <v>#N/A</v>
      </c>
    </row>
    <row r="26" spans="1:32" ht="15" customHeight="1">
      <c r="B26" s="177" t="b">
        <f>IF(TRIM(Length_5_R1!A20)="",FALSE,TRUE)</f>
        <v>0</v>
      </c>
      <c r="C26" s="171" t="str">
        <f>IF($B26=FALSE,"",VALUE(Length_5_R1!A20))</f>
        <v/>
      </c>
      <c r="D26" s="171" t="str">
        <f>IF($B26=FALSE,"",Length_5_R1!B20)</f>
        <v/>
      </c>
      <c r="E26" s="177" t="str">
        <f>IF(B26=FALSE,"",Length_5_R1!M20)</f>
        <v/>
      </c>
      <c r="F26" s="177" t="str">
        <f>IF(B26=FALSE,"",Length_5_R1!N20)</f>
        <v/>
      </c>
      <c r="G26" s="177" t="str">
        <f>IF(B26=FALSE,"",Length_5_R1!O20)</f>
        <v/>
      </c>
      <c r="H26" s="177" t="str">
        <f>IF(B26=FALSE,"",Length_5_R1!P20)</f>
        <v/>
      </c>
      <c r="I26" s="177" t="str">
        <f>IF(B26=FALSE,"",Length_5_R1!Q20)</f>
        <v/>
      </c>
      <c r="J26" s="171" t="str">
        <f t="shared" si="1"/>
        <v/>
      </c>
      <c r="K26" s="181" t="str">
        <f t="shared" si="2"/>
        <v/>
      </c>
      <c r="L26" s="182" t="str">
        <f>IF(B26=FALSE,"",Length_5_R1!D43)</f>
        <v/>
      </c>
      <c r="M26" s="183" t="str">
        <f>IF(B26=FALSE,"",Calcu!J26*I$4)</f>
        <v/>
      </c>
      <c r="N26" s="184" t="str">
        <f t="shared" si="13"/>
        <v/>
      </c>
      <c r="O26" s="184" t="str">
        <f>IF(B26=FALSE,"",Length_5_R1!K43)</f>
        <v/>
      </c>
      <c r="P26" s="184" t="str">
        <f t="shared" si="3"/>
        <v/>
      </c>
      <c r="Q26" s="171" t="str">
        <f t="shared" si="4"/>
        <v/>
      </c>
      <c r="R26" s="171" t="str">
        <f t="shared" si="5"/>
        <v/>
      </c>
      <c r="S26" s="256" t="str">
        <f t="shared" si="6"/>
        <v/>
      </c>
      <c r="T26" s="185" t="str">
        <f t="shared" si="7"/>
        <v/>
      </c>
      <c r="U26" s="186" t="str">
        <f t="shared" si="8"/>
        <v/>
      </c>
      <c r="V26" s="332" t="str">
        <f t="shared" si="14"/>
        <v/>
      </c>
      <c r="W26" s="332" t="str">
        <f t="shared" si="15"/>
        <v/>
      </c>
      <c r="X26" s="124"/>
      <c r="Y26" s="171">
        <f>IF(Length_5_R1!J20&lt;0,ROUNDUP(Length_5_R1!J20*I$4,$L$46),ROUNDDOWN(Length_5_R1!J20*I$4,$L$46))</f>
        <v>0</v>
      </c>
      <c r="Z26" s="171">
        <f>IF(Length_5_R1!K20&lt;0,ROUNDDOWN(Length_5_R1!K20*I$4,$L$46),ROUNDUP(Length_5_R1!K20*I$4,$L$46))</f>
        <v>0</v>
      </c>
      <c r="AA26" s="171" t="e">
        <f t="shared" ca="1" si="9"/>
        <v>#N/A</v>
      </c>
      <c r="AB26" s="174" t="e">
        <f t="shared" ca="1" si="10"/>
        <v>#N/A</v>
      </c>
      <c r="AC26" s="171" t="e">
        <f t="shared" ca="1" si="11"/>
        <v>#N/A</v>
      </c>
      <c r="AD26" s="171" t="e">
        <f t="shared" ca="1" si="12"/>
        <v>#VALUE!</v>
      </c>
      <c r="AE26" s="332" t="str">
        <f t="shared" si="16"/>
        <v/>
      </c>
      <c r="AF26" s="332" t="e">
        <f t="shared" ca="1" si="17"/>
        <v>#N/A</v>
      </c>
    </row>
    <row r="27" spans="1:32" ht="15" customHeight="1">
      <c r="B27" s="177" t="b">
        <f>IF(TRIM(Length_5_R1!A21)="",FALSE,TRUE)</f>
        <v>0</v>
      </c>
      <c r="C27" s="171" t="str">
        <f>IF($B27=FALSE,"",VALUE(Length_5_R1!A21))</f>
        <v/>
      </c>
      <c r="D27" s="171" t="str">
        <f>IF($B27=FALSE,"",Length_5_R1!B21)</f>
        <v/>
      </c>
      <c r="E27" s="177" t="str">
        <f>IF(B27=FALSE,"",Length_5_R1!M21)</f>
        <v/>
      </c>
      <c r="F27" s="177" t="str">
        <f>IF(B27=FALSE,"",Length_5_R1!N21)</f>
        <v/>
      </c>
      <c r="G27" s="177" t="str">
        <f>IF(B27=FALSE,"",Length_5_R1!O21)</f>
        <v/>
      </c>
      <c r="H27" s="177" t="str">
        <f>IF(B27=FALSE,"",Length_5_R1!P21)</f>
        <v/>
      </c>
      <c r="I27" s="177" t="str">
        <f>IF(B27=FALSE,"",Length_5_R1!Q21)</f>
        <v/>
      </c>
      <c r="J27" s="171" t="str">
        <f t="shared" si="1"/>
        <v/>
      </c>
      <c r="K27" s="181" t="str">
        <f t="shared" si="2"/>
        <v/>
      </c>
      <c r="L27" s="182" t="str">
        <f>IF(B27=FALSE,"",Length_5_R1!D44)</f>
        <v/>
      </c>
      <c r="M27" s="183" t="str">
        <f>IF(B27=FALSE,"",Calcu!J27*I$4)</f>
        <v/>
      </c>
      <c r="N27" s="184" t="str">
        <f t="shared" si="13"/>
        <v/>
      </c>
      <c r="O27" s="184" t="str">
        <f>IF(B27=FALSE,"",Length_5_R1!K44)</f>
        <v/>
      </c>
      <c r="P27" s="184" t="str">
        <f t="shared" si="3"/>
        <v/>
      </c>
      <c r="Q27" s="171" t="str">
        <f t="shared" si="4"/>
        <v/>
      </c>
      <c r="R27" s="171" t="str">
        <f t="shared" si="5"/>
        <v/>
      </c>
      <c r="S27" s="256" t="str">
        <f t="shared" si="6"/>
        <v/>
      </c>
      <c r="T27" s="185" t="str">
        <f t="shared" si="7"/>
        <v/>
      </c>
      <c r="U27" s="186" t="str">
        <f t="shared" si="8"/>
        <v/>
      </c>
      <c r="V27" s="332" t="str">
        <f t="shared" si="14"/>
        <v/>
      </c>
      <c r="W27" s="332" t="str">
        <f t="shared" si="15"/>
        <v/>
      </c>
      <c r="X27" s="124"/>
      <c r="Y27" s="171">
        <f>IF(Length_5_R1!J21&lt;0,ROUNDUP(Length_5_R1!J21*I$4,$L$46),ROUNDDOWN(Length_5_R1!J21*I$4,$L$46))</f>
        <v>0</v>
      </c>
      <c r="Z27" s="171">
        <f>IF(Length_5_R1!K21&lt;0,ROUNDDOWN(Length_5_R1!K21*I$4,$L$46),ROUNDUP(Length_5_R1!K21*I$4,$L$46))</f>
        <v>0</v>
      </c>
      <c r="AA27" s="171" t="e">
        <f t="shared" ca="1" si="9"/>
        <v>#N/A</v>
      </c>
      <c r="AB27" s="174" t="e">
        <f t="shared" ca="1" si="10"/>
        <v>#N/A</v>
      </c>
      <c r="AC27" s="171" t="e">
        <f t="shared" ca="1" si="11"/>
        <v>#N/A</v>
      </c>
      <c r="AD27" s="171" t="e">
        <f t="shared" ca="1" si="12"/>
        <v>#VALUE!</v>
      </c>
      <c r="AE27" s="332" t="str">
        <f t="shared" si="16"/>
        <v/>
      </c>
      <c r="AF27" s="332" t="e">
        <f t="shared" ca="1" si="17"/>
        <v>#N/A</v>
      </c>
    </row>
    <row r="28" spans="1:32" ht="15" customHeight="1">
      <c r="B28" s="177" t="b">
        <f>IF(TRIM(Length_5_R1!A22)="",FALSE,TRUE)</f>
        <v>0</v>
      </c>
      <c r="C28" s="171" t="str">
        <f>IF($B28=FALSE,"",VALUE(Length_5_R1!A22))</f>
        <v/>
      </c>
      <c r="D28" s="171" t="str">
        <f>IF($B28=FALSE,"",Length_5_R1!B22)</f>
        <v/>
      </c>
      <c r="E28" s="177" t="str">
        <f>IF(B28=FALSE,"",Length_5_R1!M22)</f>
        <v/>
      </c>
      <c r="F28" s="177" t="str">
        <f>IF(B28=FALSE,"",Length_5_R1!N22)</f>
        <v/>
      </c>
      <c r="G28" s="177" t="str">
        <f>IF(B28=FALSE,"",Length_5_R1!O22)</f>
        <v/>
      </c>
      <c r="H28" s="177" t="str">
        <f>IF(B28=FALSE,"",Length_5_R1!P22)</f>
        <v/>
      </c>
      <c r="I28" s="177" t="str">
        <f>IF(B28=FALSE,"",Length_5_R1!Q22)</f>
        <v/>
      </c>
      <c r="J28" s="171" t="str">
        <f t="shared" si="1"/>
        <v/>
      </c>
      <c r="K28" s="181" t="str">
        <f t="shared" si="2"/>
        <v/>
      </c>
      <c r="L28" s="182" t="str">
        <f>IF(B28=FALSE,"",Length_5_R1!D45)</f>
        <v/>
      </c>
      <c r="M28" s="183" t="str">
        <f>IF(B28=FALSE,"",Calcu!J28*I$4)</f>
        <v/>
      </c>
      <c r="N28" s="184" t="str">
        <f t="shared" si="13"/>
        <v/>
      </c>
      <c r="O28" s="184" t="str">
        <f>IF(B28=FALSE,"",Length_5_R1!K45)</f>
        <v/>
      </c>
      <c r="P28" s="184" t="str">
        <f t="shared" si="3"/>
        <v/>
      </c>
      <c r="Q28" s="171" t="str">
        <f t="shared" si="4"/>
        <v/>
      </c>
      <c r="R28" s="171" t="str">
        <f t="shared" si="5"/>
        <v/>
      </c>
      <c r="S28" s="256" t="str">
        <f t="shared" si="6"/>
        <v/>
      </c>
      <c r="T28" s="185" t="str">
        <f t="shared" si="7"/>
        <v/>
      </c>
      <c r="U28" s="186" t="str">
        <f t="shared" si="8"/>
        <v/>
      </c>
      <c r="V28" s="332" t="str">
        <f t="shared" si="14"/>
        <v/>
      </c>
      <c r="W28" s="332" t="str">
        <f t="shared" si="15"/>
        <v/>
      </c>
      <c r="X28" s="124"/>
      <c r="Y28" s="171">
        <f>IF(Length_5_R1!J22&lt;0,ROUNDUP(Length_5_R1!J22*I$4,$L$46),ROUNDDOWN(Length_5_R1!J22*I$4,$L$46))</f>
        <v>0</v>
      </c>
      <c r="Z28" s="171">
        <f>IF(Length_5_R1!K22&lt;0,ROUNDDOWN(Length_5_R1!K22*I$4,$L$46),ROUNDUP(Length_5_R1!K22*I$4,$L$46))</f>
        <v>0</v>
      </c>
      <c r="AA28" s="171" t="e">
        <f t="shared" ca="1" si="9"/>
        <v>#N/A</v>
      </c>
      <c r="AB28" s="174" t="e">
        <f t="shared" ca="1" si="10"/>
        <v>#N/A</v>
      </c>
      <c r="AC28" s="171" t="e">
        <f t="shared" ca="1" si="11"/>
        <v>#N/A</v>
      </c>
      <c r="AD28" s="171" t="e">
        <f t="shared" ca="1" si="12"/>
        <v>#VALUE!</v>
      </c>
      <c r="AE28" s="332" t="str">
        <f t="shared" si="16"/>
        <v/>
      </c>
      <c r="AF28" s="332" t="e">
        <f t="shared" ca="1" si="17"/>
        <v>#N/A</v>
      </c>
    </row>
    <row r="29" spans="1:32" ht="15" customHeight="1">
      <c r="B29" s="177" t="b">
        <f>IF(TRIM(Length_5_R1!A23)="",FALSE,TRUE)</f>
        <v>0</v>
      </c>
      <c r="C29" s="171" t="str">
        <f>IF($B29=FALSE,"",VALUE(Length_5_R1!A23))</f>
        <v/>
      </c>
      <c r="D29" s="171" t="str">
        <f>IF($B29=FALSE,"",Length_5_R1!B23)</f>
        <v/>
      </c>
      <c r="E29" s="177" t="str">
        <f>IF(B29=FALSE,"",Length_5_R1!M23)</f>
        <v/>
      </c>
      <c r="F29" s="177" t="str">
        <f>IF(B29=FALSE,"",Length_5_R1!N23)</f>
        <v/>
      </c>
      <c r="G29" s="177" t="str">
        <f>IF(B29=FALSE,"",Length_5_R1!O23)</f>
        <v/>
      </c>
      <c r="H29" s="177" t="str">
        <f>IF(B29=FALSE,"",Length_5_R1!P23)</f>
        <v/>
      </c>
      <c r="I29" s="177" t="str">
        <f>IF(B29=FALSE,"",Length_5_R1!Q23)</f>
        <v/>
      </c>
      <c r="J29" s="171" t="str">
        <f t="shared" si="1"/>
        <v/>
      </c>
      <c r="K29" s="181" t="str">
        <f t="shared" si="2"/>
        <v/>
      </c>
      <c r="L29" s="182" t="str">
        <f>IF(B29=FALSE,"",Length_5_R1!D46)</f>
        <v/>
      </c>
      <c r="M29" s="183" t="str">
        <f>IF(B29=FALSE,"",Calcu!J29*I$4)</f>
        <v/>
      </c>
      <c r="N29" s="184" t="str">
        <f t="shared" si="13"/>
        <v/>
      </c>
      <c r="O29" s="184" t="str">
        <f>IF(B29=FALSE,"",Length_5_R1!K46)</f>
        <v/>
      </c>
      <c r="P29" s="184" t="str">
        <f t="shared" si="3"/>
        <v/>
      </c>
      <c r="Q29" s="171" t="str">
        <f t="shared" si="4"/>
        <v/>
      </c>
      <c r="R29" s="171" t="str">
        <f t="shared" si="5"/>
        <v/>
      </c>
      <c r="S29" s="256" t="str">
        <f t="shared" si="6"/>
        <v/>
      </c>
      <c r="T29" s="185" t="str">
        <f t="shared" si="7"/>
        <v/>
      </c>
      <c r="U29" s="186" t="str">
        <f t="shared" si="8"/>
        <v/>
      </c>
      <c r="V29" s="332" t="str">
        <f t="shared" si="14"/>
        <v/>
      </c>
      <c r="W29" s="332" t="str">
        <f t="shared" si="15"/>
        <v/>
      </c>
      <c r="X29" s="124"/>
      <c r="Y29" s="171">
        <f>IF(Length_5_R1!J23&lt;0,ROUNDUP(Length_5_R1!J23*I$4,$L$46),ROUNDDOWN(Length_5_R1!J23*I$4,$L$46))</f>
        <v>0</v>
      </c>
      <c r="Z29" s="171">
        <f>IF(Length_5_R1!K23&lt;0,ROUNDDOWN(Length_5_R1!K23*I$4,$L$46),ROUNDUP(Length_5_R1!K23*I$4,$L$46))</f>
        <v>0</v>
      </c>
      <c r="AA29" s="171" t="e">
        <f t="shared" ca="1" si="9"/>
        <v>#N/A</v>
      </c>
      <c r="AB29" s="174" t="e">
        <f t="shared" ca="1" si="10"/>
        <v>#N/A</v>
      </c>
      <c r="AC29" s="171" t="e">
        <f t="shared" ca="1" si="11"/>
        <v>#N/A</v>
      </c>
      <c r="AD29" s="171" t="e">
        <f t="shared" ca="1" si="12"/>
        <v>#VALUE!</v>
      </c>
      <c r="AE29" s="332" t="str">
        <f t="shared" si="16"/>
        <v/>
      </c>
      <c r="AF29" s="332" t="e">
        <f t="shared" ca="1" si="17"/>
        <v>#N/A</v>
      </c>
    </row>
    <row r="30" spans="1:32" ht="15" customHeight="1">
      <c r="N30" s="120"/>
      <c r="O30" s="120"/>
      <c r="P30" s="120"/>
      <c r="Q30" s="120"/>
      <c r="R30" s="120"/>
      <c r="S30" s="120"/>
      <c r="T30" s="120"/>
      <c r="Y30" s="120"/>
    </row>
    <row r="31" spans="1:32" ht="15" customHeight="1">
      <c r="A31" s="118" t="s">
        <v>263</v>
      </c>
      <c r="C31" s="119"/>
      <c r="D31" s="119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</row>
    <row r="32" spans="1:32" ht="15" customHeight="1">
      <c r="A32" s="118"/>
      <c r="B32" s="551"/>
      <c r="C32" s="551" t="s">
        <v>165</v>
      </c>
      <c r="D32" s="554" t="s">
        <v>166</v>
      </c>
      <c r="E32" s="551" t="s">
        <v>167</v>
      </c>
      <c r="F32" s="551" t="s">
        <v>168</v>
      </c>
      <c r="G32" s="549">
        <v>1</v>
      </c>
      <c r="H32" s="561"/>
      <c r="I32" s="561"/>
      <c r="J32" s="561"/>
      <c r="K32" s="561"/>
      <c r="L32" s="561"/>
      <c r="M32" s="550"/>
      <c r="N32" s="217">
        <v>2</v>
      </c>
      <c r="O32" s="549">
        <v>3</v>
      </c>
      <c r="P32" s="561"/>
      <c r="Q32" s="561"/>
      <c r="R32" s="550"/>
      <c r="S32" s="549">
        <v>4</v>
      </c>
      <c r="T32" s="561"/>
      <c r="U32" s="550"/>
      <c r="V32" s="217">
        <v>5</v>
      </c>
      <c r="W32" s="551" t="s">
        <v>169</v>
      </c>
      <c r="X32" s="551" t="s">
        <v>170</v>
      </c>
      <c r="Y32" s="549" t="s">
        <v>588</v>
      </c>
      <c r="Z32" s="550"/>
      <c r="AA32" s="124"/>
      <c r="AB32" s="124"/>
      <c r="AC32" s="124"/>
    </row>
    <row r="33" spans="1:29" ht="15" customHeight="1">
      <c r="A33" s="118"/>
      <c r="B33" s="553"/>
      <c r="C33" s="553"/>
      <c r="D33" s="556"/>
      <c r="E33" s="553"/>
      <c r="F33" s="553"/>
      <c r="G33" s="310" t="s">
        <v>545</v>
      </c>
      <c r="H33" s="310" t="s">
        <v>174</v>
      </c>
      <c r="I33" s="255" t="s">
        <v>471</v>
      </c>
      <c r="J33" s="255" t="s">
        <v>472</v>
      </c>
      <c r="K33" s="549" t="s">
        <v>169</v>
      </c>
      <c r="L33" s="561"/>
      <c r="M33" s="550"/>
      <c r="N33" s="217" t="s">
        <v>175</v>
      </c>
      <c r="O33" s="549" t="s">
        <v>174</v>
      </c>
      <c r="P33" s="550"/>
      <c r="Q33" s="549" t="s">
        <v>176</v>
      </c>
      <c r="R33" s="550"/>
      <c r="S33" s="549" t="s">
        <v>177</v>
      </c>
      <c r="T33" s="561"/>
      <c r="U33" s="550"/>
      <c r="V33" s="217" t="s">
        <v>178</v>
      </c>
      <c r="W33" s="552"/>
      <c r="X33" s="569"/>
      <c r="Y33" s="324" t="s">
        <v>207</v>
      </c>
      <c r="Z33" s="324" t="s">
        <v>589</v>
      </c>
      <c r="AA33" s="124"/>
      <c r="AB33" s="124"/>
      <c r="AC33" s="124"/>
    </row>
    <row r="34" spans="1:29" ht="15" customHeight="1">
      <c r="B34" s="217" t="s">
        <v>181</v>
      </c>
      <c r="C34" s="187" t="s">
        <v>182</v>
      </c>
      <c r="D34" s="188" t="s">
        <v>183</v>
      </c>
      <c r="E34" s="215" t="e">
        <f ca="1">OFFSET(L$9,MATCH(K$4,T$10:T$29,0),0)</f>
        <v>#N/A</v>
      </c>
      <c r="F34" s="189" t="s">
        <v>184</v>
      </c>
      <c r="G34" s="171" t="e">
        <f ca="1">OFFSET(Length_5_R1!F26,MATCH(E4,C10:C29,0),0)</f>
        <v>#N/A</v>
      </c>
      <c r="H34" s="234" t="e">
        <f ca="1">OFFSET(Length_5_R1!G26,MATCH(E4,C10:C29,0),0)</f>
        <v>#N/A</v>
      </c>
      <c r="I34" s="171" t="e">
        <f ca="1">OFFSET(Length_5_R1!J26,MATCH(E4,C10:C29,0),0)</f>
        <v>#N/A</v>
      </c>
      <c r="J34" s="171" t="e">
        <f ca="1">OFFSET(Length_5_R1!I26,MATCH(E4,C10:C29,0),0)</f>
        <v>#N/A</v>
      </c>
      <c r="K34" s="199" t="e">
        <f ca="1">G34/J34</f>
        <v>#N/A</v>
      </c>
      <c r="L34" s="183" t="e">
        <f ca="1">IF(I34="L=m",H34/1000,H34)/J34</f>
        <v>#N/A</v>
      </c>
      <c r="M34" s="173" t="s">
        <v>185</v>
      </c>
      <c r="N34" s="190" t="s">
        <v>186</v>
      </c>
      <c r="O34" s="171"/>
      <c r="P34" s="171"/>
      <c r="Q34" s="183">
        <v>1</v>
      </c>
      <c r="R34" s="171"/>
      <c r="S34" s="191" t="e">
        <f ca="1">ABS(K34*Q34)</f>
        <v>#N/A</v>
      </c>
      <c r="T34" s="171" t="e">
        <f ca="1">ABS(L34*Q34)</f>
        <v>#N/A</v>
      </c>
      <c r="U34" s="173" t="s">
        <v>185</v>
      </c>
      <c r="V34" s="171" t="s">
        <v>187</v>
      </c>
      <c r="W34" s="199" t="e">
        <f ca="1">SQRT(SUMSQ(S34,T34*K$4))</f>
        <v>#N/A</v>
      </c>
      <c r="X34" s="195">
        <f t="shared" ref="X34:X41" si="18">IF(V34="∞",0,W34^4/V34)</f>
        <v>0</v>
      </c>
      <c r="Y34" s="191" t="str">
        <f t="shared" ref="Y34:Y41" si="19">IF(OR(N34="직사각형",N34="삼각형"),W34,"")</f>
        <v/>
      </c>
      <c r="Z34" s="191" t="e">
        <f t="shared" ref="Z34:Z39" ca="1" si="20">IF(OR(N34="직사각형",N34="삼각형"),"",W34)</f>
        <v>#N/A</v>
      </c>
      <c r="AA34" s="124"/>
      <c r="AB34" s="124"/>
      <c r="AC34" s="124"/>
    </row>
    <row r="35" spans="1:29" ht="15" customHeight="1">
      <c r="B35" s="217" t="s">
        <v>189</v>
      </c>
      <c r="C35" s="187" t="s">
        <v>190</v>
      </c>
      <c r="D35" s="188" t="s">
        <v>193</v>
      </c>
      <c r="E35" s="215" t="e">
        <f ca="1">OFFSET(M$9,MATCH(K$4,T$10:T$29,0),0)</f>
        <v>#N/A</v>
      </c>
      <c r="F35" s="189" t="s">
        <v>184</v>
      </c>
      <c r="G35" s="171"/>
      <c r="H35" s="173">
        <f>IF(MAX(K10:K29)=0,O4*1000,MAX(K10:K29)*1000)</f>
        <v>0</v>
      </c>
      <c r="I35" s="171">
        <f>IF(MAX(K10:K29)=0,2,1)</f>
        <v>2</v>
      </c>
      <c r="J35" s="192">
        <v>5</v>
      </c>
      <c r="K35" s="199">
        <f>H35/(IF(I35="",1,I35)*SQRT(J35))</f>
        <v>0</v>
      </c>
      <c r="L35" s="199"/>
      <c r="M35" s="173" t="s">
        <v>185</v>
      </c>
      <c r="N35" s="190" t="s">
        <v>264</v>
      </c>
      <c r="O35" s="171"/>
      <c r="P35" s="171"/>
      <c r="Q35" s="183">
        <v>-1</v>
      </c>
      <c r="R35" s="171"/>
      <c r="S35" s="191">
        <f t="shared" ref="S35:S41" si="21">ABS(K35*Q35)</f>
        <v>0</v>
      </c>
      <c r="T35" s="171">
        <f t="shared" ref="T35:T41" si="22">ABS(L35*Q35)</f>
        <v>0</v>
      </c>
      <c r="U35" s="173" t="s">
        <v>185</v>
      </c>
      <c r="V35" s="171">
        <v>4</v>
      </c>
      <c r="W35" s="199">
        <f t="shared" ref="W35:W41" si="23">SQRT(SUMSQ(S35,T35*K$4))</f>
        <v>0</v>
      </c>
      <c r="X35" s="195">
        <f t="shared" si="18"/>
        <v>0</v>
      </c>
      <c r="Y35" s="191" t="str">
        <f t="shared" si="19"/>
        <v/>
      </c>
      <c r="Z35" s="191">
        <f t="shared" si="20"/>
        <v>0</v>
      </c>
      <c r="AA35" s="124"/>
      <c r="AB35" s="124"/>
      <c r="AC35" s="124"/>
    </row>
    <row r="36" spans="1:29" ht="15" customHeight="1">
      <c r="B36" s="217" t="s">
        <v>266</v>
      </c>
      <c r="C36" s="187" t="s">
        <v>267</v>
      </c>
      <c r="D36" s="188" t="s">
        <v>112</v>
      </c>
      <c r="E36" s="184" t="e">
        <f ca="1">OFFSET(P$9,MATCH(K$4,T$10:T$29,0),0)</f>
        <v>#N/A</v>
      </c>
      <c r="F36" s="189" t="s">
        <v>203</v>
      </c>
      <c r="G36" s="184"/>
      <c r="H36" s="184">
        <f>1*10^-6</f>
        <v>9.9999999999999995E-7</v>
      </c>
      <c r="I36" s="172"/>
      <c r="J36" s="192">
        <v>3</v>
      </c>
      <c r="K36" s="327"/>
      <c r="L36" s="327">
        <f>SQRT((H36/SQRT(J36)/2)^2+(H36/SQRT(J36)/2)^2)</f>
        <v>4.0824829046386305E-7</v>
      </c>
      <c r="M36" s="189" t="s">
        <v>203</v>
      </c>
      <c r="N36" s="190" t="s">
        <v>268</v>
      </c>
      <c r="O36" s="173">
        <f>H37</f>
        <v>0.2</v>
      </c>
      <c r="P36" s="171" t="s">
        <v>195</v>
      </c>
      <c r="Q36" s="183">
        <f>-O36*1000</f>
        <v>-200</v>
      </c>
      <c r="R36" s="171" t="s">
        <v>205</v>
      </c>
      <c r="S36" s="191">
        <f t="shared" si="21"/>
        <v>0</v>
      </c>
      <c r="T36" s="171">
        <f t="shared" si="22"/>
        <v>8.1649658092772609E-5</v>
      </c>
      <c r="U36" s="173" t="s">
        <v>192</v>
      </c>
      <c r="V36" s="171">
        <v>100</v>
      </c>
      <c r="W36" s="199">
        <f t="shared" si="23"/>
        <v>0</v>
      </c>
      <c r="X36" s="195">
        <f t="shared" si="18"/>
        <v>0</v>
      </c>
      <c r="Y36" s="191">
        <f t="shared" si="19"/>
        <v>0</v>
      </c>
      <c r="Z36" s="191" t="str">
        <f t="shared" si="20"/>
        <v/>
      </c>
      <c r="AA36" s="124"/>
      <c r="AB36" s="124"/>
      <c r="AC36" s="124"/>
    </row>
    <row r="37" spans="1:29" ht="15" customHeight="1">
      <c r="B37" s="217" t="s">
        <v>269</v>
      </c>
      <c r="C37" s="187" t="s">
        <v>198</v>
      </c>
      <c r="D37" s="188" t="s">
        <v>114</v>
      </c>
      <c r="E37" s="173" t="str">
        <f>Q10</f>
        <v/>
      </c>
      <c r="F37" s="189" t="s">
        <v>270</v>
      </c>
      <c r="G37" s="172"/>
      <c r="H37" s="173">
        <f>IF(기본정보!H12=1,0.4,0.2)</f>
        <v>0.2</v>
      </c>
      <c r="I37" s="172"/>
      <c r="J37" s="192">
        <v>3</v>
      </c>
      <c r="K37" s="199"/>
      <c r="L37" s="199">
        <f>H37/(IF(I37="",1,I37)*SQRT(J37))</f>
        <v>0.11547005383792516</v>
      </c>
      <c r="M37" s="189" t="s">
        <v>270</v>
      </c>
      <c r="N37" s="190" t="s">
        <v>271</v>
      </c>
      <c r="O37" s="184" t="e">
        <f ca="1">E36</f>
        <v>#N/A</v>
      </c>
      <c r="P37" s="171" t="s">
        <v>272</v>
      </c>
      <c r="Q37" s="183" t="e">
        <f ca="1">-O37*1000</f>
        <v>#N/A</v>
      </c>
      <c r="R37" s="171" t="s">
        <v>200</v>
      </c>
      <c r="S37" s="191" t="e">
        <f t="shared" ca="1" si="21"/>
        <v>#N/A</v>
      </c>
      <c r="T37" s="171" t="e">
        <f t="shared" ca="1" si="22"/>
        <v>#N/A</v>
      </c>
      <c r="U37" s="173" t="s">
        <v>185</v>
      </c>
      <c r="V37" s="171">
        <v>12</v>
      </c>
      <c r="W37" s="199" t="e">
        <f t="shared" ca="1" si="23"/>
        <v>#N/A</v>
      </c>
      <c r="X37" s="195" t="e">
        <f t="shared" ca="1" si="18"/>
        <v>#N/A</v>
      </c>
      <c r="Y37" s="191" t="e">
        <f t="shared" ca="1" si="19"/>
        <v>#N/A</v>
      </c>
      <c r="Z37" s="191" t="str">
        <f t="shared" si="20"/>
        <v/>
      </c>
      <c r="AA37" s="124"/>
      <c r="AB37" s="124"/>
      <c r="AC37" s="124"/>
    </row>
    <row r="38" spans="1:29" ht="15" customHeight="1">
      <c r="B38" s="217" t="s">
        <v>201</v>
      </c>
      <c r="C38" s="187" t="s">
        <v>202</v>
      </c>
      <c r="D38" s="188" t="s">
        <v>113</v>
      </c>
      <c r="E38" s="193" t="e">
        <f ca="1">OFFSET(R$9,MATCH(K$4,T$10:T$29,0),0)</f>
        <v>#N/A</v>
      </c>
      <c r="F38" s="189" t="s">
        <v>203</v>
      </c>
      <c r="G38" s="184"/>
      <c r="H38" s="184">
        <f>1*10^-6</f>
        <v>9.9999999999999995E-7</v>
      </c>
      <c r="I38" s="172"/>
      <c r="J38" s="192">
        <v>3</v>
      </c>
      <c r="K38" s="327"/>
      <c r="L38" s="327">
        <f>SQRT((H38/SQRT(J38))^2+(H38/SQRT(J38))^2)</f>
        <v>8.1649658092772609E-7</v>
      </c>
      <c r="M38" s="189" t="s">
        <v>194</v>
      </c>
      <c r="N38" s="190" t="s">
        <v>204</v>
      </c>
      <c r="O38" s="173">
        <f>E39</f>
        <v>0.1</v>
      </c>
      <c r="P38" s="171" t="s">
        <v>195</v>
      </c>
      <c r="Q38" s="183">
        <f>-O38*1000</f>
        <v>-100</v>
      </c>
      <c r="R38" s="171" t="s">
        <v>196</v>
      </c>
      <c r="S38" s="191">
        <f t="shared" si="21"/>
        <v>0</v>
      </c>
      <c r="T38" s="171">
        <f t="shared" si="22"/>
        <v>8.1649658092772609E-5</v>
      </c>
      <c r="U38" s="173" t="s">
        <v>185</v>
      </c>
      <c r="V38" s="171">
        <v>100</v>
      </c>
      <c r="W38" s="199">
        <f t="shared" si="23"/>
        <v>0</v>
      </c>
      <c r="X38" s="195">
        <f t="shared" si="18"/>
        <v>0</v>
      </c>
      <c r="Y38" s="191">
        <f t="shared" si="19"/>
        <v>0</v>
      </c>
      <c r="Z38" s="191" t="str">
        <f t="shared" si="20"/>
        <v/>
      </c>
      <c r="AA38" s="124"/>
      <c r="AB38" s="124"/>
      <c r="AC38" s="124"/>
    </row>
    <row r="39" spans="1:29" ht="15" customHeight="1">
      <c r="B39" s="217" t="s">
        <v>206</v>
      </c>
      <c r="C39" s="187" t="s">
        <v>115</v>
      </c>
      <c r="D39" s="188" t="s">
        <v>116</v>
      </c>
      <c r="E39" s="173">
        <f>MAX(S10,0.1)</f>
        <v>0.1</v>
      </c>
      <c r="F39" s="189" t="s">
        <v>199</v>
      </c>
      <c r="G39" s="172"/>
      <c r="H39" s="173">
        <f>IF(기본정보!H12=1,3,1)</f>
        <v>1</v>
      </c>
      <c r="I39" s="172"/>
      <c r="J39" s="192">
        <v>3</v>
      </c>
      <c r="K39" s="199"/>
      <c r="L39" s="199">
        <f>H39/(IF(I39="",1,I39)*SQRT(J39))</f>
        <v>0.57735026918962584</v>
      </c>
      <c r="M39" s="189" t="s">
        <v>199</v>
      </c>
      <c r="N39" s="190" t="s">
        <v>207</v>
      </c>
      <c r="O39" s="193" t="e">
        <f ca="1">E38</f>
        <v>#N/A</v>
      </c>
      <c r="P39" s="171" t="s">
        <v>195</v>
      </c>
      <c r="Q39" s="183" t="e">
        <f ca="1">-O39*1000</f>
        <v>#N/A</v>
      </c>
      <c r="R39" s="171" t="s">
        <v>200</v>
      </c>
      <c r="S39" s="191" t="e">
        <f t="shared" ca="1" si="21"/>
        <v>#N/A</v>
      </c>
      <c r="T39" s="171" t="e">
        <f t="shared" ca="1" si="22"/>
        <v>#N/A</v>
      </c>
      <c r="U39" s="173" t="s">
        <v>185</v>
      </c>
      <c r="V39" s="171">
        <v>12</v>
      </c>
      <c r="W39" s="199" t="e">
        <f t="shared" ca="1" si="23"/>
        <v>#N/A</v>
      </c>
      <c r="X39" s="195" t="e">
        <f t="shared" ca="1" si="18"/>
        <v>#N/A</v>
      </c>
      <c r="Y39" s="191" t="e">
        <f t="shared" ca="1" si="19"/>
        <v>#N/A</v>
      </c>
      <c r="Z39" s="191" t="str">
        <f t="shared" si="20"/>
        <v/>
      </c>
      <c r="AA39" s="124"/>
      <c r="AB39" s="124"/>
      <c r="AC39" s="124"/>
    </row>
    <row r="40" spans="1:29" ht="15" customHeight="1">
      <c r="B40" s="309" t="s">
        <v>209</v>
      </c>
      <c r="C40" s="187" t="s">
        <v>76</v>
      </c>
      <c r="D40" s="188" t="s">
        <v>606</v>
      </c>
      <c r="E40" s="171">
        <v>0</v>
      </c>
      <c r="F40" s="189" t="s">
        <v>184</v>
      </c>
      <c r="G40" s="172"/>
      <c r="H40" s="171">
        <f>O4*1000</f>
        <v>0</v>
      </c>
      <c r="I40" s="171">
        <v>2</v>
      </c>
      <c r="J40" s="192">
        <v>3</v>
      </c>
      <c r="K40" s="199">
        <f t="shared" ref="K40:K41" si="24">H40/(IF(I40="",1,I40)*SQRT(J40))</f>
        <v>0</v>
      </c>
      <c r="L40" s="199"/>
      <c r="M40" s="173" t="s">
        <v>185</v>
      </c>
      <c r="N40" s="190" t="s">
        <v>207</v>
      </c>
      <c r="O40" s="193"/>
      <c r="P40" s="171"/>
      <c r="Q40" s="183">
        <v>1</v>
      </c>
      <c r="R40" s="171"/>
      <c r="S40" s="191">
        <f t="shared" si="21"/>
        <v>0</v>
      </c>
      <c r="T40" s="171">
        <f t="shared" si="22"/>
        <v>0</v>
      </c>
      <c r="U40" s="173" t="s">
        <v>185</v>
      </c>
      <c r="V40" s="171" t="s">
        <v>187</v>
      </c>
      <c r="W40" s="199">
        <f t="shared" si="23"/>
        <v>0</v>
      </c>
      <c r="X40" s="195">
        <f t="shared" si="18"/>
        <v>0</v>
      </c>
      <c r="Y40" s="191">
        <f t="shared" si="19"/>
        <v>0</v>
      </c>
      <c r="Z40" s="191"/>
      <c r="AA40" s="124"/>
      <c r="AB40" s="124"/>
      <c r="AC40" s="124"/>
    </row>
    <row r="41" spans="1:29" ht="15" customHeight="1">
      <c r="B41" s="217" t="s">
        <v>543</v>
      </c>
      <c r="C41" s="187" t="s">
        <v>544</v>
      </c>
      <c r="D41" s="188" t="s">
        <v>607</v>
      </c>
      <c r="E41" s="171">
        <v>0</v>
      </c>
      <c r="F41" s="189" t="s">
        <v>184</v>
      </c>
      <c r="G41" s="171">
        <v>0.1</v>
      </c>
      <c r="H41" s="171">
        <f>(1-COS(ATAN(G41/100)))*K4*1000</f>
        <v>0</v>
      </c>
      <c r="I41" s="172"/>
      <c r="J41" s="192">
        <v>3</v>
      </c>
      <c r="K41" s="199">
        <f t="shared" si="24"/>
        <v>0</v>
      </c>
      <c r="L41" s="199"/>
      <c r="M41" s="173" t="s">
        <v>185</v>
      </c>
      <c r="N41" s="190" t="s">
        <v>207</v>
      </c>
      <c r="O41" s="171"/>
      <c r="P41" s="171"/>
      <c r="Q41" s="183">
        <v>1</v>
      </c>
      <c r="R41" s="171"/>
      <c r="S41" s="191">
        <f t="shared" si="21"/>
        <v>0</v>
      </c>
      <c r="T41" s="171">
        <f t="shared" si="22"/>
        <v>0</v>
      </c>
      <c r="U41" s="173" t="s">
        <v>185</v>
      </c>
      <c r="V41" s="171">
        <v>12</v>
      </c>
      <c r="W41" s="199">
        <f t="shared" si="23"/>
        <v>0</v>
      </c>
      <c r="X41" s="195">
        <f t="shared" si="18"/>
        <v>0</v>
      </c>
      <c r="Y41" s="191">
        <f t="shared" si="19"/>
        <v>0</v>
      </c>
      <c r="Z41" s="191" t="str">
        <f>IF(OR(N41="직사각형",N41="삼각형"),"",W41)</f>
        <v/>
      </c>
      <c r="AA41" s="124"/>
      <c r="AB41" s="124"/>
      <c r="AC41" s="124"/>
    </row>
    <row r="42" spans="1:29" ht="15" customHeight="1">
      <c r="B42" s="217" t="s">
        <v>210</v>
      </c>
      <c r="C42" s="187" t="s">
        <v>211</v>
      </c>
      <c r="D42" s="188" t="s">
        <v>277</v>
      </c>
      <c r="E42" s="215" t="e">
        <f ca="1">E34-E35-(E36*E37+E38*E39)*K4</f>
        <v>#N/A</v>
      </c>
      <c r="F42" s="189" t="s">
        <v>184</v>
      </c>
      <c r="G42" s="235"/>
      <c r="H42" s="236"/>
      <c r="I42" s="235"/>
      <c r="J42" s="235"/>
      <c r="K42" s="235"/>
      <c r="L42" s="235"/>
      <c r="M42" s="235"/>
      <c r="N42" s="235"/>
      <c r="O42" s="235"/>
      <c r="P42" s="235"/>
      <c r="Q42" s="235"/>
      <c r="R42" s="237"/>
      <c r="S42" s="194" t="e">
        <f ca="1">SQRT(SUMSQ(S34:S41))</f>
        <v>#N/A</v>
      </c>
      <c r="T42" s="194" t="e">
        <f ca="1">SQRT(SUMSQ(T34:T41))</f>
        <v>#N/A</v>
      </c>
      <c r="U42" s="173" t="s">
        <v>192</v>
      </c>
      <c r="V42" s="185" t="e">
        <f ca="1">IF(X42=0,"∞",ROUNDDOWN(W42^4/X42,0))</f>
        <v>#N/A</v>
      </c>
      <c r="W42" s="238" t="e">
        <f ca="1">SQRT(SUMSQ(W34:W41))</f>
        <v>#N/A</v>
      </c>
      <c r="X42" s="325" t="e">
        <f ca="1">SUM(X34:X41)</f>
        <v>#N/A</v>
      </c>
      <c r="Y42" s="238" t="e">
        <f ca="1">SQRT(SUMSQ(Y34:Y41))</f>
        <v>#N/A</v>
      </c>
      <c r="Z42" s="238" t="e">
        <f ca="1">SQRT(SUMSQ(Z34:Z41))</f>
        <v>#N/A</v>
      </c>
      <c r="AA42" s="124"/>
      <c r="AB42" s="124"/>
      <c r="AC42" s="124"/>
    </row>
    <row r="43" spans="1:29" ht="15" customHeight="1">
      <c r="L43" s="124"/>
      <c r="U43" s="124"/>
      <c r="V43" s="124"/>
      <c r="W43" s="124"/>
      <c r="X43" s="124"/>
      <c r="Y43" s="124"/>
      <c r="AC43" s="124"/>
    </row>
    <row r="44" spans="1:29" ht="15" customHeight="1">
      <c r="B44" s="218"/>
      <c r="C44" s="549" t="s">
        <v>282</v>
      </c>
      <c r="D44" s="561"/>
      <c r="E44" s="561"/>
      <c r="F44" s="561"/>
      <c r="G44" s="550"/>
      <c r="H44" s="300" t="s">
        <v>540</v>
      </c>
      <c r="I44" s="300" t="s">
        <v>541</v>
      </c>
      <c r="J44" s="549" t="s">
        <v>542</v>
      </c>
      <c r="K44" s="561"/>
      <c r="L44" s="561"/>
      <c r="M44" s="550"/>
      <c r="N44" s="335" t="s">
        <v>592</v>
      </c>
      <c r="O44" s="549" t="s">
        <v>611</v>
      </c>
      <c r="P44" s="561"/>
      <c r="Q44" s="561"/>
      <c r="R44" s="551" t="s">
        <v>590</v>
      </c>
      <c r="S44" s="549" t="s">
        <v>591</v>
      </c>
      <c r="T44" s="561"/>
      <c r="U44" s="550"/>
      <c r="W44" s="124"/>
    </row>
    <row r="45" spans="1:29" ht="15" customHeight="1">
      <c r="B45" s="218"/>
      <c r="C45" s="218">
        <v>1</v>
      </c>
      <c r="D45" s="218">
        <v>2</v>
      </c>
      <c r="E45" s="218" t="s">
        <v>256</v>
      </c>
      <c r="F45" s="218" t="s">
        <v>168</v>
      </c>
      <c r="G45" s="218" t="s">
        <v>283</v>
      </c>
      <c r="H45" s="299" t="s">
        <v>184</v>
      </c>
      <c r="I45" s="299" t="s">
        <v>184</v>
      </c>
      <c r="J45" s="335" t="s">
        <v>612</v>
      </c>
      <c r="K45" s="335" t="s">
        <v>613</v>
      </c>
      <c r="L45" s="335" t="s">
        <v>614</v>
      </c>
      <c r="M45" s="335" t="s">
        <v>615</v>
      </c>
      <c r="N45" s="336"/>
      <c r="O45" s="335" t="s">
        <v>612</v>
      </c>
      <c r="P45" s="335" t="s">
        <v>284</v>
      </c>
      <c r="Q45" s="335" t="s">
        <v>616</v>
      </c>
      <c r="R45" s="553"/>
      <c r="S45" s="334" t="s">
        <v>617</v>
      </c>
      <c r="T45" s="564" t="s">
        <v>618</v>
      </c>
      <c r="U45" s="565"/>
      <c r="W45" s="124"/>
    </row>
    <row r="46" spans="1:29" ht="15" customHeight="1">
      <c r="B46" s="218" t="s">
        <v>212</v>
      </c>
      <c r="C46" s="126" t="e">
        <f ca="1">S42*E57</f>
        <v>#N/A</v>
      </c>
      <c r="D46" s="126" t="e">
        <f ca="1">T42*E57</f>
        <v>#N/A</v>
      </c>
      <c r="E46" s="126">
        <f>K4</f>
        <v>0</v>
      </c>
      <c r="F46" s="128" t="str">
        <f>U42</f>
        <v>μm</v>
      </c>
      <c r="G46" s="133" t="e">
        <f ca="1">SQRT(SUMSQ(C46,D46*E46))/1000</f>
        <v>#N/A</v>
      </c>
      <c r="H46" s="132" t="e">
        <f ca="1">MAX(G46:G47)</f>
        <v>#N/A</v>
      </c>
      <c r="I46" s="161">
        <f>O4</f>
        <v>0</v>
      </c>
      <c r="J46" s="329" t="e">
        <f ca="1">MAX(IF(H46&lt;0.00001,6,IF(H46&lt;0.0001,5,IF(H46&lt;0.001,4,IF(H46&lt;0.01,3,IF(H46&lt;0.1,2,IF(H46&lt;1,1,IF(H46&lt;10,0,IF(H46&lt;100,-1,-2)))))))),0)+K47</f>
        <v>#N/A</v>
      </c>
      <c r="K46" s="329" t="e">
        <f ca="1">MAX(IF(H47&lt;0.00001,6,IF(H47&lt;0.0001,5,IF(H47&lt;0.001,4,IF(H47&lt;0.01,3,IF(H47&lt;0.1,2,IF(H47&lt;1,1,IF(H47&lt;10,0,IF(H47&lt;100,-1,-2)))))))),0)+1</f>
        <v>#N/A</v>
      </c>
      <c r="L46" s="332">
        <f>IFERROR(LEN(I46)-FIND(".",I46),0)</f>
        <v>0</v>
      </c>
      <c r="M46" s="333" t="e">
        <f ca="1">IF(Q47,IF(M47,MIN(J46,L46),J46),L46)</f>
        <v>#N/A</v>
      </c>
      <c r="N46" s="331" t="e">
        <f ca="1">ABS((H46-ROUND(H46,M46))/H46*100)</f>
        <v>#N/A</v>
      </c>
      <c r="O46" s="332" t="e">
        <f ca="1">OFFSET(P50,MATCH(M46,O51:O60,0),0)</f>
        <v>#N/A</v>
      </c>
      <c r="P46" s="332" t="e">
        <f ca="1">OFFSET(P50,MATCH(M46,O51:O60,0),0)</f>
        <v>#N/A</v>
      </c>
      <c r="Q46" s="332" t="str">
        <f ca="1">OFFSET(P50,MATCH(L46,O51:O60,0),0)</f>
        <v>0</v>
      </c>
      <c r="R46" s="129">
        <f ca="1">IFERROR(IF(G46=H46,0,1),0)</f>
        <v>0</v>
      </c>
      <c r="S46" s="330" t="e">
        <f ca="1">TEXT(IF(N46&gt;5,ROUNDUP(H46,M46),ROUND(H46,M46)),O46)</f>
        <v>#N/A</v>
      </c>
      <c r="T46" s="337" t="e">
        <f ca="1">ROUND(H47,K46)</f>
        <v>#N/A</v>
      </c>
      <c r="U46" s="330" t="e">
        <f ca="1">ROUNDUP(IF(G46=H46,D46,D47),3)</f>
        <v>#N/A</v>
      </c>
      <c r="W46" s="124"/>
    </row>
    <row r="47" spans="1:29" ht="15" customHeight="1">
      <c r="B47" s="218" t="s">
        <v>287</v>
      </c>
      <c r="C47" s="127" t="e">
        <f ca="1">$P$4</f>
        <v>#N/A</v>
      </c>
      <c r="D47" s="128" t="e">
        <f ca="1">$Q$4</f>
        <v>#N/A</v>
      </c>
      <c r="E47" s="128">
        <f>K4</f>
        <v>0</v>
      </c>
      <c r="F47" s="128" t="e">
        <f ca="1">$R$4</f>
        <v>#N/A</v>
      </c>
      <c r="G47" s="133" t="e">
        <f ca="1">SQRT(SUMSQ(C47,D47*E47))/1000</f>
        <v>#N/A</v>
      </c>
      <c r="H47" s="132" t="e">
        <f ca="1">IF(H46=G46,C46,C47)</f>
        <v>#N/A</v>
      </c>
      <c r="J47" s="321" t="s">
        <v>585</v>
      </c>
      <c r="K47" s="171">
        <f>IF(O47=TRUE,1,기본정보!$A$47)</f>
        <v>1</v>
      </c>
      <c r="L47" s="321" t="s">
        <v>586</v>
      </c>
      <c r="M47" s="171" t="b">
        <f>IF(O47=TRUE,FALSE,기본정보!$A$52)</f>
        <v>0</v>
      </c>
      <c r="N47" s="321" t="s">
        <v>587</v>
      </c>
      <c r="O47" s="171" t="b">
        <f>기본정보!$A$46=0</f>
        <v>1</v>
      </c>
      <c r="P47" s="335" t="s">
        <v>610</v>
      </c>
      <c r="Q47" s="338" t="b">
        <f>TYPE('교정결과-HY'!$A$1)=2</f>
        <v>1</v>
      </c>
      <c r="R47" s="121"/>
      <c r="T47" s="134" t="e">
        <f ca="1">TEXT(T46,OFFSET(P50,MATCH(K46,O51:O60,0),0))</f>
        <v>#N/A</v>
      </c>
      <c r="U47" s="134" t="e">
        <f ca="1">TEXT(U46,OFFSET(P50,MATCH(3,O51:O60,0),0))</f>
        <v>#N/A</v>
      </c>
      <c r="W47" s="124"/>
    </row>
    <row r="48" spans="1:29" ht="15" customHeight="1">
      <c r="B48" s="122"/>
      <c r="C48" s="122"/>
      <c r="D48" s="122"/>
      <c r="Q48" s="121"/>
      <c r="R48" s="121"/>
      <c r="S48" s="121"/>
      <c r="T48" s="121"/>
      <c r="U48" s="121"/>
      <c r="V48" s="124"/>
    </row>
    <row r="49" spans="1:22" ht="15" customHeight="1">
      <c r="B49" s="130" t="s">
        <v>280</v>
      </c>
      <c r="C49" s="122"/>
      <c r="D49" s="122"/>
      <c r="F49" s="121"/>
      <c r="I49" s="187" t="s">
        <v>53</v>
      </c>
      <c r="J49" s="187" t="s">
        <v>171</v>
      </c>
      <c r="M49" s="121"/>
      <c r="N49" s="121"/>
      <c r="O49" s="214" t="s">
        <v>172</v>
      </c>
      <c r="P49" s="214" t="s">
        <v>173</v>
      </c>
      <c r="Q49" s="121"/>
      <c r="S49" s="121"/>
      <c r="T49" s="121"/>
      <c r="U49" s="121"/>
    </row>
    <row r="50" spans="1:22" ht="15" customHeight="1">
      <c r="B50" s="562" t="s">
        <v>593</v>
      </c>
      <c r="C50" s="563"/>
      <c r="D50" s="551" t="s">
        <v>281</v>
      </c>
      <c r="E50" s="324" t="s">
        <v>595</v>
      </c>
      <c r="F50" s="324" t="s">
        <v>474</v>
      </c>
      <c r="G50" s="324" t="s">
        <v>596</v>
      </c>
      <c r="I50" s="187"/>
      <c r="J50" s="187">
        <v>95.45</v>
      </c>
      <c r="M50" s="121"/>
      <c r="N50" s="121"/>
      <c r="O50" s="233" t="s">
        <v>179</v>
      </c>
      <c r="P50" s="233" t="s">
        <v>180</v>
      </c>
      <c r="Q50" s="121"/>
      <c r="S50" s="121"/>
      <c r="T50" s="121"/>
      <c r="U50" s="121"/>
    </row>
    <row r="51" spans="1:22" ht="15" customHeight="1">
      <c r="B51" s="323" t="s">
        <v>486</v>
      </c>
      <c r="C51" s="326" t="s">
        <v>594</v>
      </c>
      <c r="D51" s="553"/>
      <c r="E51" s="322" t="e">
        <f ca="1">Y42</f>
        <v>#N/A</v>
      </c>
      <c r="F51" s="322" t="e">
        <f ca="1">Z42</f>
        <v>#N/A</v>
      </c>
      <c r="G51" s="257" t="e">
        <f ca="1">F51/E51</f>
        <v>#N/A</v>
      </c>
      <c r="I51" s="171">
        <v>1</v>
      </c>
      <c r="J51" s="171">
        <v>13.97</v>
      </c>
      <c r="M51" s="121"/>
      <c r="N51" s="121"/>
      <c r="O51" s="196">
        <v>0</v>
      </c>
      <c r="P51" s="197" t="s">
        <v>188</v>
      </c>
      <c r="Q51" s="121"/>
      <c r="R51" s="124"/>
      <c r="S51" s="121"/>
      <c r="T51" s="121"/>
      <c r="U51" s="121"/>
    </row>
    <row r="52" spans="1:22" ht="15" customHeight="1">
      <c r="B52" s="171">
        <v>1</v>
      </c>
      <c r="C52" s="191">
        <f ca="1">IFERROR(LARGE(Y34:Y41,B52),0)</f>
        <v>0</v>
      </c>
      <c r="D52" s="324" t="s">
        <v>597</v>
      </c>
      <c r="E52" s="566" t="e">
        <f ca="1">SQRT(SUMSQ(C54:C59,Z34:Z41))</f>
        <v>#N/A</v>
      </c>
      <c r="F52" s="566"/>
      <c r="G52" s="567" t="e">
        <f ca="1">E52/SQRT(SUMSQ(E53,F53))</f>
        <v>#N/A</v>
      </c>
      <c r="H52" s="121"/>
      <c r="I52" s="171">
        <v>2</v>
      </c>
      <c r="J52" s="171">
        <v>4.53</v>
      </c>
      <c r="O52" s="196">
        <v>1</v>
      </c>
      <c r="P52" s="197" t="s">
        <v>265</v>
      </c>
      <c r="Q52" s="121"/>
      <c r="R52" s="121"/>
      <c r="S52" s="121"/>
      <c r="T52" s="121"/>
      <c r="U52" s="121"/>
      <c r="V52" s="124"/>
    </row>
    <row r="53" spans="1:22" ht="15" customHeight="1">
      <c r="B53" s="171">
        <v>2</v>
      </c>
      <c r="C53" s="191">
        <f ca="1">IFERROR(LARGE(Y34:Y41,B53),0)</f>
        <v>0</v>
      </c>
      <c r="D53" s="324" t="s">
        <v>598</v>
      </c>
      <c r="E53" s="322">
        <f ca="1">C52</f>
        <v>0</v>
      </c>
      <c r="F53" s="322">
        <f ca="1">C53</f>
        <v>0</v>
      </c>
      <c r="G53" s="568"/>
      <c r="H53" s="121"/>
      <c r="I53" s="171">
        <v>3</v>
      </c>
      <c r="J53" s="171">
        <v>3.31</v>
      </c>
      <c r="O53" s="196">
        <v>2</v>
      </c>
      <c r="P53" s="197" t="s">
        <v>197</v>
      </c>
      <c r="Q53" s="121"/>
      <c r="R53" s="121"/>
      <c r="S53" s="121"/>
      <c r="T53" s="121"/>
      <c r="U53" s="121"/>
      <c r="V53" s="124"/>
    </row>
    <row r="54" spans="1:22" ht="15" customHeight="1">
      <c r="B54" s="171">
        <v>3</v>
      </c>
      <c r="C54" s="191">
        <f ca="1">IFERROR(LARGE(Y34:Y41,B54),0)</f>
        <v>0</v>
      </c>
      <c r="D54" s="560" t="s">
        <v>599</v>
      </c>
      <c r="E54" s="170" t="s">
        <v>285</v>
      </c>
      <c r="F54" s="170" t="s">
        <v>600</v>
      </c>
      <c r="G54" s="170" t="s">
        <v>286</v>
      </c>
      <c r="H54" s="121"/>
      <c r="I54" s="171">
        <v>4</v>
      </c>
      <c r="J54" s="171">
        <v>2.87</v>
      </c>
      <c r="O54" s="196">
        <v>3</v>
      </c>
      <c r="P54" s="197" t="s">
        <v>273</v>
      </c>
      <c r="Q54" s="121"/>
      <c r="R54" s="121"/>
      <c r="S54" s="121"/>
      <c r="T54" s="121"/>
      <c r="U54" s="121"/>
      <c r="V54" s="124"/>
    </row>
    <row r="55" spans="1:22" ht="15" customHeight="1">
      <c r="B55" s="171">
        <v>4</v>
      </c>
      <c r="C55" s="191">
        <f ca="1">IFERROR(LARGE(Y34:Y41,B55),0)</f>
        <v>0</v>
      </c>
      <c r="D55" s="560"/>
      <c r="E55" s="171">
        <f ca="1">OFFSET(H33,MATCH(E53,Y34:Y41,0),0)/IF(OFFSET(I33,MATCH(E53,Y34:Y41,0),0)="",1,OFFSET(I33,MATCH(E53,Y34:Y41,0),0))</f>
        <v>9.9999999999999995E-7</v>
      </c>
      <c r="F55" s="171">
        <f ca="1">OFFSET(H33,MATCH(F53,Y34:Y41,0),0)/IF(OFFSET(I33,MATCH(F53,Y34:Y41,0),0)="",1,OFFSET(I33,MATCH(F53,Y34:Y41,0),0))</f>
        <v>9.9999999999999995E-7</v>
      </c>
      <c r="G55" s="322">
        <f ca="1">ABS(E55-F55)/(E55+F55)</f>
        <v>0</v>
      </c>
      <c r="H55" s="121"/>
      <c r="I55" s="171">
        <v>5</v>
      </c>
      <c r="J55" s="171">
        <v>2.65</v>
      </c>
      <c r="O55" s="196">
        <v>4</v>
      </c>
      <c r="P55" s="197" t="s">
        <v>274</v>
      </c>
      <c r="Q55" s="121"/>
      <c r="R55" s="121"/>
      <c r="S55" s="121"/>
      <c r="T55" s="121"/>
      <c r="U55" s="121"/>
      <c r="V55" s="124"/>
    </row>
    <row r="56" spans="1:22" ht="15" customHeight="1">
      <c r="B56" s="171">
        <v>5</v>
      </c>
      <c r="C56" s="191">
        <f ca="1">IFERROR(LARGE(Y34:Y41,B56),0)</f>
        <v>0</v>
      </c>
      <c r="D56" s="324" t="s">
        <v>175</v>
      </c>
      <c r="E56" s="160" t="e">
        <f ca="1">IF(AND(G51&lt;0.3,G52&lt;0.3),"사다리꼴","정규")</f>
        <v>#N/A</v>
      </c>
      <c r="H56" s="121"/>
      <c r="I56" s="171">
        <v>6</v>
      </c>
      <c r="J56" s="171">
        <v>2.52</v>
      </c>
      <c r="O56" s="196">
        <v>5</v>
      </c>
      <c r="P56" s="197" t="s">
        <v>208</v>
      </c>
      <c r="Q56" s="121"/>
      <c r="R56" s="121"/>
      <c r="S56" s="121"/>
      <c r="T56" s="121"/>
      <c r="U56" s="121"/>
      <c r="V56" s="124"/>
    </row>
    <row r="57" spans="1:22" ht="15" customHeight="1">
      <c r="B57" s="171">
        <v>6</v>
      </c>
      <c r="C57" s="191">
        <f ca="1">IFERROR(LARGE(Y34:Y41,B57),0)</f>
        <v>0</v>
      </c>
      <c r="D57" s="324" t="s">
        <v>214</v>
      </c>
      <c r="E57" s="171" t="e">
        <f ca="1">IF(E56="정규",IF(OR(V42="∞",V42&gt;=10),2,OFFSET(J50,MATCH(V42,I51:I60,0),0)),ROUND((1-SQRT((1-0.95)*(1-G55^2)))/SQRT((1+G55^2)/6),2))</f>
        <v>#N/A</v>
      </c>
      <c r="H57" s="121"/>
      <c r="I57" s="171">
        <v>7</v>
      </c>
      <c r="J57" s="171">
        <v>2.4300000000000002</v>
      </c>
      <c r="O57" s="196">
        <v>6</v>
      </c>
      <c r="P57" s="197" t="s">
        <v>275</v>
      </c>
      <c r="Q57" s="121"/>
      <c r="R57" s="121"/>
      <c r="S57" s="121"/>
      <c r="T57" s="121"/>
      <c r="U57" s="121"/>
      <c r="V57" s="124"/>
    </row>
    <row r="58" spans="1:22" ht="15" customHeight="1">
      <c r="B58" s="171">
        <v>7</v>
      </c>
      <c r="C58" s="191">
        <f ca="1">IFERROR(LARGE(Y34:Y41,B58),0)</f>
        <v>0</v>
      </c>
      <c r="D58" s="122"/>
      <c r="F58" s="121"/>
      <c r="G58" s="121"/>
      <c r="H58" s="121"/>
      <c r="I58" s="171">
        <v>8</v>
      </c>
      <c r="J58" s="171">
        <v>2.37</v>
      </c>
      <c r="O58" s="196">
        <v>7</v>
      </c>
      <c r="P58" s="197" t="s">
        <v>276</v>
      </c>
      <c r="Q58" s="121"/>
      <c r="R58" s="121"/>
      <c r="S58" s="121"/>
      <c r="T58" s="121"/>
      <c r="U58" s="121"/>
      <c r="V58" s="124"/>
    </row>
    <row r="59" spans="1:22" ht="15" customHeight="1">
      <c r="B59" s="171">
        <v>8</v>
      </c>
      <c r="C59" s="191">
        <f ca="1">IFERROR(LARGE(Y34:Y41,B59),0)</f>
        <v>0</v>
      </c>
      <c r="D59" s="122"/>
      <c r="I59" s="171">
        <v>9</v>
      </c>
      <c r="J59" s="171">
        <v>2.3199999999999998</v>
      </c>
      <c r="O59" s="196">
        <v>8</v>
      </c>
      <c r="P59" s="197" t="s">
        <v>278</v>
      </c>
      <c r="Q59" s="121"/>
      <c r="R59" s="121"/>
      <c r="S59" s="121"/>
      <c r="T59" s="121"/>
      <c r="U59" s="121"/>
      <c r="V59" s="124"/>
    </row>
    <row r="60" spans="1:22" ht="15" customHeight="1">
      <c r="B60" s="122"/>
      <c r="C60" s="122"/>
      <c r="D60" s="122"/>
      <c r="I60" s="171" t="s">
        <v>54</v>
      </c>
      <c r="J60" s="171">
        <v>2</v>
      </c>
      <c r="O60" s="196">
        <v>9</v>
      </c>
      <c r="P60" s="197" t="s">
        <v>279</v>
      </c>
      <c r="Q60" s="121"/>
      <c r="R60" s="121"/>
      <c r="S60" s="121"/>
      <c r="T60" s="121"/>
      <c r="U60" s="121"/>
      <c r="V60" s="124"/>
    </row>
    <row r="61" spans="1:22" ht="15" customHeight="1">
      <c r="B61" s="122"/>
      <c r="C61" s="122"/>
      <c r="D61" s="122"/>
      <c r="Q61" s="121"/>
      <c r="R61" s="121"/>
      <c r="S61" s="121"/>
      <c r="T61" s="121"/>
      <c r="U61" s="121"/>
      <c r="V61" s="124"/>
    </row>
    <row r="62" spans="1:22" ht="18" customHeight="1">
      <c r="A62" s="272" t="s">
        <v>536</v>
      </c>
    </row>
    <row r="63" spans="1:22" ht="15" customHeight="1">
      <c r="A63" s="118" t="s">
        <v>219</v>
      </c>
      <c r="B63" s="119"/>
      <c r="C63" s="119"/>
      <c r="D63" s="119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</row>
    <row r="64" spans="1:22" ht="24">
      <c r="B64" s="284" t="s">
        <v>161</v>
      </c>
      <c r="C64" s="284" t="s">
        <v>220</v>
      </c>
      <c r="D64" s="284" t="s">
        <v>221</v>
      </c>
      <c r="E64" s="284" t="s">
        <v>108</v>
      </c>
      <c r="F64" s="284" t="s">
        <v>62</v>
      </c>
      <c r="G64" s="284" t="s">
        <v>76</v>
      </c>
      <c r="H64" s="284" t="s">
        <v>60</v>
      </c>
      <c r="I64" s="284" t="s">
        <v>225</v>
      </c>
      <c r="J64" s="284" t="s">
        <v>226</v>
      </c>
      <c r="K64" s="284" t="s">
        <v>227</v>
      </c>
      <c r="L64" s="284" t="s">
        <v>473</v>
      </c>
      <c r="M64" s="284" t="s">
        <v>228</v>
      </c>
      <c r="N64" s="284" t="s">
        <v>163</v>
      </c>
      <c r="O64" s="284" t="s">
        <v>229</v>
      </c>
      <c r="P64" s="284" t="s">
        <v>164</v>
      </c>
      <c r="Q64" s="284" t="s">
        <v>230</v>
      </c>
      <c r="R64" s="120"/>
      <c r="S64" s="120"/>
      <c r="T64" s="121"/>
      <c r="U64" s="121"/>
    </row>
    <row r="65" spans="1:32" ht="15" customHeight="1">
      <c r="B65" s="171" t="e">
        <f>C65</f>
        <v>#DIV/0!</v>
      </c>
      <c r="C65" s="171" t="e">
        <f>AVERAGE(기본정보!B12:B13)</f>
        <v>#DIV/0!</v>
      </c>
      <c r="D65" s="171">
        <f>MIN(C71:C90)</f>
        <v>0</v>
      </c>
      <c r="E65" s="171">
        <f>MAX(C71:C90)</f>
        <v>0</v>
      </c>
      <c r="F65" s="171">
        <f>Length_5_R2!G4</f>
        <v>0</v>
      </c>
      <c r="G65" s="171">
        <f>Length_5_R2!H4</f>
        <v>0</v>
      </c>
      <c r="H65" s="171">
        <f>Length_5_R2!I4</f>
        <v>0</v>
      </c>
      <c r="I65" s="171">
        <f>IF(H65="inch",25.4,1)</f>
        <v>1</v>
      </c>
      <c r="J65" s="171">
        <f>MIN(T71:T90)</f>
        <v>0</v>
      </c>
      <c r="K65" s="171">
        <f>MAX(T71:T90)</f>
        <v>0</v>
      </c>
      <c r="L65" s="171" t="str">
        <f>TEXT(K65,IF(K65&gt;=1000,"# ###","G/표준"))</f>
        <v>0</v>
      </c>
      <c r="M65" s="171">
        <f>F65*I65</f>
        <v>0</v>
      </c>
      <c r="N65" s="171">
        <f>G65*I65</f>
        <v>0</v>
      </c>
      <c r="O65" s="171" t="e">
        <f ca="1">OFFSET(Length_5_R2!C3,MATCH($K65,$T71:$T90,0),0)</f>
        <v>#N/A</v>
      </c>
      <c r="P65" s="171" t="e">
        <f ca="1">OFFSET(Length_5_R2!D3,MATCH($K65,$T71:$T90,0),0)</f>
        <v>#N/A</v>
      </c>
      <c r="Q65" s="171" t="e">
        <f ca="1">OFFSET(Length_5_R2!E3,MATCH($K65,$T71:$T90,0),0)</f>
        <v>#N/A</v>
      </c>
      <c r="T65" s="121"/>
      <c r="U65" s="121"/>
    </row>
    <row r="66" spans="1:32" ht="15" customHeight="1">
      <c r="B66" s="119"/>
      <c r="C66" s="119"/>
      <c r="D66" s="119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</row>
    <row r="67" spans="1:32" ht="15" customHeight="1">
      <c r="A67" s="118" t="s">
        <v>231</v>
      </c>
      <c r="C67" s="11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1"/>
      <c r="Y67" s="131" t="s">
        <v>232</v>
      </c>
    </row>
    <row r="68" spans="1:32" ht="15" customHeight="1">
      <c r="B68" s="551" t="s">
        <v>233</v>
      </c>
      <c r="C68" s="554" t="s">
        <v>92</v>
      </c>
      <c r="D68" s="554" t="s">
        <v>60</v>
      </c>
      <c r="E68" s="557" t="s">
        <v>525</v>
      </c>
      <c r="F68" s="557"/>
      <c r="G68" s="557"/>
      <c r="H68" s="557"/>
      <c r="I68" s="557"/>
      <c r="J68" s="557"/>
      <c r="K68" s="558" t="s">
        <v>235</v>
      </c>
      <c r="L68" s="284" t="s">
        <v>236</v>
      </c>
      <c r="M68" s="284" t="s">
        <v>190</v>
      </c>
      <c r="N68" s="549" t="s">
        <v>149</v>
      </c>
      <c r="O68" s="561"/>
      <c r="P68" s="550"/>
      <c r="Q68" s="284" t="s">
        <v>238</v>
      </c>
      <c r="R68" s="179" t="s">
        <v>202</v>
      </c>
      <c r="S68" s="284" t="s">
        <v>240</v>
      </c>
      <c r="T68" s="284" t="s">
        <v>92</v>
      </c>
      <c r="U68" s="284" t="s">
        <v>241</v>
      </c>
      <c r="V68" s="549" t="s">
        <v>242</v>
      </c>
      <c r="W68" s="550"/>
      <c r="X68" s="124"/>
      <c r="Y68" s="570" t="s">
        <v>88</v>
      </c>
      <c r="Z68" s="571"/>
      <c r="AA68" s="572" t="s">
        <v>244</v>
      </c>
      <c r="AB68" s="573"/>
      <c r="AC68" s="573"/>
      <c r="AD68" s="573"/>
      <c r="AE68" s="573"/>
      <c r="AF68" s="573"/>
    </row>
    <row r="69" spans="1:32" ht="15" customHeight="1">
      <c r="B69" s="552"/>
      <c r="C69" s="555"/>
      <c r="D69" s="555"/>
      <c r="E69" s="180" t="s">
        <v>245</v>
      </c>
      <c r="F69" s="286" t="s">
        <v>246</v>
      </c>
      <c r="G69" s="180" t="s">
        <v>109</v>
      </c>
      <c r="H69" s="286" t="s">
        <v>110</v>
      </c>
      <c r="I69" s="180" t="s">
        <v>111</v>
      </c>
      <c r="J69" s="286" t="s">
        <v>247</v>
      </c>
      <c r="K69" s="559"/>
      <c r="L69" s="284" t="s">
        <v>248</v>
      </c>
      <c r="M69" s="284" t="s">
        <v>249</v>
      </c>
      <c r="N69" s="284" t="s">
        <v>250</v>
      </c>
      <c r="O69" s="284" t="s">
        <v>251</v>
      </c>
      <c r="P69" s="284" t="s">
        <v>252</v>
      </c>
      <c r="Q69" s="284" t="s">
        <v>253</v>
      </c>
      <c r="R69" s="284" t="s">
        <v>254</v>
      </c>
      <c r="S69" s="284" t="s">
        <v>255</v>
      </c>
      <c r="T69" s="284" t="s">
        <v>256</v>
      </c>
      <c r="U69" s="284" t="s">
        <v>257</v>
      </c>
      <c r="V69" s="284" t="s">
        <v>241</v>
      </c>
      <c r="W69" s="284" t="s">
        <v>89</v>
      </c>
      <c r="X69" s="124"/>
      <c r="Y69" s="212" t="s">
        <v>259</v>
      </c>
      <c r="Z69" s="212" t="s">
        <v>260</v>
      </c>
      <c r="AA69" s="284" t="s">
        <v>119</v>
      </c>
      <c r="AB69" s="283" t="s">
        <v>241</v>
      </c>
      <c r="AC69" s="284" t="s">
        <v>89</v>
      </c>
      <c r="AD69" s="211" t="s">
        <v>88</v>
      </c>
      <c r="AE69" s="211" t="s">
        <v>262</v>
      </c>
      <c r="AF69" s="211" t="s">
        <v>213</v>
      </c>
    </row>
    <row r="70" spans="1:32" ht="15" customHeight="1">
      <c r="B70" s="553"/>
      <c r="C70" s="556"/>
      <c r="D70" s="556"/>
      <c r="E70" s="286">
        <f>H65</f>
        <v>0</v>
      </c>
      <c r="F70" s="286">
        <f>E70</f>
        <v>0</v>
      </c>
      <c r="G70" s="286">
        <f>F70</f>
        <v>0</v>
      </c>
      <c r="H70" s="286">
        <f>G70</f>
        <v>0</v>
      </c>
      <c r="I70" s="286">
        <f>H70</f>
        <v>0</v>
      </c>
      <c r="J70" s="286">
        <f>I70</f>
        <v>0</v>
      </c>
      <c r="K70" s="284" t="s">
        <v>184</v>
      </c>
      <c r="L70" s="284" t="s">
        <v>184</v>
      </c>
      <c r="M70" s="284" t="s">
        <v>184</v>
      </c>
      <c r="N70" s="213" t="s">
        <v>194</v>
      </c>
      <c r="O70" s="213" t="s">
        <v>194</v>
      </c>
      <c r="P70" s="213" t="s">
        <v>194</v>
      </c>
      <c r="Q70" s="213" t="s">
        <v>199</v>
      </c>
      <c r="R70" s="213" t="s">
        <v>194</v>
      </c>
      <c r="S70" s="213" t="s">
        <v>199</v>
      </c>
      <c r="T70" s="284" t="s">
        <v>184</v>
      </c>
      <c r="U70" s="284" t="s">
        <v>184</v>
      </c>
      <c r="V70" s="284" t="s">
        <v>184</v>
      </c>
      <c r="W70" s="284" t="s">
        <v>184</v>
      </c>
      <c r="X70" s="124"/>
      <c r="Y70" s="212" t="s">
        <v>184</v>
      </c>
      <c r="Z70" s="212" t="s">
        <v>184</v>
      </c>
      <c r="AA70" s="284" t="s">
        <v>184</v>
      </c>
      <c r="AB70" s="284" t="s">
        <v>184</v>
      </c>
      <c r="AC70" s="284" t="s">
        <v>184</v>
      </c>
      <c r="AD70" s="211" t="s">
        <v>184</v>
      </c>
      <c r="AE70" s="240">
        <f>IF(TYPE(MATCH("FAIL",AE71:AE90,0))=16,0,1)</f>
        <v>0</v>
      </c>
      <c r="AF70" s="211" t="s">
        <v>184</v>
      </c>
    </row>
    <row r="71" spans="1:32" ht="15" customHeight="1">
      <c r="B71" s="177" t="b">
        <f>IF(TRIM(Length_5_R2!A4)="",FALSE,TRUE)</f>
        <v>0</v>
      </c>
      <c r="C71" s="171" t="str">
        <f>IF($B71=FALSE,"",VALUE(Length_5_R2!A4))</f>
        <v/>
      </c>
      <c r="D71" s="171" t="str">
        <f>IF($B71=FALSE,"",Length_5_R2!B4)</f>
        <v/>
      </c>
      <c r="E71" s="177" t="str">
        <f>IF(B71=FALSE,"",Length_5_R2!M4)</f>
        <v/>
      </c>
      <c r="F71" s="177" t="str">
        <f>IF(B71=FALSE,"",Length_5_R2!N4)</f>
        <v/>
      </c>
      <c r="G71" s="177" t="str">
        <f>IF(B71=FALSE,"",Length_5_R2!O4)</f>
        <v/>
      </c>
      <c r="H71" s="177" t="str">
        <f>IF(B71=FALSE,"",Length_5_R2!P4)</f>
        <v/>
      </c>
      <c r="I71" s="177" t="str">
        <f>IF(B71=FALSE,"",Length_5_R2!Q4)</f>
        <v/>
      </c>
      <c r="J71" s="171" t="str">
        <f t="shared" ref="J71:J90" si="25">IF(B71=FALSE,"",AVERAGE(E71:I71))</f>
        <v/>
      </c>
      <c r="K71" s="181" t="str">
        <f t="shared" ref="K71:K90" si="26">IF(B71=FALSE,"",STDEV(E71:I71)*I$65)</f>
        <v/>
      </c>
      <c r="L71" s="182" t="str">
        <f>IF(B71=FALSE,"",Length_5_R2!D27)</f>
        <v/>
      </c>
      <c r="M71" s="183" t="str">
        <f>IF(B71=FALSE,"",Calcu!J71*I$65)</f>
        <v/>
      </c>
      <c r="N71" s="184" t="str">
        <f t="shared" ref="N71:N90" si="27">IF(B71=FALSE,"",8*10^-6)</f>
        <v/>
      </c>
      <c r="O71" s="184" t="str">
        <f>IF(B71=FALSE,"",Length_5_R2!K27)</f>
        <v/>
      </c>
      <c r="P71" s="184" t="str">
        <f t="shared" ref="P71:P90" si="28">IF(B71=FALSE,"",AVERAGE(N71:O71))</f>
        <v/>
      </c>
      <c r="Q71" s="171" t="str">
        <f t="shared" ref="Q71:Q90" si="29">IF(B71=FALSE,"",B$65-C$65)</f>
        <v/>
      </c>
      <c r="R71" s="171" t="str">
        <f t="shared" ref="R71:R90" si="30">IF(B71=FALSE,"",N71-O71)</f>
        <v/>
      </c>
      <c r="S71" s="256" t="str">
        <f t="shared" ref="S71:S90" si="31">IF(B71=FALSE,"",AVERAGE(B$65:C$65)-20)</f>
        <v/>
      </c>
      <c r="T71" s="185" t="str">
        <f t="shared" ref="T71:T90" si="32">IF(B71=FALSE,"",C71*I$65)</f>
        <v/>
      </c>
      <c r="U71" s="186" t="str">
        <f t="shared" ref="U71:U90" si="33">IF(B71=FALSE,"",L71-M71-(P71*Q71+R71*S71)*T71)</f>
        <v/>
      </c>
      <c r="V71" s="171" t="str">
        <f>IF($B71=FALSE,"",ROUND(U71,$L$107))</f>
        <v/>
      </c>
      <c r="W71" s="171" t="str">
        <f>IF($B71=FALSE,"",ROUND(T71+V71,$L$107))</f>
        <v/>
      </c>
      <c r="X71" s="124"/>
      <c r="Y71" s="171">
        <f>IF(Length_5_R2!J4&lt;0,ROUNDUP(Length_5_R2!J4*I$65,$L$107),ROUNDDOWN(Length_5_R2!J4*I$65,$L$107))</f>
        <v>0</v>
      </c>
      <c r="Z71" s="171">
        <f>IF(Length_5_R2!K4&lt;0,ROUNDDOWN(Length_5_R2!K4*I$65,$L$107),ROUNDUP(Length_5_R2!K4*I$65,$L$107))</f>
        <v>0</v>
      </c>
      <c r="AA71" s="171" t="e">
        <f t="shared" ref="AA71:AA90" ca="1" si="34">TEXT(T71,IF(T71&gt;=1000,"# ##","")&amp;$P$107)</f>
        <v>#N/A</v>
      </c>
      <c r="AB71" s="174" t="e">
        <f t="shared" ref="AB71:AB90" ca="1" si="35">TEXT(V71,$P$107)</f>
        <v>#N/A</v>
      </c>
      <c r="AC71" s="171" t="e">
        <f t="shared" ref="AC71:AC90" ca="1" si="36">TEXT(W71,IF(W71&gt;=1000,"# ##","")&amp;$P$107)</f>
        <v>#N/A</v>
      </c>
      <c r="AD71" s="171" t="e">
        <f t="shared" ref="AD71:AD90" ca="1" si="37">"± "&amp;TEXT(Z71-T71,P$107)</f>
        <v>#VALUE!</v>
      </c>
      <c r="AE71" s="332" t="str">
        <f>IF($B71=FALSE,"",IF(AND(Y71&lt;=W71,W71&lt;=Z71),"PASS","FAIL"))</f>
        <v/>
      </c>
      <c r="AF71" s="171" t="e">
        <f ca="1">S$107</f>
        <v>#N/A</v>
      </c>
    </row>
    <row r="72" spans="1:32" ht="15" customHeight="1">
      <c r="B72" s="177" t="b">
        <f>IF(TRIM(Length_5_R2!A5)="",FALSE,TRUE)</f>
        <v>0</v>
      </c>
      <c r="C72" s="171" t="str">
        <f>IF($B72=FALSE,"",VALUE(Length_5_R2!A5))</f>
        <v/>
      </c>
      <c r="D72" s="171" t="str">
        <f>IF($B72=FALSE,"",Length_5_R2!B5)</f>
        <v/>
      </c>
      <c r="E72" s="177" t="str">
        <f>IF(B72=FALSE,"",Length_5_R2!M5)</f>
        <v/>
      </c>
      <c r="F72" s="177" t="str">
        <f>IF(B72=FALSE,"",Length_5_R2!N5)</f>
        <v/>
      </c>
      <c r="G72" s="177" t="str">
        <f>IF(B72=FALSE,"",Length_5_R2!O5)</f>
        <v/>
      </c>
      <c r="H72" s="177" t="str">
        <f>IF(B72=FALSE,"",Length_5_R2!P5)</f>
        <v/>
      </c>
      <c r="I72" s="177" t="str">
        <f>IF(B72=FALSE,"",Length_5_R2!Q5)</f>
        <v/>
      </c>
      <c r="J72" s="171" t="str">
        <f t="shared" si="25"/>
        <v/>
      </c>
      <c r="K72" s="181" t="str">
        <f t="shared" si="26"/>
        <v/>
      </c>
      <c r="L72" s="182" t="str">
        <f>IF(B72=FALSE,"",Length_5_R2!D28)</f>
        <v/>
      </c>
      <c r="M72" s="183" t="str">
        <f>IF(B72=FALSE,"",Calcu!J72*I$65)</f>
        <v/>
      </c>
      <c r="N72" s="184" t="str">
        <f t="shared" si="27"/>
        <v/>
      </c>
      <c r="O72" s="184" t="str">
        <f>IF(B72=FALSE,"",Length_5_R2!K28)</f>
        <v/>
      </c>
      <c r="P72" s="184" t="str">
        <f t="shared" si="28"/>
        <v/>
      </c>
      <c r="Q72" s="171" t="str">
        <f t="shared" si="29"/>
        <v/>
      </c>
      <c r="R72" s="171" t="str">
        <f t="shared" si="30"/>
        <v/>
      </c>
      <c r="S72" s="256" t="str">
        <f t="shared" si="31"/>
        <v/>
      </c>
      <c r="T72" s="185" t="str">
        <f t="shared" si="32"/>
        <v/>
      </c>
      <c r="U72" s="186" t="str">
        <f t="shared" si="33"/>
        <v/>
      </c>
      <c r="V72" s="332" t="str">
        <f t="shared" ref="V72:V90" si="38">IF($B72=FALSE,"",ROUND(U72,$L$107))</f>
        <v/>
      </c>
      <c r="W72" s="332" t="str">
        <f t="shared" ref="W72:W90" si="39">IF($B72=FALSE,"",ROUND(T72+V72,$L$107))</f>
        <v/>
      </c>
      <c r="X72" s="124"/>
      <c r="Y72" s="171">
        <f>IF(Length_5_R2!J5&lt;0,ROUNDUP(Length_5_R2!J5*I$65,$L$107),ROUNDDOWN(Length_5_R2!J5*I$65,$L$107))</f>
        <v>0</v>
      </c>
      <c r="Z72" s="171">
        <f>IF(Length_5_R2!K5&lt;0,ROUNDDOWN(Length_5_R2!K5*I$65,$L$107),ROUNDUP(Length_5_R2!K5*I$65,$L$107))</f>
        <v>0</v>
      </c>
      <c r="AA72" s="171" t="e">
        <f t="shared" ca="1" si="34"/>
        <v>#N/A</v>
      </c>
      <c r="AB72" s="174" t="e">
        <f t="shared" ca="1" si="35"/>
        <v>#N/A</v>
      </c>
      <c r="AC72" s="171" t="e">
        <f t="shared" ca="1" si="36"/>
        <v>#N/A</v>
      </c>
      <c r="AD72" s="171" t="e">
        <f t="shared" ca="1" si="37"/>
        <v>#VALUE!</v>
      </c>
      <c r="AE72" s="332" t="str">
        <f t="shared" ref="AE72:AE90" si="40">IF($B72=FALSE,"",IF(AND(Y72&lt;=W72,W72&lt;=Z72),"PASS","FAIL"))</f>
        <v/>
      </c>
      <c r="AF72" s="332" t="e">
        <f t="shared" ref="AF72:AF90" ca="1" si="41">S$107</f>
        <v>#N/A</v>
      </c>
    </row>
    <row r="73" spans="1:32" ht="15" customHeight="1">
      <c r="B73" s="177" t="b">
        <f>IF(TRIM(Length_5_R2!A6)="",FALSE,TRUE)</f>
        <v>0</v>
      </c>
      <c r="C73" s="171" t="str">
        <f>IF($B73=FALSE,"",VALUE(Length_5_R2!A6))</f>
        <v/>
      </c>
      <c r="D73" s="171" t="str">
        <f>IF($B73=FALSE,"",Length_5_R2!B6)</f>
        <v/>
      </c>
      <c r="E73" s="177" t="str">
        <f>IF(B73=FALSE,"",Length_5_R2!M6)</f>
        <v/>
      </c>
      <c r="F73" s="177" t="str">
        <f>IF(B73=FALSE,"",Length_5_R2!N6)</f>
        <v/>
      </c>
      <c r="G73" s="177" t="str">
        <f>IF(B73=FALSE,"",Length_5_R2!O6)</f>
        <v/>
      </c>
      <c r="H73" s="177" t="str">
        <f>IF(B73=FALSE,"",Length_5_R2!P6)</f>
        <v/>
      </c>
      <c r="I73" s="177" t="str">
        <f>IF(B73=FALSE,"",Length_5_R2!Q6)</f>
        <v/>
      </c>
      <c r="J73" s="171" t="str">
        <f t="shared" si="25"/>
        <v/>
      </c>
      <c r="K73" s="181" t="str">
        <f t="shared" si="26"/>
        <v/>
      </c>
      <c r="L73" s="182" t="str">
        <f>IF(B73=FALSE,"",Length_5_R2!D29)</f>
        <v/>
      </c>
      <c r="M73" s="183" t="str">
        <f>IF(B73=FALSE,"",Calcu!J73*I$65)</f>
        <v/>
      </c>
      <c r="N73" s="184" t="str">
        <f t="shared" si="27"/>
        <v/>
      </c>
      <c r="O73" s="184" t="str">
        <f>IF(B73=FALSE,"",Length_5_R2!K29)</f>
        <v/>
      </c>
      <c r="P73" s="184" t="str">
        <f t="shared" si="28"/>
        <v/>
      </c>
      <c r="Q73" s="171" t="str">
        <f t="shared" si="29"/>
        <v/>
      </c>
      <c r="R73" s="171" t="str">
        <f t="shared" si="30"/>
        <v/>
      </c>
      <c r="S73" s="256" t="str">
        <f t="shared" si="31"/>
        <v/>
      </c>
      <c r="T73" s="185" t="str">
        <f t="shared" si="32"/>
        <v/>
      </c>
      <c r="U73" s="186" t="str">
        <f t="shared" si="33"/>
        <v/>
      </c>
      <c r="V73" s="332" t="str">
        <f t="shared" si="38"/>
        <v/>
      </c>
      <c r="W73" s="332" t="str">
        <f t="shared" si="39"/>
        <v/>
      </c>
      <c r="X73" s="124"/>
      <c r="Y73" s="171">
        <f>IF(Length_5_R2!J6&lt;0,ROUNDUP(Length_5_R2!J6*I$65,$L$107),ROUNDDOWN(Length_5_R2!J6*I$65,$L$107))</f>
        <v>0</v>
      </c>
      <c r="Z73" s="171">
        <f>IF(Length_5_R2!K6&lt;0,ROUNDDOWN(Length_5_R2!K6*I$65,$L$107),ROUNDUP(Length_5_R2!K6*I$65,$L$107))</f>
        <v>0</v>
      </c>
      <c r="AA73" s="171" t="e">
        <f t="shared" ca="1" si="34"/>
        <v>#N/A</v>
      </c>
      <c r="AB73" s="174" t="e">
        <f t="shared" ca="1" si="35"/>
        <v>#N/A</v>
      </c>
      <c r="AC73" s="171" t="e">
        <f t="shared" ca="1" si="36"/>
        <v>#N/A</v>
      </c>
      <c r="AD73" s="171" t="e">
        <f t="shared" ca="1" si="37"/>
        <v>#VALUE!</v>
      </c>
      <c r="AE73" s="332" t="str">
        <f t="shared" si="40"/>
        <v/>
      </c>
      <c r="AF73" s="332" t="e">
        <f t="shared" ca="1" si="41"/>
        <v>#N/A</v>
      </c>
    </row>
    <row r="74" spans="1:32" ht="15" customHeight="1">
      <c r="B74" s="177" t="b">
        <f>IF(TRIM(Length_5_R2!A7)="",FALSE,TRUE)</f>
        <v>0</v>
      </c>
      <c r="C74" s="171" t="str">
        <f>IF($B74=FALSE,"",VALUE(Length_5_R2!A7))</f>
        <v/>
      </c>
      <c r="D74" s="171" t="str">
        <f>IF($B74=FALSE,"",Length_5_R2!B7)</f>
        <v/>
      </c>
      <c r="E74" s="177" t="str">
        <f>IF(B74=FALSE,"",Length_5_R2!M7)</f>
        <v/>
      </c>
      <c r="F74" s="177" t="str">
        <f>IF(B74=FALSE,"",Length_5_R2!N7)</f>
        <v/>
      </c>
      <c r="G74" s="177" t="str">
        <f>IF(B74=FALSE,"",Length_5_R2!O7)</f>
        <v/>
      </c>
      <c r="H74" s="177" t="str">
        <f>IF(B74=FALSE,"",Length_5_R2!P7)</f>
        <v/>
      </c>
      <c r="I74" s="177" t="str">
        <f>IF(B74=FALSE,"",Length_5_R2!Q7)</f>
        <v/>
      </c>
      <c r="J74" s="171" t="str">
        <f t="shared" si="25"/>
        <v/>
      </c>
      <c r="K74" s="181" t="str">
        <f t="shared" si="26"/>
        <v/>
      </c>
      <c r="L74" s="182" t="str">
        <f>IF(B74=FALSE,"",Length_5_R2!D30)</f>
        <v/>
      </c>
      <c r="M74" s="183" t="str">
        <f>IF(B74=FALSE,"",Calcu!J74*I$65)</f>
        <v/>
      </c>
      <c r="N74" s="184" t="str">
        <f t="shared" si="27"/>
        <v/>
      </c>
      <c r="O74" s="184" t="str">
        <f>IF(B74=FALSE,"",Length_5_R2!K30)</f>
        <v/>
      </c>
      <c r="P74" s="184" t="str">
        <f t="shared" si="28"/>
        <v/>
      </c>
      <c r="Q74" s="171" t="str">
        <f t="shared" si="29"/>
        <v/>
      </c>
      <c r="R74" s="171" t="str">
        <f t="shared" si="30"/>
        <v/>
      </c>
      <c r="S74" s="256" t="str">
        <f t="shared" si="31"/>
        <v/>
      </c>
      <c r="T74" s="185" t="str">
        <f t="shared" si="32"/>
        <v/>
      </c>
      <c r="U74" s="186" t="str">
        <f t="shared" si="33"/>
        <v/>
      </c>
      <c r="V74" s="332" t="str">
        <f t="shared" si="38"/>
        <v/>
      </c>
      <c r="W74" s="332" t="str">
        <f t="shared" si="39"/>
        <v/>
      </c>
      <c r="X74" s="124"/>
      <c r="Y74" s="171">
        <f>IF(Length_5_R2!J7&lt;0,ROUNDUP(Length_5_R2!J7*I$65,$L$107),ROUNDDOWN(Length_5_R2!J7*I$65,$L$107))</f>
        <v>0</v>
      </c>
      <c r="Z74" s="171">
        <f>IF(Length_5_R2!K7&lt;0,ROUNDDOWN(Length_5_R2!K7*I$65,$L$107),ROUNDUP(Length_5_R2!K7*I$65,$L$107))</f>
        <v>0</v>
      </c>
      <c r="AA74" s="171" t="e">
        <f t="shared" ca="1" si="34"/>
        <v>#N/A</v>
      </c>
      <c r="AB74" s="174" t="e">
        <f t="shared" ca="1" si="35"/>
        <v>#N/A</v>
      </c>
      <c r="AC74" s="171" t="e">
        <f t="shared" ca="1" si="36"/>
        <v>#N/A</v>
      </c>
      <c r="AD74" s="171" t="e">
        <f t="shared" ca="1" si="37"/>
        <v>#VALUE!</v>
      </c>
      <c r="AE74" s="332" t="str">
        <f t="shared" si="40"/>
        <v/>
      </c>
      <c r="AF74" s="332" t="e">
        <f t="shared" ca="1" si="41"/>
        <v>#N/A</v>
      </c>
    </row>
    <row r="75" spans="1:32" ht="15" customHeight="1">
      <c r="B75" s="177" t="b">
        <f>IF(TRIM(Length_5_R2!A8)="",FALSE,TRUE)</f>
        <v>0</v>
      </c>
      <c r="C75" s="171" t="str">
        <f>IF($B75=FALSE,"",VALUE(Length_5_R2!A8))</f>
        <v/>
      </c>
      <c r="D75" s="171" t="str">
        <f>IF($B75=FALSE,"",Length_5_R2!B8)</f>
        <v/>
      </c>
      <c r="E75" s="177" t="str">
        <f>IF(B75=FALSE,"",Length_5_R2!M8)</f>
        <v/>
      </c>
      <c r="F75" s="177" t="str">
        <f>IF(B75=FALSE,"",Length_5_R2!N8)</f>
        <v/>
      </c>
      <c r="G75" s="177" t="str">
        <f>IF(B75=FALSE,"",Length_5_R2!O8)</f>
        <v/>
      </c>
      <c r="H75" s="177" t="str">
        <f>IF(B75=FALSE,"",Length_5_R2!P8)</f>
        <v/>
      </c>
      <c r="I75" s="177" t="str">
        <f>IF(B75=FALSE,"",Length_5_R2!Q8)</f>
        <v/>
      </c>
      <c r="J75" s="171" t="str">
        <f t="shared" si="25"/>
        <v/>
      </c>
      <c r="K75" s="181" t="str">
        <f t="shared" si="26"/>
        <v/>
      </c>
      <c r="L75" s="182" t="str">
        <f>IF(B75=FALSE,"",Length_5_R2!D31)</f>
        <v/>
      </c>
      <c r="M75" s="183" t="str">
        <f>IF(B75=FALSE,"",Calcu!J75*I$65)</f>
        <v/>
      </c>
      <c r="N75" s="184" t="str">
        <f t="shared" si="27"/>
        <v/>
      </c>
      <c r="O75" s="184" t="str">
        <f>IF(B75=FALSE,"",Length_5_R2!K31)</f>
        <v/>
      </c>
      <c r="P75" s="184" t="str">
        <f t="shared" si="28"/>
        <v/>
      </c>
      <c r="Q75" s="171" t="str">
        <f t="shared" si="29"/>
        <v/>
      </c>
      <c r="R75" s="171" t="str">
        <f t="shared" si="30"/>
        <v/>
      </c>
      <c r="S75" s="256" t="str">
        <f t="shared" si="31"/>
        <v/>
      </c>
      <c r="T75" s="185" t="str">
        <f t="shared" si="32"/>
        <v/>
      </c>
      <c r="U75" s="186" t="str">
        <f t="shared" si="33"/>
        <v/>
      </c>
      <c r="V75" s="332" t="str">
        <f t="shared" si="38"/>
        <v/>
      </c>
      <c r="W75" s="332" t="str">
        <f t="shared" si="39"/>
        <v/>
      </c>
      <c r="X75" s="124"/>
      <c r="Y75" s="171">
        <f>IF(Length_5_R2!J8&lt;0,ROUNDUP(Length_5_R2!J8*I$65,$L$107),ROUNDDOWN(Length_5_R2!J8*I$65,$L$107))</f>
        <v>0</v>
      </c>
      <c r="Z75" s="171">
        <f>IF(Length_5_R2!K8&lt;0,ROUNDDOWN(Length_5_R2!K8*I$65,$L$107),ROUNDUP(Length_5_R2!K8*I$65,$L$107))</f>
        <v>0</v>
      </c>
      <c r="AA75" s="171" t="e">
        <f t="shared" ca="1" si="34"/>
        <v>#N/A</v>
      </c>
      <c r="AB75" s="174" t="e">
        <f t="shared" ca="1" si="35"/>
        <v>#N/A</v>
      </c>
      <c r="AC75" s="171" t="e">
        <f t="shared" ca="1" si="36"/>
        <v>#N/A</v>
      </c>
      <c r="AD75" s="171" t="e">
        <f t="shared" ca="1" si="37"/>
        <v>#VALUE!</v>
      </c>
      <c r="AE75" s="332" t="str">
        <f t="shared" si="40"/>
        <v/>
      </c>
      <c r="AF75" s="332" t="e">
        <f t="shared" ca="1" si="41"/>
        <v>#N/A</v>
      </c>
    </row>
    <row r="76" spans="1:32" ht="15" customHeight="1">
      <c r="B76" s="177" t="b">
        <f>IF(TRIM(Length_5_R2!A9)="",FALSE,TRUE)</f>
        <v>0</v>
      </c>
      <c r="C76" s="171" t="str">
        <f>IF($B76=FALSE,"",VALUE(Length_5_R2!A9))</f>
        <v/>
      </c>
      <c r="D76" s="171" t="str">
        <f>IF($B76=FALSE,"",Length_5_R2!B9)</f>
        <v/>
      </c>
      <c r="E76" s="177" t="str">
        <f>IF(B76=FALSE,"",Length_5_R2!M9)</f>
        <v/>
      </c>
      <c r="F76" s="177" t="str">
        <f>IF(B76=FALSE,"",Length_5_R2!N9)</f>
        <v/>
      </c>
      <c r="G76" s="177" t="str">
        <f>IF(B76=FALSE,"",Length_5_R2!O9)</f>
        <v/>
      </c>
      <c r="H76" s="177" t="str">
        <f>IF(B76=FALSE,"",Length_5_R2!P9)</f>
        <v/>
      </c>
      <c r="I76" s="177" t="str">
        <f>IF(B76=FALSE,"",Length_5_R2!Q9)</f>
        <v/>
      </c>
      <c r="J76" s="171" t="str">
        <f t="shared" si="25"/>
        <v/>
      </c>
      <c r="K76" s="181" t="str">
        <f t="shared" si="26"/>
        <v/>
      </c>
      <c r="L76" s="182" t="str">
        <f>IF(B76=FALSE,"",Length_5_R2!D32)</f>
        <v/>
      </c>
      <c r="M76" s="183" t="str">
        <f>IF(B76=FALSE,"",Calcu!J76*I$65)</f>
        <v/>
      </c>
      <c r="N76" s="184" t="str">
        <f t="shared" si="27"/>
        <v/>
      </c>
      <c r="O76" s="184" t="str">
        <f>IF(B76=FALSE,"",Length_5_R2!K32)</f>
        <v/>
      </c>
      <c r="P76" s="184" t="str">
        <f t="shared" si="28"/>
        <v/>
      </c>
      <c r="Q76" s="171" t="str">
        <f t="shared" si="29"/>
        <v/>
      </c>
      <c r="R76" s="171" t="str">
        <f t="shared" si="30"/>
        <v/>
      </c>
      <c r="S76" s="256" t="str">
        <f t="shared" si="31"/>
        <v/>
      </c>
      <c r="T76" s="185" t="str">
        <f t="shared" si="32"/>
        <v/>
      </c>
      <c r="U76" s="186" t="str">
        <f t="shared" si="33"/>
        <v/>
      </c>
      <c r="V76" s="332" t="str">
        <f t="shared" si="38"/>
        <v/>
      </c>
      <c r="W76" s="332" t="str">
        <f t="shared" si="39"/>
        <v/>
      </c>
      <c r="X76" s="124"/>
      <c r="Y76" s="171">
        <f>IF(Length_5_R2!J9&lt;0,ROUNDUP(Length_5_R2!J9*I$65,$L$107),ROUNDDOWN(Length_5_R2!J9*I$65,$L$107))</f>
        <v>0</v>
      </c>
      <c r="Z76" s="171">
        <f>IF(Length_5_R2!K9&lt;0,ROUNDDOWN(Length_5_R2!K9*I$65,$L$107),ROUNDUP(Length_5_R2!K9*I$65,$L$107))</f>
        <v>0</v>
      </c>
      <c r="AA76" s="171" t="e">
        <f t="shared" ca="1" si="34"/>
        <v>#N/A</v>
      </c>
      <c r="AB76" s="174" t="e">
        <f t="shared" ca="1" si="35"/>
        <v>#N/A</v>
      </c>
      <c r="AC76" s="171" t="e">
        <f t="shared" ca="1" si="36"/>
        <v>#N/A</v>
      </c>
      <c r="AD76" s="171" t="e">
        <f t="shared" ca="1" si="37"/>
        <v>#VALUE!</v>
      </c>
      <c r="AE76" s="332" t="str">
        <f t="shared" si="40"/>
        <v/>
      </c>
      <c r="AF76" s="332" t="e">
        <f t="shared" ca="1" si="41"/>
        <v>#N/A</v>
      </c>
    </row>
    <row r="77" spans="1:32" ht="15" customHeight="1">
      <c r="B77" s="177" t="b">
        <f>IF(TRIM(Length_5_R2!A10)="",FALSE,TRUE)</f>
        <v>0</v>
      </c>
      <c r="C77" s="171" t="str">
        <f>IF($B77=FALSE,"",VALUE(Length_5_R2!A10))</f>
        <v/>
      </c>
      <c r="D77" s="171" t="str">
        <f>IF($B77=FALSE,"",Length_5_R2!B10)</f>
        <v/>
      </c>
      <c r="E77" s="177" t="str">
        <f>IF(B77=FALSE,"",Length_5_R2!M10)</f>
        <v/>
      </c>
      <c r="F77" s="177" t="str">
        <f>IF(B77=FALSE,"",Length_5_R2!N10)</f>
        <v/>
      </c>
      <c r="G77" s="177" t="str">
        <f>IF(B77=FALSE,"",Length_5_R2!O10)</f>
        <v/>
      </c>
      <c r="H77" s="177" t="str">
        <f>IF(B77=FALSE,"",Length_5_R2!P10)</f>
        <v/>
      </c>
      <c r="I77" s="177" t="str">
        <f>IF(B77=FALSE,"",Length_5_R2!Q10)</f>
        <v/>
      </c>
      <c r="J77" s="171" t="str">
        <f t="shared" si="25"/>
        <v/>
      </c>
      <c r="K77" s="181" t="str">
        <f t="shared" si="26"/>
        <v/>
      </c>
      <c r="L77" s="182" t="str">
        <f>IF(B77=FALSE,"",Length_5_R2!D33)</f>
        <v/>
      </c>
      <c r="M77" s="183" t="str">
        <f>IF(B77=FALSE,"",Calcu!J77*I$65)</f>
        <v/>
      </c>
      <c r="N77" s="184" t="str">
        <f t="shared" si="27"/>
        <v/>
      </c>
      <c r="O77" s="184" t="str">
        <f>IF(B77=FALSE,"",Length_5_R2!K33)</f>
        <v/>
      </c>
      <c r="P77" s="184" t="str">
        <f t="shared" si="28"/>
        <v/>
      </c>
      <c r="Q77" s="171" t="str">
        <f t="shared" si="29"/>
        <v/>
      </c>
      <c r="R77" s="171" t="str">
        <f t="shared" si="30"/>
        <v/>
      </c>
      <c r="S77" s="256" t="str">
        <f t="shared" si="31"/>
        <v/>
      </c>
      <c r="T77" s="185" t="str">
        <f t="shared" si="32"/>
        <v/>
      </c>
      <c r="U77" s="186" t="str">
        <f t="shared" si="33"/>
        <v/>
      </c>
      <c r="V77" s="332" t="str">
        <f t="shared" si="38"/>
        <v/>
      </c>
      <c r="W77" s="332" t="str">
        <f t="shared" si="39"/>
        <v/>
      </c>
      <c r="X77" s="124"/>
      <c r="Y77" s="171">
        <f>IF(Length_5_R2!J10&lt;0,ROUNDUP(Length_5_R2!J10*I$65,$L$107),ROUNDDOWN(Length_5_R2!J10*I$65,$L$107))</f>
        <v>0</v>
      </c>
      <c r="Z77" s="171">
        <f>IF(Length_5_R2!K10&lt;0,ROUNDDOWN(Length_5_R2!K10*I$65,$L$107),ROUNDUP(Length_5_R2!K10*I$65,$L$107))</f>
        <v>0</v>
      </c>
      <c r="AA77" s="171" t="e">
        <f t="shared" ca="1" si="34"/>
        <v>#N/A</v>
      </c>
      <c r="AB77" s="174" t="e">
        <f t="shared" ca="1" si="35"/>
        <v>#N/A</v>
      </c>
      <c r="AC77" s="171" t="e">
        <f t="shared" ca="1" si="36"/>
        <v>#N/A</v>
      </c>
      <c r="AD77" s="171" t="e">
        <f t="shared" ca="1" si="37"/>
        <v>#VALUE!</v>
      </c>
      <c r="AE77" s="332" t="str">
        <f t="shared" si="40"/>
        <v/>
      </c>
      <c r="AF77" s="332" t="e">
        <f t="shared" ca="1" si="41"/>
        <v>#N/A</v>
      </c>
    </row>
    <row r="78" spans="1:32" ht="15" customHeight="1">
      <c r="B78" s="177" t="b">
        <f>IF(TRIM(Length_5_R2!A11)="",FALSE,TRUE)</f>
        <v>0</v>
      </c>
      <c r="C78" s="171" t="str">
        <f>IF($B78=FALSE,"",VALUE(Length_5_R2!A11))</f>
        <v/>
      </c>
      <c r="D78" s="171" t="str">
        <f>IF($B78=FALSE,"",Length_5_R2!B11)</f>
        <v/>
      </c>
      <c r="E78" s="177" t="str">
        <f>IF(B78=FALSE,"",Length_5_R2!M11)</f>
        <v/>
      </c>
      <c r="F78" s="177" t="str">
        <f>IF(B78=FALSE,"",Length_5_R2!N11)</f>
        <v/>
      </c>
      <c r="G78" s="177" t="str">
        <f>IF(B78=FALSE,"",Length_5_R2!O11)</f>
        <v/>
      </c>
      <c r="H78" s="177" t="str">
        <f>IF(B78=FALSE,"",Length_5_R2!P11)</f>
        <v/>
      </c>
      <c r="I78" s="177" t="str">
        <f>IF(B78=FALSE,"",Length_5_R2!Q11)</f>
        <v/>
      </c>
      <c r="J78" s="171" t="str">
        <f t="shared" si="25"/>
        <v/>
      </c>
      <c r="K78" s="181" t="str">
        <f t="shared" si="26"/>
        <v/>
      </c>
      <c r="L78" s="182" t="str">
        <f>IF(B78=FALSE,"",Length_5_R2!D34)</f>
        <v/>
      </c>
      <c r="M78" s="183" t="str">
        <f>IF(B78=FALSE,"",Calcu!J78*I$65)</f>
        <v/>
      </c>
      <c r="N78" s="184" t="str">
        <f t="shared" si="27"/>
        <v/>
      </c>
      <c r="O78" s="184" t="str">
        <f>IF(B78=FALSE,"",Length_5_R2!K34)</f>
        <v/>
      </c>
      <c r="P78" s="184" t="str">
        <f t="shared" si="28"/>
        <v/>
      </c>
      <c r="Q78" s="171" t="str">
        <f t="shared" si="29"/>
        <v/>
      </c>
      <c r="R78" s="171" t="str">
        <f t="shared" si="30"/>
        <v/>
      </c>
      <c r="S78" s="256" t="str">
        <f t="shared" si="31"/>
        <v/>
      </c>
      <c r="T78" s="185" t="str">
        <f t="shared" si="32"/>
        <v/>
      </c>
      <c r="U78" s="186" t="str">
        <f t="shared" si="33"/>
        <v/>
      </c>
      <c r="V78" s="332" t="str">
        <f t="shared" si="38"/>
        <v/>
      </c>
      <c r="W78" s="332" t="str">
        <f t="shared" si="39"/>
        <v/>
      </c>
      <c r="X78" s="124"/>
      <c r="Y78" s="171">
        <f>IF(Length_5_R2!J11&lt;0,ROUNDUP(Length_5_R2!J11*I$65,$L$107),ROUNDDOWN(Length_5_R2!J11*I$65,$L$107))</f>
        <v>0</v>
      </c>
      <c r="Z78" s="171">
        <f>IF(Length_5_R2!K11&lt;0,ROUNDDOWN(Length_5_R2!K11*I$65,$L$107),ROUNDUP(Length_5_R2!K11*I$65,$L$107))</f>
        <v>0</v>
      </c>
      <c r="AA78" s="171" t="e">
        <f t="shared" ca="1" si="34"/>
        <v>#N/A</v>
      </c>
      <c r="AB78" s="174" t="e">
        <f t="shared" ca="1" si="35"/>
        <v>#N/A</v>
      </c>
      <c r="AC78" s="171" t="e">
        <f t="shared" ca="1" si="36"/>
        <v>#N/A</v>
      </c>
      <c r="AD78" s="171" t="e">
        <f t="shared" ca="1" si="37"/>
        <v>#VALUE!</v>
      </c>
      <c r="AE78" s="332" t="str">
        <f t="shared" si="40"/>
        <v/>
      </c>
      <c r="AF78" s="332" t="e">
        <f t="shared" ca="1" si="41"/>
        <v>#N/A</v>
      </c>
    </row>
    <row r="79" spans="1:32" ht="15" customHeight="1">
      <c r="B79" s="177" t="b">
        <f>IF(TRIM(Length_5_R2!A12)="",FALSE,TRUE)</f>
        <v>0</v>
      </c>
      <c r="C79" s="171" t="str">
        <f>IF($B79=FALSE,"",VALUE(Length_5_R2!A12))</f>
        <v/>
      </c>
      <c r="D79" s="171" t="str">
        <f>IF($B79=FALSE,"",Length_5_R2!B12)</f>
        <v/>
      </c>
      <c r="E79" s="177" t="str">
        <f>IF(B79=FALSE,"",Length_5_R2!M12)</f>
        <v/>
      </c>
      <c r="F79" s="177" t="str">
        <f>IF(B79=FALSE,"",Length_5_R2!N12)</f>
        <v/>
      </c>
      <c r="G79" s="177" t="str">
        <f>IF(B79=FALSE,"",Length_5_R2!O12)</f>
        <v/>
      </c>
      <c r="H79" s="177" t="str">
        <f>IF(B79=FALSE,"",Length_5_R2!P12)</f>
        <v/>
      </c>
      <c r="I79" s="177" t="str">
        <f>IF(B79=FALSE,"",Length_5_R2!Q12)</f>
        <v/>
      </c>
      <c r="J79" s="171" t="str">
        <f t="shared" si="25"/>
        <v/>
      </c>
      <c r="K79" s="181" t="str">
        <f t="shared" si="26"/>
        <v/>
      </c>
      <c r="L79" s="182" t="str">
        <f>IF(B79=FALSE,"",Length_5_R2!D35)</f>
        <v/>
      </c>
      <c r="M79" s="183" t="str">
        <f>IF(B79=FALSE,"",Calcu!J79*I$65)</f>
        <v/>
      </c>
      <c r="N79" s="184" t="str">
        <f t="shared" si="27"/>
        <v/>
      </c>
      <c r="O79" s="184" t="str">
        <f>IF(B79=FALSE,"",Length_5_R2!K35)</f>
        <v/>
      </c>
      <c r="P79" s="184" t="str">
        <f t="shared" si="28"/>
        <v/>
      </c>
      <c r="Q79" s="171" t="str">
        <f t="shared" si="29"/>
        <v/>
      </c>
      <c r="R79" s="171" t="str">
        <f t="shared" si="30"/>
        <v/>
      </c>
      <c r="S79" s="256" t="str">
        <f t="shared" si="31"/>
        <v/>
      </c>
      <c r="T79" s="185" t="str">
        <f t="shared" si="32"/>
        <v/>
      </c>
      <c r="U79" s="186" t="str">
        <f t="shared" si="33"/>
        <v/>
      </c>
      <c r="V79" s="332" t="str">
        <f t="shared" si="38"/>
        <v/>
      </c>
      <c r="W79" s="332" t="str">
        <f t="shared" si="39"/>
        <v/>
      </c>
      <c r="X79" s="124"/>
      <c r="Y79" s="171">
        <f>IF(Length_5_R2!J12&lt;0,ROUNDUP(Length_5_R2!J12*I$65,$L$107),ROUNDDOWN(Length_5_R2!J12*I$65,$L$107))</f>
        <v>0</v>
      </c>
      <c r="Z79" s="171">
        <f>IF(Length_5_R2!K12&lt;0,ROUNDDOWN(Length_5_R2!K12*I$65,$L$107),ROUNDUP(Length_5_R2!K12*I$65,$L$107))</f>
        <v>0</v>
      </c>
      <c r="AA79" s="171" t="e">
        <f t="shared" ca="1" si="34"/>
        <v>#N/A</v>
      </c>
      <c r="AB79" s="174" t="e">
        <f t="shared" ca="1" si="35"/>
        <v>#N/A</v>
      </c>
      <c r="AC79" s="171" t="e">
        <f t="shared" ca="1" si="36"/>
        <v>#N/A</v>
      </c>
      <c r="AD79" s="171" t="e">
        <f t="shared" ca="1" si="37"/>
        <v>#VALUE!</v>
      </c>
      <c r="AE79" s="332" t="str">
        <f t="shared" si="40"/>
        <v/>
      </c>
      <c r="AF79" s="332" t="e">
        <f t="shared" ca="1" si="41"/>
        <v>#N/A</v>
      </c>
    </row>
    <row r="80" spans="1:32" ht="15" customHeight="1">
      <c r="B80" s="177" t="b">
        <f>IF(TRIM(Length_5_R2!A13)="",FALSE,TRUE)</f>
        <v>0</v>
      </c>
      <c r="C80" s="171" t="str">
        <f>IF($B80=FALSE,"",VALUE(Length_5_R2!A13))</f>
        <v/>
      </c>
      <c r="D80" s="171" t="str">
        <f>IF($B80=FALSE,"",Length_5_R2!B13)</f>
        <v/>
      </c>
      <c r="E80" s="177" t="str">
        <f>IF(B80=FALSE,"",Length_5_R2!M13)</f>
        <v/>
      </c>
      <c r="F80" s="177" t="str">
        <f>IF(B80=FALSE,"",Length_5_R2!N13)</f>
        <v/>
      </c>
      <c r="G80" s="177" t="str">
        <f>IF(B80=FALSE,"",Length_5_R2!O13)</f>
        <v/>
      </c>
      <c r="H80" s="177" t="str">
        <f>IF(B80=FALSE,"",Length_5_R2!P13)</f>
        <v/>
      </c>
      <c r="I80" s="177" t="str">
        <f>IF(B80=FALSE,"",Length_5_R2!Q13)</f>
        <v/>
      </c>
      <c r="J80" s="171" t="str">
        <f t="shared" si="25"/>
        <v/>
      </c>
      <c r="K80" s="181" t="str">
        <f t="shared" si="26"/>
        <v/>
      </c>
      <c r="L80" s="182" t="str">
        <f>IF(B80=FALSE,"",Length_5_R2!D36)</f>
        <v/>
      </c>
      <c r="M80" s="183" t="str">
        <f>IF(B80=FALSE,"",Calcu!J80*I$65)</f>
        <v/>
      </c>
      <c r="N80" s="184" t="str">
        <f t="shared" si="27"/>
        <v/>
      </c>
      <c r="O80" s="184" t="str">
        <f>IF(B80=FALSE,"",Length_5_R2!K36)</f>
        <v/>
      </c>
      <c r="P80" s="184" t="str">
        <f t="shared" si="28"/>
        <v/>
      </c>
      <c r="Q80" s="171" t="str">
        <f t="shared" si="29"/>
        <v/>
      </c>
      <c r="R80" s="171" t="str">
        <f t="shared" si="30"/>
        <v/>
      </c>
      <c r="S80" s="256" t="str">
        <f t="shared" si="31"/>
        <v/>
      </c>
      <c r="T80" s="185" t="str">
        <f t="shared" si="32"/>
        <v/>
      </c>
      <c r="U80" s="186" t="str">
        <f t="shared" si="33"/>
        <v/>
      </c>
      <c r="V80" s="332" t="str">
        <f t="shared" si="38"/>
        <v/>
      </c>
      <c r="W80" s="332" t="str">
        <f t="shared" si="39"/>
        <v/>
      </c>
      <c r="X80" s="124"/>
      <c r="Y80" s="171">
        <f>IF(Length_5_R2!J13&lt;0,ROUNDUP(Length_5_R2!J13*I$65,$L$107),ROUNDDOWN(Length_5_R2!J13*I$65,$L$107))</f>
        <v>0</v>
      </c>
      <c r="Z80" s="171">
        <f>IF(Length_5_R2!K13&lt;0,ROUNDDOWN(Length_5_R2!K13*I$65,$L$107),ROUNDUP(Length_5_R2!K13*I$65,$L$107))</f>
        <v>0</v>
      </c>
      <c r="AA80" s="171" t="e">
        <f t="shared" ca="1" si="34"/>
        <v>#N/A</v>
      </c>
      <c r="AB80" s="174" t="e">
        <f t="shared" ca="1" si="35"/>
        <v>#N/A</v>
      </c>
      <c r="AC80" s="171" t="e">
        <f t="shared" ca="1" si="36"/>
        <v>#N/A</v>
      </c>
      <c r="AD80" s="171" t="e">
        <f t="shared" ca="1" si="37"/>
        <v>#VALUE!</v>
      </c>
      <c r="AE80" s="332" t="str">
        <f t="shared" si="40"/>
        <v/>
      </c>
      <c r="AF80" s="332" t="e">
        <f t="shared" ca="1" si="41"/>
        <v>#N/A</v>
      </c>
    </row>
    <row r="81" spans="1:32" ht="15" customHeight="1">
      <c r="B81" s="177" t="b">
        <f>IF(TRIM(Length_5_R2!A14)="",FALSE,TRUE)</f>
        <v>0</v>
      </c>
      <c r="C81" s="171" t="str">
        <f>IF($B81=FALSE,"",VALUE(Length_5_R2!A14))</f>
        <v/>
      </c>
      <c r="D81" s="171" t="str">
        <f>IF($B81=FALSE,"",Length_5_R2!B14)</f>
        <v/>
      </c>
      <c r="E81" s="177" t="str">
        <f>IF(B81=FALSE,"",Length_5_R2!M14)</f>
        <v/>
      </c>
      <c r="F81" s="177" t="str">
        <f>IF(B81=FALSE,"",Length_5_R2!N14)</f>
        <v/>
      </c>
      <c r="G81" s="177" t="str">
        <f>IF(B81=FALSE,"",Length_5_R2!O14)</f>
        <v/>
      </c>
      <c r="H81" s="177" t="str">
        <f>IF(B81=FALSE,"",Length_5_R2!P14)</f>
        <v/>
      </c>
      <c r="I81" s="177" t="str">
        <f>IF(B81=FALSE,"",Length_5_R2!Q14)</f>
        <v/>
      </c>
      <c r="J81" s="171" t="str">
        <f t="shared" si="25"/>
        <v/>
      </c>
      <c r="K81" s="181" t="str">
        <f t="shared" si="26"/>
        <v/>
      </c>
      <c r="L81" s="182" t="str">
        <f>IF(B81=FALSE,"",Length_5_R2!D37)</f>
        <v/>
      </c>
      <c r="M81" s="183" t="str">
        <f>IF(B81=FALSE,"",Calcu!J81*I$65)</f>
        <v/>
      </c>
      <c r="N81" s="184" t="str">
        <f t="shared" si="27"/>
        <v/>
      </c>
      <c r="O81" s="184" t="str">
        <f>IF(B81=FALSE,"",Length_5_R2!K37)</f>
        <v/>
      </c>
      <c r="P81" s="184" t="str">
        <f t="shared" si="28"/>
        <v/>
      </c>
      <c r="Q81" s="171" t="str">
        <f t="shared" si="29"/>
        <v/>
      </c>
      <c r="R81" s="171" t="str">
        <f t="shared" si="30"/>
        <v/>
      </c>
      <c r="S81" s="256" t="str">
        <f t="shared" si="31"/>
        <v/>
      </c>
      <c r="T81" s="185" t="str">
        <f t="shared" si="32"/>
        <v/>
      </c>
      <c r="U81" s="186" t="str">
        <f t="shared" si="33"/>
        <v/>
      </c>
      <c r="V81" s="332" t="str">
        <f t="shared" si="38"/>
        <v/>
      </c>
      <c r="W81" s="332" t="str">
        <f t="shared" si="39"/>
        <v/>
      </c>
      <c r="X81" s="124"/>
      <c r="Y81" s="171">
        <f>IF(Length_5_R2!J14&lt;0,ROUNDUP(Length_5_R2!J14*I$65,$L$107),ROUNDDOWN(Length_5_R2!J14*I$65,$L$107))</f>
        <v>0</v>
      </c>
      <c r="Z81" s="171">
        <f>IF(Length_5_R2!K14&lt;0,ROUNDDOWN(Length_5_R2!K14*I$65,$L$107),ROUNDUP(Length_5_R2!K14*I$65,$L$107))</f>
        <v>0</v>
      </c>
      <c r="AA81" s="171" t="e">
        <f t="shared" ca="1" si="34"/>
        <v>#N/A</v>
      </c>
      <c r="AB81" s="174" t="e">
        <f t="shared" ca="1" si="35"/>
        <v>#N/A</v>
      </c>
      <c r="AC81" s="171" t="e">
        <f t="shared" ca="1" si="36"/>
        <v>#N/A</v>
      </c>
      <c r="AD81" s="171" t="e">
        <f t="shared" ca="1" si="37"/>
        <v>#VALUE!</v>
      </c>
      <c r="AE81" s="332" t="str">
        <f t="shared" si="40"/>
        <v/>
      </c>
      <c r="AF81" s="332" t="e">
        <f t="shared" ca="1" si="41"/>
        <v>#N/A</v>
      </c>
    </row>
    <row r="82" spans="1:32" ht="15" customHeight="1">
      <c r="B82" s="177" t="b">
        <f>IF(TRIM(Length_5_R2!A15)="",FALSE,TRUE)</f>
        <v>0</v>
      </c>
      <c r="C82" s="171" t="str">
        <f>IF($B82=FALSE,"",VALUE(Length_5_R2!A15))</f>
        <v/>
      </c>
      <c r="D82" s="171" t="str">
        <f>IF($B82=FALSE,"",Length_5_R2!B15)</f>
        <v/>
      </c>
      <c r="E82" s="177" t="str">
        <f>IF(B82=FALSE,"",Length_5_R2!M15)</f>
        <v/>
      </c>
      <c r="F82" s="177" t="str">
        <f>IF(B82=FALSE,"",Length_5_R2!N15)</f>
        <v/>
      </c>
      <c r="G82" s="177" t="str">
        <f>IF(B82=FALSE,"",Length_5_R2!O15)</f>
        <v/>
      </c>
      <c r="H82" s="177" t="str">
        <f>IF(B82=FALSE,"",Length_5_R2!P15)</f>
        <v/>
      </c>
      <c r="I82" s="177" t="str">
        <f>IF(B82=FALSE,"",Length_5_R2!Q15)</f>
        <v/>
      </c>
      <c r="J82" s="171" t="str">
        <f t="shared" si="25"/>
        <v/>
      </c>
      <c r="K82" s="181" t="str">
        <f t="shared" si="26"/>
        <v/>
      </c>
      <c r="L82" s="182" t="str">
        <f>IF(B82=FALSE,"",Length_5_R2!D38)</f>
        <v/>
      </c>
      <c r="M82" s="183" t="str">
        <f>IF(B82=FALSE,"",Calcu!J82*I$65)</f>
        <v/>
      </c>
      <c r="N82" s="184" t="str">
        <f t="shared" si="27"/>
        <v/>
      </c>
      <c r="O82" s="184" t="str">
        <f>IF(B82=FALSE,"",Length_5_R2!K38)</f>
        <v/>
      </c>
      <c r="P82" s="184" t="str">
        <f t="shared" si="28"/>
        <v/>
      </c>
      <c r="Q82" s="171" t="str">
        <f t="shared" si="29"/>
        <v/>
      </c>
      <c r="R82" s="171" t="str">
        <f t="shared" si="30"/>
        <v/>
      </c>
      <c r="S82" s="256" t="str">
        <f t="shared" si="31"/>
        <v/>
      </c>
      <c r="T82" s="185" t="str">
        <f t="shared" si="32"/>
        <v/>
      </c>
      <c r="U82" s="186" t="str">
        <f t="shared" si="33"/>
        <v/>
      </c>
      <c r="V82" s="332" t="str">
        <f t="shared" si="38"/>
        <v/>
      </c>
      <c r="W82" s="332" t="str">
        <f t="shared" si="39"/>
        <v/>
      </c>
      <c r="X82" s="124"/>
      <c r="Y82" s="171">
        <f>IF(Length_5_R2!J15&lt;0,ROUNDUP(Length_5_R2!J15*I$65,$L$107),ROUNDDOWN(Length_5_R2!J15*I$65,$L$107))</f>
        <v>0</v>
      </c>
      <c r="Z82" s="171">
        <f>IF(Length_5_R2!K15&lt;0,ROUNDDOWN(Length_5_R2!K15*I$65,$L$107),ROUNDUP(Length_5_R2!K15*I$65,$L$107))</f>
        <v>0</v>
      </c>
      <c r="AA82" s="171" t="e">
        <f t="shared" ca="1" si="34"/>
        <v>#N/A</v>
      </c>
      <c r="AB82" s="174" t="e">
        <f t="shared" ca="1" si="35"/>
        <v>#N/A</v>
      </c>
      <c r="AC82" s="171" t="e">
        <f t="shared" ca="1" si="36"/>
        <v>#N/A</v>
      </c>
      <c r="AD82" s="171" t="e">
        <f t="shared" ca="1" si="37"/>
        <v>#VALUE!</v>
      </c>
      <c r="AE82" s="332" t="str">
        <f t="shared" si="40"/>
        <v/>
      </c>
      <c r="AF82" s="332" t="e">
        <f t="shared" ca="1" si="41"/>
        <v>#N/A</v>
      </c>
    </row>
    <row r="83" spans="1:32" ht="15" customHeight="1">
      <c r="B83" s="177" t="b">
        <f>IF(TRIM(Length_5_R2!A16)="",FALSE,TRUE)</f>
        <v>0</v>
      </c>
      <c r="C83" s="171" t="str">
        <f>IF($B83=FALSE,"",VALUE(Length_5_R2!A16))</f>
        <v/>
      </c>
      <c r="D83" s="171" t="str">
        <f>IF($B83=FALSE,"",Length_5_R2!B16)</f>
        <v/>
      </c>
      <c r="E83" s="177" t="str">
        <f>IF(B83=FALSE,"",Length_5_R2!M16)</f>
        <v/>
      </c>
      <c r="F83" s="177" t="str">
        <f>IF(B83=FALSE,"",Length_5_R2!N16)</f>
        <v/>
      </c>
      <c r="G83" s="177" t="str">
        <f>IF(B83=FALSE,"",Length_5_R2!O16)</f>
        <v/>
      </c>
      <c r="H83" s="177" t="str">
        <f>IF(B83=FALSE,"",Length_5_R2!P16)</f>
        <v/>
      </c>
      <c r="I83" s="177" t="str">
        <f>IF(B83=FALSE,"",Length_5_R2!Q16)</f>
        <v/>
      </c>
      <c r="J83" s="171" t="str">
        <f t="shared" si="25"/>
        <v/>
      </c>
      <c r="K83" s="181" t="str">
        <f t="shared" si="26"/>
        <v/>
      </c>
      <c r="L83" s="182" t="str">
        <f>IF(B83=FALSE,"",Length_5_R2!D39)</f>
        <v/>
      </c>
      <c r="M83" s="183" t="str">
        <f>IF(B83=FALSE,"",Calcu!J83*I$65)</f>
        <v/>
      </c>
      <c r="N83" s="184" t="str">
        <f t="shared" si="27"/>
        <v/>
      </c>
      <c r="O83" s="184" t="str">
        <f>IF(B83=FALSE,"",Length_5_R2!K39)</f>
        <v/>
      </c>
      <c r="P83" s="184" t="str">
        <f t="shared" si="28"/>
        <v/>
      </c>
      <c r="Q83" s="171" t="str">
        <f t="shared" si="29"/>
        <v/>
      </c>
      <c r="R83" s="171" t="str">
        <f t="shared" si="30"/>
        <v/>
      </c>
      <c r="S83" s="256" t="str">
        <f t="shared" si="31"/>
        <v/>
      </c>
      <c r="T83" s="185" t="str">
        <f t="shared" si="32"/>
        <v/>
      </c>
      <c r="U83" s="186" t="str">
        <f t="shared" si="33"/>
        <v/>
      </c>
      <c r="V83" s="332" t="str">
        <f t="shared" si="38"/>
        <v/>
      </c>
      <c r="W83" s="332" t="str">
        <f t="shared" si="39"/>
        <v/>
      </c>
      <c r="X83" s="124"/>
      <c r="Y83" s="171">
        <f>IF(Length_5_R2!J16&lt;0,ROUNDUP(Length_5_R2!J16*I$65,$L$107),ROUNDDOWN(Length_5_R2!J16*I$65,$L$107))</f>
        <v>0</v>
      </c>
      <c r="Z83" s="171">
        <f>IF(Length_5_R2!K16&lt;0,ROUNDDOWN(Length_5_R2!K16*I$65,$L$107),ROUNDUP(Length_5_R2!K16*I$65,$L$107))</f>
        <v>0</v>
      </c>
      <c r="AA83" s="171" t="e">
        <f t="shared" ca="1" si="34"/>
        <v>#N/A</v>
      </c>
      <c r="AB83" s="174" t="e">
        <f t="shared" ca="1" si="35"/>
        <v>#N/A</v>
      </c>
      <c r="AC83" s="171" t="e">
        <f t="shared" ca="1" si="36"/>
        <v>#N/A</v>
      </c>
      <c r="AD83" s="171" t="e">
        <f t="shared" ca="1" si="37"/>
        <v>#VALUE!</v>
      </c>
      <c r="AE83" s="332" t="str">
        <f t="shared" si="40"/>
        <v/>
      </c>
      <c r="AF83" s="332" t="e">
        <f t="shared" ca="1" si="41"/>
        <v>#N/A</v>
      </c>
    </row>
    <row r="84" spans="1:32" ht="15" customHeight="1">
      <c r="B84" s="177" t="b">
        <f>IF(TRIM(Length_5_R2!A17)="",FALSE,TRUE)</f>
        <v>0</v>
      </c>
      <c r="C84" s="171" t="str">
        <f>IF($B84=FALSE,"",VALUE(Length_5_R2!A17))</f>
        <v/>
      </c>
      <c r="D84" s="171" t="str">
        <f>IF($B84=FALSE,"",Length_5_R2!B17)</f>
        <v/>
      </c>
      <c r="E84" s="177" t="str">
        <f>IF(B84=FALSE,"",Length_5_R2!M17)</f>
        <v/>
      </c>
      <c r="F84" s="177" t="str">
        <f>IF(B84=FALSE,"",Length_5_R2!N17)</f>
        <v/>
      </c>
      <c r="G84" s="177" t="str">
        <f>IF(B84=FALSE,"",Length_5_R2!O17)</f>
        <v/>
      </c>
      <c r="H84" s="177" t="str">
        <f>IF(B84=FALSE,"",Length_5_R2!P17)</f>
        <v/>
      </c>
      <c r="I84" s="177" t="str">
        <f>IF(B84=FALSE,"",Length_5_R2!Q17)</f>
        <v/>
      </c>
      <c r="J84" s="171" t="str">
        <f t="shared" si="25"/>
        <v/>
      </c>
      <c r="K84" s="181" t="str">
        <f t="shared" si="26"/>
        <v/>
      </c>
      <c r="L84" s="182" t="str">
        <f>IF(B84=FALSE,"",Length_5_R2!D40)</f>
        <v/>
      </c>
      <c r="M84" s="183" t="str">
        <f>IF(B84=FALSE,"",Calcu!J84*I$65)</f>
        <v/>
      </c>
      <c r="N84" s="184" t="str">
        <f t="shared" si="27"/>
        <v/>
      </c>
      <c r="O84" s="184" t="str">
        <f>IF(B84=FALSE,"",Length_5_R2!K40)</f>
        <v/>
      </c>
      <c r="P84" s="184" t="str">
        <f t="shared" si="28"/>
        <v/>
      </c>
      <c r="Q84" s="171" t="str">
        <f t="shared" si="29"/>
        <v/>
      </c>
      <c r="R84" s="171" t="str">
        <f t="shared" si="30"/>
        <v/>
      </c>
      <c r="S84" s="256" t="str">
        <f t="shared" si="31"/>
        <v/>
      </c>
      <c r="T84" s="185" t="str">
        <f t="shared" si="32"/>
        <v/>
      </c>
      <c r="U84" s="186" t="str">
        <f t="shared" si="33"/>
        <v/>
      </c>
      <c r="V84" s="332" t="str">
        <f t="shared" si="38"/>
        <v/>
      </c>
      <c r="W84" s="332" t="str">
        <f t="shared" si="39"/>
        <v/>
      </c>
      <c r="X84" s="124"/>
      <c r="Y84" s="171">
        <f>IF(Length_5_R2!J17&lt;0,ROUNDUP(Length_5_R2!J17*I$65,$L$107),ROUNDDOWN(Length_5_R2!J17*I$65,$L$107))</f>
        <v>0</v>
      </c>
      <c r="Z84" s="171">
        <f>IF(Length_5_R2!K17&lt;0,ROUNDDOWN(Length_5_R2!K17*I$65,$L$107),ROUNDUP(Length_5_R2!K17*I$65,$L$107))</f>
        <v>0</v>
      </c>
      <c r="AA84" s="171" t="e">
        <f t="shared" ca="1" si="34"/>
        <v>#N/A</v>
      </c>
      <c r="AB84" s="174" t="e">
        <f t="shared" ca="1" si="35"/>
        <v>#N/A</v>
      </c>
      <c r="AC84" s="171" t="e">
        <f t="shared" ca="1" si="36"/>
        <v>#N/A</v>
      </c>
      <c r="AD84" s="171" t="e">
        <f t="shared" ca="1" si="37"/>
        <v>#VALUE!</v>
      </c>
      <c r="AE84" s="332" t="str">
        <f t="shared" si="40"/>
        <v/>
      </c>
      <c r="AF84" s="332" t="e">
        <f t="shared" ca="1" si="41"/>
        <v>#N/A</v>
      </c>
    </row>
    <row r="85" spans="1:32" ht="15" customHeight="1">
      <c r="B85" s="177" t="b">
        <f>IF(TRIM(Length_5_R2!A18)="",FALSE,TRUE)</f>
        <v>0</v>
      </c>
      <c r="C85" s="171" t="str">
        <f>IF($B85=FALSE,"",VALUE(Length_5_R2!A18))</f>
        <v/>
      </c>
      <c r="D85" s="171" t="str">
        <f>IF($B85=FALSE,"",Length_5_R2!B18)</f>
        <v/>
      </c>
      <c r="E85" s="177" t="str">
        <f>IF(B85=FALSE,"",Length_5_R2!M18)</f>
        <v/>
      </c>
      <c r="F85" s="177" t="str">
        <f>IF(B85=FALSE,"",Length_5_R2!N18)</f>
        <v/>
      </c>
      <c r="G85" s="177" t="str">
        <f>IF(B85=FALSE,"",Length_5_R2!O18)</f>
        <v/>
      </c>
      <c r="H85" s="177" t="str">
        <f>IF(B85=FALSE,"",Length_5_R2!P18)</f>
        <v/>
      </c>
      <c r="I85" s="177" t="str">
        <f>IF(B85=FALSE,"",Length_5_R2!Q18)</f>
        <v/>
      </c>
      <c r="J85" s="171" t="str">
        <f t="shared" si="25"/>
        <v/>
      </c>
      <c r="K85" s="181" t="str">
        <f t="shared" si="26"/>
        <v/>
      </c>
      <c r="L85" s="182" t="str">
        <f>IF(B85=FALSE,"",Length_5_R2!D41)</f>
        <v/>
      </c>
      <c r="M85" s="183" t="str">
        <f>IF(B85=FALSE,"",Calcu!J85*I$65)</f>
        <v/>
      </c>
      <c r="N85" s="184" t="str">
        <f t="shared" si="27"/>
        <v/>
      </c>
      <c r="O85" s="184" t="str">
        <f>IF(B85=FALSE,"",Length_5_R2!K41)</f>
        <v/>
      </c>
      <c r="P85" s="184" t="str">
        <f t="shared" si="28"/>
        <v/>
      </c>
      <c r="Q85" s="171" t="str">
        <f t="shared" si="29"/>
        <v/>
      </c>
      <c r="R85" s="171" t="str">
        <f t="shared" si="30"/>
        <v/>
      </c>
      <c r="S85" s="256" t="str">
        <f t="shared" si="31"/>
        <v/>
      </c>
      <c r="T85" s="185" t="str">
        <f t="shared" si="32"/>
        <v/>
      </c>
      <c r="U85" s="186" t="str">
        <f t="shared" si="33"/>
        <v/>
      </c>
      <c r="V85" s="332" t="str">
        <f t="shared" si="38"/>
        <v/>
      </c>
      <c r="W85" s="332" t="str">
        <f t="shared" si="39"/>
        <v/>
      </c>
      <c r="X85" s="124"/>
      <c r="Y85" s="171">
        <f>IF(Length_5_R2!J18&lt;0,ROUNDUP(Length_5_R2!J18*I$65,$L$107),ROUNDDOWN(Length_5_R2!J18*I$65,$L$107))</f>
        <v>0</v>
      </c>
      <c r="Z85" s="171">
        <f>IF(Length_5_R2!K18&lt;0,ROUNDDOWN(Length_5_R2!K18*I$65,$L$107),ROUNDUP(Length_5_R2!K18*I$65,$L$107))</f>
        <v>0</v>
      </c>
      <c r="AA85" s="171" t="e">
        <f t="shared" ca="1" si="34"/>
        <v>#N/A</v>
      </c>
      <c r="AB85" s="174" t="e">
        <f t="shared" ca="1" si="35"/>
        <v>#N/A</v>
      </c>
      <c r="AC85" s="171" t="e">
        <f t="shared" ca="1" si="36"/>
        <v>#N/A</v>
      </c>
      <c r="AD85" s="171" t="e">
        <f t="shared" ca="1" si="37"/>
        <v>#VALUE!</v>
      </c>
      <c r="AE85" s="332" t="str">
        <f t="shared" si="40"/>
        <v/>
      </c>
      <c r="AF85" s="332" t="e">
        <f t="shared" ca="1" si="41"/>
        <v>#N/A</v>
      </c>
    </row>
    <row r="86" spans="1:32" ht="15" customHeight="1">
      <c r="B86" s="177" t="b">
        <f>IF(TRIM(Length_5_R2!A19)="",FALSE,TRUE)</f>
        <v>0</v>
      </c>
      <c r="C86" s="171" t="str">
        <f>IF($B86=FALSE,"",VALUE(Length_5_R2!A19))</f>
        <v/>
      </c>
      <c r="D86" s="171" t="str">
        <f>IF($B86=FALSE,"",Length_5_R2!B19)</f>
        <v/>
      </c>
      <c r="E86" s="177" t="str">
        <f>IF(B86=FALSE,"",Length_5_R2!M19)</f>
        <v/>
      </c>
      <c r="F86" s="177" t="str">
        <f>IF(B86=FALSE,"",Length_5_R2!N19)</f>
        <v/>
      </c>
      <c r="G86" s="177" t="str">
        <f>IF(B86=FALSE,"",Length_5_R2!O19)</f>
        <v/>
      </c>
      <c r="H86" s="177" t="str">
        <f>IF(B86=FALSE,"",Length_5_R2!P19)</f>
        <v/>
      </c>
      <c r="I86" s="177" t="str">
        <f>IF(B86=FALSE,"",Length_5_R2!Q19)</f>
        <v/>
      </c>
      <c r="J86" s="171" t="str">
        <f t="shared" si="25"/>
        <v/>
      </c>
      <c r="K86" s="181" t="str">
        <f t="shared" si="26"/>
        <v/>
      </c>
      <c r="L86" s="182" t="str">
        <f>IF(B86=FALSE,"",Length_5_R2!D42)</f>
        <v/>
      </c>
      <c r="M86" s="183" t="str">
        <f>IF(B86=FALSE,"",Calcu!J86*I$65)</f>
        <v/>
      </c>
      <c r="N86" s="184" t="str">
        <f t="shared" si="27"/>
        <v/>
      </c>
      <c r="O86" s="184" t="str">
        <f>IF(B86=FALSE,"",Length_5_R2!K42)</f>
        <v/>
      </c>
      <c r="P86" s="184" t="str">
        <f t="shared" si="28"/>
        <v/>
      </c>
      <c r="Q86" s="171" t="str">
        <f t="shared" si="29"/>
        <v/>
      </c>
      <c r="R86" s="171" t="str">
        <f t="shared" si="30"/>
        <v/>
      </c>
      <c r="S86" s="256" t="str">
        <f t="shared" si="31"/>
        <v/>
      </c>
      <c r="T86" s="185" t="str">
        <f t="shared" si="32"/>
        <v/>
      </c>
      <c r="U86" s="186" t="str">
        <f t="shared" si="33"/>
        <v/>
      </c>
      <c r="V86" s="332" t="str">
        <f t="shared" si="38"/>
        <v/>
      </c>
      <c r="W86" s="332" t="str">
        <f t="shared" si="39"/>
        <v/>
      </c>
      <c r="X86" s="124"/>
      <c r="Y86" s="171">
        <f>IF(Length_5_R2!J19&lt;0,ROUNDUP(Length_5_R2!J19*I$65,$L$107),ROUNDDOWN(Length_5_R2!J19*I$65,$L$107))</f>
        <v>0</v>
      </c>
      <c r="Z86" s="171">
        <f>IF(Length_5_R2!K19&lt;0,ROUNDDOWN(Length_5_R2!K19*I$65,$L$107),ROUNDUP(Length_5_R2!K19*I$65,$L$107))</f>
        <v>0</v>
      </c>
      <c r="AA86" s="171" t="e">
        <f t="shared" ca="1" si="34"/>
        <v>#N/A</v>
      </c>
      <c r="AB86" s="174" t="e">
        <f t="shared" ca="1" si="35"/>
        <v>#N/A</v>
      </c>
      <c r="AC86" s="171" t="e">
        <f t="shared" ca="1" si="36"/>
        <v>#N/A</v>
      </c>
      <c r="AD86" s="171" t="e">
        <f t="shared" ca="1" si="37"/>
        <v>#VALUE!</v>
      </c>
      <c r="AE86" s="332" t="str">
        <f t="shared" si="40"/>
        <v/>
      </c>
      <c r="AF86" s="332" t="e">
        <f t="shared" ca="1" si="41"/>
        <v>#N/A</v>
      </c>
    </row>
    <row r="87" spans="1:32" ht="15" customHeight="1">
      <c r="B87" s="177" t="b">
        <f>IF(TRIM(Length_5_R2!A20)="",FALSE,TRUE)</f>
        <v>0</v>
      </c>
      <c r="C87" s="171" t="str">
        <f>IF($B87=FALSE,"",VALUE(Length_5_R2!A20))</f>
        <v/>
      </c>
      <c r="D87" s="171" t="str">
        <f>IF($B87=FALSE,"",Length_5_R2!B20)</f>
        <v/>
      </c>
      <c r="E87" s="177" t="str">
        <f>IF(B87=FALSE,"",Length_5_R2!M20)</f>
        <v/>
      </c>
      <c r="F87" s="177" t="str">
        <f>IF(B87=FALSE,"",Length_5_R2!N20)</f>
        <v/>
      </c>
      <c r="G87" s="177" t="str">
        <f>IF(B87=FALSE,"",Length_5_R2!O20)</f>
        <v/>
      </c>
      <c r="H87" s="177" t="str">
        <f>IF(B87=FALSE,"",Length_5_R2!P20)</f>
        <v/>
      </c>
      <c r="I87" s="177" t="str">
        <f>IF(B87=FALSE,"",Length_5_R2!Q20)</f>
        <v/>
      </c>
      <c r="J87" s="171" t="str">
        <f t="shared" si="25"/>
        <v/>
      </c>
      <c r="K87" s="181" t="str">
        <f t="shared" si="26"/>
        <v/>
      </c>
      <c r="L87" s="182" t="str">
        <f>IF(B87=FALSE,"",Length_5_R2!D43)</f>
        <v/>
      </c>
      <c r="M87" s="183" t="str">
        <f>IF(B87=FALSE,"",Calcu!J87*I$65)</f>
        <v/>
      </c>
      <c r="N87" s="184" t="str">
        <f t="shared" si="27"/>
        <v/>
      </c>
      <c r="O87" s="184" t="str">
        <f>IF(B87=FALSE,"",Length_5_R2!K43)</f>
        <v/>
      </c>
      <c r="P87" s="184" t="str">
        <f t="shared" si="28"/>
        <v/>
      </c>
      <c r="Q87" s="171" t="str">
        <f t="shared" si="29"/>
        <v/>
      </c>
      <c r="R87" s="171" t="str">
        <f t="shared" si="30"/>
        <v/>
      </c>
      <c r="S87" s="256" t="str">
        <f t="shared" si="31"/>
        <v/>
      </c>
      <c r="T87" s="185" t="str">
        <f t="shared" si="32"/>
        <v/>
      </c>
      <c r="U87" s="186" t="str">
        <f t="shared" si="33"/>
        <v/>
      </c>
      <c r="V87" s="332" t="str">
        <f t="shared" si="38"/>
        <v/>
      </c>
      <c r="W87" s="332" t="str">
        <f t="shared" si="39"/>
        <v/>
      </c>
      <c r="X87" s="124"/>
      <c r="Y87" s="171">
        <f>IF(Length_5_R2!J20&lt;0,ROUNDUP(Length_5_R2!J20*I$65,$L$107),ROUNDDOWN(Length_5_R2!J20*I$65,$L$107))</f>
        <v>0</v>
      </c>
      <c r="Z87" s="171">
        <f>IF(Length_5_R2!K20&lt;0,ROUNDDOWN(Length_5_R2!K20*I$65,$L$107),ROUNDUP(Length_5_R2!K20*I$65,$L$107))</f>
        <v>0</v>
      </c>
      <c r="AA87" s="171" t="e">
        <f t="shared" ca="1" si="34"/>
        <v>#N/A</v>
      </c>
      <c r="AB87" s="174" t="e">
        <f t="shared" ca="1" si="35"/>
        <v>#N/A</v>
      </c>
      <c r="AC87" s="171" t="e">
        <f t="shared" ca="1" si="36"/>
        <v>#N/A</v>
      </c>
      <c r="AD87" s="171" t="e">
        <f t="shared" ca="1" si="37"/>
        <v>#VALUE!</v>
      </c>
      <c r="AE87" s="332" t="str">
        <f t="shared" si="40"/>
        <v/>
      </c>
      <c r="AF87" s="332" t="e">
        <f t="shared" ca="1" si="41"/>
        <v>#N/A</v>
      </c>
    </row>
    <row r="88" spans="1:32" ht="15" customHeight="1">
      <c r="B88" s="177" t="b">
        <f>IF(TRIM(Length_5_R2!A21)="",FALSE,TRUE)</f>
        <v>0</v>
      </c>
      <c r="C88" s="171" t="str">
        <f>IF($B88=FALSE,"",VALUE(Length_5_R2!A21))</f>
        <v/>
      </c>
      <c r="D88" s="171" t="str">
        <f>IF($B88=FALSE,"",Length_5_R2!B21)</f>
        <v/>
      </c>
      <c r="E88" s="177" t="str">
        <f>IF(B88=FALSE,"",Length_5_R2!M21)</f>
        <v/>
      </c>
      <c r="F88" s="177" t="str">
        <f>IF(B88=FALSE,"",Length_5_R2!N21)</f>
        <v/>
      </c>
      <c r="G88" s="177" t="str">
        <f>IF(B88=FALSE,"",Length_5_R2!O21)</f>
        <v/>
      </c>
      <c r="H88" s="177" t="str">
        <f>IF(B88=FALSE,"",Length_5_R2!P21)</f>
        <v/>
      </c>
      <c r="I88" s="177" t="str">
        <f>IF(B88=FALSE,"",Length_5_R2!Q21)</f>
        <v/>
      </c>
      <c r="J88" s="171" t="str">
        <f t="shared" si="25"/>
        <v/>
      </c>
      <c r="K88" s="181" t="str">
        <f t="shared" si="26"/>
        <v/>
      </c>
      <c r="L88" s="182" t="str">
        <f>IF(B88=FALSE,"",Length_5_R2!D44)</f>
        <v/>
      </c>
      <c r="M88" s="183" t="str">
        <f>IF(B88=FALSE,"",Calcu!J88*I$65)</f>
        <v/>
      </c>
      <c r="N88" s="184" t="str">
        <f t="shared" si="27"/>
        <v/>
      </c>
      <c r="O88" s="184" t="str">
        <f>IF(B88=FALSE,"",Length_5_R2!K44)</f>
        <v/>
      </c>
      <c r="P88" s="184" t="str">
        <f t="shared" si="28"/>
        <v/>
      </c>
      <c r="Q88" s="171" t="str">
        <f t="shared" si="29"/>
        <v/>
      </c>
      <c r="R88" s="171" t="str">
        <f t="shared" si="30"/>
        <v/>
      </c>
      <c r="S88" s="256" t="str">
        <f t="shared" si="31"/>
        <v/>
      </c>
      <c r="T88" s="185" t="str">
        <f t="shared" si="32"/>
        <v/>
      </c>
      <c r="U88" s="186" t="str">
        <f t="shared" si="33"/>
        <v/>
      </c>
      <c r="V88" s="332" t="str">
        <f t="shared" si="38"/>
        <v/>
      </c>
      <c r="W88" s="332" t="str">
        <f t="shared" si="39"/>
        <v/>
      </c>
      <c r="X88" s="124"/>
      <c r="Y88" s="171">
        <f>IF(Length_5_R2!J21&lt;0,ROUNDUP(Length_5_R2!J21*I$65,$L$107),ROUNDDOWN(Length_5_R2!J21*I$65,$L$107))</f>
        <v>0</v>
      </c>
      <c r="Z88" s="171">
        <f>IF(Length_5_R2!K21&lt;0,ROUNDDOWN(Length_5_R2!K21*I$65,$L$107),ROUNDUP(Length_5_R2!K21*I$65,$L$107))</f>
        <v>0</v>
      </c>
      <c r="AA88" s="171" t="e">
        <f t="shared" ca="1" si="34"/>
        <v>#N/A</v>
      </c>
      <c r="AB88" s="174" t="e">
        <f t="shared" ca="1" si="35"/>
        <v>#N/A</v>
      </c>
      <c r="AC88" s="171" t="e">
        <f t="shared" ca="1" si="36"/>
        <v>#N/A</v>
      </c>
      <c r="AD88" s="171" t="e">
        <f t="shared" ca="1" si="37"/>
        <v>#VALUE!</v>
      </c>
      <c r="AE88" s="332" t="str">
        <f t="shared" si="40"/>
        <v/>
      </c>
      <c r="AF88" s="332" t="e">
        <f t="shared" ca="1" si="41"/>
        <v>#N/A</v>
      </c>
    </row>
    <row r="89" spans="1:32" ht="15" customHeight="1">
      <c r="B89" s="177" t="b">
        <f>IF(TRIM(Length_5_R2!A22)="",FALSE,TRUE)</f>
        <v>0</v>
      </c>
      <c r="C89" s="171" t="str">
        <f>IF($B89=FALSE,"",VALUE(Length_5_R2!A22))</f>
        <v/>
      </c>
      <c r="D89" s="171" t="str">
        <f>IF($B89=FALSE,"",Length_5_R2!B22)</f>
        <v/>
      </c>
      <c r="E89" s="177" t="str">
        <f>IF(B89=FALSE,"",Length_5_R2!M22)</f>
        <v/>
      </c>
      <c r="F89" s="177" t="str">
        <f>IF(B89=FALSE,"",Length_5_R2!N22)</f>
        <v/>
      </c>
      <c r="G89" s="177" t="str">
        <f>IF(B89=FALSE,"",Length_5_R2!O22)</f>
        <v/>
      </c>
      <c r="H89" s="177" t="str">
        <f>IF(B89=FALSE,"",Length_5_R2!P22)</f>
        <v/>
      </c>
      <c r="I89" s="177" t="str">
        <f>IF(B89=FALSE,"",Length_5_R2!Q22)</f>
        <v/>
      </c>
      <c r="J89" s="171" t="str">
        <f t="shared" si="25"/>
        <v/>
      </c>
      <c r="K89" s="181" t="str">
        <f t="shared" si="26"/>
        <v/>
      </c>
      <c r="L89" s="182" t="str">
        <f>IF(B89=FALSE,"",Length_5_R2!D45)</f>
        <v/>
      </c>
      <c r="M89" s="183" t="str">
        <f>IF(B89=FALSE,"",Calcu!J89*I$65)</f>
        <v/>
      </c>
      <c r="N89" s="184" t="str">
        <f t="shared" si="27"/>
        <v/>
      </c>
      <c r="O89" s="184" t="str">
        <f>IF(B89=FALSE,"",Length_5_R2!K45)</f>
        <v/>
      </c>
      <c r="P89" s="184" t="str">
        <f t="shared" si="28"/>
        <v/>
      </c>
      <c r="Q89" s="171" t="str">
        <f t="shared" si="29"/>
        <v/>
      </c>
      <c r="R89" s="171" t="str">
        <f t="shared" si="30"/>
        <v/>
      </c>
      <c r="S89" s="256" t="str">
        <f t="shared" si="31"/>
        <v/>
      </c>
      <c r="T89" s="185" t="str">
        <f t="shared" si="32"/>
        <v/>
      </c>
      <c r="U89" s="186" t="str">
        <f t="shared" si="33"/>
        <v/>
      </c>
      <c r="V89" s="332" t="str">
        <f t="shared" si="38"/>
        <v/>
      </c>
      <c r="W89" s="332" t="str">
        <f t="shared" si="39"/>
        <v/>
      </c>
      <c r="X89" s="124"/>
      <c r="Y89" s="171">
        <f>IF(Length_5_R2!J22&lt;0,ROUNDUP(Length_5_R2!J22*I$65,$L$107),ROUNDDOWN(Length_5_R2!J22*I$65,$L$107))</f>
        <v>0</v>
      </c>
      <c r="Z89" s="171">
        <f>IF(Length_5_R2!K22&lt;0,ROUNDDOWN(Length_5_R2!K22*I$65,$L$107),ROUNDUP(Length_5_R2!K22*I$65,$L$107))</f>
        <v>0</v>
      </c>
      <c r="AA89" s="171" t="e">
        <f t="shared" ca="1" si="34"/>
        <v>#N/A</v>
      </c>
      <c r="AB89" s="174" t="e">
        <f t="shared" ca="1" si="35"/>
        <v>#N/A</v>
      </c>
      <c r="AC89" s="171" t="e">
        <f t="shared" ca="1" si="36"/>
        <v>#N/A</v>
      </c>
      <c r="AD89" s="171" t="e">
        <f t="shared" ca="1" si="37"/>
        <v>#VALUE!</v>
      </c>
      <c r="AE89" s="332" t="str">
        <f t="shared" si="40"/>
        <v/>
      </c>
      <c r="AF89" s="332" t="e">
        <f t="shared" ca="1" si="41"/>
        <v>#N/A</v>
      </c>
    </row>
    <row r="90" spans="1:32" ht="15" customHeight="1">
      <c r="B90" s="177" t="b">
        <f>IF(TRIM(Length_5_R2!A23)="",FALSE,TRUE)</f>
        <v>0</v>
      </c>
      <c r="C90" s="171" t="str">
        <f>IF($B90=FALSE,"",VALUE(Length_5_R2!A23))</f>
        <v/>
      </c>
      <c r="D90" s="171" t="str">
        <f>IF($B90=FALSE,"",Length_5_R2!B23)</f>
        <v/>
      </c>
      <c r="E90" s="177" t="str">
        <f>IF(B90=FALSE,"",Length_5_R2!M23)</f>
        <v/>
      </c>
      <c r="F90" s="177" t="str">
        <f>IF(B90=FALSE,"",Length_5_R2!N23)</f>
        <v/>
      </c>
      <c r="G90" s="177" t="str">
        <f>IF(B90=FALSE,"",Length_5_R2!O23)</f>
        <v/>
      </c>
      <c r="H90" s="177" t="str">
        <f>IF(B90=FALSE,"",Length_5_R2!P23)</f>
        <v/>
      </c>
      <c r="I90" s="177" t="str">
        <f>IF(B90=FALSE,"",Length_5_R2!Q23)</f>
        <v/>
      </c>
      <c r="J90" s="171" t="str">
        <f t="shared" si="25"/>
        <v/>
      </c>
      <c r="K90" s="181" t="str">
        <f t="shared" si="26"/>
        <v/>
      </c>
      <c r="L90" s="182" t="str">
        <f>IF(B90=FALSE,"",Length_5_R2!D46)</f>
        <v/>
      </c>
      <c r="M90" s="183" t="str">
        <f>IF(B90=FALSE,"",Calcu!J90*I$65)</f>
        <v/>
      </c>
      <c r="N90" s="184" t="str">
        <f t="shared" si="27"/>
        <v/>
      </c>
      <c r="O90" s="184" t="str">
        <f>IF(B90=FALSE,"",Length_5_R2!K46)</f>
        <v/>
      </c>
      <c r="P90" s="184" t="str">
        <f t="shared" si="28"/>
        <v/>
      </c>
      <c r="Q90" s="171" t="str">
        <f t="shared" si="29"/>
        <v/>
      </c>
      <c r="R90" s="171" t="str">
        <f t="shared" si="30"/>
        <v/>
      </c>
      <c r="S90" s="256" t="str">
        <f t="shared" si="31"/>
        <v/>
      </c>
      <c r="T90" s="185" t="str">
        <f t="shared" si="32"/>
        <v/>
      </c>
      <c r="U90" s="186" t="str">
        <f t="shared" si="33"/>
        <v/>
      </c>
      <c r="V90" s="332" t="str">
        <f t="shared" si="38"/>
        <v/>
      </c>
      <c r="W90" s="332" t="str">
        <f t="shared" si="39"/>
        <v/>
      </c>
      <c r="X90" s="124"/>
      <c r="Y90" s="171">
        <f>IF(Length_5_R2!J23&lt;0,ROUNDUP(Length_5_R2!J23*I$65,$L$107),ROUNDDOWN(Length_5_R2!J23*I$65,$L$107))</f>
        <v>0</v>
      </c>
      <c r="Z90" s="171">
        <f>IF(Length_5_R2!K23&lt;0,ROUNDDOWN(Length_5_R2!K23*I$65,$L$107),ROUNDUP(Length_5_R2!K23*I$65,$L$107))</f>
        <v>0</v>
      </c>
      <c r="AA90" s="171" t="e">
        <f t="shared" ca="1" si="34"/>
        <v>#N/A</v>
      </c>
      <c r="AB90" s="174" t="e">
        <f t="shared" ca="1" si="35"/>
        <v>#N/A</v>
      </c>
      <c r="AC90" s="171" t="e">
        <f t="shared" ca="1" si="36"/>
        <v>#N/A</v>
      </c>
      <c r="AD90" s="171" t="e">
        <f t="shared" ca="1" si="37"/>
        <v>#VALUE!</v>
      </c>
      <c r="AE90" s="332" t="str">
        <f t="shared" si="40"/>
        <v/>
      </c>
      <c r="AF90" s="332" t="e">
        <f t="shared" ca="1" si="41"/>
        <v>#N/A</v>
      </c>
    </row>
    <row r="91" spans="1:32" ht="15" customHeight="1">
      <c r="N91" s="120"/>
      <c r="O91" s="120"/>
      <c r="P91" s="120"/>
      <c r="Q91" s="120"/>
      <c r="R91" s="120"/>
      <c r="S91" s="120"/>
      <c r="T91" s="120"/>
      <c r="Y91" s="120"/>
    </row>
    <row r="92" spans="1:32" ht="15" customHeight="1">
      <c r="A92" s="118" t="s">
        <v>263</v>
      </c>
      <c r="C92" s="119"/>
      <c r="D92" s="119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</row>
    <row r="93" spans="1:32" ht="15" customHeight="1">
      <c r="A93" s="118"/>
      <c r="B93" s="551"/>
      <c r="C93" s="551" t="s">
        <v>165</v>
      </c>
      <c r="D93" s="554" t="s">
        <v>166</v>
      </c>
      <c r="E93" s="551" t="s">
        <v>167</v>
      </c>
      <c r="F93" s="551" t="s">
        <v>60</v>
      </c>
      <c r="G93" s="549">
        <v>1</v>
      </c>
      <c r="H93" s="561"/>
      <c r="I93" s="561"/>
      <c r="J93" s="561"/>
      <c r="K93" s="561"/>
      <c r="L93" s="561"/>
      <c r="M93" s="550"/>
      <c r="N93" s="284">
        <v>2</v>
      </c>
      <c r="O93" s="549">
        <v>3</v>
      </c>
      <c r="P93" s="561"/>
      <c r="Q93" s="561"/>
      <c r="R93" s="550"/>
      <c r="S93" s="549">
        <v>4</v>
      </c>
      <c r="T93" s="561"/>
      <c r="U93" s="550"/>
      <c r="V93" s="284">
        <v>5</v>
      </c>
      <c r="W93" s="551" t="s">
        <v>169</v>
      </c>
      <c r="X93" s="551" t="s">
        <v>170</v>
      </c>
      <c r="Y93" s="549" t="s">
        <v>588</v>
      </c>
      <c r="Z93" s="550"/>
      <c r="AA93" s="124"/>
      <c r="AB93" s="124"/>
      <c r="AC93" s="124"/>
    </row>
    <row r="94" spans="1:32" ht="15" customHeight="1">
      <c r="A94" s="118"/>
      <c r="B94" s="553"/>
      <c r="C94" s="553"/>
      <c r="D94" s="556"/>
      <c r="E94" s="553"/>
      <c r="F94" s="553"/>
      <c r="G94" s="310" t="s">
        <v>545</v>
      </c>
      <c r="H94" s="310" t="s">
        <v>174</v>
      </c>
      <c r="I94" s="284" t="s">
        <v>471</v>
      </c>
      <c r="J94" s="284" t="s">
        <v>472</v>
      </c>
      <c r="K94" s="549" t="s">
        <v>169</v>
      </c>
      <c r="L94" s="561"/>
      <c r="M94" s="550"/>
      <c r="N94" s="284" t="s">
        <v>175</v>
      </c>
      <c r="O94" s="549" t="s">
        <v>174</v>
      </c>
      <c r="P94" s="550"/>
      <c r="Q94" s="549" t="s">
        <v>176</v>
      </c>
      <c r="R94" s="550"/>
      <c r="S94" s="549" t="s">
        <v>177</v>
      </c>
      <c r="T94" s="561"/>
      <c r="U94" s="550"/>
      <c r="V94" s="284" t="s">
        <v>178</v>
      </c>
      <c r="W94" s="553"/>
      <c r="X94" s="569"/>
      <c r="Y94" s="324" t="s">
        <v>207</v>
      </c>
      <c r="Z94" s="324" t="s">
        <v>589</v>
      </c>
      <c r="AA94" s="124"/>
      <c r="AB94" s="124"/>
      <c r="AC94" s="124"/>
    </row>
    <row r="95" spans="1:32" ht="15" customHeight="1">
      <c r="B95" s="284" t="s">
        <v>181</v>
      </c>
      <c r="C95" s="187" t="s">
        <v>182</v>
      </c>
      <c r="D95" s="188" t="s">
        <v>183</v>
      </c>
      <c r="E95" s="282" t="e">
        <f ca="1">OFFSET(L$70,MATCH(K$65,T$71:T$90,0),0)</f>
        <v>#N/A</v>
      </c>
      <c r="F95" s="189" t="s">
        <v>184</v>
      </c>
      <c r="G95" s="171" t="e">
        <f ca="1">OFFSET(Length_5_R2!F26,MATCH(E65,C71:C90,0),0)</f>
        <v>#N/A</v>
      </c>
      <c r="H95" s="234" t="e">
        <f ca="1">OFFSET(Length_5_R2!G26,MATCH(E65,C71:C90,0),0)</f>
        <v>#N/A</v>
      </c>
      <c r="I95" s="171" t="e">
        <f ca="1">OFFSET(Length_5_R2!J26,MATCH(E65,C71:C90,0),0)</f>
        <v>#N/A</v>
      </c>
      <c r="J95" s="171" t="e">
        <f ca="1">OFFSET(Length_5_R2!I26,MATCH(E65,C71:C90,0),0)</f>
        <v>#N/A</v>
      </c>
      <c r="K95" s="199" t="e">
        <f ca="1">G95/J95</f>
        <v>#N/A</v>
      </c>
      <c r="L95" s="183" t="e">
        <f ca="1">IF(I95="L=m",H95/1000,H95)/J95</f>
        <v>#N/A</v>
      </c>
      <c r="M95" s="173" t="s">
        <v>152</v>
      </c>
      <c r="N95" s="190" t="s">
        <v>186</v>
      </c>
      <c r="O95" s="171"/>
      <c r="P95" s="171"/>
      <c r="Q95" s="183">
        <v>1</v>
      </c>
      <c r="R95" s="171"/>
      <c r="S95" s="191" t="e">
        <f ca="1">ABS(K95*Q95)</f>
        <v>#N/A</v>
      </c>
      <c r="T95" s="171" t="e">
        <f ca="1">ABS(L95*Q95)</f>
        <v>#N/A</v>
      </c>
      <c r="U95" s="173" t="s">
        <v>152</v>
      </c>
      <c r="V95" s="171" t="s">
        <v>187</v>
      </c>
      <c r="W95" s="199" t="e">
        <f ca="1">SQRT(SUMSQ(S95,T95*K$65))</f>
        <v>#N/A</v>
      </c>
      <c r="X95" s="195">
        <f t="shared" ref="X95:X100" si="42">IF(V95="∞",0,W95^4/V95)</f>
        <v>0</v>
      </c>
      <c r="Y95" s="191" t="str">
        <f t="shared" ref="Y95:Y100" si="43">IF(OR(N95="직사각형",N95="삼각형"),W95,"")</f>
        <v/>
      </c>
      <c r="Z95" s="191" t="e">
        <f t="shared" ref="Z95:Z100" ca="1" si="44">IF(OR(N95="직사각형",N95="삼각형"),"",W95)</f>
        <v>#N/A</v>
      </c>
      <c r="AA95" s="124"/>
      <c r="AB95" s="124"/>
      <c r="AC95" s="124"/>
    </row>
    <row r="96" spans="1:32" ht="15" customHeight="1">
      <c r="B96" s="284" t="s">
        <v>189</v>
      </c>
      <c r="C96" s="187" t="s">
        <v>190</v>
      </c>
      <c r="D96" s="188" t="s">
        <v>193</v>
      </c>
      <c r="E96" s="282" t="e">
        <f ca="1">OFFSET(M$70,MATCH(K$65,T$71:T$90,0),0)</f>
        <v>#N/A</v>
      </c>
      <c r="F96" s="189" t="s">
        <v>184</v>
      </c>
      <c r="G96" s="171"/>
      <c r="H96" s="173">
        <f>IF(MAX(K71:K90)=0,N65*1000,MAX(K71:K90)*1000)</f>
        <v>0</v>
      </c>
      <c r="I96" s="171">
        <f>IF(MAX(K71:K90)=0,2,1)</f>
        <v>2</v>
      </c>
      <c r="J96" s="192">
        <v>5</v>
      </c>
      <c r="K96" s="199">
        <f>H96/(IF(I96="",1,I96)*SQRT(J96))</f>
        <v>0</v>
      </c>
      <c r="L96" s="199"/>
      <c r="M96" s="173" t="s">
        <v>152</v>
      </c>
      <c r="N96" s="190" t="s">
        <v>264</v>
      </c>
      <c r="O96" s="171"/>
      <c r="P96" s="171"/>
      <c r="Q96" s="183">
        <v>-1</v>
      </c>
      <c r="R96" s="171"/>
      <c r="S96" s="191">
        <f>ABS(K96*Q96)</f>
        <v>0</v>
      </c>
      <c r="T96" s="171">
        <f>ABS(L96*Q96)</f>
        <v>0</v>
      </c>
      <c r="U96" s="173" t="s">
        <v>152</v>
      </c>
      <c r="V96" s="171">
        <v>4</v>
      </c>
      <c r="W96" s="199">
        <f t="shared" ref="W96:W102" si="45">SQRT(SUMSQ(S96,T96*K$65))</f>
        <v>0</v>
      </c>
      <c r="X96" s="195">
        <f t="shared" si="42"/>
        <v>0</v>
      </c>
      <c r="Y96" s="191" t="str">
        <f t="shared" si="43"/>
        <v/>
      </c>
      <c r="Z96" s="191">
        <f t="shared" si="44"/>
        <v>0</v>
      </c>
      <c r="AA96" s="124"/>
      <c r="AB96" s="124"/>
      <c r="AC96" s="124"/>
    </row>
    <row r="97" spans="2:29" ht="15" customHeight="1">
      <c r="B97" s="284" t="s">
        <v>266</v>
      </c>
      <c r="C97" s="187" t="s">
        <v>267</v>
      </c>
      <c r="D97" s="188" t="s">
        <v>112</v>
      </c>
      <c r="E97" s="184" t="e">
        <f ca="1">OFFSET(P$70,MATCH(K$65,T$71:T$90,0),0)</f>
        <v>#N/A</v>
      </c>
      <c r="F97" s="189" t="s">
        <v>194</v>
      </c>
      <c r="G97" s="184"/>
      <c r="H97" s="184">
        <f>1*10^-6</f>
        <v>9.9999999999999995E-7</v>
      </c>
      <c r="I97" s="172"/>
      <c r="J97" s="192">
        <v>3</v>
      </c>
      <c r="K97" s="327"/>
      <c r="L97" s="327">
        <f>SQRT((H97/SQRT(J97)/2)^2+(H97/SQRT(J97)/2)^2)</f>
        <v>4.0824829046386305E-7</v>
      </c>
      <c r="M97" s="189" t="s">
        <v>194</v>
      </c>
      <c r="N97" s="190" t="s">
        <v>204</v>
      </c>
      <c r="O97" s="173">
        <f>H98</f>
        <v>0.2</v>
      </c>
      <c r="P97" s="171" t="s">
        <v>195</v>
      </c>
      <c r="Q97" s="183">
        <f>-O97*1000</f>
        <v>-200</v>
      </c>
      <c r="R97" s="171" t="s">
        <v>196</v>
      </c>
      <c r="S97" s="191">
        <f>ABS(K97*Q97)</f>
        <v>0</v>
      </c>
      <c r="T97" s="171">
        <f t="shared" ref="T97:T102" si="46">ABS(L97*Q97)</f>
        <v>8.1649658092772609E-5</v>
      </c>
      <c r="U97" s="173" t="s">
        <v>152</v>
      </c>
      <c r="V97" s="171">
        <v>100</v>
      </c>
      <c r="W97" s="199">
        <f t="shared" si="45"/>
        <v>0</v>
      </c>
      <c r="X97" s="195">
        <f t="shared" si="42"/>
        <v>0</v>
      </c>
      <c r="Y97" s="191">
        <f t="shared" si="43"/>
        <v>0</v>
      </c>
      <c r="Z97" s="191" t="str">
        <f t="shared" si="44"/>
        <v/>
      </c>
      <c r="AA97" s="124"/>
      <c r="AB97" s="124"/>
      <c r="AC97" s="124"/>
    </row>
    <row r="98" spans="2:29" ht="15" customHeight="1">
      <c r="B98" s="284" t="s">
        <v>269</v>
      </c>
      <c r="C98" s="187" t="s">
        <v>198</v>
      </c>
      <c r="D98" s="188" t="s">
        <v>114</v>
      </c>
      <c r="E98" s="173" t="str">
        <f>Q71</f>
        <v/>
      </c>
      <c r="F98" s="189" t="s">
        <v>199</v>
      </c>
      <c r="G98" s="172"/>
      <c r="H98" s="173">
        <f>IF(기본정보!H12=1,0.4,0.2)</f>
        <v>0.2</v>
      </c>
      <c r="I98" s="172"/>
      <c r="J98" s="192">
        <v>3</v>
      </c>
      <c r="K98" s="199"/>
      <c r="L98" s="199">
        <f>H98/(IF(I98="",1,I98)*SQRT(J98))</f>
        <v>0.11547005383792516</v>
      </c>
      <c r="M98" s="189" t="s">
        <v>199</v>
      </c>
      <c r="N98" s="190" t="s">
        <v>207</v>
      </c>
      <c r="O98" s="184" t="e">
        <f ca="1">E97</f>
        <v>#N/A</v>
      </c>
      <c r="P98" s="171" t="s">
        <v>195</v>
      </c>
      <c r="Q98" s="183" t="e">
        <f ca="1">-O98*1000</f>
        <v>#N/A</v>
      </c>
      <c r="R98" s="171" t="s">
        <v>200</v>
      </c>
      <c r="S98" s="191" t="e">
        <f ca="1">ABS(K98*Q98)</f>
        <v>#N/A</v>
      </c>
      <c r="T98" s="171" t="e">
        <f t="shared" ca="1" si="46"/>
        <v>#N/A</v>
      </c>
      <c r="U98" s="173" t="s">
        <v>152</v>
      </c>
      <c r="V98" s="171">
        <v>12</v>
      </c>
      <c r="W98" s="199" t="e">
        <f t="shared" ca="1" si="45"/>
        <v>#N/A</v>
      </c>
      <c r="X98" s="195" t="e">
        <f t="shared" ca="1" si="42"/>
        <v>#N/A</v>
      </c>
      <c r="Y98" s="191" t="e">
        <f t="shared" ca="1" si="43"/>
        <v>#N/A</v>
      </c>
      <c r="Z98" s="191" t="str">
        <f t="shared" si="44"/>
        <v/>
      </c>
      <c r="AA98" s="124"/>
      <c r="AB98" s="124"/>
      <c r="AC98" s="124"/>
    </row>
    <row r="99" spans="2:29" ht="15" customHeight="1">
      <c r="B99" s="284" t="s">
        <v>201</v>
      </c>
      <c r="C99" s="187" t="s">
        <v>202</v>
      </c>
      <c r="D99" s="188" t="s">
        <v>113</v>
      </c>
      <c r="E99" s="193" t="e">
        <f ca="1">OFFSET(R$70,MATCH(K$65,T$71:T$90,0),0)</f>
        <v>#N/A</v>
      </c>
      <c r="F99" s="189" t="s">
        <v>194</v>
      </c>
      <c r="G99" s="184"/>
      <c r="H99" s="184">
        <f>1*10^-6</f>
        <v>9.9999999999999995E-7</v>
      </c>
      <c r="I99" s="172"/>
      <c r="J99" s="192">
        <v>3</v>
      </c>
      <c r="K99" s="327"/>
      <c r="L99" s="327">
        <f>SQRT((H99/SQRT(J99))^2+(H99/SQRT(J99))^2)</f>
        <v>8.1649658092772609E-7</v>
      </c>
      <c r="M99" s="189" t="s">
        <v>194</v>
      </c>
      <c r="N99" s="190" t="s">
        <v>204</v>
      </c>
      <c r="O99" s="173">
        <f>E100</f>
        <v>0.1</v>
      </c>
      <c r="P99" s="171" t="s">
        <v>195</v>
      </c>
      <c r="Q99" s="183">
        <f>-O99*1000</f>
        <v>-100</v>
      </c>
      <c r="R99" s="171" t="s">
        <v>196</v>
      </c>
      <c r="S99" s="191">
        <f t="shared" ref="S99:S102" si="47">ABS(K99*Q99)</f>
        <v>0</v>
      </c>
      <c r="T99" s="171">
        <f t="shared" si="46"/>
        <v>8.1649658092772609E-5</v>
      </c>
      <c r="U99" s="173" t="s">
        <v>152</v>
      </c>
      <c r="V99" s="171">
        <v>100</v>
      </c>
      <c r="W99" s="199">
        <f t="shared" si="45"/>
        <v>0</v>
      </c>
      <c r="X99" s="195">
        <f t="shared" si="42"/>
        <v>0</v>
      </c>
      <c r="Y99" s="191">
        <f t="shared" si="43"/>
        <v>0</v>
      </c>
      <c r="Z99" s="191" t="str">
        <f t="shared" si="44"/>
        <v/>
      </c>
      <c r="AA99" s="124"/>
      <c r="AB99" s="124"/>
      <c r="AC99" s="124"/>
    </row>
    <row r="100" spans="2:29" ht="15" customHeight="1">
      <c r="B100" s="284" t="s">
        <v>206</v>
      </c>
      <c r="C100" s="187" t="s">
        <v>115</v>
      </c>
      <c r="D100" s="188" t="s">
        <v>116</v>
      </c>
      <c r="E100" s="173">
        <f>MAX(S71,0.1)</f>
        <v>0.1</v>
      </c>
      <c r="F100" s="189" t="s">
        <v>199</v>
      </c>
      <c r="G100" s="172"/>
      <c r="H100" s="173">
        <f>IF(기본정보!H12=1,3,1)</f>
        <v>1</v>
      </c>
      <c r="I100" s="172"/>
      <c r="J100" s="192">
        <v>3</v>
      </c>
      <c r="K100" s="199"/>
      <c r="L100" s="199">
        <f>H100/(IF(I100="",1,I100)*SQRT(J100))</f>
        <v>0.57735026918962584</v>
      </c>
      <c r="M100" s="189" t="s">
        <v>199</v>
      </c>
      <c r="N100" s="190" t="s">
        <v>207</v>
      </c>
      <c r="O100" s="193" t="e">
        <f ca="1">E99</f>
        <v>#N/A</v>
      </c>
      <c r="P100" s="171" t="s">
        <v>195</v>
      </c>
      <c r="Q100" s="183" t="e">
        <f ca="1">-O100*1000</f>
        <v>#N/A</v>
      </c>
      <c r="R100" s="171" t="s">
        <v>200</v>
      </c>
      <c r="S100" s="191" t="e">
        <f t="shared" ca="1" si="47"/>
        <v>#N/A</v>
      </c>
      <c r="T100" s="171" t="e">
        <f t="shared" ca="1" si="46"/>
        <v>#N/A</v>
      </c>
      <c r="U100" s="173" t="s">
        <v>152</v>
      </c>
      <c r="V100" s="171">
        <v>12</v>
      </c>
      <c r="W100" s="199" t="e">
        <f t="shared" ca="1" si="45"/>
        <v>#N/A</v>
      </c>
      <c r="X100" s="195" t="e">
        <f t="shared" ca="1" si="42"/>
        <v>#N/A</v>
      </c>
      <c r="Y100" s="191" t="e">
        <f t="shared" ca="1" si="43"/>
        <v>#N/A</v>
      </c>
      <c r="Z100" s="191" t="str">
        <f t="shared" si="44"/>
        <v/>
      </c>
      <c r="AA100" s="124"/>
      <c r="AB100" s="124"/>
      <c r="AC100" s="124"/>
    </row>
    <row r="101" spans="2:29" ht="15" customHeight="1">
      <c r="B101" s="284" t="s">
        <v>209</v>
      </c>
      <c r="C101" s="187" t="s">
        <v>76</v>
      </c>
      <c r="D101" s="188" t="s">
        <v>608</v>
      </c>
      <c r="E101" s="171">
        <v>0</v>
      </c>
      <c r="F101" s="189" t="s">
        <v>184</v>
      </c>
      <c r="G101" s="241"/>
      <c r="H101" s="171">
        <f>N65*1000</f>
        <v>0</v>
      </c>
      <c r="I101" s="171">
        <v>2</v>
      </c>
      <c r="J101" s="192">
        <v>3</v>
      </c>
      <c r="K101" s="199">
        <f t="shared" ref="K101:K102" si="48">H101/(IF(I101="",1,I101)*SQRT(J101))</f>
        <v>0</v>
      </c>
      <c r="L101" s="199"/>
      <c r="M101" s="173" t="s">
        <v>152</v>
      </c>
      <c r="N101" s="190" t="s">
        <v>207</v>
      </c>
      <c r="O101" s="171"/>
      <c r="P101" s="171"/>
      <c r="Q101" s="183">
        <v>1</v>
      </c>
      <c r="R101" s="171"/>
      <c r="S101" s="191">
        <f t="shared" si="47"/>
        <v>0</v>
      </c>
      <c r="T101" s="171">
        <f t="shared" si="46"/>
        <v>0</v>
      </c>
      <c r="U101" s="173" t="s">
        <v>152</v>
      </c>
      <c r="V101" s="171" t="s">
        <v>187</v>
      </c>
      <c r="W101" s="199">
        <f t="shared" si="45"/>
        <v>0</v>
      </c>
      <c r="X101" s="195">
        <f>IF(V102="∞",0,W101^4/V102)</f>
        <v>0</v>
      </c>
      <c r="Y101" s="191" t="e">
        <f ca="1">IF(OR(N101="직사각형",N101="삼각형"),W100,"")</f>
        <v>#N/A</v>
      </c>
      <c r="Z101" s="191" t="str">
        <f>IF(OR(N101="직사각형",N101="삼각형"),"",W100)</f>
        <v/>
      </c>
      <c r="AA101" s="124"/>
      <c r="AB101" s="124"/>
      <c r="AC101" s="124"/>
    </row>
    <row r="102" spans="2:29" ht="15" customHeight="1">
      <c r="B102" s="309" t="s">
        <v>543</v>
      </c>
      <c r="C102" s="187" t="s">
        <v>544</v>
      </c>
      <c r="D102" s="188" t="s">
        <v>609</v>
      </c>
      <c r="E102" s="171">
        <v>0</v>
      </c>
      <c r="F102" s="189" t="s">
        <v>184</v>
      </c>
      <c r="G102" s="171">
        <v>0.1</v>
      </c>
      <c r="H102" s="191">
        <f>(1-COS(ATAN(G102/100)))*K65*1000</f>
        <v>0</v>
      </c>
      <c r="I102" s="172"/>
      <c r="J102" s="192">
        <v>3</v>
      </c>
      <c r="K102" s="199">
        <f t="shared" si="48"/>
        <v>0</v>
      </c>
      <c r="L102" s="199"/>
      <c r="M102" s="173" t="s">
        <v>185</v>
      </c>
      <c r="N102" s="190" t="s">
        <v>207</v>
      </c>
      <c r="O102" s="171"/>
      <c r="P102" s="171"/>
      <c r="Q102" s="183">
        <v>1</v>
      </c>
      <c r="R102" s="171"/>
      <c r="S102" s="191">
        <f t="shared" si="47"/>
        <v>0</v>
      </c>
      <c r="T102" s="171">
        <f t="shared" si="46"/>
        <v>0</v>
      </c>
      <c r="U102" s="173" t="s">
        <v>185</v>
      </c>
      <c r="V102" s="171">
        <v>12</v>
      </c>
      <c r="W102" s="199">
        <f t="shared" si="45"/>
        <v>0</v>
      </c>
      <c r="X102" s="195">
        <f>IF(V102="∞",0,W102^4/V102)</f>
        <v>0</v>
      </c>
      <c r="Y102" s="191">
        <f>IF(OR(N102="직사각형",N102="삼각형"),W102,"")</f>
        <v>0</v>
      </c>
      <c r="Z102" s="191" t="str">
        <f>IF(OR(N102="직사각형",N102="삼각형"),"",W102)</f>
        <v/>
      </c>
      <c r="AA102" s="124"/>
      <c r="AB102" s="124"/>
      <c r="AC102" s="124"/>
    </row>
    <row r="103" spans="2:29" ht="15" customHeight="1">
      <c r="B103" s="284" t="s">
        <v>210</v>
      </c>
      <c r="C103" s="187" t="s">
        <v>211</v>
      </c>
      <c r="D103" s="188" t="s">
        <v>277</v>
      </c>
      <c r="E103" s="282" t="e">
        <f ca="1">E95-E96-(E97*E98+E99*E100)*K65</f>
        <v>#N/A</v>
      </c>
      <c r="F103" s="189" t="s">
        <v>184</v>
      </c>
      <c r="G103" s="235"/>
      <c r="H103" s="236"/>
      <c r="I103" s="235"/>
      <c r="J103" s="235"/>
      <c r="K103" s="235"/>
      <c r="L103" s="235"/>
      <c r="M103" s="235"/>
      <c r="N103" s="235"/>
      <c r="O103" s="235"/>
      <c r="P103" s="235"/>
      <c r="Q103" s="235"/>
      <c r="R103" s="237"/>
      <c r="S103" s="194" t="e">
        <f ca="1">SQRT(SUMSQ(S95:S102))</f>
        <v>#N/A</v>
      </c>
      <c r="T103" s="194" t="e">
        <f ca="1">SQRT(SUMSQ(T95:T102))</f>
        <v>#N/A</v>
      </c>
      <c r="U103" s="173" t="s">
        <v>152</v>
      </c>
      <c r="V103" s="185" t="e">
        <f ca="1">IF(X103=0,"∞",ROUNDDOWN(W103^4/X103,0))</f>
        <v>#N/A</v>
      </c>
      <c r="W103" s="238" t="e">
        <f ca="1">SQRT(SUMSQ(W95:W102))</f>
        <v>#N/A</v>
      </c>
      <c r="X103" s="325" t="e">
        <f ca="1">SUM(X95:X102)</f>
        <v>#N/A</v>
      </c>
      <c r="Y103" s="238" t="e">
        <f ca="1">SQRT(SUMSQ(Y95:Y102))</f>
        <v>#N/A</v>
      </c>
      <c r="Z103" s="238" t="e">
        <f ca="1">SQRT(SUMSQ(Z95:Z102))</f>
        <v>#N/A</v>
      </c>
      <c r="AA103" s="124"/>
      <c r="AB103" s="124"/>
      <c r="AC103" s="124"/>
    </row>
    <row r="104" spans="2:29" ht="15" customHeight="1">
      <c r="L104" s="124"/>
      <c r="U104" s="124"/>
      <c r="V104" s="124"/>
      <c r="W104" s="124"/>
      <c r="X104" s="124"/>
      <c r="Y104" s="124"/>
      <c r="AC104" s="124"/>
    </row>
    <row r="105" spans="2:29" ht="15" customHeight="1">
      <c r="B105" s="286"/>
      <c r="C105" s="549" t="s">
        <v>212</v>
      </c>
      <c r="D105" s="561"/>
      <c r="E105" s="561"/>
      <c r="F105" s="561"/>
      <c r="G105" s="550"/>
      <c r="H105" s="300" t="s">
        <v>540</v>
      </c>
      <c r="I105" s="300" t="s">
        <v>541</v>
      </c>
      <c r="J105" s="549" t="s">
        <v>542</v>
      </c>
      <c r="K105" s="561"/>
      <c r="L105" s="561"/>
      <c r="M105" s="550"/>
      <c r="N105" s="335" t="s">
        <v>592</v>
      </c>
      <c r="O105" s="549" t="s">
        <v>611</v>
      </c>
      <c r="P105" s="561"/>
      <c r="Q105" s="561"/>
      <c r="R105" s="551" t="s">
        <v>590</v>
      </c>
      <c r="S105" s="549" t="s">
        <v>591</v>
      </c>
      <c r="T105" s="561"/>
      <c r="U105" s="550"/>
      <c r="W105" s="124"/>
    </row>
    <row r="106" spans="2:29" ht="15" customHeight="1">
      <c r="B106" s="286"/>
      <c r="C106" s="286">
        <v>1</v>
      </c>
      <c r="D106" s="286">
        <v>2</v>
      </c>
      <c r="E106" s="286" t="s">
        <v>256</v>
      </c>
      <c r="F106" s="286" t="s">
        <v>60</v>
      </c>
      <c r="G106" s="286" t="s">
        <v>283</v>
      </c>
      <c r="H106" s="299" t="s">
        <v>184</v>
      </c>
      <c r="I106" s="299" t="s">
        <v>184</v>
      </c>
      <c r="J106" s="335" t="s">
        <v>612</v>
      </c>
      <c r="K106" s="335" t="s">
        <v>613</v>
      </c>
      <c r="L106" s="335" t="s">
        <v>614</v>
      </c>
      <c r="M106" s="335" t="s">
        <v>615</v>
      </c>
      <c r="N106" s="336"/>
      <c r="O106" s="335" t="s">
        <v>612</v>
      </c>
      <c r="P106" s="335" t="s">
        <v>284</v>
      </c>
      <c r="Q106" s="335" t="s">
        <v>616</v>
      </c>
      <c r="R106" s="553"/>
      <c r="S106" s="334" t="s">
        <v>617</v>
      </c>
      <c r="T106" s="564" t="s">
        <v>618</v>
      </c>
      <c r="U106" s="565"/>
      <c r="W106" s="124"/>
    </row>
    <row r="107" spans="2:29" ht="15" customHeight="1">
      <c r="B107" s="286" t="s">
        <v>212</v>
      </c>
      <c r="C107" s="126" t="e">
        <f ca="1">S103*E118</f>
        <v>#N/A</v>
      </c>
      <c r="D107" s="126" t="e">
        <f ca="1">T103*E118</f>
        <v>#N/A</v>
      </c>
      <c r="E107" s="126">
        <f>K65</f>
        <v>0</v>
      </c>
      <c r="F107" s="128" t="str">
        <f>U103</f>
        <v>μm</v>
      </c>
      <c r="G107" s="133" t="e">
        <f ca="1">SQRT(SUMSQ(C107,D107*E107))/1000</f>
        <v>#N/A</v>
      </c>
      <c r="H107" s="132" t="e">
        <f ca="1">MAX(G107:G108)</f>
        <v>#N/A</v>
      </c>
      <c r="I107" s="161">
        <f>N65</f>
        <v>0</v>
      </c>
      <c r="J107" s="329" t="e">
        <f ca="1">MAX(IF(H107&lt;0.00001,6,IF(H107&lt;0.0001,5,IF(H107&lt;0.001,4,IF(H107&lt;0.01,3,IF(H107&lt;0.1,2,IF(H107&lt;1,1,IF(H107&lt;10,0,IF(H107&lt;100,-1,-2)))))))),0)+K108</f>
        <v>#N/A</v>
      </c>
      <c r="K107" s="329" t="e">
        <f ca="1">MAX(IF(H108&lt;0.00001,6,IF(H108&lt;0.0001,5,IF(H108&lt;0.001,4,IF(H108&lt;0.01,3,IF(H108&lt;0.1,2,IF(H108&lt;1,1,IF(H108&lt;10,0,IF(H108&lt;100,-1,-2)))))))),0)+1</f>
        <v>#N/A</v>
      </c>
      <c r="L107" s="332">
        <f>IFERROR(LEN(I107)-FIND(".",I107),0)</f>
        <v>0</v>
      </c>
      <c r="M107" s="333" t="e">
        <f ca="1">IF(Q108,IF(M108,MIN(J107,L107),J107),L107)</f>
        <v>#N/A</v>
      </c>
      <c r="N107" s="331" t="e">
        <f ca="1">ABS((H107-ROUND(H107,M107))/H107*100)</f>
        <v>#N/A</v>
      </c>
      <c r="O107" s="332" t="e">
        <f ca="1">OFFSET(P111,MATCH(M107,O112:O121,0),0)</f>
        <v>#N/A</v>
      </c>
      <c r="P107" s="332" t="e">
        <f ca="1">OFFSET(P111,MATCH(M107,O112:O121,0),0)</f>
        <v>#N/A</v>
      </c>
      <c r="Q107" s="332" t="str">
        <f ca="1">OFFSET(P111,MATCH(L107,O112:O121,0),0)</f>
        <v>0</v>
      </c>
      <c r="R107" s="129">
        <f ca="1">IFERROR(IF(G107=H107,0,1),0)</f>
        <v>0</v>
      </c>
      <c r="S107" s="330" t="e">
        <f ca="1">TEXT(IF(N107&gt;5,ROUNDUP(H107,M107),ROUND(H107,M107)),O107)</f>
        <v>#N/A</v>
      </c>
      <c r="T107" s="337" t="e">
        <f ca="1">ROUND(H108,K107)</f>
        <v>#N/A</v>
      </c>
      <c r="U107" s="330" t="e">
        <f ca="1">ROUNDUP(IF(G107=H107,D107,D108),3)</f>
        <v>#N/A</v>
      </c>
      <c r="W107" s="124"/>
    </row>
    <row r="108" spans="2:29" ht="15" customHeight="1">
      <c r="B108" s="286" t="s">
        <v>63</v>
      </c>
      <c r="C108" s="127" t="e">
        <f ca="1">$O$65</f>
        <v>#N/A</v>
      </c>
      <c r="D108" s="128" t="e">
        <f ca="1">$P$65</f>
        <v>#N/A</v>
      </c>
      <c r="E108" s="128">
        <f>K65</f>
        <v>0</v>
      </c>
      <c r="F108" s="128" t="e">
        <f ca="1">$Q$65</f>
        <v>#N/A</v>
      </c>
      <c r="G108" s="133" t="e">
        <f ca="1">SQRT(SUMSQ(C108,D108*E108))/1000</f>
        <v>#N/A</v>
      </c>
      <c r="H108" s="132" t="e">
        <f ca="1">IF(H107=G107,C107,C108)</f>
        <v>#N/A</v>
      </c>
      <c r="J108" s="321" t="s">
        <v>585</v>
      </c>
      <c r="K108" s="171">
        <f>IF(O108=TRUE,1,기본정보!$A$47)</f>
        <v>1</v>
      </c>
      <c r="L108" s="321" t="s">
        <v>586</v>
      </c>
      <c r="M108" s="171" t="b">
        <f>IF(O108=TRUE,FALSE,기본정보!$A$52)</f>
        <v>0</v>
      </c>
      <c r="N108" s="321" t="s">
        <v>587</v>
      </c>
      <c r="O108" s="171" t="b">
        <f>기본정보!$A$46=0</f>
        <v>1</v>
      </c>
      <c r="P108" s="335" t="s">
        <v>610</v>
      </c>
      <c r="Q108" s="338" t="b">
        <f>TYPE('교정결과-HY'!$A$1)=2</f>
        <v>1</v>
      </c>
      <c r="R108" s="121"/>
      <c r="T108" s="134" t="e">
        <f ca="1">TEXT(T107,OFFSET(P111,MATCH(K107,O112:O121,0),0))</f>
        <v>#N/A</v>
      </c>
      <c r="U108" s="134" t="e">
        <f ca="1">TEXT(U107,OFFSET(P111,MATCH(3,O112:O121,0),0))</f>
        <v>#N/A</v>
      </c>
      <c r="W108" s="124"/>
    </row>
    <row r="109" spans="2:29" ht="15" customHeight="1">
      <c r="B109" s="122"/>
      <c r="C109" s="122"/>
      <c r="D109" s="122"/>
      <c r="Q109" s="121"/>
      <c r="R109" s="121"/>
      <c r="S109" s="121"/>
      <c r="T109" s="121"/>
      <c r="U109" s="121"/>
      <c r="V109" s="124"/>
    </row>
    <row r="110" spans="2:29" ht="15" customHeight="1">
      <c r="B110" s="130" t="s">
        <v>280</v>
      </c>
      <c r="C110" s="122"/>
      <c r="D110" s="122"/>
      <c r="F110" s="121"/>
      <c r="I110" s="187" t="s">
        <v>53</v>
      </c>
      <c r="J110" s="187" t="s">
        <v>171</v>
      </c>
      <c r="O110" s="281" t="s">
        <v>172</v>
      </c>
      <c r="P110" s="281" t="s">
        <v>173</v>
      </c>
      <c r="R110" s="554" t="s">
        <v>519</v>
      </c>
      <c r="S110" s="562" t="s">
        <v>515</v>
      </c>
      <c r="T110" s="577"/>
      <c r="U110" s="577"/>
      <c r="V110" s="577"/>
      <c r="W110" s="577"/>
      <c r="X110" s="577"/>
      <c r="Y110" s="577"/>
      <c r="Z110" s="563"/>
    </row>
    <row r="111" spans="2:29" ht="15" customHeight="1">
      <c r="B111" s="562" t="s">
        <v>593</v>
      </c>
      <c r="C111" s="563"/>
      <c r="D111" s="551" t="s">
        <v>281</v>
      </c>
      <c r="E111" s="324" t="s">
        <v>595</v>
      </c>
      <c r="F111" s="324" t="s">
        <v>474</v>
      </c>
      <c r="G111" s="324" t="s">
        <v>596</v>
      </c>
      <c r="I111" s="187"/>
      <c r="J111" s="187">
        <v>95.45</v>
      </c>
      <c r="O111" s="285" t="s">
        <v>179</v>
      </c>
      <c r="P111" s="285" t="s">
        <v>180</v>
      </c>
      <c r="R111" s="578"/>
      <c r="S111" s="297" t="s">
        <v>516</v>
      </c>
      <c r="T111" s="297" t="s">
        <v>517</v>
      </c>
      <c r="U111" s="297" t="s">
        <v>518</v>
      </c>
      <c r="V111" s="562" t="s">
        <v>514</v>
      </c>
      <c r="W111" s="577"/>
      <c r="X111" s="577"/>
      <c r="Y111" s="577"/>
      <c r="Z111" s="563"/>
    </row>
    <row r="112" spans="2:29" ht="15" customHeight="1">
      <c r="B112" s="323" t="s">
        <v>486</v>
      </c>
      <c r="C112" s="326" t="s">
        <v>594</v>
      </c>
      <c r="D112" s="553"/>
      <c r="E112" s="322" t="e">
        <f ca="1">Y103</f>
        <v>#N/A</v>
      </c>
      <c r="F112" s="322" t="e">
        <f ca="1">Z103</f>
        <v>#N/A</v>
      </c>
      <c r="G112" s="257" t="e">
        <f ca="1">F112/E112</f>
        <v>#N/A</v>
      </c>
      <c r="I112" s="171">
        <v>1</v>
      </c>
      <c r="J112" s="171">
        <v>13.97</v>
      </c>
      <c r="O112" s="196">
        <v>0</v>
      </c>
      <c r="P112" s="197" t="s">
        <v>188</v>
      </c>
      <c r="Q112" s="121"/>
      <c r="R112" s="125">
        <f>K4</f>
        <v>0</v>
      </c>
      <c r="S112" s="125" t="e">
        <f ca="1">T46</f>
        <v>#N/A</v>
      </c>
      <c r="T112" s="125" t="e">
        <f ca="1">U46</f>
        <v>#N/A</v>
      </c>
      <c r="U112" s="125" t="str">
        <f ca="1">IFERROR(SQRT(SUMSQ(S112,T112*MAX(R112:R113))),"")</f>
        <v/>
      </c>
      <c r="V112" s="297" t="s">
        <v>520</v>
      </c>
      <c r="W112" s="297" t="s">
        <v>175</v>
      </c>
      <c r="X112" s="297" t="s">
        <v>511</v>
      </c>
      <c r="Y112" s="297" t="s">
        <v>512</v>
      </c>
      <c r="Z112" s="297" t="s">
        <v>513</v>
      </c>
    </row>
    <row r="113" spans="1:26" ht="15" customHeight="1">
      <c r="B113" s="171">
        <v>1</v>
      </c>
      <c r="C113" s="191">
        <f ca="1">IFERROR(LARGE(Y95:Y102,B113),0)</f>
        <v>0</v>
      </c>
      <c r="D113" s="324" t="s">
        <v>597</v>
      </c>
      <c r="E113" s="566" t="e">
        <f ca="1">SQRT(SUMSQ(C115:C120,Z95:Z102))</f>
        <v>#N/A</v>
      </c>
      <c r="F113" s="566"/>
      <c r="G113" s="567" t="e">
        <f ca="1">E113/SQRT(SUMSQ(E114,F114))</f>
        <v>#N/A</v>
      </c>
      <c r="I113" s="171">
        <v>2</v>
      </c>
      <c r="J113" s="171">
        <v>4.53</v>
      </c>
      <c r="O113" s="196">
        <v>1</v>
      </c>
      <c r="P113" s="197" t="s">
        <v>265</v>
      </c>
      <c r="Q113" s="121"/>
      <c r="R113" s="125">
        <f>K65</f>
        <v>0</v>
      </c>
      <c r="S113" s="125" t="e">
        <f ca="1">T107</f>
        <v>#N/A</v>
      </c>
      <c r="T113" s="125" t="e">
        <f ca="1">U107</f>
        <v>#N/A</v>
      </c>
      <c r="U113" s="125" t="str">
        <f ca="1">IFERROR(SQRT(SUMSQ(S113,T113*MAX(R112:R113))),"")</f>
        <v/>
      </c>
      <c r="V113" s="125">
        <f ca="1">MAX(U112:U113)</f>
        <v>0</v>
      </c>
      <c r="W113" s="293" t="e">
        <f ca="1">IF(V113=U112,E56,E117)</f>
        <v>#N/A</v>
      </c>
      <c r="X113" s="293" t="e">
        <f ca="1">IF(V113=U112,E57,E118)</f>
        <v>#N/A</v>
      </c>
      <c r="Y113" s="293" t="e">
        <f ca="1">IF(V113=U112,T47,T108)</f>
        <v>#N/A</v>
      </c>
      <c r="Z113" s="293" t="e">
        <f ca="1">IF(V113=U112,U47,U108)</f>
        <v>#N/A</v>
      </c>
    </row>
    <row r="114" spans="1:26" ht="15" customHeight="1">
      <c r="B114" s="171">
        <v>2</v>
      </c>
      <c r="C114" s="191">
        <f ca="1">IFERROR(LARGE(Y95:Y102,B114),0)</f>
        <v>0</v>
      </c>
      <c r="D114" s="324" t="s">
        <v>598</v>
      </c>
      <c r="E114" s="322">
        <f ca="1">C113</f>
        <v>0</v>
      </c>
      <c r="F114" s="322">
        <f ca="1">C114</f>
        <v>0</v>
      </c>
      <c r="G114" s="568"/>
      <c r="I114" s="171">
        <v>3</v>
      </c>
      <c r="J114" s="171">
        <v>3.31</v>
      </c>
      <c r="O114" s="196">
        <v>2</v>
      </c>
      <c r="P114" s="197" t="s">
        <v>197</v>
      </c>
      <c r="Q114" s="121"/>
      <c r="R114" s="121"/>
      <c r="S114" s="121"/>
      <c r="T114" s="121"/>
      <c r="U114" s="121"/>
      <c r="V114" s="124"/>
    </row>
    <row r="115" spans="1:26" ht="15" customHeight="1">
      <c r="B115" s="171">
        <v>3</v>
      </c>
      <c r="C115" s="191">
        <f ca="1">IFERROR(LARGE(Y95:Y102,B115),0)</f>
        <v>0</v>
      </c>
      <c r="D115" s="560" t="s">
        <v>599</v>
      </c>
      <c r="E115" s="170" t="s">
        <v>285</v>
      </c>
      <c r="F115" s="170" t="s">
        <v>600</v>
      </c>
      <c r="G115" s="170" t="s">
        <v>286</v>
      </c>
      <c r="I115" s="171">
        <v>4</v>
      </c>
      <c r="J115" s="171">
        <v>2.87</v>
      </c>
      <c r="O115" s="196">
        <v>3</v>
      </c>
      <c r="P115" s="197" t="s">
        <v>273</v>
      </c>
      <c r="Q115" s="121"/>
      <c r="R115" s="121"/>
      <c r="S115" s="121"/>
      <c r="T115" s="121"/>
      <c r="U115" s="121"/>
      <c r="V115" s="124"/>
    </row>
    <row r="116" spans="1:26" ht="15" customHeight="1">
      <c r="B116" s="171">
        <v>4</v>
      </c>
      <c r="C116" s="191">
        <f ca="1">IFERROR(LARGE(Y95:Y102,B116),0)</f>
        <v>0</v>
      </c>
      <c r="D116" s="560"/>
      <c r="E116" s="171">
        <f ca="1">OFFSET(H94,MATCH(E114,Y95:Y102,0),0)/IF(OFFSET(I94,MATCH(E114,Y95:Y102,0),0)="",1,OFFSET(I94,MATCH(E114,Y95:Y102,0),0))</f>
        <v>9.9999999999999995E-7</v>
      </c>
      <c r="F116" s="171">
        <f ca="1">OFFSET(H94,MATCH(F114,Y95:Y102,0),0)/IF(OFFSET(I94,MATCH(F114,Y95:Y102,0),0)="",1,OFFSET(I94,MATCH(F114,Y95:Y102,0),0))</f>
        <v>9.9999999999999995E-7</v>
      </c>
      <c r="G116" s="322">
        <f ca="1">ABS(E116-F116)/(E116+F116)</f>
        <v>0</v>
      </c>
      <c r="I116" s="171">
        <v>5</v>
      </c>
      <c r="J116" s="171">
        <v>2.65</v>
      </c>
      <c r="O116" s="196">
        <v>4</v>
      </c>
      <c r="P116" s="197" t="s">
        <v>274</v>
      </c>
      <c r="Q116" s="121"/>
      <c r="R116" s="121"/>
      <c r="S116" s="121"/>
      <c r="T116" s="121"/>
      <c r="U116" s="121"/>
    </row>
    <row r="117" spans="1:26" ht="15" customHeight="1">
      <c r="B117" s="171">
        <v>5</v>
      </c>
      <c r="C117" s="191">
        <f ca="1">IFERROR(LARGE(Y95:Y102,B117),0)</f>
        <v>0</v>
      </c>
      <c r="D117" s="324" t="s">
        <v>175</v>
      </c>
      <c r="E117" s="160" t="e">
        <f ca="1">IF(AND(G112&lt;0.3,G113&lt;0.3),"사다리꼴","정규")</f>
        <v>#N/A</v>
      </c>
      <c r="I117" s="171">
        <v>6</v>
      </c>
      <c r="J117" s="171">
        <v>2.52</v>
      </c>
      <c r="O117" s="196">
        <v>5</v>
      </c>
      <c r="P117" s="197" t="s">
        <v>208</v>
      </c>
      <c r="Q117" s="121"/>
      <c r="R117" s="121"/>
      <c r="S117" s="121"/>
      <c r="T117" s="121"/>
      <c r="U117" s="121"/>
    </row>
    <row r="118" spans="1:26" ht="15" customHeight="1">
      <c r="B118" s="171">
        <v>6</v>
      </c>
      <c r="C118" s="191">
        <f ca="1">IFERROR(LARGE(Y95:Y102,B118),0)</f>
        <v>0</v>
      </c>
      <c r="D118" s="324" t="s">
        <v>214</v>
      </c>
      <c r="E118" s="171" t="e">
        <f ca="1">IF(E117="정규",IF(OR(V103="∞",V103&gt;=10),2,OFFSET(J111,MATCH(V103,I112:I121,0),0)),ROUND((1-SQRT((1-0.95)*(1-G116^2)))/SQRT((1+G116^2)/6),2))</f>
        <v>#N/A</v>
      </c>
      <c r="I118" s="171">
        <v>7</v>
      </c>
      <c r="J118" s="171">
        <v>2.4300000000000002</v>
      </c>
      <c r="O118" s="196">
        <v>6</v>
      </c>
      <c r="P118" s="197" t="s">
        <v>275</v>
      </c>
      <c r="Q118" s="121"/>
      <c r="R118" s="121"/>
      <c r="S118" s="121"/>
      <c r="T118" s="121"/>
      <c r="U118" s="121"/>
    </row>
    <row r="119" spans="1:26" ht="15" customHeight="1">
      <c r="B119" s="171">
        <v>7</v>
      </c>
      <c r="C119" s="191">
        <f ca="1">IFERROR(LARGE(Y95:Y102,B119),0)</f>
        <v>0</v>
      </c>
      <c r="E119" s="123"/>
      <c r="F119" s="121"/>
      <c r="I119" s="171">
        <v>8</v>
      </c>
      <c r="J119" s="171">
        <v>2.37</v>
      </c>
      <c r="O119" s="196">
        <v>7</v>
      </c>
      <c r="P119" s="197" t="s">
        <v>276</v>
      </c>
      <c r="Q119" s="121"/>
      <c r="R119" s="121"/>
      <c r="S119" s="121"/>
      <c r="T119" s="121"/>
      <c r="U119" s="121"/>
    </row>
    <row r="120" spans="1:26" ht="15" customHeight="1">
      <c r="B120" s="171">
        <v>8</v>
      </c>
      <c r="C120" s="191">
        <f ca="1">IFERROR(LARGE(Y95:Y102,B120),0)</f>
        <v>0</v>
      </c>
      <c r="E120" s="123"/>
      <c r="I120" s="171">
        <v>9</v>
      </c>
      <c r="J120" s="171">
        <v>2.3199999999999998</v>
      </c>
      <c r="O120" s="196">
        <v>8</v>
      </c>
      <c r="P120" s="197" t="s">
        <v>278</v>
      </c>
      <c r="Q120" s="121"/>
      <c r="R120" s="121"/>
      <c r="S120" s="121"/>
      <c r="T120" s="121"/>
      <c r="U120" s="121"/>
      <c r="V120" s="124"/>
    </row>
    <row r="121" spans="1:26" ht="15" customHeight="1">
      <c r="B121" s="122"/>
      <c r="C121" s="122"/>
      <c r="E121" s="123"/>
      <c r="I121" s="171" t="s">
        <v>54</v>
      </c>
      <c r="J121" s="171">
        <v>2</v>
      </c>
      <c r="O121" s="196">
        <v>9</v>
      </c>
      <c r="P121" s="197" t="s">
        <v>279</v>
      </c>
      <c r="Q121" s="121"/>
      <c r="R121" s="121"/>
      <c r="S121" s="121"/>
      <c r="T121" s="121"/>
      <c r="U121" s="121"/>
      <c r="V121" s="124"/>
    </row>
    <row r="122" spans="1:26" ht="18" customHeight="1">
      <c r="B122" s="122"/>
      <c r="C122" s="122"/>
      <c r="D122" s="122"/>
      <c r="Q122" s="121"/>
      <c r="R122" s="121"/>
      <c r="S122" s="121"/>
      <c r="T122" s="121"/>
      <c r="U122" s="121"/>
    </row>
    <row r="123" spans="1:26" ht="18" customHeight="1">
      <c r="A123" s="272" t="s">
        <v>537</v>
      </c>
    </row>
    <row r="124" spans="1:26" ht="15" customHeight="1">
      <c r="A124" s="118" t="s">
        <v>219</v>
      </c>
      <c r="B124" s="119"/>
      <c r="C124" s="119"/>
      <c r="D124" s="119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</row>
    <row r="125" spans="1:26" ht="24">
      <c r="B125" s="284" t="s">
        <v>161</v>
      </c>
      <c r="C125" s="284" t="s">
        <v>220</v>
      </c>
      <c r="D125" s="284" t="s">
        <v>221</v>
      </c>
      <c r="E125" s="284" t="s">
        <v>108</v>
      </c>
      <c r="F125" s="284" t="s">
        <v>62</v>
      </c>
      <c r="G125" s="284" t="s">
        <v>76</v>
      </c>
      <c r="H125" s="284" t="s">
        <v>60</v>
      </c>
      <c r="I125" s="284" t="s">
        <v>225</v>
      </c>
      <c r="J125" s="284" t="s">
        <v>226</v>
      </c>
      <c r="K125" s="284" t="s">
        <v>227</v>
      </c>
      <c r="L125" s="284" t="s">
        <v>473</v>
      </c>
      <c r="M125" s="284" t="s">
        <v>228</v>
      </c>
      <c r="N125" s="284" t="s">
        <v>163</v>
      </c>
      <c r="O125" s="284" t="s">
        <v>229</v>
      </c>
      <c r="P125" s="284" t="s">
        <v>164</v>
      </c>
      <c r="Q125" s="284" t="s">
        <v>230</v>
      </c>
      <c r="R125" s="120"/>
      <c r="S125" s="120"/>
      <c r="T125" s="121"/>
      <c r="U125" s="121"/>
    </row>
    <row r="126" spans="1:26" ht="15" customHeight="1">
      <c r="B126" s="171" t="e">
        <f>C126</f>
        <v>#DIV/0!</v>
      </c>
      <c r="C126" s="171" t="e">
        <f>AVERAGE(기본정보!B12:B13)</f>
        <v>#DIV/0!</v>
      </c>
      <c r="D126" s="171">
        <f>MIN(C132:C151)</f>
        <v>0</v>
      </c>
      <c r="E126" s="171">
        <f>MAX(C132:C151)</f>
        <v>0</v>
      </c>
      <c r="F126" s="171">
        <f>Length_5_R5!G4</f>
        <v>0</v>
      </c>
      <c r="G126" s="171">
        <f>Length_5_R5!H4</f>
        <v>0</v>
      </c>
      <c r="H126" s="171">
        <f>Length_5_R5!I4</f>
        <v>0</v>
      </c>
      <c r="I126" s="171">
        <f>IF(H126="inch",25.4,1)</f>
        <v>1</v>
      </c>
      <c r="J126" s="171">
        <f>MIN(T132:T151)</f>
        <v>0</v>
      </c>
      <c r="K126" s="171">
        <f>MAX(T132:T151)</f>
        <v>0</v>
      </c>
      <c r="L126" s="171" t="str">
        <f>TEXT(K126,IF(K126&gt;=1000,"# ###","G/표준"))</f>
        <v>0</v>
      </c>
      <c r="M126" s="171">
        <f>F126*I126</f>
        <v>0</v>
      </c>
      <c r="N126" s="171">
        <f>G126*I126</f>
        <v>0</v>
      </c>
      <c r="O126" s="171" t="e">
        <f ca="1">OFFSET(Length_5_R5!C3,MATCH($K126,$T132:$T151,0),0)</f>
        <v>#N/A</v>
      </c>
      <c r="P126" s="171" t="e">
        <f ca="1">OFFSET(Length_5_R5!D3,MATCH($K126,$T132:$T151,0),0)</f>
        <v>#N/A</v>
      </c>
      <c r="Q126" s="171" t="e">
        <f ca="1">OFFSET(Length_5_R5!E3,MATCH($K126,$T132:$T151,0),0)</f>
        <v>#N/A</v>
      </c>
      <c r="T126" s="121"/>
      <c r="U126" s="121"/>
    </row>
    <row r="127" spans="1:26" ht="15" customHeight="1">
      <c r="B127" s="119"/>
      <c r="C127" s="119"/>
      <c r="D127" s="119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</row>
    <row r="128" spans="1:26" ht="15" customHeight="1">
      <c r="A128" s="118" t="s">
        <v>231</v>
      </c>
      <c r="C128" s="119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1"/>
      <c r="Y128" s="131" t="s">
        <v>232</v>
      </c>
    </row>
    <row r="129" spans="2:32" ht="15" customHeight="1">
      <c r="B129" s="560" t="s">
        <v>233</v>
      </c>
      <c r="C129" s="554" t="s">
        <v>92</v>
      </c>
      <c r="D129" s="554" t="s">
        <v>60</v>
      </c>
      <c r="E129" s="557" t="s">
        <v>525</v>
      </c>
      <c r="F129" s="557"/>
      <c r="G129" s="557"/>
      <c r="H129" s="557"/>
      <c r="I129" s="557"/>
      <c r="J129" s="557"/>
      <c r="K129" s="558" t="s">
        <v>235</v>
      </c>
      <c r="L129" s="284" t="s">
        <v>236</v>
      </c>
      <c r="M129" s="284" t="s">
        <v>190</v>
      </c>
      <c r="N129" s="549" t="s">
        <v>149</v>
      </c>
      <c r="O129" s="561"/>
      <c r="P129" s="550"/>
      <c r="Q129" s="284" t="s">
        <v>198</v>
      </c>
      <c r="R129" s="179" t="s">
        <v>202</v>
      </c>
      <c r="S129" s="284" t="s">
        <v>240</v>
      </c>
      <c r="T129" s="284" t="s">
        <v>92</v>
      </c>
      <c r="U129" s="284" t="s">
        <v>241</v>
      </c>
      <c r="V129" s="549" t="s">
        <v>242</v>
      </c>
      <c r="W129" s="550"/>
      <c r="X129" s="124"/>
      <c r="Y129" s="570" t="s">
        <v>88</v>
      </c>
      <c r="Z129" s="571"/>
      <c r="AA129" s="572" t="s">
        <v>244</v>
      </c>
      <c r="AB129" s="573"/>
      <c r="AC129" s="573"/>
      <c r="AD129" s="573"/>
      <c r="AE129" s="573"/>
      <c r="AF129" s="573"/>
    </row>
    <row r="130" spans="2:32" ht="15" customHeight="1">
      <c r="B130" s="560"/>
      <c r="C130" s="555"/>
      <c r="D130" s="555"/>
      <c r="E130" s="180" t="s">
        <v>245</v>
      </c>
      <c r="F130" s="286" t="s">
        <v>246</v>
      </c>
      <c r="G130" s="180" t="s">
        <v>109</v>
      </c>
      <c r="H130" s="286" t="s">
        <v>110</v>
      </c>
      <c r="I130" s="180" t="s">
        <v>111</v>
      </c>
      <c r="J130" s="286" t="s">
        <v>247</v>
      </c>
      <c r="K130" s="559"/>
      <c r="L130" s="284" t="s">
        <v>248</v>
      </c>
      <c r="M130" s="284" t="s">
        <v>249</v>
      </c>
      <c r="N130" s="284" t="s">
        <v>250</v>
      </c>
      <c r="O130" s="284" t="s">
        <v>251</v>
      </c>
      <c r="P130" s="284" t="s">
        <v>252</v>
      </c>
      <c r="Q130" s="284" t="s">
        <v>253</v>
      </c>
      <c r="R130" s="284" t="s">
        <v>254</v>
      </c>
      <c r="S130" s="284" t="s">
        <v>255</v>
      </c>
      <c r="T130" s="284" t="s">
        <v>256</v>
      </c>
      <c r="U130" s="284" t="s">
        <v>257</v>
      </c>
      <c r="V130" s="284" t="s">
        <v>241</v>
      </c>
      <c r="W130" s="284" t="s">
        <v>89</v>
      </c>
      <c r="X130" s="124"/>
      <c r="Y130" s="212" t="s">
        <v>259</v>
      </c>
      <c r="Z130" s="212" t="s">
        <v>260</v>
      </c>
      <c r="AA130" s="284" t="s">
        <v>119</v>
      </c>
      <c r="AB130" s="283" t="s">
        <v>241</v>
      </c>
      <c r="AC130" s="284" t="s">
        <v>89</v>
      </c>
      <c r="AD130" s="211" t="s">
        <v>88</v>
      </c>
      <c r="AE130" s="211" t="s">
        <v>262</v>
      </c>
      <c r="AF130" s="211" t="s">
        <v>213</v>
      </c>
    </row>
    <row r="131" spans="2:32" ht="15" customHeight="1">
      <c r="B131" s="560"/>
      <c r="C131" s="556"/>
      <c r="D131" s="556"/>
      <c r="E131" s="286">
        <f>H126</f>
        <v>0</v>
      </c>
      <c r="F131" s="286">
        <f>E131</f>
        <v>0</v>
      </c>
      <c r="G131" s="286">
        <f>F131</f>
        <v>0</v>
      </c>
      <c r="H131" s="286">
        <f>G131</f>
        <v>0</v>
      </c>
      <c r="I131" s="286">
        <f>H131</f>
        <v>0</v>
      </c>
      <c r="J131" s="286">
        <f>I131</f>
        <v>0</v>
      </c>
      <c r="K131" s="284" t="s">
        <v>184</v>
      </c>
      <c r="L131" s="284" t="s">
        <v>184</v>
      </c>
      <c r="M131" s="284" t="s">
        <v>184</v>
      </c>
      <c r="N131" s="213" t="s">
        <v>194</v>
      </c>
      <c r="O131" s="213" t="s">
        <v>194</v>
      </c>
      <c r="P131" s="213" t="s">
        <v>194</v>
      </c>
      <c r="Q131" s="213" t="s">
        <v>199</v>
      </c>
      <c r="R131" s="213" t="s">
        <v>194</v>
      </c>
      <c r="S131" s="213" t="s">
        <v>199</v>
      </c>
      <c r="T131" s="284" t="s">
        <v>184</v>
      </c>
      <c r="U131" s="284" t="s">
        <v>184</v>
      </c>
      <c r="V131" s="284" t="s">
        <v>184</v>
      </c>
      <c r="W131" s="284" t="s">
        <v>184</v>
      </c>
      <c r="X131" s="124"/>
      <c r="Y131" s="212" t="s">
        <v>184</v>
      </c>
      <c r="Z131" s="212" t="s">
        <v>184</v>
      </c>
      <c r="AA131" s="284" t="s">
        <v>184</v>
      </c>
      <c r="AB131" s="284" t="s">
        <v>184</v>
      </c>
      <c r="AC131" s="284" t="s">
        <v>184</v>
      </c>
      <c r="AD131" s="211" t="s">
        <v>184</v>
      </c>
      <c r="AE131" s="240">
        <f>IF(TYPE(MATCH("FAIL",AE132:AE151,0))=16,0,1)</f>
        <v>0</v>
      </c>
      <c r="AF131" s="211" t="s">
        <v>184</v>
      </c>
    </row>
    <row r="132" spans="2:32" ht="15" customHeight="1">
      <c r="B132" s="177" t="b">
        <f>IF(TRIM(Length_5_R5!A4)="",FALSE,TRUE)</f>
        <v>0</v>
      </c>
      <c r="C132" s="171" t="str">
        <f>IF($B132=FALSE,"",VALUE(Length_5_R5!A4))</f>
        <v/>
      </c>
      <c r="D132" s="171" t="str">
        <f>IF($B132=FALSE,"",Length_5_R5!B4)</f>
        <v/>
      </c>
      <c r="E132" s="177" t="str">
        <f>IF(B132=FALSE,"",Length_5_R5!M4)</f>
        <v/>
      </c>
      <c r="F132" s="177" t="str">
        <f>IF(B132=FALSE,"",Length_5_R5!N4)</f>
        <v/>
      </c>
      <c r="G132" s="177" t="str">
        <f>IF(B132=FALSE,"",Length_5_R5!O4)</f>
        <v/>
      </c>
      <c r="H132" s="177" t="str">
        <f>IF(B132=FALSE,"",Length_5_R5!P4)</f>
        <v/>
      </c>
      <c r="I132" s="177" t="str">
        <f>IF(B132=FALSE,"",Length_5_R5!Q4)</f>
        <v/>
      </c>
      <c r="J132" s="171" t="str">
        <f t="shared" ref="J132:J151" si="49">IF(B132=FALSE,"",AVERAGE(E132:I132))</f>
        <v/>
      </c>
      <c r="K132" s="181" t="str">
        <f t="shared" ref="K132:K151" si="50">IF(B132=FALSE,"",STDEV(E132:I132)*I$126)</f>
        <v/>
      </c>
      <c r="L132" s="182" t="str">
        <f>IF(B132=FALSE,"",Length_5_R5!D27)</f>
        <v/>
      </c>
      <c r="M132" s="183" t="str">
        <f>IF(B132=FALSE,"",Calcu!J132*I$126)</f>
        <v/>
      </c>
      <c r="N132" s="184" t="str">
        <f t="shared" ref="N132:N151" si="51">IF(B132=FALSE,"",8*10^-6)</f>
        <v/>
      </c>
      <c r="O132" s="184" t="str">
        <f>IF(B132=FALSE,"",Length_5_R5!F27)</f>
        <v/>
      </c>
      <c r="P132" s="184" t="str">
        <f t="shared" ref="P132:P151" si="52">IF(B132=FALSE,"",AVERAGE(N132:O132))</f>
        <v/>
      </c>
      <c r="Q132" s="171" t="str">
        <f t="shared" ref="Q132:Q151" si="53">IF(B132=FALSE,"",B$126-C$126)</f>
        <v/>
      </c>
      <c r="R132" s="171" t="str">
        <f t="shared" ref="R132:R151" si="54">IF(B132=FALSE,"",N132-O132)</f>
        <v/>
      </c>
      <c r="S132" s="256" t="str">
        <f t="shared" ref="S132:S151" si="55">IF(B132=FALSE,"",AVERAGE(B$126:C$126)-20)</f>
        <v/>
      </c>
      <c r="T132" s="185" t="str">
        <f t="shared" ref="T132:T151" si="56">IF(B132=FALSE,"",C132*I$126)</f>
        <v/>
      </c>
      <c r="U132" s="186" t="str">
        <f t="shared" ref="U132:U151" si="57">IF(B132=FALSE,"",L132-M132-(P132*Q132+R132*S132)*T132)</f>
        <v/>
      </c>
      <c r="V132" s="171" t="str">
        <f>IF($B132=FALSE,"",ROUND(U132,$L$168))</f>
        <v/>
      </c>
      <c r="W132" s="171" t="str">
        <f>IF($B132=FALSE,"",ROUND(T132+V132,$L$168))</f>
        <v/>
      </c>
      <c r="X132" s="124"/>
      <c r="Y132" s="171">
        <f>IF(Length_5_R5!J4&lt;0,ROUNDUP(Length_5_R5!J4*I$126,$L$168),ROUNDDOWN(Length_5_R5!J4*I$126,$L$168))</f>
        <v>0</v>
      </c>
      <c r="Z132" s="171">
        <f>IF(Length_5_R5!K4&lt;0,ROUNDDOWN(Length_5_R5!K4*I$126,$L$168),ROUNDUP(Length_5_R5!K4*I$126,$L$168))</f>
        <v>0</v>
      </c>
      <c r="AA132" s="171" t="e">
        <f t="shared" ref="AA132:AA151" ca="1" si="58">TEXT(T132,IF(T132&gt;=1000,"# ##","")&amp;$P$168)</f>
        <v>#N/A</v>
      </c>
      <c r="AB132" s="174" t="e">
        <f t="shared" ref="AB132:AB151" ca="1" si="59">TEXT(V132,$P$168)</f>
        <v>#N/A</v>
      </c>
      <c r="AC132" s="171" t="e">
        <f t="shared" ref="AC132:AC151" ca="1" si="60">TEXT(W132,IF(W132&gt;=1000,"# ##","")&amp;$P$168)</f>
        <v>#N/A</v>
      </c>
      <c r="AD132" s="171" t="e">
        <f t="shared" ref="AD132:AD151" ca="1" si="61">"± "&amp;TEXT(Z132-T132,P$168)</f>
        <v>#VALUE!</v>
      </c>
      <c r="AE132" s="332" t="str">
        <f>IF($B132=FALSE,"",IF(AND(Y132&lt;=W132,W132&lt;=Z132),"PASS","FAIL"))</f>
        <v/>
      </c>
      <c r="AF132" s="171" t="e">
        <f ca="1">S$168</f>
        <v>#N/A</v>
      </c>
    </row>
    <row r="133" spans="2:32" ht="15" customHeight="1">
      <c r="B133" s="177" t="b">
        <f>IF(TRIM(Length_5_R5!A5)="",FALSE,TRUE)</f>
        <v>0</v>
      </c>
      <c r="C133" s="171" t="str">
        <f>IF($B133=FALSE,"",VALUE(Length_5_R5!A5))</f>
        <v/>
      </c>
      <c r="D133" s="171" t="str">
        <f>IF($B133=FALSE,"",Length_5_R5!B5)</f>
        <v/>
      </c>
      <c r="E133" s="177" t="str">
        <f>IF(B133=FALSE,"",Length_5_R5!M5)</f>
        <v/>
      </c>
      <c r="F133" s="177" t="str">
        <f>IF(B133=FALSE,"",Length_5_R5!N5)</f>
        <v/>
      </c>
      <c r="G133" s="177" t="str">
        <f>IF(B133=FALSE,"",Length_5_R5!O5)</f>
        <v/>
      </c>
      <c r="H133" s="177" t="str">
        <f>IF(B133=FALSE,"",Length_5_R5!P5)</f>
        <v/>
      </c>
      <c r="I133" s="177" t="str">
        <f>IF(B133=FALSE,"",Length_5_R5!Q5)</f>
        <v/>
      </c>
      <c r="J133" s="171" t="str">
        <f t="shared" si="49"/>
        <v/>
      </c>
      <c r="K133" s="181" t="str">
        <f t="shared" si="50"/>
        <v/>
      </c>
      <c r="L133" s="182" t="str">
        <f>IF(B133=FALSE,"",Length_5_R5!D28)</f>
        <v/>
      </c>
      <c r="M133" s="183" t="str">
        <f>IF(B133=FALSE,"",Calcu!J133*I$126)</f>
        <v/>
      </c>
      <c r="N133" s="184" t="str">
        <f t="shared" si="51"/>
        <v/>
      </c>
      <c r="O133" s="184" t="str">
        <f>IF(B133=FALSE,"",Length_5_R5!F28)</f>
        <v/>
      </c>
      <c r="P133" s="184" t="str">
        <f t="shared" si="52"/>
        <v/>
      </c>
      <c r="Q133" s="171" t="str">
        <f t="shared" si="53"/>
        <v/>
      </c>
      <c r="R133" s="171" t="str">
        <f t="shared" si="54"/>
        <v/>
      </c>
      <c r="S133" s="256" t="str">
        <f t="shared" si="55"/>
        <v/>
      </c>
      <c r="T133" s="185" t="str">
        <f t="shared" si="56"/>
        <v/>
      </c>
      <c r="U133" s="186" t="str">
        <f t="shared" si="57"/>
        <v/>
      </c>
      <c r="V133" s="332" t="str">
        <f t="shared" ref="V133:V151" si="62">IF($B133=FALSE,"",ROUND(U133,$L$168))</f>
        <v/>
      </c>
      <c r="W133" s="332" t="str">
        <f t="shared" ref="W133:W151" si="63">IF($B133=FALSE,"",ROUND(T133+V133,$L$168))</f>
        <v/>
      </c>
      <c r="X133" s="124"/>
      <c r="Y133" s="171">
        <f>IF(Length_5_R5!J5&lt;0,ROUNDUP(Length_5_R5!J5*I$126,$L$168),ROUNDDOWN(Length_5_R5!J5*I$126,$L$168))</f>
        <v>0</v>
      </c>
      <c r="Z133" s="171">
        <f>IF(Length_5_R5!K5&lt;0,ROUNDDOWN(Length_5_R5!K5*I$126,$L$168),ROUNDUP(Length_5_R5!K5*I$126,$L$168))</f>
        <v>0</v>
      </c>
      <c r="AA133" s="171" t="e">
        <f t="shared" ca="1" si="58"/>
        <v>#N/A</v>
      </c>
      <c r="AB133" s="174" t="e">
        <f t="shared" ca="1" si="59"/>
        <v>#N/A</v>
      </c>
      <c r="AC133" s="171" t="e">
        <f t="shared" ca="1" si="60"/>
        <v>#N/A</v>
      </c>
      <c r="AD133" s="171" t="e">
        <f t="shared" ca="1" si="61"/>
        <v>#VALUE!</v>
      </c>
      <c r="AE133" s="332" t="str">
        <f t="shared" ref="AE133:AE151" si="64">IF($B133=FALSE,"",IF(AND(Y133&lt;=W133,W133&lt;=Z133),"PASS","FAIL"))</f>
        <v/>
      </c>
      <c r="AF133" s="332" t="e">
        <f t="shared" ref="AF133:AF151" ca="1" si="65">S$168</f>
        <v>#N/A</v>
      </c>
    </row>
    <row r="134" spans="2:32" ht="15" customHeight="1">
      <c r="B134" s="177" t="b">
        <f>IF(TRIM(Length_5_R5!A6)="",FALSE,TRUE)</f>
        <v>0</v>
      </c>
      <c r="C134" s="171" t="str">
        <f>IF($B134=FALSE,"",VALUE(Length_5_R5!A6))</f>
        <v/>
      </c>
      <c r="D134" s="171" t="str">
        <f>IF($B134=FALSE,"",Length_5_R5!B6)</f>
        <v/>
      </c>
      <c r="E134" s="177" t="str">
        <f>IF(B134=FALSE,"",Length_5_R5!M6)</f>
        <v/>
      </c>
      <c r="F134" s="177" t="str">
        <f>IF(B134=FALSE,"",Length_5_R5!N6)</f>
        <v/>
      </c>
      <c r="G134" s="177" t="str">
        <f>IF(B134=FALSE,"",Length_5_R5!O6)</f>
        <v/>
      </c>
      <c r="H134" s="177" t="str">
        <f>IF(B134=FALSE,"",Length_5_R5!P6)</f>
        <v/>
      </c>
      <c r="I134" s="177" t="str">
        <f>IF(B134=FALSE,"",Length_5_R5!Q6)</f>
        <v/>
      </c>
      <c r="J134" s="171" t="str">
        <f t="shared" si="49"/>
        <v/>
      </c>
      <c r="K134" s="181" t="str">
        <f t="shared" si="50"/>
        <v/>
      </c>
      <c r="L134" s="182" t="str">
        <f>IF(B134=FALSE,"",Length_5_R5!D29)</f>
        <v/>
      </c>
      <c r="M134" s="183" t="str">
        <f>IF(B134=FALSE,"",Calcu!J134*I$126)</f>
        <v/>
      </c>
      <c r="N134" s="184" t="str">
        <f t="shared" si="51"/>
        <v/>
      </c>
      <c r="O134" s="184" t="str">
        <f>IF(B134=FALSE,"",Length_5_R5!F29)</f>
        <v/>
      </c>
      <c r="P134" s="184" t="str">
        <f t="shared" si="52"/>
        <v/>
      </c>
      <c r="Q134" s="171" t="str">
        <f t="shared" si="53"/>
        <v/>
      </c>
      <c r="R134" s="171" t="str">
        <f t="shared" si="54"/>
        <v/>
      </c>
      <c r="S134" s="256" t="str">
        <f t="shared" si="55"/>
        <v/>
      </c>
      <c r="T134" s="185" t="str">
        <f t="shared" si="56"/>
        <v/>
      </c>
      <c r="U134" s="186" t="str">
        <f t="shared" si="57"/>
        <v/>
      </c>
      <c r="V134" s="332" t="str">
        <f t="shared" si="62"/>
        <v/>
      </c>
      <c r="W134" s="332" t="str">
        <f t="shared" si="63"/>
        <v/>
      </c>
      <c r="X134" s="124"/>
      <c r="Y134" s="171">
        <f>IF(Length_5_R5!J6&lt;0,ROUNDUP(Length_5_R5!J6*I$126,$L$168),ROUNDDOWN(Length_5_R5!J6*I$126,$L$168))</f>
        <v>0</v>
      </c>
      <c r="Z134" s="171">
        <f>IF(Length_5_R5!K6&lt;0,ROUNDDOWN(Length_5_R5!K6*I$126,$L$168),ROUNDUP(Length_5_R5!K6*I$126,$L$168))</f>
        <v>0</v>
      </c>
      <c r="AA134" s="171" t="e">
        <f t="shared" ca="1" si="58"/>
        <v>#N/A</v>
      </c>
      <c r="AB134" s="174" t="e">
        <f t="shared" ca="1" si="59"/>
        <v>#N/A</v>
      </c>
      <c r="AC134" s="171" t="e">
        <f t="shared" ca="1" si="60"/>
        <v>#N/A</v>
      </c>
      <c r="AD134" s="171" t="e">
        <f t="shared" ca="1" si="61"/>
        <v>#VALUE!</v>
      </c>
      <c r="AE134" s="332" t="str">
        <f t="shared" si="64"/>
        <v/>
      </c>
      <c r="AF134" s="332" t="e">
        <f t="shared" ca="1" si="65"/>
        <v>#N/A</v>
      </c>
    </row>
    <row r="135" spans="2:32" ht="15" customHeight="1">
      <c r="B135" s="177" t="b">
        <f>IF(TRIM(Length_5_R5!A7)="",FALSE,TRUE)</f>
        <v>0</v>
      </c>
      <c r="C135" s="171" t="str">
        <f>IF($B135=FALSE,"",VALUE(Length_5_R5!A7))</f>
        <v/>
      </c>
      <c r="D135" s="171" t="str">
        <f>IF($B135=FALSE,"",Length_5_R5!B7)</f>
        <v/>
      </c>
      <c r="E135" s="177" t="str">
        <f>IF(B135=FALSE,"",Length_5_R5!M7)</f>
        <v/>
      </c>
      <c r="F135" s="177" t="str">
        <f>IF(B135=FALSE,"",Length_5_R5!N7)</f>
        <v/>
      </c>
      <c r="G135" s="177" t="str">
        <f>IF(B135=FALSE,"",Length_5_R5!O7)</f>
        <v/>
      </c>
      <c r="H135" s="177" t="str">
        <f>IF(B135=FALSE,"",Length_5_R5!P7)</f>
        <v/>
      </c>
      <c r="I135" s="177" t="str">
        <f>IF(B135=FALSE,"",Length_5_R5!Q7)</f>
        <v/>
      </c>
      <c r="J135" s="171" t="str">
        <f t="shared" si="49"/>
        <v/>
      </c>
      <c r="K135" s="181" t="str">
        <f t="shared" si="50"/>
        <v/>
      </c>
      <c r="L135" s="182" t="str">
        <f>IF(B135=FALSE,"",Length_5_R5!D30)</f>
        <v/>
      </c>
      <c r="M135" s="183" t="str">
        <f>IF(B135=FALSE,"",Calcu!J135*I$126)</f>
        <v/>
      </c>
      <c r="N135" s="184" t="str">
        <f t="shared" si="51"/>
        <v/>
      </c>
      <c r="O135" s="184" t="str">
        <f>IF(B135=FALSE,"",Length_5_R5!F30)</f>
        <v/>
      </c>
      <c r="P135" s="184" t="str">
        <f t="shared" si="52"/>
        <v/>
      </c>
      <c r="Q135" s="171" t="str">
        <f t="shared" si="53"/>
        <v/>
      </c>
      <c r="R135" s="171" t="str">
        <f t="shared" si="54"/>
        <v/>
      </c>
      <c r="S135" s="256" t="str">
        <f t="shared" si="55"/>
        <v/>
      </c>
      <c r="T135" s="185" t="str">
        <f t="shared" si="56"/>
        <v/>
      </c>
      <c r="U135" s="186" t="str">
        <f t="shared" si="57"/>
        <v/>
      </c>
      <c r="V135" s="332" t="str">
        <f t="shared" si="62"/>
        <v/>
      </c>
      <c r="W135" s="332" t="str">
        <f t="shared" si="63"/>
        <v/>
      </c>
      <c r="X135" s="124"/>
      <c r="Y135" s="171">
        <f>IF(Length_5_R5!J7&lt;0,ROUNDUP(Length_5_R5!J7*I$126,$L$168),ROUNDDOWN(Length_5_R5!J7*I$126,$L$168))</f>
        <v>0</v>
      </c>
      <c r="Z135" s="171">
        <f>IF(Length_5_R5!K7&lt;0,ROUNDDOWN(Length_5_R5!K7*I$126,$L$168),ROUNDUP(Length_5_R5!K7*I$126,$L$168))</f>
        <v>0</v>
      </c>
      <c r="AA135" s="171" t="e">
        <f t="shared" ca="1" si="58"/>
        <v>#N/A</v>
      </c>
      <c r="AB135" s="174" t="e">
        <f t="shared" ca="1" si="59"/>
        <v>#N/A</v>
      </c>
      <c r="AC135" s="171" t="e">
        <f t="shared" ca="1" si="60"/>
        <v>#N/A</v>
      </c>
      <c r="AD135" s="171" t="e">
        <f t="shared" ca="1" si="61"/>
        <v>#VALUE!</v>
      </c>
      <c r="AE135" s="332" t="str">
        <f t="shared" si="64"/>
        <v/>
      </c>
      <c r="AF135" s="332" t="e">
        <f t="shared" ca="1" si="65"/>
        <v>#N/A</v>
      </c>
    </row>
    <row r="136" spans="2:32" ht="15" customHeight="1">
      <c r="B136" s="177" t="b">
        <f>IF(TRIM(Length_5_R5!A8)="",FALSE,TRUE)</f>
        <v>0</v>
      </c>
      <c r="C136" s="171" t="str">
        <f>IF($B136=FALSE,"",VALUE(Length_5_R5!A8))</f>
        <v/>
      </c>
      <c r="D136" s="171" t="str">
        <f>IF($B136=FALSE,"",Length_5_R5!B8)</f>
        <v/>
      </c>
      <c r="E136" s="177" t="str">
        <f>IF(B136=FALSE,"",Length_5_R5!M8)</f>
        <v/>
      </c>
      <c r="F136" s="177" t="str">
        <f>IF(B136=FALSE,"",Length_5_R5!N8)</f>
        <v/>
      </c>
      <c r="G136" s="177" t="str">
        <f>IF(B136=FALSE,"",Length_5_R5!O8)</f>
        <v/>
      </c>
      <c r="H136" s="177" t="str">
        <f>IF(B136=FALSE,"",Length_5_R5!P8)</f>
        <v/>
      </c>
      <c r="I136" s="177" t="str">
        <f>IF(B136=FALSE,"",Length_5_R5!Q8)</f>
        <v/>
      </c>
      <c r="J136" s="171" t="str">
        <f t="shared" si="49"/>
        <v/>
      </c>
      <c r="K136" s="181" t="str">
        <f t="shared" si="50"/>
        <v/>
      </c>
      <c r="L136" s="182" t="str">
        <f>IF(B136=FALSE,"",Length_5_R5!D31)</f>
        <v/>
      </c>
      <c r="M136" s="183" t="str">
        <f>IF(B136=FALSE,"",Calcu!J136*I$126)</f>
        <v/>
      </c>
      <c r="N136" s="184" t="str">
        <f t="shared" si="51"/>
        <v/>
      </c>
      <c r="O136" s="184" t="str">
        <f>IF(B136=FALSE,"",Length_5_R5!F31)</f>
        <v/>
      </c>
      <c r="P136" s="184" t="str">
        <f t="shared" si="52"/>
        <v/>
      </c>
      <c r="Q136" s="171" t="str">
        <f t="shared" si="53"/>
        <v/>
      </c>
      <c r="R136" s="171" t="str">
        <f t="shared" si="54"/>
        <v/>
      </c>
      <c r="S136" s="256" t="str">
        <f t="shared" si="55"/>
        <v/>
      </c>
      <c r="T136" s="185" t="str">
        <f t="shared" si="56"/>
        <v/>
      </c>
      <c r="U136" s="186" t="str">
        <f t="shared" si="57"/>
        <v/>
      </c>
      <c r="V136" s="332" t="str">
        <f t="shared" si="62"/>
        <v/>
      </c>
      <c r="W136" s="332" t="str">
        <f t="shared" si="63"/>
        <v/>
      </c>
      <c r="X136" s="124"/>
      <c r="Y136" s="171">
        <f>IF(Length_5_R5!J8&lt;0,ROUNDUP(Length_5_R5!J8*I$126,$L$168),ROUNDDOWN(Length_5_R5!J8*I$126,$L$168))</f>
        <v>0</v>
      </c>
      <c r="Z136" s="171">
        <f>IF(Length_5_R5!K8&lt;0,ROUNDDOWN(Length_5_R5!K8*I$126,$L$168),ROUNDUP(Length_5_R5!K8*I$126,$L$168))</f>
        <v>0</v>
      </c>
      <c r="AA136" s="171" t="e">
        <f t="shared" ca="1" si="58"/>
        <v>#N/A</v>
      </c>
      <c r="AB136" s="174" t="e">
        <f t="shared" ca="1" si="59"/>
        <v>#N/A</v>
      </c>
      <c r="AC136" s="171" t="e">
        <f t="shared" ca="1" si="60"/>
        <v>#N/A</v>
      </c>
      <c r="AD136" s="171" t="e">
        <f t="shared" ca="1" si="61"/>
        <v>#VALUE!</v>
      </c>
      <c r="AE136" s="332" t="str">
        <f t="shared" si="64"/>
        <v/>
      </c>
      <c r="AF136" s="332" t="e">
        <f t="shared" ca="1" si="65"/>
        <v>#N/A</v>
      </c>
    </row>
    <row r="137" spans="2:32" ht="15" customHeight="1">
      <c r="B137" s="177" t="b">
        <f>IF(TRIM(Length_5_R5!A9)="",FALSE,TRUE)</f>
        <v>0</v>
      </c>
      <c r="C137" s="171" t="str">
        <f>IF($B137=FALSE,"",VALUE(Length_5_R5!A9))</f>
        <v/>
      </c>
      <c r="D137" s="171" t="str">
        <f>IF($B137=FALSE,"",Length_5_R5!B9)</f>
        <v/>
      </c>
      <c r="E137" s="177" t="str">
        <f>IF(B137=FALSE,"",Length_5_R5!M9)</f>
        <v/>
      </c>
      <c r="F137" s="177" t="str">
        <f>IF(B137=FALSE,"",Length_5_R5!N9)</f>
        <v/>
      </c>
      <c r="G137" s="177" t="str">
        <f>IF(B137=FALSE,"",Length_5_R5!O9)</f>
        <v/>
      </c>
      <c r="H137" s="177" t="str">
        <f>IF(B137=FALSE,"",Length_5_R5!P9)</f>
        <v/>
      </c>
      <c r="I137" s="177" t="str">
        <f>IF(B137=FALSE,"",Length_5_R5!Q9)</f>
        <v/>
      </c>
      <c r="J137" s="171" t="str">
        <f t="shared" si="49"/>
        <v/>
      </c>
      <c r="K137" s="181" t="str">
        <f t="shared" si="50"/>
        <v/>
      </c>
      <c r="L137" s="182" t="str">
        <f>IF(B137=FALSE,"",Length_5_R5!D32)</f>
        <v/>
      </c>
      <c r="M137" s="183" t="str">
        <f>IF(B137=FALSE,"",Calcu!J137*I$126)</f>
        <v/>
      </c>
      <c r="N137" s="184" t="str">
        <f t="shared" si="51"/>
        <v/>
      </c>
      <c r="O137" s="184" t="str">
        <f>IF(B137=FALSE,"",Length_5_R5!F32)</f>
        <v/>
      </c>
      <c r="P137" s="184" t="str">
        <f t="shared" si="52"/>
        <v/>
      </c>
      <c r="Q137" s="171" t="str">
        <f t="shared" si="53"/>
        <v/>
      </c>
      <c r="R137" s="171" t="str">
        <f t="shared" si="54"/>
        <v/>
      </c>
      <c r="S137" s="256" t="str">
        <f t="shared" si="55"/>
        <v/>
      </c>
      <c r="T137" s="185" t="str">
        <f t="shared" si="56"/>
        <v/>
      </c>
      <c r="U137" s="186" t="str">
        <f t="shared" si="57"/>
        <v/>
      </c>
      <c r="V137" s="332" t="str">
        <f t="shared" si="62"/>
        <v/>
      </c>
      <c r="W137" s="332" t="str">
        <f t="shared" si="63"/>
        <v/>
      </c>
      <c r="X137" s="124"/>
      <c r="Y137" s="171">
        <f>IF(Length_5_R5!J9&lt;0,ROUNDUP(Length_5_R5!J9*I$126,$L$168),ROUNDDOWN(Length_5_R5!J9*I$126,$L$168))</f>
        <v>0</v>
      </c>
      <c r="Z137" s="171">
        <f>IF(Length_5_R5!K9&lt;0,ROUNDDOWN(Length_5_R5!K9*I$126,$L$168),ROUNDUP(Length_5_R5!K9*I$126,$L$168))</f>
        <v>0</v>
      </c>
      <c r="AA137" s="171" t="e">
        <f t="shared" ca="1" si="58"/>
        <v>#N/A</v>
      </c>
      <c r="AB137" s="174" t="e">
        <f t="shared" ca="1" si="59"/>
        <v>#N/A</v>
      </c>
      <c r="AC137" s="171" t="e">
        <f t="shared" ca="1" si="60"/>
        <v>#N/A</v>
      </c>
      <c r="AD137" s="171" t="e">
        <f t="shared" ca="1" si="61"/>
        <v>#VALUE!</v>
      </c>
      <c r="AE137" s="332" t="str">
        <f t="shared" si="64"/>
        <v/>
      </c>
      <c r="AF137" s="332" t="e">
        <f t="shared" ca="1" si="65"/>
        <v>#N/A</v>
      </c>
    </row>
    <row r="138" spans="2:32" ht="15" customHeight="1">
      <c r="B138" s="177" t="b">
        <f>IF(TRIM(Length_5_R5!A10)="",FALSE,TRUE)</f>
        <v>0</v>
      </c>
      <c r="C138" s="171" t="str">
        <f>IF($B138=FALSE,"",VALUE(Length_5_R5!A10))</f>
        <v/>
      </c>
      <c r="D138" s="171" t="str">
        <f>IF($B138=FALSE,"",Length_5_R5!B10)</f>
        <v/>
      </c>
      <c r="E138" s="177" t="str">
        <f>IF(B138=FALSE,"",Length_5_R5!M10)</f>
        <v/>
      </c>
      <c r="F138" s="177" t="str">
        <f>IF(B138=FALSE,"",Length_5_R5!N10)</f>
        <v/>
      </c>
      <c r="G138" s="177" t="str">
        <f>IF(B138=FALSE,"",Length_5_R5!O10)</f>
        <v/>
      </c>
      <c r="H138" s="177" t="str">
        <f>IF(B138=FALSE,"",Length_5_R5!P10)</f>
        <v/>
      </c>
      <c r="I138" s="177" t="str">
        <f>IF(B138=FALSE,"",Length_5_R5!Q10)</f>
        <v/>
      </c>
      <c r="J138" s="171" t="str">
        <f t="shared" si="49"/>
        <v/>
      </c>
      <c r="K138" s="181" t="str">
        <f t="shared" si="50"/>
        <v/>
      </c>
      <c r="L138" s="182" t="str">
        <f>IF(B138=FALSE,"",Length_5_R5!D33)</f>
        <v/>
      </c>
      <c r="M138" s="183" t="str">
        <f>IF(B138=FALSE,"",Calcu!J138*I$126)</f>
        <v/>
      </c>
      <c r="N138" s="184" t="str">
        <f t="shared" si="51"/>
        <v/>
      </c>
      <c r="O138" s="184" t="str">
        <f>IF(B138=FALSE,"",Length_5_R5!F33)</f>
        <v/>
      </c>
      <c r="P138" s="184" t="str">
        <f t="shared" si="52"/>
        <v/>
      </c>
      <c r="Q138" s="171" t="str">
        <f t="shared" si="53"/>
        <v/>
      </c>
      <c r="R138" s="171" t="str">
        <f t="shared" si="54"/>
        <v/>
      </c>
      <c r="S138" s="256" t="str">
        <f t="shared" si="55"/>
        <v/>
      </c>
      <c r="T138" s="185" t="str">
        <f t="shared" si="56"/>
        <v/>
      </c>
      <c r="U138" s="186" t="str">
        <f t="shared" si="57"/>
        <v/>
      </c>
      <c r="V138" s="332" t="str">
        <f t="shared" si="62"/>
        <v/>
      </c>
      <c r="W138" s="332" t="str">
        <f t="shared" si="63"/>
        <v/>
      </c>
      <c r="X138" s="124"/>
      <c r="Y138" s="171">
        <f>IF(Length_5_R5!J10&lt;0,ROUNDUP(Length_5_R5!J10*I$126,$L$168),ROUNDDOWN(Length_5_R5!J10*I$126,$L$168))</f>
        <v>0</v>
      </c>
      <c r="Z138" s="171">
        <f>IF(Length_5_R5!K10&lt;0,ROUNDDOWN(Length_5_R5!K10*I$126,$L$168),ROUNDUP(Length_5_R5!K10*I$126,$L$168))</f>
        <v>0</v>
      </c>
      <c r="AA138" s="171" t="e">
        <f t="shared" ca="1" si="58"/>
        <v>#N/A</v>
      </c>
      <c r="AB138" s="174" t="e">
        <f t="shared" ca="1" si="59"/>
        <v>#N/A</v>
      </c>
      <c r="AC138" s="171" t="e">
        <f t="shared" ca="1" si="60"/>
        <v>#N/A</v>
      </c>
      <c r="AD138" s="171" t="e">
        <f t="shared" ca="1" si="61"/>
        <v>#VALUE!</v>
      </c>
      <c r="AE138" s="332" t="str">
        <f t="shared" si="64"/>
        <v/>
      </c>
      <c r="AF138" s="332" t="e">
        <f t="shared" ca="1" si="65"/>
        <v>#N/A</v>
      </c>
    </row>
    <row r="139" spans="2:32" ht="15" customHeight="1">
      <c r="B139" s="177" t="b">
        <f>IF(TRIM(Length_5_R5!A11)="",FALSE,TRUE)</f>
        <v>0</v>
      </c>
      <c r="C139" s="171" t="str">
        <f>IF($B139=FALSE,"",VALUE(Length_5_R5!A11))</f>
        <v/>
      </c>
      <c r="D139" s="171" t="str">
        <f>IF($B139=FALSE,"",Length_5_R5!B11)</f>
        <v/>
      </c>
      <c r="E139" s="177" t="str">
        <f>IF(B139=FALSE,"",Length_5_R5!M11)</f>
        <v/>
      </c>
      <c r="F139" s="177" t="str">
        <f>IF(B139=FALSE,"",Length_5_R5!N11)</f>
        <v/>
      </c>
      <c r="G139" s="177" t="str">
        <f>IF(B139=FALSE,"",Length_5_R5!O11)</f>
        <v/>
      </c>
      <c r="H139" s="177" t="str">
        <f>IF(B139=FALSE,"",Length_5_R5!P11)</f>
        <v/>
      </c>
      <c r="I139" s="177" t="str">
        <f>IF(B139=FALSE,"",Length_5_R5!Q11)</f>
        <v/>
      </c>
      <c r="J139" s="171" t="str">
        <f t="shared" si="49"/>
        <v/>
      </c>
      <c r="K139" s="181" t="str">
        <f t="shared" si="50"/>
        <v/>
      </c>
      <c r="L139" s="182" t="str">
        <f>IF(B139=FALSE,"",Length_5_R5!D34)</f>
        <v/>
      </c>
      <c r="M139" s="183" t="str">
        <f>IF(B139=FALSE,"",Calcu!J139*I$126)</f>
        <v/>
      </c>
      <c r="N139" s="184" t="str">
        <f t="shared" si="51"/>
        <v/>
      </c>
      <c r="O139" s="184" t="str">
        <f>IF(B139=FALSE,"",Length_5_R5!F34)</f>
        <v/>
      </c>
      <c r="P139" s="184" t="str">
        <f t="shared" si="52"/>
        <v/>
      </c>
      <c r="Q139" s="171" t="str">
        <f t="shared" si="53"/>
        <v/>
      </c>
      <c r="R139" s="171" t="str">
        <f t="shared" si="54"/>
        <v/>
      </c>
      <c r="S139" s="256" t="str">
        <f t="shared" si="55"/>
        <v/>
      </c>
      <c r="T139" s="185" t="str">
        <f t="shared" si="56"/>
        <v/>
      </c>
      <c r="U139" s="186" t="str">
        <f t="shared" si="57"/>
        <v/>
      </c>
      <c r="V139" s="332" t="str">
        <f t="shared" si="62"/>
        <v/>
      </c>
      <c r="W139" s="332" t="str">
        <f t="shared" si="63"/>
        <v/>
      </c>
      <c r="X139" s="124"/>
      <c r="Y139" s="171">
        <f>IF(Length_5_R5!J11&lt;0,ROUNDUP(Length_5_R5!J11*I$126,$L$168),ROUNDDOWN(Length_5_R5!J11*I$126,$L$168))</f>
        <v>0</v>
      </c>
      <c r="Z139" s="171">
        <f>IF(Length_5_R5!K11&lt;0,ROUNDDOWN(Length_5_R5!K11*I$126,$L$168),ROUNDUP(Length_5_R5!K11*I$126,$L$168))</f>
        <v>0</v>
      </c>
      <c r="AA139" s="171" t="e">
        <f t="shared" ca="1" si="58"/>
        <v>#N/A</v>
      </c>
      <c r="AB139" s="174" t="e">
        <f t="shared" ca="1" si="59"/>
        <v>#N/A</v>
      </c>
      <c r="AC139" s="171" t="e">
        <f t="shared" ca="1" si="60"/>
        <v>#N/A</v>
      </c>
      <c r="AD139" s="171" t="e">
        <f t="shared" ca="1" si="61"/>
        <v>#VALUE!</v>
      </c>
      <c r="AE139" s="332" t="str">
        <f t="shared" si="64"/>
        <v/>
      </c>
      <c r="AF139" s="332" t="e">
        <f t="shared" ca="1" si="65"/>
        <v>#N/A</v>
      </c>
    </row>
    <row r="140" spans="2:32" ht="15" customHeight="1">
      <c r="B140" s="177" t="b">
        <f>IF(TRIM(Length_5_R5!A12)="",FALSE,TRUE)</f>
        <v>0</v>
      </c>
      <c r="C140" s="171" t="str">
        <f>IF($B140=FALSE,"",VALUE(Length_5_R5!A12))</f>
        <v/>
      </c>
      <c r="D140" s="171" t="str">
        <f>IF($B140=FALSE,"",Length_5_R5!B12)</f>
        <v/>
      </c>
      <c r="E140" s="177" t="str">
        <f>IF(B140=FALSE,"",Length_5_R5!M12)</f>
        <v/>
      </c>
      <c r="F140" s="177" t="str">
        <f>IF(B140=FALSE,"",Length_5_R5!N12)</f>
        <v/>
      </c>
      <c r="G140" s="177" t="str">
        <f>IF(B140=FALSE,"",Length_5_R5!O12)</f>
        <v/>
      </c>
      <c r="H140" s="177" t="str">
        <f>IF(B140=FALSE,"",Length_5_R5!P12)</f>
        <v/>
      </c>
      <c r="I140" s="177" t="str">
        <f>IF(B140=FALSE,"",Length_5_R5!Q12)</f>
        <v/>
      </c>
      <c r="J140" s="171" t="str">
        <f t="shared" si="49"/>
        <v/>
      </c>
      <c r="K140" s="181" t="str">
        <f t="shared" si="50"/>
        <v/>
      </c>
      <c r="L140" s="182" t="str">
        <f>IF(B140=FALSE,"",Length_5_R5!D35)</f>
        <v/>
      </c>
      <c r="M140" s="183" t="str">
        <f>IF(B140=FALSE,"",Calcu!J140*I$126)</f>
        <v/>
      </c>
      <c r="N140" s="184" t="str">
        <f t="shared" si="51"/>
        <v/>
      </c>
      <c r="O140" s="184" t="str">
        <f>IF(B140=FALSE,"",Length_5_R5!F35)</f>
        <v/>
      </c>
      <c r="P140" s="184" t="str">
        <f t="shared" si="52"/>
        <v/>
      </c>
      <c r="Q140" s="171" t="str">
        <f t="shared" si="53"/>
        <v/>
      </c>
      <c r="R140" s="171" t="str">
        <f t="shared" si="54"/>
        <v/>
      </c>
      <c r="S140" s="256" t="str">
        <f t="shared" si="55"/>
        <v/>
      </c>
      <c r="T140" s="185" t="str">
        <f t="shared" si="56"/>
        <v/>
      </c>
      <c r="U140" s="186" t="str">
        <f t="shared" si="57"/>
        <v/>
      </c>
      <c r="V140" s="332" t="str">
        <f t="shared" si="62"/>
        <v/>
      </c>
      <c r="W140" s="332" t="str">
        <f t="shared" si="63"/>
        <v/>
      </c>
      <c r="X140" s="124"/>
      <c r="Y140" s="171">
        <f>IF(Length_5_R5!J12&lt;0,ROUNDUP(Length_5_R5!J12*I$126,$L$168),ROUNDDOWN(Length_5_R5!J12*I$126,$L$168))</f>
        <v>0</v>
      </c>
      <c r="Z140" s="171">
        <f>IF(Length_5_R5!K12&lt;0,ROUNDDOWN(Length_5_R5!K12*I$126,$L$168),ROUNDUP(Length_5_R5!K12*I$126,$L$168))</f>
        <v>0</v>
      </c>
      <c r="AA140" s="171" t="e">
        <f t="shared" ca="1" si="58"/>
        <v>#N/A</v>
      </c>
      <c r="AB140" s="174" t="e">
        <f t="shared" ca="1" si="59"/>
        <v>#N/A</v>
      </c>
      <c r="AC140" s="171" t="e">
        <f t="shared" ca="1" si="60"/>
        <v>#N/A</v>
      </c>
      <c r="AD140" s="171" t="e">
        <f t="shared" ca="1" si="61"/>
        <v>#VALUE!</v>
      </c>
      <c r="AE140" s="332" t="str">
        <f t="shared" si="64"/>
        <v/>
      </c>
      <c r="AF140" s="332" t="e">
        <f t="shared" ca="1" si="65"/>
        <v>#N/A</v>
      </c>
    </row>
    <row r="141" spans="2:32" ht="15" customHeight="1">
      <c r="B141" s="177" t="b">
        <f>IF(TRIM(Length_5_R5!A13)="",FALSE,TRUE)</f>
        <v>0</v>
      </c>
      <c r="C141" s="171" t="str">
        <f>IF($B141=FALSE,"",VALUE(Length_5_R5!A13))</f>
        <v/>
      </c>
      <c r="D141" s="171" t="str">
        <f>IF($B141=FALSE,"",Length_5_R5!B13)</f>
        <v/>
      </c>
      <c r="E141" s="177" t="str">
        <f>IF(B141=FALSE,"",Length_5_R5!M13)</f>
        <v/>
      </c>
      <c r="F141" s="177" t="str">
        <f>IF(B141=FALSE,"",Length_5_R5!N13)</f>
        <v/>
      </c>
      <c r="G141" s="177" t="str">
        <f>IF(B141=FALSE,"",Length_5_R5!O13)</f>
        <v/>
      </c>
      <c r="H141" s="177" t="str">
        <f>IF(B141=FALSE,"",Length_5_R5!P13)</f>
        <v/>
      </c>
      <c r="I141" s="177" t="str">
        <f>IF(B141=FALSE,"",Length_5_R5!Q13)</f>
        <v/>
      </c>
      <c r="J141" s="171" t="str">
        <f t="shared" si="49"/>
        <v/>
      </c>
      <c r="K141" s="181" t="str">
        <f t="shared" si="50"/>
        <v/>
      </c>
      <c r="L141" s="182" t="str">
        <f>IF(B141=FALSE,"",Length_5_R5!D36)</f>
        <v/>
      </c>
      <c r="M141" s="183" t="str">
        <f>IF(B141=FALSE,"",Calcu!J141*I$126)</f>
        <v/>
      </c>
      <c r="N141" s="184" t="str">
        <f t="shared" si="51"/>
        <v/>
      </c>
      <c r="O141" s="184" t="str">
        <f>IF(B141=FALSE,"",Length_5_R5!F36)</f>
        <v/>
      </c>
      <c r="P141" s="184" t="str">
        <f t="shared" si="52"/>
        <v/>
      </c>
      <c r="Q141" s="171" t="str">
        <f t="shared" si="53"/>
        <v/>
      </c>
      <c r="R141" s="171" t="str">
        <f t="shared" si="54"/>
        <v/>
      </c>
      <c r="S141" s="256" t="str">
        <f t="shared" si="55"/>
        <v/>
      </c>
      <c r="T141" s="185" t="str">
        <f t="shared" si="56"/>
        <v/>
      </c>
      <c r="U141" s="186" t="str">
        <f t="shared" si="57"/>
        <v/>
      </c>
      <c r="V141" s="332" t="str">
        <f t="shared" si="62"/>
        <v/>
      </c>
      <c r="W141" s="332" t="str">
        <f t="shared" si="63"/>
        <v/>
      </c>
      <c r="X141" s="124"/>
      <c r="Y141" s="171">
        <f>IF(Length_5_R5!J13&lt;0,ROUNDUP(Length_5_R5!J13*I$126,$L$168),ROUNDDOWN(Length_5_R5!J13*I$126,$L$168))</f>
        <v>0</v>
      </c>
      <c r="Z141" s="171">
        <f>IF(Length_5_R5!K13&lt;0,ROUNDDOWN(Length_5_R5!K13*I$126,$L$168),ROUNDUP(Length_5_R5!K13*I$126,$L$168))</f>
        <v>0</v>
      </c>
      <c r="AA141" s="171" t="e">
        <f t="shared" ca="1" si="58"/>
        <v>#N/A</v>
      </c>
      <c r="AB141" s="174" t="e">
        <f t="shared" ca="1" si="59"/>
        <v>#N/A</v>
      </c>
      <c r="AC141" s="171" t="e">
        <f t="shared" ca="1" si="60"/>
        <v>#N/A</v>
      </c>
      <c r="AD141" s="171" t="e">
        <f t="shared" ca="1" si="61"/>
        <v>#VALUE!</v>
      </c>
      <c r="AE141" s="332" t="str">
        <f t="shared" si="64"/>
        <v/>
      </c>
      <c r="AF141" s="332" t="e">
        <f t="shared" ca="1" si="65"/>
        <v>#N/A</v>
      </c>
    </row>
    <row r="142" spans="2:32" ht="15" customHeight="1">
      <c r="B142" s="177" t="b">
        <f>IF(TRIM(Length_5_R5!A14)="",FALSE,TRUE)</f>
        <v>0</v>
      </c>
      <c r="C142" s="171" t="str">
        <f>IF($B142=FALSE,"",VALUE(Length_5_R5!A14))</f>
        <v/>
      </c>
      <c r="D142" s="171" t="str">
        <f>IF($B142=FALSE,"",Length_5_R5!B14)</f>
        <v/>
      </c>
      <c r="E142" s="177" t="str">
        <f>IF(B142=FALSE,"",Length_5_R5!M14)</f>
        <v/>
      </c>
      <c r="F142" s="177" t="str">
        <f>IF(B142=FALSE,"",Length_5_R5!N14)</f>
        <v/>
      </c>
      <c r="G142" s="177" t="str">
        <f>IF(B142=FALSE,"",Length_5_R5!O14)</f>
        <v/>
      </c>
      <c r="H142" s="177" t="str">
        <f>IF(B142=FALSE,"",Length_5_R5!P14)</f>
        <v/>
      </c>
      <c r="I142" s="177" t="str">
        <f>IF(B142=FALSE,"",Length_5_R5!Q14)</f>
        <v/>
      </c>
      <c r="J142" s="171" t="str">
        <f t="shared" si="49"/>
        <v/>
      </c>
      <c r="K142" s="181" t="str">
        <f t="shared" si="50"/>
        <v/>
      </c>
      <c r="L142" s="182" t="str">
        <f>IF(B142=FALSE,"",Length_5_R5!D37)</f>
        <v/>
      </c>
      <c r="M142" s="183" t="str">
        <f>IF(B142=FALSE,"",Calcu!J142*I$126)</f>
        <v/>
      </c>
      <c r="N142" s="184" t="str">
        <f t="shared" si="51"/>
        <v/>
      </c>
      <c r="O142" s="184" t="str">
        <f>IF(B142=FALSE,"",Length_5_R5!F37)</f>
        <v/>
      </c>
      <c r="P142" s="184" t="str">
        <f t="shared" si="52"/>
        <v/>
      </c>
      <c r="Q142" s="171" t="str">
        <f t="shared" si="53"/>
        <v/>
      </c>
      <c r="R142" s="171" t="str">
        <f t="shared" si="54"/>
        <v/>
      </c>
      <c r="S142" s="256" t="str">
        <f t="shared" si="55"/>
        <v/>
      </c>
      <c r="T142" s="185" t="str">
        <f t="shared" si="56"/>
        <v/>
      </c>
      <c r="U142" s="186" t="str">
        <f t="shared" si="57"/>
        <v/>
      </c>
      <c r="V142" s="332" t="str">
        <f t="shared" si="62"/>
        <v/>
      </c>
      <c r="W142" s="332" t="str">
        <f t="shared" si="63"/>
        <v/>
      </c>
      <c r="X142" s="124"/>
      <c r="Y142" s="171">
        <f>IF(Length_5_R5!J14&lt;0,ROUNDUP(Length_5_R5!J14*I$126,$L$168),ROUNDDOWN(Length_5_R5!J14*I$126,$L$168))</f>
        <v>0</v>
      </c>
      <c r="Z142" s="171">
        <f>IF(Length_5_R5!K14&lt;0,ROUNDDOWN(Length_5_R5!K14*I$126,$L$168),ROUNDUP(Length_5_R5!K14*I$126,$L$168))</f>
        <v>0</v>
      </c>
      <c r="AA142" s="171" t="e">
        <f t="shared" ca="1" si="58"/>
        <v>#N/A</v>
      </c>
      <c r="AB142" s="174" t="e">
        <f t="shared" ca="1" si="59"/>
        <v>#N/A</v>
      </c>
      <c r="AC142" s="171" t="e">
        <f t="shared" ca="1" si="60"/>
        <v>#N/A</v>
      </c>
      <c r="AD142" s="171" t="e">
        <f t="shared" ca="1" si="61"/>
        <v>#VALUE!</v>
      </c>
      <c r="AE142" s="332" t="str">
        <f t="shared" si="64"/>
        <v/>
      </c>
      <c r="AF142" s="332" t="e">
        <f t="shared" ca="1" si="65"/>
        <v>#N/A</v>
      </c>
    </row>
    <row r="143" spans="2:32" ht="15" customHeight="1">
      <c r="B143" s="177" t="b">
        <f>IF(TRIM(Length_5_R5!A15)="",FALSE,TRUE)</f>
        <v>0</v>
      </c>
      <c r="C143" s="171" t="str">
        <f>IF($B143=FALSE,"",VALUE(Length_5_R5!A15))</f>
        <v/>
      </c>
      <c r="D143" s="171" t="str">
        <f>IF($B143=FALSE,"",Length_5_R5!B15)</f>
        <v/>
      </c>
      <c r="E143" s="177" t="str">
        <f>IF(B143=FALSE,"",Length_5_R5!M15)</f>
        <v/>
      </c>
      <c r="F143" s="177" t="str">
        <f>IF(B143=FALSE,"",Length_5_R5!N15)</f>
        <v/>
      </c>
      <c r="G143" s="177" t="str">
        <f>IF(B143=FALSE,"",Length_5_R5!O15)</f>
        <v/>
      </c>
      <c r="H143" s="177" t="str">
        <f>IF(B143=FALSE,"",Length_5_R5!P15)</f>
        <v/>
      </c>
      <c r="I143" s="177" t="str">
        <f>IF(B143=FALSE,"",Length_5_R5!Q15)</f>
        <v/>
      </c>
      <c r="J143" s="171" t="str">
        <f t="shared" si="49"/>
        <v/>
      </c>
      <c r="K143" s="181" t="str">
        <f t="shared" si="50"/>
        <v/>
      </c>
      <c r="L143" s="182" t="str">
        <f>IF(B143=FALSE,"",Length_5_R5!D38)</f>
        <v/>
      </c>
      <c r="M143" s="183" t="str">
        <f>IF(B143=FALSE,"",Calcu!J143*I$126)</f>
        <v/>
      </c>
      <c r="N143" s="184" t="str">
        <f t="shared" si="51"/>
        <v/>
      </c>
      <c r="O143" s="184" t="str">
        <f>IF(B143=FALSE,"",Length_5_R5!F38)</f>
        <v/>
      </c>
      <c r="P143" s="184" t="str">
        <f t="shared" si="52"/>
        <v/>
      </c>
      <c r="Q143" s="171" t="str">
        <f t="shared" si="53"/>
        <v/>
      </c>
      <c r="R143" s="171" t="str">
        <f t="shared" si="54"/>
        <v/>
      </c>
      <c r="S143" s="256" t="str">
        <f t="shared" si="55"/>
        <v/>
      </c>
      <c r="T143" s="185" t="str">
        <f t="shared" si="56"/>
        <v/>
      </c>
      <c r="U143" s="186" t="str">
        <f t="shared" si="57"/>
        <v/>
      </c>
      <c r="V143" s="332" t="str">
        <f t="shared" si="62"/>
        <v/>
      </c>
      <c r="W143" s="332" t="str">
        <f t="shared" si="63"/>
        <v/>
      </c>
      <c r="X143" s="124"/>
      <c r="Y143" s="171">
        <f>IF(Length_5_R5!J15&lt;0,ROUNDUP(Length_5_R5!J15*I$126,$L$168),ROUNDDOWN(Length_5_R5!J15*I$126,$L$168))</f>
        <v>0</v>
      </c>
      <c r="Z143" s="171">
        <f>IF(Length_5_R5!K15&lt;0,ROUNDDOWN(Length_5_R5!K15*I$126,$L$168),ROUNDUP(Length_5_R5!K15*I$126,$L$168))</f>
        <v>0</v>
      </c>
      <c r="AA143" s="171" t="e">
        <f t="shared" ca="1" si="58"/>
        <v>#N/A</v>
      </c>
      <c r="AB143" s="174" t="e">
        <f t="shared" ca="1" si="59"/>
        <v>#N/A</v>
      </c>
      <c r="AC143" s="171" t="e">
        <f t="shared" ca="1" si="60"/>
        <v>#N/A</v>
      </c>
      <c r="AD143" s="171" t="e">
        <f t="shared" ca="1" si="61"/>
        <v>#VALUE!</v>
      </c>
      <c r="AE143" s="332" t="str">
        <f t="shared" si="64"/>
        <v/>
      </c>
      <c r="AF143" s="332" t="e">
        <f t="shared" ca="1" si="65"/>
        <v>#N/A</v>
      </c>
    </row>
    <row r="144" spans="2:32" ht="15" customHeight="1">
      <c r="B144" s="177" t="b">
        <f>IF(TRIM(Length_5_R5!A16)="",FALSE,TRUE)</f>
        <v>0</v>
      </c>
      <c r="C144" s="171" t="str">
        <f>IF($B144=FALSE,"",VALUE(Length_5_R5!A16))</f>
        <v/>
      </c>
      <c r="D144" s="171" t="str">
        <f>IF($B144=FALSE,"",Length_5_R5!B16)</f>
        <v/>
      </c>
      <c r="E144" s="177" t="str">
        <f>IF(B144=FALSE,"",Length_5_R5!M16)</f>
        <v/>
      </c>
      <c r="F144" s="177" t="str">
        <f>IF(B144=FALSE,"",Length_5_R5!N16)</f>
        <v/>
      </c>
      <c r="G144" s="177" t="str">
        <f>IF(B144=FALSE,"",Length_5_R5!O16)</f>
        <v/>
      </c>
      <c r="H144" s="177" t="str">
        <f>IF(B144=FALSE,"",Length_5_R5!P16)</f>
        <v/>
      </c>
      <c r="I144" s="177" t="str">
        <f>IF(B144=FALSE,"",Length_5_R5!Q16)</f>
        <v/>
      </c>
      <c r="J144" s="171" t="str">
        <f t="shared" si="49"/>
        <v/>
      </c>
      <c r="K144" s="181" t="str">
        <f t="shared" si="50"/>
        <v/>
      </c>
      <c r="L144" s="182" t="str">
        <f>IF(B144=FALSE,"",Length_5_R5!D39)</f>
        <v/>
      </c>
      <c r="M144" s="183" t="str">
        <f>IF(B144=FALSE,"",Calcu!J144*I$126)</f>
        <v/>
      </c>
      <c r="N144" s="184" t="str">
        <f t="shared" si="51"/>
        <v/>
      </c>
      <c r="O144" s="184" t="str">
        <f>IF(B144=FALSE,"",Length_5_R5!F39)</f>
        <v/>
      </c>
      <c r="P144" s="184" t="str">
        <f t="shared" si="52"/>
        <v/>
      </c>
      <c r="Q144" s="171" t="str">
        <f t="shared" si="53"/>
        <v/>
      </c>
      <c r="R144" s="171" t="str">
        <f t="shared" si="54"/>
        <v/>
      </c>
      <c r="S144" s="256" t="str">
        <f t="shared" si="55"/>
        <v/>
      </c>
      <c r="T144" s="185" t="str">
        <f t="shared" si="56"/>
        <v/>
      </c>
      <c r="U144" s="186" t="str">
        <f t="shared" si="57"/>
        <v/>
      </c>
      <c r="V144" s="332" t="str">
        <f t="shared" si="62"/>
        <v/>
      </c>
      <c r="W144" s="332" t="str">
        <f t="shared" si="63"/>
        <v/>
      </c>
      <c r="X144" s="124"/>
      <c r="Y144" s="171">
        <f>IF(Length_5_R5!J16&lt;0,ROUNDUP(Length_5_R5!J16*I$126,$L$168),ROUNDDOWN(Length_5_R5!J16*I$126,$L$168))</f>
        <v>0</v>
      </c>
      <c r="Z144" s="171">
        <f>IF(Length_5_R5!K16&lt;0,ROUNDDOWN(Length_5_R5!K16*I$126,$L$168),ROUNDUP(Length_5_R5!K16*I$126,$L$168))</f>
        <v>0</v>
      </c>
      <c r="AA144" s="171" t="e">
        <f t="shared" ca="1" si="58"/>
        <v>#N/A</v>
      </c>
      <c r="AB144" s="174" t="e">
        <f t="shared" ca="1" si="59"/>
        <v>#N/A</v>
      </c>
      <c r="AC144" s="171" t="e">
        <f t="shared" ca="1" si="60"/>
        <v>#N/A</v>
      </c>
      <c r="AD144" s="171" t="e">
        <f t="shared" ca="1" si="61"/>
        <v>#VALUE!</v>
      </c>
      <c r="AE144" s="332" t="str">
        <f t="shared" si="64"/>
        <v/>
      </c>
      <c r="AF144" s="332" t="e">
        <f t="shared" ca="1" si="65"/>
        <v>#N/A</v>
      </c>
    </row>
    <row r="145" spans="1:32" ht="15" customHeight="1">
      <c r="B145" s="177" t="b">
        <f>IF(TRIM(Length_5_R5!A17)="",FALSE,TRUE)</f>
        <v>0</v>
      </c>
      <c r="C145" s="171" t="str">
        <f>IF($B145=FALSE,"",VALUE(Length_5_R5!A17))</f>
        <v/>
      </c>
      <c r="D145" s="171" t="str">
        <f>IF($B145=FALSE,"",Length_5_R5!B17)</f>
        <v/>
      </c>
      <c r="E145" s="177" t="str">
        <f>IF(B145=FALSE,"",Length_5_R5!M17)</f>
        <v/>
      </c>
      <c r="F145" s="177" t="str">
        <f>IF(B145=FALSE,"",Length_5_R5!N17)</f>
        <v/>
      </c>
      <c r="G145" s="177" t="str">
        <f>IF(B145=FALSE,"",Length_5_R5!O17)</f>
        <v/>
      </c>
      <c r="H145" s="177" t="str">
        <f>IF(B145=FALSE,"",Length_5_R5!P17)</f>
        <v/>
      </c>
      <c r="I145" s="177" t="str">
        <f>IF(B145=FALSE,"",Length_5_R5!Q17)</f>
        <v/>
      </c>
      <c r="J145" s="171" t="str">
        <f t="shared" si="49"/>
        <v/>
      </c>
      <c r="K145" s="181" t="str">
        <f t="shared" si="50"/>
        <v/>
      </c>
      <c r="L145" s="182" t="str">
        <f>IF(B145=FALSE,"",Length_5_R5!D40)</f>
        <v/>
      </c>
      <c r="M145" s="183" t="str">
        <f>IF(B145=FALSE,"",Calcu!J145*I$126)</f>
        <v/>
      </c>
      <c r="N145" s="184" t="str">
        <f t="shared" si="51"/>
        <v/>
      </c>
      <c r="O145" s="184" t="str">
        <f>IF(B145=FALSE,"",Length_5_R5!F40)</f>
        <v/>
      </c>
      <c r="P145" s="184" t="str">
        <f t="shared" si="52"/>
        <v/>
      </c>
      <c r="Q145" s="171" t="str">
        <f t="shared" si="53"/>
        <v/>
      </c>
      <c r="R145" s="171" t="str">
        <f t="shared" si="54"/>
        <v/>
      </c>
      <c r="S145" s="256" t="str">
        <f t="shared" si="55"/>
        <v/>
      </c>
      <c r="T145" s="185" t="str">
        <f t="shared" si="56"/>
        <v/>
      </c>
      <c r="U145" s="186" t="str">
        <f t="shared" si="57"/>
        <v/>
      </c>
      <c r="V145" s="332" t="str">
        <f t="shared" si="62"/>
        <v/>
      </c>
      <c r="W145" s="332" t="str">
        <f t="shared" si="63"/>
        <v/>
      </c>
      <c r="X145" s="124"/>
      <c r="Y145" s="171">
        <f>IF(Length_5_R5!J17&lt;0,ROUNDUP(Length_5_R5!J17*I$126,$L$168),ROUNDDOWN(Length_5_R5!J17*I$126,$L$168))</f>
        <v>0</v>
      </c>
      <c r="Z145" s="171">
        <f>IF(Length_5_R5!K17&lt;0,ROUNDDOWN(Length_5_R5!K17*I$126,$L$168),ROUNDUP(Length_5_R5!K17*I$126,$L$168))</f>
        <v>0</v>
      </c>
      <c r="AA145" s="171" t="e">
        <f t="shared" ca="1" si="58"/>
        <v>#N/A</v>
      </c>
      <c r="AB145" s="174" t="e">
        <f t="shared" ca="1" si="59"/>
        <v>#N/A</v>
      </c>
      <c r="AC145" s="171" t="e">
        <f t="shared" ca="1" si="60"/>
        <v>#N/A</v>
      </c>
      <c r="AD145" s="171" t="e">
        <f t="shared" ca="1" si="61"/>
        <v>#VALUE!</v>
      </c>
      <c r="AE145" s="332" t="str">
        <f t="shared" si="64"/>
        <v/>
      </c>
      <c r="AF145" s="332" t="e">
        <f t="shared" ca="1" si="65"/>
        <v>#N/A</v>
      </c>
    </row>
    <row r="146" spans="1:32" ht="15" customHeight="1">
      <c r="B146" s="177" t="b">
        <f>IF(TRIM(Length_5_R5!A18)="",FALSE,TRUE)</f>
        <v>0</v>
      </c>
      <c r="C146" s="171" t="str">
        <f>IF($B146=FALSE,"",VALUE(Length_5_R5!A18))</f>
        <v/>
      </c>
      <c r="D146" s="171" t="str">
        <f>IF($B146=FALSE,"",Length_5_R5!B18)</f>
        <v/>
      </c>
      <c r="E146" s="177" t="str">
        <f>IF(B146=FALSE,"",Length_5_R5!M18)</f>
        <v/>
      </c>
      <c r="F146" s="177" t="str">
        <f>IF(B146=FALSE,"",Length_5_R5!N18)</f>
        <v/>
      </c>
      <c r="G146" s="177" t="str">
        <f>IF(B146=FALSE,"",Length_5_R5!O18)</f>
        <v/>
      </c>
      <c r="H146" s="177" t="str">
        <f>IF(B146=FALSE,"",Length_5_R5!P18)</f>
        <v/>
      </c>
      <c r="I146" s="177" t="str">
        <f>IF(B146=FALSE,"",Length_5_R5!Q18)</f>
        <v/>
      </c>
      <c r="J146" s="171" t="str">
        <f t="shared" si="49"/>
        <v/>
      </c>
      <c r="K146" s="181" t="str">
        <f t="shared" si="50"/>
        <v/>
      </c>
      <c r="L146" s="182" t="str">
        <f>IF(B146=FALSE,"",Length_5_R5!D41)</f>
        <v/>
      </c>
      <c r="M146" s="183" t="str">
        <f>IF(B146=FALSE,"",Calcu!J146*I$126)</f>
        <v/>
      </c>
      <c r="N146" s="184" t="str">
        <f t="shared" si="51"/>
        <v/>
      </c>
      <c r="O146" s="184" t="str">
        <f>IF(B146=FALSE,"",Length_5_R5!F41)</f>
        <v/>
      </c>
      <c r="P146" s="184" t="str">
        <f t="shared" si="52"/>
        <v/>
      </c>
      <c r="Q146" s="171" t="str">
        <f t="shared" si="53"/>
        <v/>
      </c>
      <c r="R146" s="171" t="str">
        <f t="shared" si="54"/>
        <v/>
      </c>
      <c r="S146" s="256" t="str">
        <f t="shared" si="55"/>
        <v/>
      </c>
      <c r="T146" s="185" t="str">
        <f t="shared" si="56"/>
        <v/>
      </c>
      <c r="U146" s="186" t="str">
        <f t="shared" si="57"/>
        <v/>
      </c>
      <c r="V146" s="332" t="str">
        <f t="shared" si="62"/>
        <v/>
      </c>
      <c r="W146" s="332" t="str">
        <f t="shared" si="63"/>
        <v/>
      </c>
      <c r="X146" s="124"/>
      <c r="Y146" s="171">
        <f>IF(Length_5_R5!J18&lt;0,ROUNDUP(Length_5_R5!J18*I$126,$L$168),ROUNDDOWN(Length_5_R5!J18*I$126,$L$168))</f>
        <v>0</v>
      </c>
      <c r="Z146" s="171">
        <f>IF(Length_5_R5!K18&lt;0,ROUNDDOWN(Length_5_R5!K18*I$126,$L$168),ROUNDUP(Length_5_R5!K18*I$126,$L$168))</f>
        <v>0</v>
      </c>
      <c r="AA146" s="171" t="e">
        <f t="shared" ca="1" si="58"/>
        <v>#N/A</v>
      </c>
      <c r="AB146" s="174" t="e">
        <f t="shared" ca="1" si="59"/>
        <v>#N/A</v>
      </c>
      <c r="AC146" s="171" t="e">
        <f t="shared" ca="1" si="60"/>
        <v>#N/A</v>
      </c>
      <c r="AD146" s="171" t="e">
        <f t="shared" ca="1" si="61"/>
        <v>#VALUE!</v>
      </c>
      <c r="AE146" s="332" t="str">
        <f t="shared" si="64"/>
        <v/>
      </c>
      <c r="AF146" s="332" t="e">
        <f t="shared" ca="1" si="65"/>
        <v>#N/A</v>
      </c>
    </row>
    <row r="147" spans="1:32" ht="15" customHeight="1">
      <c r="B147" s="177" t="b">
        <f>IF(TRIM(Length_5_R5!A19)="",FALSE,TRUE)</f>
        <v>0</v>
      </c>
      <c r="C147" s="171" t="str">
        <f>IF($B147=FALSE,"",VALUE(Length_5_R5!A19))</f>
        <v/>
      </c>
      <c r="D147" s="171" t="str">
        <f>IF($B147=FALSE,"",Length_5_R5!B19)</f>
        <v/>
      </c>
      <c r="E147" s="177" t="str">
        <f>IF(B147=FALSE,"",Length_5_R5!M19)</f>
        <v/>
      </c>
      <c r="F147" s="177" t="str">
        <f>IF(B147=FALSE,"",Length_5_R5!N19)</f>
        <v/>
      </c>
      <c r="G147" s="177" t="str">
        <f>IF(B147=FALSE,"",Length_5_R5!O19)</f>
        <v/>
      </c>
      <c r="H147" s="177" t="str">
        <f>IF(B147=FALSE,"",Length_5_R5!P19)</f>
        <v/>
      </c>
      <c r="I147" s="177" t="str">
        <f>IF(B147=FALSE,"",Length_5_R5!Q19)</f>
        <v/>
      </c>
      <c r="J147" s="171" t="str">
        <f t="shared" si="49"/>
        <v/>
      </c>
      <c r="K147" s="181" t="str">
        <f t="shared" si="50"/>
        <v/>
      </c>
      <c r="L147" s="182" t="str">
        <f>IF(B147=FALSE,"",Length_5_R5!D42)</f>
        <v/>
      </c>
      <c r="M147" s="183" t="str">
        <f>IF(B147=FALSE,"",Calcu!J147*I$126)</f>
        <v/>
      </c>
      <c r="N147" s="184" t="str">
        <f t="shared" si="51"/>
        <v/>
      </c>
      <c r="O147" s="184" t="str">
        <f>IF(B147=FALSE,"",Length_5_R5!F42)</f>
        <v/>
      </c>
      <c r="P147" s="184" t="str">
        <f t="shared" si="52"/>
        <v/>
      </c>
      <c r="Q147" s="171" t="str">
        <f t="shared" si="53"/>
        <v/>
      </c>
      <c r="R147" s="171" t="str">
        <f t="shared" si="54"/>
        <v/>
      </c>
      <c r="S147" s="256" t="str">
        <f t="shared" si="55"/>
        <v/>
      </c>
      <c r="T147" s="185" t="str">
        <f t="shared" si="56"/>
        <v/>
      </c>
      <c r="U147" s="186" t="str">
        <f t="shared" si="57"/>
        <v/>
      </c>
      <c r="V147" s="332" t="str">
        <f t="shared" si="62"/>
        <v/>
      </c>
      <c r="W147" s="332" t="str">
        <f t="shared" si="63"/>
        <v/>
      </c>
      <c r="X147" s="124"/>
      <c r="Y147" s="171">
        <f>IF(Length_5_R5!J19&lt;0,ROUNDUP(Length_5_R5!J19*I$126,$L$168),ROUNDDOWN(Length_5_R5!J19*I$126,$L$168))</f>
        <v>0</v>
      </c>
      <c r="Z147" s="171">
        <f>IF(Length_5_R5!K19&lt;0,ROUNDDOWN(Length_5_R5!K19*I$126,$L$168),ROUNDUP(Length_5_R5!K19*I$126,$L$168))</f>
        <v>0</v>
      </c>
      <c r="AA147" s="171" t="e">
        <f t="shared" ca="1" si="58"/>
        <v>#N/A</v>
      </c>
      <c r="AB147" s="174" t="e">
        <f t="shared" ca="1" si="59"/>
        <v>#N/A</v>
      </c>
      <c r="AC147" s="171" t="e">
        <f t="shared" ca="1" si="60"/>
        <v>#N/A</v>
      </c>
      <c r="AD147" s="171" t="e">
        <f t="shared" ca="1" si="61"/>
        <v>#VALUE!</v>
      </c>
      <c r="AE147" s="332" t="str">
        <f t="shared" si="64"/>
        <v/>
      </c>
      <c r="AF147" s="332" t="e">
        <f t="shared" ca="1" si="65"/>
        <v>#N/A</v>
      </c>
    </row>
    <row r="148" spans="1:32" ht="15" customHeight="1">
      <c r="B148" s="177" t="b">
        <f>IF(TRIM(Length_5_R5!A20)="",FALSE,TRUE)</f>
        <v>0</v>
      </c>
      <c r="C148" s="171" t="str">
        <f>IF($B148=FALSE,"",VALUE(Length_5_R5!A20))</f>
        <v/>
      </c>
      <c r="D148" s="171" t="str">
        <f>IF($B148=FALSE,"",Length_5_R5!B20)</f>
        <v/>
      </c>
      <c r="E148" s="177" t="str">
        <f>IF(B148=FALSE,"",Length_5_R5!M20)</f>
        <v/>
      </c>
      <c r="F148" s="177" t="str">
        <f>IF(B148=FALSE,"",Length_5_R5!N20)</f>
        <v/>
      </c>
      <c r="G148" s="177" t="str">
        <f>IF(B148=FALSE,"",Length_5_R5!O20)</f>
        <v/>
      </c>
      <c r="H148" s="177" t="str">
        <f>IF(B148=FALSE,"",Length_5_R5!P20)</f>
        <v/>
      </c>
      <c r="I148" s="177" t="str">
        <f>IF(B148=FALSE,"",Length_5_R5!Q20)</f>
        <v/>
      </c>
      <c r="J148" s="171" t="str">
        <f t="shared" si="49"/>
        <v/>
      </c>
      <c r="K148" s="181" t="str">
        <f t="shared" si="50"/>
        <v/>
      </c>
      <c r="L148" s="182" t="str">
        <f>IF(B148=FALSE,"",Length_5_R5!D43)</f>
        <v/>
      </c>
      <c r="M148" s="183" t="str">
        <f>IF(B148=FALSE,"",Calcu!J148*I$126)</f>
        <v/>
      </c>
      <c r="N148" s="184" t="str">
        <f t="shared" si="51"/>
        <v/>
      </c>
      <c r="O148" s="184" t="str">
        <f>IF(B148=FALSE,"",Length_5_R5!F43)</f>
        <v/>
      </c>
      <c r="P148" s="184" t="str">
        <f t="shared" si="52"/>
        <v/>
      </c>
      <c r="Q148" s="171" t="str">
        <f t="shared" si="53"/>
        <v/>
      </c>
      <c r="R148" s="171" t="str">
        <f t="shared" si="54"/>
        <v/>
      </c>
      <c r="S148" s="256" t="str">
        <f t="shared" si="55"/>
        <v/>
      </c>
      <c r="T148" s="185" t="str">
        <f t="shared" si="56"/>
        <v/>
      </c>
      <c r="U148" s="186" t="str">
        <f t="shared" si="57"/>
        <v/>
      </c>
      <c r="V148" s="332" t="str">
        <f t="shared" si="62"/>
        <v/>
      </c>
      <c r="W148" s="332" t="str">
        <f t="shared" si="63"/>
        <v/>
      </c>
      <c r="X148" s="124"/>
      <c r="Y148" s="171">
        <f>IF(Length_5_R5!J20&lt;0,ROUNDUP(Length_5_R5!J20*I$126,$L$168),ROUNDDOWN(Length_5_R5!J20*I$126,$L$168))</f>
        <v>0</v>
      </c>
      <c r="Z148" s="171">
        <f>IF(Length_5_R5!K20&lt;0,ROUNDDOWN(Length_5_R5!K20*I$126,$L$168),ROUNDUP(Length_5_R5!K20*I$126,$L$168))</f>
        <v>0</v>
      </c>
      <c r="AA148" s="171" t="e">
        <f t="shared" ca="1" si="58"/>
        <v>#N/A</v>
      </c>
      <c r="AB148" s="174" t="e">
        <f t="shared" ca="1" si="59"/>
        <v>#N/A</v>
      </c>
      <c r="AC148" s="171" t="e">
        <f t="shared" ca="1" si="60"/>
        <v>#N/A</v>
      </c>
      <c r="AD148" s="171" t="e">
        <f t="shared" ca="1" si="61"/>
        <v>#VALUE!</v>
      </c>
      <c r="AE148" s="332" t="str">
        <f t="shared" si="64"/>
        <v/>
      </c>
      <c r="AF148" s="332" t="e">
        <f t="shared" ca="1" si="65"/>
        <v>#N/A</v>
      </c>
    </row>
    <row r="149" spans="1:32" ht="15" customHeight="1">
      <c r="B149" s="177" t="b">
        <f>IF(TRIM(Length_5_R5!A21)="",FALSE,TRUE)</f>
        <v>0</v>
      </c>
      <c r="C149" s="171" t="str">
        <f>IF($B149=FALSE,"",VALUE(Length_5_R5!A21))</f>
        <v/>
      </c>
      <c r="D149" s="171" t="str">
        <f>IF($B149=FALSE,"",Length_5_R5!B21)</f>
        <v/>
      </c>
      <c r="E149" s="177" t="str">
        <f>IF(B149=FALSE,"",Length_5_R5!M21)</f>
        <v/>
      </c>
      <c r="F149" s="177" t="str">
        <f>IF(B149=FALSE,"",Length_5_R5!N21)</f>
        <v/>
      </c>
      <c r="G149" s="177" t="str">
        <f>IF(B149=FALSE,"",Length_5_R5!O21)</f>
        <v/>
      </c>
      <c r="H149" s="177" t="str">
        <f>IF(B149=FALSE,"",Length_5_R5!P21)</f>
        <v/>
      </c>
      <c r="I149" s="177" t="str">
        <f>IF(B149=FALSE,"",Length_5_R5!Q21)</f>
        <v/>
      </c>
      <c r="J149" s="171" t="str">
        <f t="shared" si="49"/>
        <v/>
      </c>
      <c r="K149" s="181" t="str">
        <f t="shared" si="50"/>
        <v/>
      </c>
      <c r="L149" s="182" t="str">
        <f>IF(B149=FALSE,"",Length_5_R5!D44)</f>
        <v/>
      </c>
      <c r="M149" s="183" t="str">
        <f>IF(B149=FALSE,"",Calcu!J149*I$126)</f>
        <v/>
      </c>
      <c r="N149" s="184" t="str">
        <f t="shared" si="51"/>
        <v/>
      </c>
      <c r="O149" s="184" t="str">
        <f>IF(B149=FALSE,"",Length_5_R5!F44)</f>
        <v/>
      </c>
      <c r="P149" s="184" t="str">
        <f t="shared" si="52"/>
        <v/>
      </c>
      <c r="Q149" s="171" t="str">
        <f t="shared" si="53"/>
        <v/>
      </c>
      <c r="R149" s="171" t="str">
        <f t="shared" si="54"/>
        <v/>
      </c>
      <c r="S149" s="256" t="str">
        <f t="shared" si="55"/>
        <v/>
      </c>
      <c r="T149" s="185" t="str">
        <f t="shared" si="56"/>
        <v/>
      </c>
      <c r="U149" s="186" t="str">
        <f t="shared" si="57"/>
        <v/>
      </c>
      <c r="V149" s="332" t="str">
        <f t="shared" si="62"/>
        <v/>
      </c>
      <c r="W149" s="332" t="str">
        <f t="shared" si="63"/>
        <v/>
      </c>
      <c r="X149" s="124"/>
      <c r="Y149" s="171">
        <f>IF(Length_5_R5!J21&lt;0,ROUNDUP(Length_5_R5!J21*I$126,$L$168),ROUNDDOWN(Length_5_R5!J21*I$126,$L$168))</f>
        <v>0</v>
      </c>
      <c r="Z149" s="171">
        <f>IF(Length_5_R5!K21&lt;0,ROUNDDOWN(Length_5_R5!K21*I$126,$L$168),ROUNDUP(Length_5_R5!K21*I$126,$L$168))</f>
        <v>0</v>
      </c>
      <c r="AA149" s="171" t="e">
        <f t="shared" ca="1" si="58"/>
        <v>#N/A</v>
      </c>
      <c r="AB149" s="174" t="e">
        <f t="shared" ca="1" si="59"/>
        <v>#N/A</v>
      </c>
      <c r="AC149" s="171" t="e">
        <f t="shared" ca="1" si="60"/>
        <v>#N/A</v>
      </c>
      <c r="AD149" s="171" t="e">
        <f t="shared" ca="1" si="61"/>
        <v>#VALUE!</v>
      </c>
      <c r="AE149" s="332" t="str">
        <f t="shared" si="64"/>
        <v/>
      </c>
      <c r="AF149" s="332" t="e">
        <f t="shared" ca="1" si="65"/>
        <v>#N/A</v>
      </c>
    </row>
    <row r="150" spans="1:32" ht="15" customHeight="1">
      <c r="B150" s="177" t="b">
        <f>IF(TRIM(Length_5_R5!A22)="",FALSE,TRUE)</f>
        <v>0</v>
      </c>
      <c r="C150" s="171" t="str">
        <f>IF($B150=FALSE,"",VALUE(Length_5_R5!A22))</f>
        <v/>
      </c>
      <c r="D150" s="171" t="str">
        <f>IF($B150=FALSE,"",Length_5_R5!B22)</f>
        <v/>
      </c>
      <c r="E150" s="177" t="str">
        <f>IF(B150=FALSE,"",Length_5_R5!M22)</f>
        <v/>
      </c>
      <c r="F150" s="177" t="str">
        <f>IF(B150=FALSE,"",Length_5_R5!N22)</f>
        <v/>
      </c>
      <c r="G150" s="177" t="str">
        <f>IF(B150=FALSE,"",Length_5_R5!O22)</f>
        <v/>
      </c>
      <c r="H150" s="177" t="str">
        <f>IF(B150=FALSE,"",Length_5_R5!P22)</f>
        <v/>
      </c>
      <c r="I150" s="177" t="str">
        <f>IF(B150=FALSE,"",Length_5_R5!Q22)</f>
        <v/>
      </c>
      <c r="J150" s="171" t="str">
        <f t="shared" si="49"/>
        <v/>
      </c>
      <c r="K150" s="181" t="str">
        <f t="shared" si="50"/>
        <v/>
      </c>
      <c r="L150" s="182" t="str">
        <f>IF(B150=FALSE,"",Length_5_R5!D45)</f>
        <v/>
      </c>
      <c r="M150" s="183" t="str">
        <f>IF(B150=FALSE,"",Calcu!J150*I$126)</f>
        <v/>
      </c>
      <c r="N150" s="184" t="str">
        <f t="shared" si="51"/>
        <v/>
      </c>
      <c r="O150" s="184" t="str">
        <f>IF(B150=FALSE,"",Length_5_R5!F45)</f>
        <v/>
      </c>
      <c r="P150" s="184" t="str">
        <f t="shared" si="52"/>
        <v/>
      </c>
      <c r="Q150" s="171" t="str">
        <f t="shared" si="53"/>
        <v/>
      </c>
      <c r="R150" s="171" t="str">
        <f t="shared" si="54"/>
        <v/>
      </c>
      <c r="S150" s="256" t="str">
        <f t="shared" si="55"/>
        <v/>
      </c>
      <c r="T150" s="185" t="str">
        <f t="shared" si="56"/>
        <v/>
      </c>
      <c r="U150" s="186" t="str">
        <f t="shared" si="57"/>
        <v/>
      </c>
      <c r="V150" s="332" t="str">
        <f t="shared" si="62"/>
        <v/>
      </c>
      <c r="W150" s="332" t="str">
        <f t="shared" si="63"/>
        <v/>
      </c>
      <c r="X150" s="124"/>
      <c r="Y150" s="171">
        <f>IF(Length_5_R5!J22&lt;0,ROUNDUP(Length_5_R5!J22*I$126,$L$168),ROUNDDOWN(Length_5_R5!J22*I$126,$L$168))</f>
        <v>0</v>
      </c>
      <c r="Z150" s="171">
        <f>IF(Length_5_R5!K22&lt;0,ROUNDDOWN(Length_5_R5!K22*I$126,$L$168),ROUNDUP(Length_5_R5!K22*I$126,$L$168))</f>
        <v>0</v>
      </c>
      <c r="AA150" s="171" t="e">
        <f t="shared" ca="1" si="58"/>
        <v>#N/A</v>
      </c>
      <c r="AB150" s="174" t="e">
        <f t="shared" ca="1" si="59"/>
        <v>#N/A</v>
      </c>
      <c r="AC150" s="171" t="e">
        <f t="shared" ca="1" si="60"/>
        <v>#N/A</v>
      </c>
      <c r="AD150" s="171" t="e">
        <f t="shared" ca="1" si="61"/>
        <v>#VALUE!</v>
      </c>
      <c r="AE150" s="332" t="str">
        <f t="shared" si="64"/>
        <v/>
      </c>
      <c r="AF150" s="332" t="e">
        <f t="shared" ca="1" si="65"/>
        <v>#N/A</v>
      </c>
    </row>
    <row r="151" spans="1:32" ht="15" customHeight="1">
      <c r="B151" s="177" t="b">
        <f>IF(TRIM(Length_5_R5!A23)="",FALSE,TRUE)</f>
        <v>0</v>
      </c>
      <c r="C151" s="171" t="str">
        <f>IF($B151=FALSE,"",VALUE(Length_5_R5!A23))</f>
        <v/>
      </c>
      <c r="D151" s="171" t="str">
        <f>IF($B151=FALSE,"",Length_5_R5!B23)</f>
        <v/>
      </c>
      <c r="E151" s="177" t="str">
        <f>IF(B151=FALSE,"",Length_5_R5!M23)</f>
        <v/>
      </c>
      <c r="F151" s="177" t="str">
        <f>IF(B151=FALSE,"",Length_5_R5!N23)</f>
        <v/>
      </c>
      <c r="G151" s="177" t="str">
        <f>IF(B151=FALSE,"",Length_5_R5!O23)</f>
        <v/>
      </c>
      <c r="H151" s="177" t="str">
        <f>IF(B151=FALSE,"",Length_5_R5!P23)</f>
        <v/>
      </c>
      <c r="I151" s="177" t="str">
        <f>IF(B151=FALSE,"",Length_5_R5!Q23)</f>
        <v/>
      </c>
      <c r="J151" s="171" t="str">
        <f t="shared" si="49"/>
        <v/>
      </c>
      <c r="K151" s="181" t="str">
        <f t="shared" si="50"/>
        <v/>
      </c>
      <c r="L151" s="182" t="str">
        <f>IF(B151=FALSE,"",Length_5_R5!D46)</f>
        <v/>
      </c>
      <c r="M151" s="183" t="str">
        <f>IF(B151=FALSE,"",Calcu!J151*I$126)</f>
        <v/>
      </c>
      <c r="N151" s="184" t="str">
        <f t="shared" si="51"/>
        <v/>
      </c>
      <c r="O151" s="184" t="str">
        <f>IF(B151=FALSE,"",Length_5_R5!F46)</f>
        <v/>
      </c>
      <c r="P151" s="184" t="str">
        <f t="shared" si="52"/>
        <v/>
      </c>
      <c r="Q151" s="171" t="str">
        <f t="shared" si="53"/>
        <v/>
      </c>
      <c r="R151" s="171" t="str">
        <f t="shared" si="54"/>
        <v/>
      </c>
      <c r="S151" s="256" t="str">
        <f t="shared" si="55"/>
        <v/>
      </c>
      <c r="T151" s="185" t="str">
        <f t="shared" si="56"/>
        <v/>
      </c>
      <c r="U151" s="186" t="str">
        <f t="shared" si="57"/>
        <v/>
      </c>
      <c r="V151" s="332" t="str">
        <f t="shared" si="62"/>
        <v/>
      </c>
      <c r="W151" s="332" t="str">
        <f t="shared" si="63"/>
        <v/>
      </c>
      <c r="X151" s="124"/>
      <c r="Y151" s="171">
        <f>IF(Length_5_R5!J23&lt;0,ROUNDUP(Length_5_R5!J23*I$126,$L$168),ROUNDDOWN(Length_5_R5!J23*I$126,$L$168))</f>
        <v>0</v>
      </c>
      <c r="Z151" s="171">
        <f>IF(Length_5_R5!K23&lt;0,ROUNDDOWN(Length_5_R5!K23*I$126,$L$168),ROUNDUP(Length_5_R5!K23*I$126,$L$168))</f>
        <v>0</v>
      </c>
      <c r="AA151" s="171" t="e">
        <f t="shared" ca="1" si="58"/>
        <v>#N/A</v>
      </c>
      <c r="AB151" s="174" t="e">
        <f t="shared" ca="1" si="59"/>
        <v>#N/A</v>
      </c>
      <c r="AC151" s="171" t="e">
        <f t="shared" ca="1" si="60"/>
        <v>#N/A</v>
      </c>
      <c r="AD151" s="171" t="e">
        <f t="shared" ca="1" si="61"/>
        <v>#VALUE!</v>
      </c>
      <c r="AE151" s="332" t="str">
        <f t="shared" si="64"/>
        <v/>
      </c>
      <c r="AF151" s="332" t="e">
        <f t="shared" ca="1" si="65"/>
        <v>#N/A</v>
      </c>
    </row>
    <row r="152" spans="1:32" ht="15" customHeight="1">
      <c r="N152" s="120"/>
      <c r="O152" s="120"/>
      <c r="P152" s="120"/>
      <c r="Q152" s="120"/>
      <c r="R152" s="120"/>
      <c r="S152" s="120"/>
      <c r="T152" s="120"/>
      <c r="Y152" s="120"/>
    </row>
    <row r="153" spans="1:32" ht="15" customHeight="1">
      <c r="A153" s="118" t="s">
        <v>263</v>
      </c>
      <c r="C153" s="119"/>
      <c r="D153" s="119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</row>
    <row r="154" spans="1:32" ht="15" customHeight="1">
      <c r="A154" s="118"/>
      <c r="B154" s="551"/>
      <c r="C154" s="551" t="s">
        <v>165</v>
      </c>
      <c r="D154" s="554" t="s">
        <v>166</v>
      </c>
      <c r="E154" s="551" t="s">
        <v>167</v>
      </c>
      <c r="F154" s="551" t="s">
        <v>60</v>
      </c>
      <c r="G154" s="549">
        <v>1</v>
      </c>
      <c r="H154" s="561"/>
      <c r="I154" s="561"/>
      <c r="J154" s="561"/>
      <c r="K154" s="561"/>
      <c r="L154" s="561"/>
      <c r="M154" s="550"/>
      <c r="N154" s="284">
        <v>2</v>
      </c>
      <c r="O154" s="549">
        <v>3</v>
      </c>
      <c r="P154" s="561"/>
      <c r="Q154" s="561"/>
      <c r="R154" s="550"/>
      <c r="S154" s="549">
        <v>4</v>
      </c>
      <c r="T154" s="561"/>
      <c r="U154" s="550"/>
      <c r="V154" s="284">
        <v>5</v>
      </c>
      <c r="W154" s="551" t="s">
        <v>169</v>
      </c>
      <c r="X154" s="551" t="s">
        <v>170</v>
      </c>
      <c r="Y154" s="284" t="s">
        <v>207</v>
      </c>
      <c r="Z154" s="284" t="s">
        <v>474</v>
      </c>
      <c r="AA154" s="124"/>
      <c r="AB154" s="124"/>
      <c r="AC154" s="124"/>
    </row>
    <row r="155" spans="1:32" ht="15" customHeight="1">
      <c r="A155" s="118"/>
      <c r="B155" s="553"/>
      <c r="C155" s="553"/>
      <c r="D155" s="556"/>
      <c r="E155" s="553"/>
      <c r="F155" s="553"/>
      <c r="G155" s="310" t="s">
        <v>545</v>
      </c>
      <c r="H155" s="310" t="s">
        <v>174</v>
      </c>
      <c r="I155" s="284" t="s">
        <v>471</v>
      </c>
      <c r="J155" s="284" t="s">
        <v>472</v>
      </c>
      <c r="K155" s="549" t="s">
        <v>169</v>
      </c>
      <c r="L155" s="561"/>
      <c r="M155" s="550"/>
      <c r="N155" s="284" t="s">
        <v>175</v>
      </c>
      <c r="O155" s="549" t="s">
        <v>174</v>
      </c>
      <c r="P155" s="550"/>
      <c r="Q155" s="549" t="s">
        <v>176</v>
      </c>
      <c r="R155" s="550"/>
      <c r="S155" s="549" t="s">
        <v>177</v>
      </c>
      <c r="T155" s="561"/>
      <c r="U155" s="550"/>
      <c r="V155" s="284" t="s">
        <v>178</v>
      </c>
      <c r="W155" s="552"/>
      <c r="X155" s="569"/>
      <c r="Y155" s="284" t="s">
        <v>175</v>
      </c>
      <c r="Z155" s="284" t="s">
        <v>175</v>
      </c>
      <c r="AA155" s="124"/>
      <c r="AB155" s="124"/>
      <c r="AC155" s="124"/>
    </row>
    <row r="156" spans="1:32" ht="15" customHeight="1">
      <c r="B156" s="284" t="s">
        <v>181</v>
      </c>
      <c r="C156" s="187" t="s">
        <v>182</v>
      </c>
      <c r="D156" s="188" t="s">
        <v>183</v>
      </c>
      <c r="E156" s="282" t="e">
        <f ca="1">OFFSET(L$131,MATCH(K$126,T$132:T$151,0),0)</f>
        <v>#N/A</v>
      </c>
      <c r="F156" s="189" t="s">
        <v>184</v>
      </c>
      <c r="G156" s="171" t="e">
        <f ca="1">OFFSET(Length_5_R5!Q26,MATCH(E126,C132:C151,0),0)</f>
        <v>#N/A</v>
      </c>
      <c r="H156" s="234" t="e">
        <f ca="1">OFFSET(Length_5_R5!R26,MATCH(E126,C132:C151,0),0)</f>
        <v>#N/A</v>
      </c>
      <c r="I156" s="171" t="e">
        <f ca="1">OFFSET(Length_5_R5!S26,MATCH(E126,C132:C151,0),0)</f>
        <v>#N/A</v>
      </c>
      <c r="J156" s="171" t="e">
        <f ca="1">OFFSET(Length_5_R5!T26,MATCH(E126,C132:C151,0),0)</f>
        <v>#N/A</v>
      </c>
      <c r="K156" s="199" t="e">
        <f ca="1">G156/J156/1000</f>
        <v>#N/A</v>
      </c>
      <c r="L156" s="183" t="e">
        <f ca="1">H156/J156/1000</f>
        <v>#N/A</v>
      </c>
      <c r="M156" s="173" t="s">
        <v>152</v>
      </c>
      <c r="N156" s="190" t="s">
        <v>186</v>
      </c>
      <c r="O156" s="171"/>
      <c r="P156" s="171"/>
      <c r="Q156" s="183">
        <v>1</v>
      </c>
      <c r="R156" s="171"/>
      <c r="S156" s="191" t="e">
        <f ca="1">ABS(K156*Q156)</f>
        <v>#N/A</v>
      </c>
      <c r="T156" s="171" t="e">
        <f ca="1">ABS(L156*Q156)</f>
        <v>#N/A</v>
      </c>
      <c r="U156" s="173" t="s">
        <v>152</v>
      </c>
      <c r="V156" s="171" t="s">
        <v>187</v>
      </c>
      <c r="W156" s="199" t="e">
        <f ca="1">SQRT(SUMSQ(S156,T156*K$126))</f>
        <v>#N/A</v>
      </c>
      <c r="X156" s="195">
        <f t="shared" ref="X156:X161" si="66">IF(V156="∞",0,W156^4/V156)</f>
        <v>0</v>
      </c>
      <c r="Y156" s="191" t="str">
        <f t="shared" ref="Y156:Y161" si="67">IF(OR(N156="직사각형",N156="삼각형"),W156,"")</f>
        <v/>
      </c>
      <c r="Z156" s="191" t="e">
        <f t="shared" ref="Z156:Z161" ca="1" si="68">IF(OR(N156="직사각형",N156="삼각형"),"",W156)</f>
        <v>#N/A</v>
      </c>
      <c r="AA156" s="124"/>
      <c r="AB156" s="124"/>
      <c r="AC156" s="124"/>
    </row>
    <row r="157" spans="1:32" ht="15" customHeight="1">
      <c r="B157" s="284" t="s">
        <v>189</v>
      </c>
      <c r="C157" s="187" t="s">
        <v>190</v>
      </c>
      <c r="D157" s="188" t="s">
        <v>193</v>
      </c>
      <c r="E157" s="282" t="e">
        <f ca="1">OFFSET(M$131,MATCH(K$126,T$132:T$151,0),0)</f>
        <v>#N/A</v>
      </c>
      <c r="F157" s="189" t="s">
        <v>184</v>
      </c>
      <c r="G157" s="171"/>
      <c r="H157" s="173">
        <f>IF(MAX(K132:K151)=0,N126*1000,MAX(K132:K151)*1000)</f>
        <v>0</v>
      </c>
      <c r="I157" s="171">
        <f>IF(MAX(K132:K151)=0,2,1)</f>
        <v>2</v>
      </c>
      <c r="J157" s="192">
        <v>5</v>
      </c>
      <c r="K157" s="199">
        <f>H157/(IF(I157="",1,I157)*SQRT(J157))</f>
        <v>0</v>
      </c>
      <c r="L157" s="199"/>
      <c r="M157" s="173" t="s">
        <v>152</v>
      </c>
      <c r="N157" s="190" t="s">
        <v>264</v>
      </c>
      <c r="O157" s="171"/>
      <c r="P157" s="171"/>
      <c r="Q157" s="183">
        <v>-1</v>
      </c>
      <c r="R157" s="171"/>
      <c r="S157" s="191">
        <f t="shared" ref="S157:S163" si="69">ABS(K157*Q157)</f>
        <v>0</v>
      </c>
      <c r="T157" s="171">
        <f t="shared" ref="T157:T163" si="70">ABS(L157*Q157)</f>
        <v>0</v>
      </c>
      <c r="U157" s="173" t="s">
        <v>152</v>
      </c>
      <c r="V157" s="171">
        <v>4</v>
      </c>
      <c r="W157" s="199">
        <f t="shared" ref="W157:W163" si="71">SQRT(SUMSQ(S157,T157*K$126))</f>
        <v>0</v>
      </c>
      <c r="X157" s="195">
        <f t="shared" si="66"/>
        <v>0</v>
      </c>
      <c r="Y157" s="191" t="str">
        <f t="shared" si="67"/>
        <v/>
      </c>
      <c r="Z157" s="191">
        <f t="shared" si="68"/>
        <v>0</v>
      </c>
      <c r="AA157" s="124"/>
      <c r="AB157" s="124"/>
      <c r="AC157" s="124"/>
    </row>
    <row r="158" spans="1:32" ht="15" customHeight="1">
      <c r="B158" s="284" t="s">
        <v>266</v>
      </c>
      <c r="C158" s="187" t="s">
        <v>267</v>
      </c>
      <c r="D158" s="188" t="s">
        <v>112</v>
      </c>
      <c r="E158" s="184" t="e">
        <f ca="1">OFFSET(P$131,MATCH(K$126,T$132:T$151,0),0)</f>
        <v>#N/A</v>
      </c>
      <c r="F158" s="189" t="s">
        <v>194</v>
      </c>
      <c r="G158" s="184"/>
      <c r="H158" s="184">
        <f>1*10^-6</f>
        <v>9.9999999999999995E-7</v>
      </c>
      <c r="I158" s="172"/>
      <c r="J158" s="192">
        <v>3</v>
      </c>
      <c r="K158" s="327"/>
      <c r="L158" s="327">
        <f>SQRT((H158/SQRT(J158)/2)^2+(H158/SQRT(J158)/2)^2)</f>
        <v>4.0824829046386305E-7</v>
      </c>
      <c r="M158" s="189" t="s">
        <v>194</v>
      </c>
      <c r="N158" s="190" t="s">
        <v>204</v>
      </c>
      <c r="O158" s="173">
        <f>H159</f>
        <v>0.2</v>
      </c>
      <c r="P158" s="171" t="s">
        <v>195</v>
      </c>
      <c r="Q158" s="183">
        <f>-O158*1000</f>
        <v>-200</v>
      </c>
      <c r="R158" s="171" t="s">
        <v>196</v>
      </c>
      <c r="S158" s="191">
        <f t="shared" si="69"/>
        <v>0</v>
      </c>
      <c r="T158" s="171">
        <f t="shared" si="70"/>
        <v>8.1649658092772609E-5</v>
      </c>
      <c r="U158" s="173" t="s">
        <v>152</v>
      </c>
      <c r="V158" s="171">
        <v>100</v>
      </c>
      <c r="W158" s="199">
        <f t="shared" si="71"/>
        <v>0</v>
      </c>
      <c r="X158" s="195">
        <f t="shared" si="66"/>
        <v>0</v>
      </c>
      <c r="Y158" s="191">
        <f t="shared" si="67"/>
        <v>0</v>
      </c>
      <c r="Z158" s="191" t="str">
        <f t="shared" si="68"/>
        <v/>
      </c>
      <c r="AA158" s="124"/>
      <c r="AB158" s="124"/>
      <c r="AC158" s="124"/>
    </row>
    <row r="159" spans="1:32" ht="15" customHeight="1">
      <c r="B159" s="284" t="s">
        <v>269</v>
      </c>
      <c r="C159" s="187" t="s">
        <v>198</v>
      </c>
      <c r="D159" s="188" t="s">
        <v>114</v>
      </c>
      <c r="E159" s="173" t="str">
        <f>Q132</f>
        <v/>
      </c>
      <c r="F159" s="189" t="s">
        <v>199</v>
      </c>
      <c r="G159" s="172"/>
      <c r="H159" s="173">
        <f>IF(기본정보!H12=1,0.4,0.2)</f>
        <v>0.2</v>
      </c>
      <c r="I159" s="172"/>
      <c r="J159" s="192">
        <v>3</v>
      </c>
      <c r="K159" s="199"/>
      <c r="L159" s="199">
        <f>H159/(IF(I159="",1,I159)*SQRT(J159))</f>
        <v>0.11547005383792516</v>
      </c>
      <c r="M159" s="189" t="s">
        <v>199</v>
      </c>
      <c r="N159" s="190" t="s">
        <v>207</v>
      </c>
      <c r="O159" s="184" t="e">
        <f ca="1">E158</f>
        <v>#N/A</v>
      </c>
      <c r="P159" s="171" t="s">
        <v>195</v>
      </c>
      <c r="Q159" s="183" t="e">
        <f ca="1">-O159*1000</f>
        <v>#N/A</v>
      </c>
      <c r="R159" s="171" t="s">
        <v>200</v>
      </c>
      <c r="S159" s="191" t="e">
        <f t="shared" ca="1" si="69"/>
        <v>#N/A</v>
      </c>
      <c r="T159" s="171" t="e">
        <f t="shared" ca="1" si="70"/>
        <v>#N/A</v>
      </c>
      <c r="U159" s="173" t="s">
        <v>152</v>
      </c>
      <c r="V159" s="171">
        <v>12</v>
      </c>
      <c r="W159" s="199" t="e">
        <f t="shared" ca="1" si="71"/>
        <v>#N/A</v>
      </c>
      <c r="X159" s="195" t="e">
        <f t="shared" ca="1" si="66"/>
        <v>#N/A</v>
      </c>
      <c r="Y159" s="191" t="e">
        <f t="shared" ca="1" si="67"/>
        <v>#N/A</v>
      </c>
      <c r="Z159" s="191" t="str">
        <f t="shared" si="68"/>
        <v/>
      </c>
      <c r="AA159" s="124"/>
      <c r="AB159" s="124"/>
      <c r="AC159" s="124"/>
    </row>
    <row r="160" spans="1:32" ht="15" customHeight="1">
      <c r="B160" s="284" t="s">
        <v>201</v>
      </c>
      <c r="C160" s="187" t="s">
        <v>202</v>
      </c>
      <c r="D160" s="188" t="s">
        <v>113</v>
      </c>
      <c r="E160" s="193" t="e">
        <f ca="1">OFFSET(R$131,MATCH(K$126,T$132:T$151,0),0)</f>
        <v>#N/A</v>
      </c>
      <c r="F160" s="189" t="s">
        <v>194</v>
      </c>
      <c r="G160" s="184"/>
      <c r="H160" s="184">
        <f>1*10^-6</f>
        <v>9.9999999999999995E-7</v>
      </c>
      <c r="I160" s="172"/>
      <c r="J160" s="192">
        <v>3</v>
      </c>
      <c r="K160" s="327"/>
      <c r="L160" s="327">
        <f>SQRT((H160/SQRT(J160))^2+(H160/SQRT(J160))^2)</f>
        <v>8.1649658092772609E-7</v>
      </c>
      <c r="M160" s="189" t="s">
        <v>194</v>
      </c>
      <c r="N160" s="190" t="s">
        <v>204</v>
      </c>
      <c r="O160" s="173">
        <f>E161</f>
        <v>0.1</v>
      </c>
      <c r="P160" s="171" t="s">
        <v>195</v>
      </c>
      <c r="Q160" s="183">
        <f>-O160*1000</f>
        <v>-100</v>
      </c>
      <c r="R160" s="171" t="s">
        <v>196</v>
      </c>
      <c r="S160" s="191">
        <f t="shared" si="69"/>
        <v>0</v>
      </c>
      <c r="T160" s="171">
        <f t="shared" si="70"/>
        <v>8.1649658092772609E-5</v>
      </c>
      <c r="U160" s="173" t="s">
        <v>152</v>
      </c>
      <c r="V160" s="171">
        <v>100</v>
      </c>
      <c r="W160" s="199">
        <f t="shared" si="71"/>
        <v>0</v>
      </c>
      <c r="X160" s="195">
        <f t="shared" si="66"/>
        <v>0</v>
      </c>
      <c r="Y160" s="191">
        <f t="shared" si="67"/>
        <v>0</v>
      </c>
      <c r="Z160" s="191" t="str">
        <f t="shared" si="68"/>
        <v/>
      </c>
      <c r="AA160" s="124"/>
      <c r="AB160" s="124"/>
      <c r="AC160" s="124"/>
    </row>
    <row r="161" spans="2:29" ht="15" customHeight="1">
      <c r="B161" s="284" t="s">
        <v>206</v>
      </c>
      <c r="C161" s="187" t="s">
        <v>115</v>
      </c>
      <c r="D161" s="188" t="s">
        <v>116</v>
      </c>
      <c r="E161" s="173">
        <f>MAX(S132,0.1)</f>
        <v>0.1</v>
      </c>
      <c r="F161" s="189" t="s">
        <v>199</v>
      </c>
      <c r="G161" s="172"/>
      <c r="H161" s="173">
        <f>IF(기본정보!H12=1,3,1)</f>
        <v>1</v>
      </c>
      <c r="I161" s="172"/>
      <c r="J161" s="192">
        <v>3</v>
      </c>
      <c r="K161" s="199"/>
      <c r="L161" s="199">
        <f>H161/(IF(I161="",1,I161)*SQRT(J161))</f>
        <v>0.57735026918962584</v>
      </c>
      <c r="M161" s="189" t="s">
        <v>199</v>
      </c>
      <c r="N161" s="190" t="s">
        <v>207</v>
      </c>
      <c r="O161" s="193" t="e">
        <f ca="1">E160</f>
        <v>#N/A</v>
      </c>
      <c r="P161" s="171" t="s">
        <v>195</v>
      </c>
      <c r="Q161" s="183" t="e">
        <f ca="1">-O161*1000</f>
        <v>#N/A</v>
      </c>
      <c r="R161" s="171" t="s">
        <v>200</v>
      </c>
      <c r="S161" s="191" t="e">
        <f t="shared" ca="1" si="69"/>
        <v>#N/A</v>
      </c>
      <c r="T161" s="171" t="e">
        <f t="shared" ca="1" si="70"/>
        <v>#N/A</v>
      </c>
      <c r="U161" s="173" t="s">
        <v>152</v>
      </c>
      <c r="V161" s="171">
        <v>12</v>
      </c>
      <c r="W161" s="199" t="e">
        <f t="shared" ca="1" si="71"/>
        <v>#N/A</v>
      </c>
      <c r="X161" s="195" t="e">
        <f t="shared" ca="1" si="66"/>
        <v>#N/A</v>
      </c>
      <c r="Y161" s="191" t="e">
        <f t="shared" ca="1" si="67"/>
        <v>#N/A</v>
      </c>
      <c r="Z161" s="191" t="str">
        <f t="shared" si="68"/>
        <v/>
      </c>
      <c r="AA161" s="124"/>
      <c r="AB161" s="124"/>
      <c r="AC161" s="124"/>
    </row>
    <row r="162" spans="2:29" ht="15" customHeight="1">
      <c r="B162" s="284" t="s">
        <v>209</v>
      </c>
      <c r="C162" s="187" t="s">
        <v>76</v>
      </c>
      <c r="D162" s="188" t="s">
        <v>608</v>
      </c>
      <c r="E162" s="171">
        <v>0</v>
      </c>
      <c r="F162" s="189" t="s">
        <v>184</v>
      </c>
      <c r="G162" s="241"/>
      <c r="H162" s="171">
        <f>N126*1000</f>
        <v>0</v>
      </c>
      <c r="I162" s="171">
        <v>2</v>
      </c>
      <c r="J162" s="192">
        <v>3</v>
      </c>
      <c r="K162" s="199">
        <f t="shared" ref="K162:K163" si="72">H162/(IF(I162="",1,I162)*SQRT(J162))</f>
        <v>0</v>
      </c>
      <c r="L162" s="199"/>
      <c r="M162" s="173" t="s">
        <v>152</v>
      </c>
      <c r="N162" s="190" t="s">
        <v>207</v>
      </c>
      <c r="O162" s="171"/>
      <c r="P162" s="171"/>
      <c r="Q162" s="183">
        <v>1</v>
      </c>
      <c r="R162" s="171"/>
      <c r="S162" s="191">
        <f t="shared" si="69"/>
        <v>0</v>
      </c>
      <c r="T162" s="171">
        <f t="shared" si="70"/>
        <v>0</v>
      </c>
      <c r="U162" s="173" t="s">
        <v>152</v>
      </c>
      <c r="V162" s="171" t="s">
        <v>187</v>
      </c>
      <c r="W162" s="199">
        <f t="shared" si="71"/>
        <v>0</v>
      </c>
      <c r="X162" s="195">
        <f>IF(V163="∞",0,W162^4/V163)</f>
        <v>0</v>
      </c>
      <c r="Y162" s="191" t="e">
        <f ca="1">IF(OR(N162="직사각형",N162="삼각형"),W161,"")</f>
        <v>#N/A</v>
      </c>
      <c r="Z162" s="191" t="str">
        <f>IF(OR(N162="직사각형",N162="삼각형"),"",W161)</f>
        <v/>
      </c>
      <c r="AA162" s="124"/>
      <c r="AB162" s="124"/>
      <c r="AC162" s="124"/>
    </row>
    <row r="163" spans="2:29" ht="15" customHeight="1">
      <c r="B163" s="309" t="s">
        <v>543</v>
      </c>
      <c r="C163" s="187" t="s">
        <v>544</v>
      </c>
      <c r="D163" s="188" t="s">
        <v>609</v>
      </c>
      <c r="E163" s="171">
        <v>0</v>
      </c>
      <c r="F163" s="189" t="s">
        <v>184</v>
      </c>
      <c r="G163" s="171">
        <v>0.1</v>
      </c>
      <c r="H163" s="191">
        <f>(1-COS(ATAN(G163/100)))*K126*1000</f>
        <v>0</v>
      </c>
      <c r="I163" s="172"/>
      <c r="J163" s="192">
        <v>3</v>
      </c>
      <c r="K163" s="199">
        <f t="shared" si="72"/>
        <v>0</v>
      </c>
      <c r="L163" s="199"/>
      <c r="M163" s="173" t="s">
        <v>185</v>
      </c>
      <c r="N163" s="190" t="s">
        <v>207</v>
      </c>
      <c r="O163" s="171"/>
      <c r="P163" s="171"/>
      <c r="Q163" s="183">
        <v>1</v>
      </c>
      <c r="R163" s="171"/>
      <c r="S163" s="191">
        <f t="shared" si="69"/>
        <v>0</v>
      </c>
      <c r="T163" s="171">
        <f t="shared" si="70"/>
        <v>0</v>
      </c>
      <c r="U163" s="173" t="s">
        <v>185</v>
      </c>
      <c r="V163" s="171">
        <v>12</v>
      </c>
      <c r="W163" s="199">
        <f t="shared" si="71"/>
        <v>0</v>
      </c>
      <c r="X163" s="195">
        <f>IF(V163="∞",0,W163^4/V163)</f>
        <v>0</v>
      </c>
      <c r="Y163" s="191">
        <f>IF(OR(N163="직사각형",N163="삼각형"),W163,"")</f>
        <v>0</v>
      </c>
      <c r="Z163" s="191" t="str">
        <f>IF(OR(N163="직사각형",N163="삼각형"),"",W163)</f>
        <v/>
      </c>
      <c r="AA163" s="124"/>
      <c r="AB163" s="124"/>
      <c r="AC163" s="124"/>
    </row>
    <row r="164" spans="2:29" ht="15" customHeight="1">
      <c r="B164" s="284" t="s">
        <v>210</v>
      </c>
      <c r="C164" s="187" t="s">
        <v>211</v>
      </c>
      <c r="D164" s="188" t="s">
        <v>277</v>
      </c>
      <c r="E164" s="282" t="e">
        <f ca="1">E156-E157-(E158*E159+E160*E161)*K126</f>
        <v>#N/A</v>
      </c>
      <c r="F164" s="189" t="s">
        <v>184</v>
      </c>
      <c r="G164" s="235"/>
      <c r="H164" s="236"/>
      <c r="I164" s="235"/>
      <c r="J164" s="235"/>
      <c r="K164" s="235"/>
      <c r="L164" s="235"/>
      <c r="M164" s="235"/>
      <c r="N164" s="235"/>
      <c r="O164" s="235"/>
      <c r="P164" s="235"/>
      <c r="Q164" s="235"/>
      <c r="R164" s="237"/>
      <c r="S164" s="194" t="e">
        <f ca="1">SQRT(SUMSQ(S156:S163))</f>
        <v>#N/A</v>
      </c>
      <c r="T164" s="194" t="e">
        <f ca="1">SQRT(SUMSQ(T156:T163))</f>
        <v>#N/A</v>
      </c>
      <c r="U164" s="173" t="s">
        <v>152</v>
      </c>
      <c r="V164" s="185" t="e">
        <f ca="1">IF(X164=0,"∞",ROUNDDOWN(W164^4/X164,0))</f>
        <v>#N/A</v>
      </c>
      <c r="W164" s="238" t="e">
        <f ca="1">SQRT(SUMSQ(W156:W163))</f>
        <v>#N/A</v>
      </c>
      <c r="X164" s="325" t="e">
        <f ca="1">SUM(X156:X163)</f>
        <v>#N/A</v>
      </c>
      <c r="Y164" s="238" t="e">
        <f ca="1">SQRT(SUMSQ(Y156:Y163))</f>
        <v>#N/A</v>
      </c>
      <c r="Z164" s="238" t="e">
        <f ca="1">SQRT(SUMSQ(Z156:Z163))</f>
        <v>#N/A</v>
      </c>
      <c r="AA164" s="124"/>
      <c r="AB164" s="124"/>
      <c r="AC164" s="124"/>
    </row>
    <row r="165" spans="2:29" ht="15" customHeight="1">
      <c r="L165" s="124"/>
      <c r="U165" s="124"/>
      <c r="V165" s="124"/>
      <c r="W165" s="124"/>
      <c r="X165" s="124"/>
      <c r="Y165" s="124"/>
      <c r="AC165" s="124"/>
    </row>
    <row r="166" spans="2:29" ht="15" customHeight="1">
      <c r="B166" s="286"/>
      <c r="C166" s="549" t="s">
        <v>212</v>
      </c>
      <c r="D166" s="561"/>
      <c r="E166" s="561"/>
      <c r="F166" s="561"/>
      <c r="G166" s="550"/>
      <c r="H166" s="300" t="s">
        <v>540</v>
      </c>
      <c r="I166" s="300" t="s">
        <v>541</v>
      </c>
      <c r="J166" s="549" t="s">
        <v>542</v>
      </c>
      <c r="K166" s="561"/>
      <c r="L166" s="561"/>
      <c r="M166" s="550"/>
      <c r="N166" s="335" t="s">
        <v>592</v>
      </c>
      <c r="O166" s="549" t="s">
        <v>611</v>
      </c>
      <c r="P166" s="561"/>
      <c r="Q166" s="561"/>
      <c r="R166" s="551" t="s">
        <v>590</v>
      </c>
      <c r="S166" s="549" t="s">
        <v>591</v>
      </c>
      <c r="T166" s="561"/>
      <c r="U166" s="550"/>
      <c r="W166" s="124"/>
    </row>
    <row r="167" spans="2:29" ht="15" customHeight="1">
      <c r="B167" s="286"/>
      <c r="C167" s="286">
        <v>1</v>
      </c>
      <c r="D167" s="286">
        <v>2</v>
      </c>
      <c r="E167" s="286" t="s">
        <v>256</v>
      </c>
      <c r="F167" s="286" t="s">
        <v>60</v>
      </c>
      <c r="G167" s="286" t="s">
        <v>283</v>
      </c>
      <c r="H167" s="299" t="s">
        <v>184</v>
      </c>
      <c r="I167" s="299" t="s">
        <v>184</v>
      </c>
      <c r="J167" s="335" t="s">
        <v>612</v>
      </c>
      <c r="K167" s="335" t="s">
        <v>613</v>
      </c>
      <c r="L167" s="335" t="s">
        <v>614</v>
      </c>
      <c r="M167" s="335" t="s">
        <v>615</v>
      </c>
      <c r="N167" s="336"/>
      <c r="O167" s="335" t="s">
        <v>612</v>
      </c>
      <c r="P167" s="335" t="s">
        <v>284</v>
      </c>
      <c r="Q167" s="335" t="s">
        <v>616</v>
      </c>
      <c r="R167" s="553"/>
      <c r="S167" s="334" t="s">
        <v>617</v>
      </c>
      <c r="T167" s="564" t="s">
        <v>618</v>
      </c>
      <c r="U167" s="565"/>
      <c r="W167" s="124"/>
    </row>
    <row r="168" spans="2:29" ht="15" customHeight="1">
      <c r="B168" s="286" t="s">
        <v>212</v>
      </c>
      <c r="C168" s="126" t="e">
        <f ca="1">S164*E179</f>
        <v>#N/A</v>
      </c>
      <c r="D168" s="126" t="e">
        <f ca="1">T164*E179</f>
        <v>#N/A</v>
      </c>
      <c r="E168" s="126">
        <f>K126</f>
        <v>0</v>
      </c>
      <c r="F168" s="128" t="str">
        <f>U164</f>
        <v>μm</v>
      </c>
      <c r="G168" s="133" t="e">
        <f ca="1">SQRT(SUMSQ(C168,D168*E168))/1000</f>
        <v>#N/A</v>
      </c>
      <c r="H168" s="132" t="e">
        <f ca="1">MAX(G168:G169)</f>
        <v>#N/A</v>
      </c>
      <c r="I168" s="161">
        <f>N126</f>
        <v>0</v>
      </c>
      <c r="J168" s="329" t="e">
        <f ca="1">MAX(IF(H168&lt;0.00001,6,IF(H168&lt;0.0001,5,IF(H168&lt;0.001,4,IF(H168&lt;0.01,3,IF(H168&lt;0.1,2,IF(H168&lt;1,1,IF(H168&lt;10,0,IF(H168&lt;100,-1,-2)))))))),0)+K169</f>
        <v>#N/A</v>
      </c>
      <c r="K168" s="329" t="e">
        <f ca="1">MAX(IF(H169&lt;0.00001,6,IF(H169&lt;0.0001,5,IF(H169&lt;0.001,4,IF(H169&lt;0.01,3,IF(H169&lt;0.1,2,IF(H169&lt;1,1,IF(H169&lt;10,0,IF(H169&lt;100,-1,-2)))))))),0)+1</f>
        <v>#N/A</v>
      </c>
      <c r="L168" s="332">
        <f>IFERROR(LEN(I168)-FIND(".",I168),0)</f>
        <v>0</v>
      </c>
      <c r="M168" s="333" t="e">
        <f ca="1">IF(Q169,IF(M169,MIN(J168,L168),J168),L168)</f>
        <v>#N/A</v>
      </c>
      <c r="N168" s="331" t="e">
        <f ca="1">ABS((H168-ROUND(H168,M168))/H168*100)</f>
        <v>#N/A</v>
      </c>
      <c r="O168" s="332" t="e">
        <f ca="1">OFFSET(P172,MATCH(M168,O173:O182,0),0)</f>
        <v>#N/A</v>
      </c>
      <c r="P168" s="332" t="e">
        <f ca="1">OFFSET(P172,MATCH(M168,O173:O182,0),0)</f>
        <v>#N/A</v>
      </c>
      <c r="Q168" s="332" t="str">
        <f ca="1">OFFSET(P172,MATCH(L168,O173:O182,0),0)</f>
        <v>0</v>
      </c>
      <c r="R168" s="129">
        <f ca="1">IFERROR(IF(G168=H168,0,1),0)</f>
        <v>0</v>
      </c>
      <c r="S168" s="330" t="e">
        <f ca="1">TEXT(IF(N168&gt;5,ROUNDUP(H168,M168),ROUND(H168,M168)),O168)</f>
        <v>#N/A</v>
      </c>
      <c r="T168" s="337" t="e">
        <f ca="1">ROUND(H169,K168)</f>
        <v>#N/A</v>
      </c>
      <c r="U168" s="330" t="e">
        <f ca="1">ROUNDUP(IF(G168=H168,D168,D169),3)</f>
        <v>#N/A</v>
      </c>
      <c r="W168" s="124"/>
    </row>
    <row r="169" spans="2:29" ht="15" customHeight="1">
      <c r="B169" s="286" t="s">
        <v>63</v>
      </c>
      <c r="C169" s="127" t="e">
        <f ca="1">$O$126</f>
        <v>#N/A</v>
      </c>
      <c r="D169" s="128" t="e">
        <f ca="1">$P$126</f>
        <v>#N/A</v>
      </c>
      <c r="E169" s="128">
        <f>K126</f>
        <v>0</v>
      </c>
      <c r="F169" s="128" t="e">
        <f ca="1">$Q$126</f>
        <v>#N/A</v>
      </c>
      <c r="G169" s="133" t="e">
        <f ca="1">SQRT(SUMSQ(C169,D169*E169))/1000</f>
        <v>#N/A</v>
      </c>
      <c r="H169" s="132" t="e">
        <f ca="1">IF(H168=G168,C168,C169)</f>
        <v>#N/A</v>
      </c>
      <c r="J169" s="321" t="s">
        <v>585</v>
      </c>
      <c r="K169" s="171">
        <f>IF(O169=TRUE,1,기본정보!$A$47)</f>
        <v>1</v>
      </c>
      <c r="L169" s="321" t="s">
        <v>586</v>
      </c>
      <c r="M169" s="171" t="b">
        <f>IF(O169=TRUE,FALSE,기본정보!$A$52)</f>
        <v>0</v>
      </c>
      <c r="N169" s="321" t="s">
        <v>587</v>
      </c>
      <c r="O169" s="171" t="b">
        <f>기본정보!$A$46=0</f>
        <v>1</v>
      </c>
      <c r="P169" s="335" t="s">
        <v>610</v>
      </c>
      <c r="Q169" s="338" t="b">
        <f>TYPE('교정결과-HY'!$A$1)=2</f>
        <v>1</v>
      </c>
      <c r="R169" s="121"/>
      <c r="T169" s="134" t="e">
        <f ca="1">TEXT(T168,OFFSET(P172,MATCH(K168,O173:O182,0),0))</f>
        <v>#N/A</v>
      </c>
      <c r="U169" s="134" t="e">
        <f ca="1">TEXT(U168,OFFSET(P172,MATCH(3,O173:O182,0),0))</f>
        <v>#N/A</v>
      </c>
      <c r="W169" s="124"/>
    </row>
    <row r="170" spans="2:29" ht="15" customHeight="1">
      <c r="B170" s="122"/>
      <c r="C170" s="122"/>
      <c r="D170" s="122"/>
      <c r="Q170" s="121"/>
      <c r="R170" s="121"/>
      <c r="S170" s="121"/>
      <c r="T170" s="121"/>
      <c r="U170" s="121"/>
      <c r="V170" s="124"/>
    </row>
    <row r="171" spans="2:29" ht="15" customHeight="1">
      <c r="B171" s="130" t="s">
        <v>280</v>
      </c>
      <c r="C171" s="122"/>
      <c r="D171" s="122"/>
      <c r="F171" s="121"/>
      <c r="I171" s="187" t="s">
        <v>53</v>
      </c>
      <c r="J171" s="187" t="s">
        <v>171</v>
      </c>
      <c r="M171" s="121"/>
      <c r="N171" s="121"/>
      <c r="O171" s="281" t="s">
        <v>172</v>
      </c>
      <c r="P171" s="281" t="s">
        <v>173</v>
      </c>
      <c r="Q171" s="121"/>
      <c r="R171" s="124"/>
      <c r="S171" s="121"/>
      <c r="T171" s="121"/>
      <c r="U171" s="121"/>
    </row>
    <row r="172" spans="2:29" ht="15" customHeight="1">
      <c r="B172" s="562" t="s">
        <v>593</v>
      </c>
      <c r="C172" s="563"/>
      <c r="D172" s="551" t="s">
        <v>281</v>
      </c>
      <c r="E172" s="324" t="s">
        <v>595</v>
      </c>
      <c r="F172" s="324" t="s">
        <v>474</v>
      </c>
      <c r="G172" s="324" t="s">
        <v>596</v>
      </c>
      <c r="I172" s="187"/>
      <c r="J172" s="187">
        <v>95.45</v>
      </c>
      <c r="M172" s="121"/>
      <c r="N172" s="121"/>
      <c r="O172" s="285" t="s">
        <v>179</v>
      </c>
      <c r="P172" s="285" t="s">
        <v>180</v>
      </c>
      <c r="Q172" s="121"/>
      <c r="S172" s="121"/>
      <c r="T172" s="121"/>
      <c r="U172" s="121"/>
    </row>
    <row r="173" spans="2:29" ht="15" customHeight="1">
      <c r="B173" s="323" t="s">
        <v>486</v>
      </c>
      <c r="C173" s="326" t="s">
        <v>594</v>
      </c>
      <c r="D173" s="553"/>
      <c r="E173" s="322" t="e">
        <f ca="1">Y164</f>
        <v>#N/A</v>
      </c>
      <c r="F173" s="322" t="e">
        <f ca="1">Z164</f>
        <v>#N/A</v>
      </c>
      <c r="G173" s="257" t="e">
        <f ca="1">F173/E173</f>
        <v>#N/A</v>
      </c>
      <c r="I173" s="171">
        <v>1</v>
      </c>
      <c r="J173" s="171">
        <v>13.97</v>
      </c>
      <c r="M173" s="121"/>
      <c r="N173" s="121"/>
      <c r="O173" s="196">
        <v>0</v>
      </c>
      <c r="P173" s="197" t="s">
        <v>188</v>
      </c>
      <c r="Q173" s="121"/>
      <c r="S173" s="121"/>
      <c r="T173" s="121"/>
      <c r="U173" s="121"/>
    </row>
    <row r="174" spans="2:29" ht="15" customHeight="1">
      <c r="B174" s="171">
        <v>1</v>
      </c>
      <c r="C174" s="191">
        <f ca="1">IFERROR(LARGE(Y156:Y163,B174),0)</f>
        <v>0</v>
      </c>
      <c r="D174" s="324" t="s">
        <v>597</v>
      </c>
      <c r="E174" s="566" t="e">
        <f ca="1">SQRT(SUMSQ(C176:C181,Z156:Z163))</f>
        <v>#N/A</v>
      </c>
      <c r="F174" s="566"/>
      <c r="G174" s="567" t="e">
        <f ca="1">E174/SQRT(SUMSQ(E175,F175))</f>
        <v>#N/A</v>
      </c>
      <c r="H174" s="121"/>
      <c r="I174" s="171">
        <v>2</v>
      </c>
      <c r="J174" s="171">
        <v>4.53</v>
      </c>
      <c r="O174" s="196">
        <v>1</v>
      </c>
      <c r="P174" s="197" t="s">
        <v>265</v>
      </c>
      <c r="Q174" s="121"/>
      <c r="R174" s="121"/>
      <c r="S174" s="121"/>
      <c r="T174" s="121"/>
      <c r="U174" s="121"/>
      <c r="V174" s="124"/>
    </row>
    <row r="175" spans="2:29" ht="15" customHeight="1">
      <c r="B175" s="171">
        <v>2</v>
      </c>
      <c r="C175" s="191">
        <f ca="1">IFERROR(LARGE(Y156:Y163,B175),0)</f>
        <v>0</v>
      </c>
      <c r="D175" s="324" t="s">
        <v>598</v>
      </c>
      <c r="E175" s="322">
        <f ca="1">C174</f>
        <v>0</v>
      </c>
      <c r="F175" s="322">
        <f ca="1">C175</f>
        <v>0</v>
      </c>
      <c r="G175" s="568"/>
      <c r="H175" s="121"/>
      <c r="I175" s="171">
        <v>3</v>
      </c>
      <c r="J175" s="171">
        <v>3.31</v>
      </c>
      <c r="O175" s="196">
        <v>2</v>
      </c>
      <c r="P175" s="197" t="s">
        <v>197</v>
      </c>
      <c r="Q175" s="121"/>
      <c r="R175" s="121"/>
      <c r="S175" s="121"/>
      <c r="T175" s="121"/>
      <c r="U175" s="121"/>
      <c r="V175" s="124"/>
    </row>
    <row r="176" spans="2:29" ht="15" customHeight="1">
      <c r="B176" s="171">
        <v>3</v>
      </c>
      <c r="C176" s="191">
        <f ca="1">IFERROR(LARGE(Y156:Y163,B176),0)</f>
        <v>0</v>
      </c>
      <c r="D176" s="560" t="s">
        <v>599</v>
      </c>
      <c r="E176" s="170" t="s">
        <v>285</v>
      </c>
      <c r="F176" s="170" t="s">
        <v>600</v>
      </c>
      <c r="G176" s="170" t="s">
        <v>286</v>
      </c>
      <c r="H176" s="121"/>
      <c r="I176" s="171">
        <v>4</v>
      </c>
      <c r="J176" s="171">
        <v>2.87</v>
      </c>
      <c r="O176" s="196">
        <v>3</v>
      </c>
      <c r="P176" s="197" t="s">
        <v>273</v>
      </c>
      <c r="Q176" s="121"/>
      <c r="R176" s="121"/>
      <c r="S176" s="121"/>
      <c r="T176" s="121"/>
      <c r="U176" s="121"/>
      <c r="V176" s="124"/>
    </row>
    <row r="177" spans="2:27" ht="15" customHeight="1">
      <c r="B177" s="171">
        <v>4</v>
      </c>
      <c r="C177" s="191">
        <f ca="1">IFERROR(LARGE(Y156:Y163,B177),0)</f>
        <v>0</v>
      </c>
      <c r="D177" s="560"/>
      <c r="E177" s="171">
        <f ca="1">OFFSET(H155,MATCH(E175,Y156:Y163,0),0)/IF(OFFSET(I155,MATCH(E175,Y156:Y163,0),0)="",1,OFFSET(I155,MATCH(E175,Y156:Y163,0),0))</f>
        <v>9.9999999999999995E-7</v>
      </c>
      <c r="F177" s="171">
        <f ca="1">OFFSET(H155,MATCH(F175,Y156:Y163,0),0)/IF(OFFSET(I155,MATCH(F175,Y156:Y163,0),0)="",1,OFFSET(I155,MATCH(F175,Y156:Y163,0),0))</f>
        <v>9.9999999999999995E-7</v>
      </c>
      <c r="G177" s="322">
        <f ca="1">ABS(E177-F177)/(E177+F177)</f>
        <v>0</v>
      </c>
      <c r="H177" s="121"/>
      <c r="I177" s="171">
        <v>5</v>
      </c>
      <c r="J177" s="171">
        <v>2.65</v>
      </c>
      <c r="O177" s="196">
        <v>4</v>
      </c>
      <c r="P177" s="197" t="s">
        <v>274</v>
      </c>
      <c r="Q177" s="121"/>
      <c r="R177" s="121"/>
      <c r="S177" s="121"/>
      <c r="T177" s="121"/>
      <c r="U177" s="121"/>
      <c r="V177" s="124"/>
    </row>
    <row r="178" spans="2:27" ht="15" customHeight="1">
      <c r="B178" s="171">
        <v>5</v>
      </c>
      <c r="C178" s="191">
        <f ca="1">IFERROR(LARGE(Y156:Y163,B178),0)</f>
        <v>0</v>
      </c>
      <c r="D178" s="324" t="s">
        <v>175</v>
      </c>
      <c r="E178" s="160" t="e">
        <f ca="1">IF(AND(G173&lt;0.3,G174&lt;0.3),"사다리꼴","정규")</f>
        <v>#N/A</v>
      </c>
      <c r="H178" s="121"/>
      <c r="I178" s="171">
        <v>6</v>
      </c>
      <c r="J178" s="171">
        <v>2.52</v>
      </c>
      <c r="O178" s="196">
        <v>5</v>
      </c>
      <c r="P178" s="197" t="s">
        <v>208</v>
      </c>
      <c r="Q178" s="121"/>
      <c r="R178" s="121"/>
      <c r="S178" s="121"/>
      <c r="T178" s="121"/>
      <c r="U178" s="121"/>
      <c r="V178" s="124"/>
    </row>
    <row r="179" spans="2:27" ht="15" customHeight="1">
      <c r="B179" s="171">
        <v>6</v>
      </c>
      <c r="C179" s="191">
        <f ca="1">IFERROR(LARGE(Y156:Y163,B179),0)</f>
        <v>0</v>
      </c>
      <c r="D179" s="324" t="s">
        <v>214</v>
      </c>
      <c r="E179" s="171" t="e">
        <f ca="1">IF(E178="정규",IF(OR(V164="∞",V164&gt;=10),2,OFFSET(J172,MATCH(V164,I173:I182,0),0)),ROUND((1-SQRT((1-0.95)*(1-G177^2)))/SQRT((1+G177^2)/6),2))</f>
        <v>#N/A</v>
      </c>
      <c r="H179" s="121"/>
      <c r="I179" s="171">
        <v>7</v>
      </c>
      <c r="J179" s="171">
        <v>2.4300000000000002</v>
      </c>
      <c r="O179" s="196">
        <v>6</v>
      </c>
      <c r="P179" s="197" t="s">
        <v>275</v>
      </c>
      <c r="Q179" s="121"/>
      <c r="R179" s="121"/>
      <c r="S179" s="121"/>
      <c r="T179" s="121"/>
      <c r="U179" s="121"/>
      <c r="V179" s="124"/>
    </row>
    <row r="180" spans="2:27" ht="15" customHeight="1">
      <c r="B180" s="171">
        <v>7</v>
      </c>
      <c r="C180" s="191">
        <f ca="1">IFERROR(LARGE(Y156:Y163,B180),0)</f>
        <v>0</v>
      </c>
      <c r="E180" s="123"/>
      <c r="F180" s="121"/>
      <c r="G180" s="121"/>
      <c r="H180" s="121"/>
      <c r="I180" s="171">
        <v>8</v>
      </c>
      <c r="J180" s="171">
        <v>2.37</v>
      </c>
      <c r="O180" s="196">
        <v>7</v>
      </c>
      <c r="P180" s="197" t="s">
        <v>276</v>
      </c>
      <c r="Q180" s="121"/>
      <c r="R180" s="121"/>
      <c r="S180" s="121"/>
      <c r="T180" s="121"/>
      <c r="U180" s="121"/>
      <c r="V180" s="124"/>
    </row>
    <row r="181" spans="2:27" ht="15" customHeight="1">
      <c r="B181" s="171">
        <v>8</v>
      </c>
      <c r="C181" s="191">
        <f ca="1">IFERROR(LARGE(Y156:Y163,B181),0)</f>
        <v>0</v>
      </c>
      <c r="E181" s="123"/>
      <c r="I181" s="171">
        <v>9</v>
      </c>
      <c r="J181" s="171">
        <v>2.3199999999999998</v>
      </c>
      <c r="O181" s="196">
        <v>8</v>
      </c>
      <c r="P181" s="197" t="s">
        <v>278</v>
      </c>
      <c r="Q181" s="121"/>
      <c r="R181" s="121"/>
      <c r="S181" s="121"/>
      <c r="T181" s="121"/>
      <c r="U181" s="121"/>
      <c r="V181" s="124"/>
    </row>
    <row r="182" spans="2:27" ht="15" customHeight="1">
      <c r="B182" s="122"/>
      <c r="C182" s="122"/>
      <c r="D182" s="122"/>
      <c r="I182" s="171" t="s">
        <v>54</v>
      </c>
      <c r="J182" s="171">
        <v>2</v>
      </c>
      <c r="O182" s="196">
        <v>9</v>
      </c>
      <c r="P182" s="197" t="s">
        <v>279</v>
      </c>
      <c r="Q182" s="121"/>
      <c r="R182" s="121"/>
      <c r="S182" s="121"/>
      <c r="T182" s="121"/>
      <c r="U182" s="121"/>
      <c r="V182" s="124"/>
    </row>
    <row r="183" spans="2:27" ht="15" customHeight="1">
      <c r="B183" s="122"/>
      <c r="C183" s="122"/>
      <c r="D183" s="122"/>
      <c r="Q183" s="121"/>
      <c r="R183" s="121"/>
      <c r="S183" s="121"/>
      <c r="T183" s="121"/>
      <c r="U183" s="121"/>
      <c r="V183" s="124"/>
    </row>
    <row r="184" spans="2:27" ht="15" customHeight="1">
      <c r="B184" s="153" t="s">
        <v>288</v>
      </c>
      <c r="C184" s="154"/>
      <c r="D184" s="154"/>
      <c r="E184" s="154"/>
      <c r="F184" s="154"/>
      <c r="G184" s="154"/>
      <c r="H184" s="154"/>
      <c r="I184" s="154"/>
      <c r="J184" s="154"/>
      <c r="K184" s="154"/>
      <c r="L184" s="154"/>
      <c r="M184" s="154"/>
      <c r="N184" s="154"/>
      <c r="O184" s="154"/>
      <c r="P184" s="154"/>
      <c r="Q184" s="154"/>
      <c r="R184" s="154"/>
      <c r="AA184" s="124"/>
    </row>
    <row r="185" spans="2:27" ht="15" customHeight="1">
      <c r="B185" s="154"/>
      <c r="C185" s="579" t="s">
        <v>215</v>
      </c>
      <c r="D185" s="580"/>
      <c r="E185" s="116" t="s">
        <v>289</v>
      </c>
      <c r="F185" s="116" t="s">
        <v>216</v>
      </c>
      <c r="G185" s="116" t="s">
        <v>218</v>
      </c>
      <c r="H185" s="154"/>
      <c r="I185" s="116" t="s">
        <v>499</v>
      </c>
      <c r="J185" s="116" t="s">
        <v>217</v>
      </c>
      <c r="K185" s="116" t="s">
        <v>216</v>
      </c>
      <c r="L185" s="162" t="s">
        <v>290</v>
      </c>
      <c r="M185" s="116" t="s">
        <v>216</v>
      </c>
      <c r="N185" s="162" t="s">
        <v>218</v>
      </c>
      <c r="O185" s="116"/>
      <c r="P185" s="116" t="s">
        <v>291</v>
      </c>
      <c r="Q185" s="116" t="s">
        <v>292</v>
      </c>
      <c r="U185" s="121"/>
      <c r="Z185" s="124"/>
    </row>
    <row r="186" spans="2:27" ht="15" customHeight="1">
      <c r="B186" s="154"/>
      <c r="C186" s="155"/>
      <c r="D186" s="156"/>
      <c r="E186" s="162"/>
      <c r="F186" s="163">
        <v>155800</v>
      </c>
      <c r="G186" s="200"/>
      <c r="H186" s="154"/>
      <c r="I186" s="116">
        <f>K4</f>
        <v>0</v>
      </c>
      <c r="J186" s="116">
        <f>MAX(I186-500,0)</f>
        <v>0</v>
      </c>
      <c r="K186" s="166">
        <f>F186</f>
        <v>155800</v>
      </c>
      <c r="L186" s="116" t="b">
        <f>H4="inch"</f>
        <v>0</v>
      </c>
      <c r="M186" s="163">
        <f>K186*IF(L186=TRUE,1.8,1)</f>
        <v>155800</v>
      </c>
      <c r="N186" s="164">
        <f>ROUNDUP(J186/100,0)*(F186*20%)</f>
        <v>0</v>
      </c>
      <c r="O186" s="165"/>
      <c r="P186" s="165">
        <f>SUM(M186:O186)</f>
        <v>155800</v>
      </c>
      <c r="Q186" s="574">
        <f>SUM(P186:P190)</f>
        <v>155800</v>
      </c>
      <c r="U186" s="121"/>
      <c r="Z186" s="124"/>
    </row>
    <row r="187" spans="2:27" ht="15" customHeight="1">
      <c r="B187" s="154"/>
      <c r="C187" s="155"/>
      <c r="D187" s="156"/>
      <c r="E187" s="162"/>
      <c r="F187" s="163"/>
      <c r="G187" s="201"/>
      <c r="H187" s="154"/>
      <c r="I187" s="116">
        <f>K65</f>
        <v>0</v>
      </c>
      <c r="J187" s="116">
        <f>MAX(I187-500,0)</f>
        <v>0</v>
      </c>
      <c r="K187" s="166">
        <f>IF(K186=0,F186,0)</f>
        <v>0</v>
      </c>
      <c r="L187" s="116" t="b">
        <f>H65="inch"</f>
        <v>0</v>
      </c>
      <c r="M187" s="163">
        <f>K187*IF(L187=TRUE,1.8,1)</f>
        <v>0</v>
      </c>
      <c r="N187" s="164">
        <f>ROUNDUP(J187/100,0)*(F186*20%)</f>
        <v>0</v>
      </c>
      <c r="O187" s="165"/>
      <c r="P187" s="165">
        <f t="shared" ref="P187:P190" si="73">SUM(M187:O187)</f>
        <v>0</v>
      </c>
      <c r="Q187" s="575"/>
      <c r="U187" s="121"/>
      <c r="Z187" s="124"/>
    </row>
    <row r="188" spans="2:27" ht="15" customHeight="1">
      <c r="B188" s="154"/>
      <c r="C188" s="155"/>
      <c r="D188" s="156"/>
      <c r="E188" s="162"/>
      <c r="F188" s="163"/>
      <c r="G188" s="201"/>
      <c r="H188" s="154"/>
      <c r="I188" s="116"/>
      <c r="J188" s="116"/>
      <c r="K188" s="166"/>
      <c r="L188" s="116"/>
      <c r="M188" s="163"/>
      <c r="N188" s="164"/>
      <c r="O188" s="165"/>
      <c r="P188" s="165"/>
      <c r="Q188" s="575"/>
      <c r="U188" s="121"/>
    </row>
    <row r="189" spans="2:27" ht="15" customHeight="1">
      <c r="B189" s="154"/>
      <c r="C189" s="155"/>
      <c r="D189" s="156"/>
      <c r="E189" s="162"/>
      <c r="F189" s="163"/>
      <c r="G189" s="202"/>
      <c r="H189" s="154"/>
      <c r="I189" s="116"/>
      <c r="J189" s="116"/>
      <c r="K189" s="166"/>
      <c r="L189" s="116"/>
      <c r="M189" s="163"/>
      <c r="N189" s="164"/>
      <c r="O189" s="165"/>
      <c r="P189" s="165"/>
      <c r="Q189" s="575"/>
      <c r="U189" s="121"/>
    </row>
    <row r="190" spans="2:27" ht="15" customHeight="1">
      <c r="B190" s="154"/>
      <c r="C190" s="155"/>
      <c r="D190" s="156"/>
      <c r="E190" s="162"/>
      <c r="F190" s="163"/>
      <c r="G190" s="202"/>
      <c r="H190" s="154"/>
      <c r="I190" s="116">
        <f>K126</f>
        <v>0</v>
      </c>
      <c r="J190" s="116">
        <f>MAX(I190-500,0)</f>
        <v>0</v>
      </c>
      <c r="K190" s="166">
        <f>IF(I190=0,0,F186*50%)</f>
        <v>0</v>
      </c>
      <c r="L190" s="116" t="b">
        <f>H126="inch"</f>
        <v>0</v>
      </c>
      <c r="M190" s="163">
        <f>K190*IF(L190=TRUE,1.8,1)</f>
        <v>0</v>
      </c>
      <c r="N190" s="164">
        <f>ROUNDUP(J190/100,0)*(F186*20%)</f>
        <v>0</v>
      </c>
      <c r="O190" s="165"/>
      <c r="P190" s="165">
        <f t="shared" si="73"/>
        <v>0</v>
      </c>
      <c r="Q190" s="576"/>
      <c r="U190" s="121"/>
    </row>
    <row r="191" spans="2:27" ht="15" customHeight="1">
      <c r="B191" s="154"/>
      <c r="C191" s="155"/>
      <c r="D191" s="156"/>
      <c r="E191" s="162"/>
      <c r="F191" s="163"/>
      <c r="G191" s="201"/>
      <c r="H191" s="154"/>
      <c r="M191" s="154"/>
      <c r="N191" s="154"/>
      <c r="O191" s="154"/>
      <c r="P191" s="154"/>
      <c r="Q191" s="154"/>
      <c r="R191" s="154"/>
    </row>
    <row r="192" spans="2:27" ht="15" customHeight="1">
      <c r="B192" s="154"/>
      <c r="C192" s="155"/>
      <c r="D192" s="159"/>
      <c r="E192" s="116"/>
      <c r="F192" s="116"/>
      <c r="G192" s="239"/>
      <c r="H192" s="154"/>
      <c r="I192" s="157" t="s">
        <v>293</v>
      </c>
      <c r="M192" s="154"/>
      <c r="N192" s="154"/>
      <c r="O192" s="154"/>
      <c r="P192" s="154"/>
      <c r="Q192" s="154"/>
      <c r="R192" s="154"/>
    </row>
    <row r="193" spans="2:29" ht="15" customHeight="1">
      <c r="I193" s="157" t="s">
        <v>497</v>
      </c>
    </row>
    <row r="194" spans="2:29" ht="15" customHeight="1">
      <c r="I194" s="157" t="s">
        <v>498</v>
      </c>
    </row>
    <row r="195" spans="2:29" ht="15" customHeight="1"/>
    <row r="196" spans="2:29" ht="15" customHeight="1">
      <c r="I196" s="120"/>
      <c r="J196" s="121"/>
    </row>
    <row r="206" spans="2:29" ht="18" customHeight="1">
      <c r="B206" s="71"/>
      <c r="C206" s="71"/>
      <c r="D206" s="71"/>
      <c r="E206" s="71"/>
      <c r="F206" s="71"/>
      <c r="G206" s="71"/>
      <c r="H206" s="71"/>
      <c r="M206" s="71"/>
      <c r="N206" s="71"/>
      <c r="O206" s="71"/>
      <c r="P206" s="154"/>
      <c r="Q206" s="154"/>
      <c r="R206" s="154"/>
    </row>
    <row r="207" spans="2:29" ht="18" customHeight="1">
      <c r="B207" s="122"/>
      <c r="C207" s="122"/>
      <c r="D207" s="122"/>
      <c r="I207" s="158"/>
      <c r="J207" s="154"/>
      <c r="K207" s="154"/>
      <c r="L207" s="154"/>
      <c r="P207" s="121"/>
      <c r="Q207" s="121"/>
      <c r="R207" s="121"/>
    </row>
    <row r="208" spans="2:29" ht="18" customHeight="1">
      <c r="B208" s="122"/>
      <c r="C208" s="122"/>
      <c r="D208" s="122"/>
      <c r="I208" s="158"/>
      <c r="J208" s="154"/>
      <c r="K208" s="154"/>
      <c r="L208" s="154"/>
      <c r="P208" s="121"/>
      <c r="Q208" s="121"/>
      <c r="R208" s="121"/>
      <c r="Z208" s="122"/>
      <c r="AA208" s="122"/>
      <c r="AB208" s="122"/>
      <c r="AC208" s="122"/>
    </row>
    <row r="209" spans="2:29" ht="18" customHeight="1">
      <c r="B209" s="122"/>
      <c r="C209" s="122"/>
      <c r="D209" s="122"/>
      <c r="J209" s="71"/>
      <c r="K209" s="71"/>
      <c r="L209" s="71"/>
      <c r="P209" s="121"/>
      <c r="Q209" s="121"/>
      <c r="R209" s="121"/>
      <c r="Z209" s="122"/>
      <c r="AA209" s="122"/>
      <c r="AB209" s="122"/>
      <c r="AC209" s="122"/>
    </row>
    <row r="210" spans="2:29" ht="18" customHeight="1">
      <c r="B210" s="122"/>
      <c r="C210" s="122"/>
      <c r="D210" s="122"/>
      <c r="I210" s="158"/>
      <c r="J210" s="124"/>
      <c r="K210" s="124"/>
      <c r="P210" s="121"/>
      <c r="Q210" s="121"/>
      <c r="R210" s="121"/>
      <c r="Z210" s="122"/>
      <c r="AA210" s="122"/>
      <c r="AB210" s="122"/>
      <c r="AC210" s="122"/>
    </row>
    <row r="211" spans="2:29" ht="18" customHeight="1">
      <c r="B211" s="122"/>
      <c r="C211" s="122"/>
      <c r="D211" s="122"/>
      <c r="I211" s="158"/>
      <c r="J211" s="124"/>
      <c r="K211" s="124"/>
      <c r="P211" s="121"/>
      <c r="Q211" s="121"/>
      <c r="R211" s="121"/>
      <c r="V211" s="122"/>
      <c r="W211" s="122"/>
      <c r="X211" s="122"/>
      <c r="Y211" s="122"/>
      <c r="Z211" s="122"/>
      <c r="AA211" s="122"/>
      <c r="AB211" s="122"/>
      <c r="AC211" s="122"/>
    </row>
    <row r="212" spans="2:29" ht="18" customHeight="1">
      <c r="B212" s="122"/>
      <c r="C212" s="122"/>
      <c r="D212" s="122"/>
      <c r="J212" s="124"/>
      <c r="K212" s="124"/>
      <c r="P212" s="121"/>
      <c r="Q212" s="121"/>
      <c r="R212" s="121"/>
      <c r="V212" s="122"/>
      <c r="W212" s="122"/>
      <c r="X212" s="122"/>
      <c r="Y212" s="122"/>
      <c r="Z212" s="122"/>
      <c r="AA212" s="122"/>
      <c r="AB212" s="122"/>
      <c r="AC212" s="122"/>
    </row>
    <row r="213" spans="2:29" ht="18" customHeight="1">
      <c r="B213" s="122"/>
      <c r="C213" s="122"/>
      <c r="D213" s="122"/>
      <c r="P213" s="121"/>
      <c r="Q213" s="121"/>
      <c r="R213" s="121"/>
    </row>
  </sheetData>
  <mergeCells count="109">
    <mergeCell ref="C185:D185"/>
    <mergeCell ref="O166:Q166"/>
    <mergeCell ref="S154:U154"/>
    <mergeCell ref="D176:D177"/>
    <mergeCell ref="E174:F174"/>
    <mergeCell ref="G174:G175"/>
    <mergeCell ref="C166:G166"/>
    <mergeCell ref="B154:B155"/>
    <mergeCell ref="C154:C155"/>
    <mergeCell ref="D154:D155"/>
    <mergeCell ref="E154:E155"/>
    <mergeCell ref="F154:F155"/>
    <mergeCell ref="J166:M166"/>
    <mergeCell ref="R166:R167"/>
    <mergeCell ref="B172:C172"/>
    <mergeCell ref="D172:D173"/>
    <mergeCell ref="S166:U166"/>
    <mergeCell ref="T167:U167"/>
    <mergeCell ref="AA7:AF7"/>
    <mergeCell ref="W32:W33"/>
    <mergeCell ref="O32:R32"/>
    <mergeCell ref="AA68:AF68"/>
    <mergeCell ref="Q186:Q190"/>
    <mergeCell ref="E129:J129"/>
    <mergeCell ref="X154:X155"/>
    <mergeCell ref="K155:M155"/>
    <mergeCell ref="O155:P155"/>
    <mergeCell ref="Q155:R155"/>
    <mergeCell ref="S155:U155"/>
    <mergeCell ref="Y129:Z129"/>
    <mergeCell ref="V111:Z111"/>
    <mergeCell ref="R110:R111"/>
    <mergeCell ref="S110:Z110"/>
    <mergeCell ref="R44:R45"/>
    <mergeCell ref="S44:U44"/>
    <mergeCell ref="T45:U45"/>
    <mergeCell ref="AA129:AF129"/>
    <mergeCell ref="G154:M154"/>
    <mergeCell ref="O154:R154"/>
    <mergeCell ref="W154:W155"/>
    <mergeCell ref="K129:K130"/>
    <mergeCell ref="N129:P129"/>
    <mergeCell ref="X32:X33"/>
    <mergeCell ref="Q33:R33"/>
    <mergeCell ref="B7:B9"/>
    <mergeCell ref="C7:C9"/>
    <mergeCell ref="E7:J7"/>
    <mergeCell ref="Y93:Z93"/>
    <mergeCell ref="C44:G44"/>
    <mergeCell ref="Y7:Z7"/>
    <mergeCell ref="K7:K8"/>
    <mergeCell ref="D7:D9"/>
    <mergeCell ref="N7:P7"/>
    <mergeCell ref="B32:B33"/>
    <mergeCell ref="C32:C33"/>
    <mergeCell ref="D32:D33"/>
    <mergeCell ref="K33:M33"/>
    <mergeCell ref="E32:E33"/>
    <mergeCell ref="F32:F33"/>
    <mergeCell ref="G32:M32"/>
    <mergeCell ref="Y32:Z32"/>
    <mergeCell ref="S32:U32"/>
    <mergeCell ref="V7:W7"/>
    <mergeCell ref="O33:P33"/>
    <mergeCell ref="S33:U33"/>
    <mergeCell ref="Y68:Z68"/>
    <mergeCell ref="T106:U106"/>
    <mergeCell ref="J44:M44"/>
    <mergeCell ref="D54:D55"/>
    <mergeCell ref="E52:F52"/>
    <mergeCell ref="G52:G53"/>
    <mergeCell ref="X93:X94"/>
    <mergeCell ref="E113:F113"/>
    <mergeCell ref="G113:G114"/>
    <mergeCell ref="C105:G105"/>
    <mergeCell ref="C93:C94"/>
    <mergeCell ref="D93:D94"/>
    <mergeCell ref="E93:E94"/>
    <mergeCell ref="F93:F94"/>
    <mergeCell ref="G93:M93"/>
    <mergeCell ref="B50:C50"/>
    <mergeCell ref="D50:D51"/>
    <mergeCell ref="J105:M105"/>
    <mergeCell ref="O44:Q44"/>
    <mergeCell ref="N68:P68"/>
    <mergeCell ref="V129:W129"/>
    <mergeCell ref="V68:W68"/>
    <mergeCell ref="B68:B70"/>
    <mergeCell ref="C68:C70"/>
    <mergeCell ref="D68:D70"/>
    <mergeCell ref="E68:J68"/>
    <mergeCell ref="K68:K69"/>
    <mergeCell ref="D115:D116"/>
    <mergeCell ref="K94:M94"/>
    <mergeCell ref="B129:B131"/>
    <mergeCell ref="C129:C131"/>
    <mergeCell ref="D129:D131"/>
    <mergeCell ref="B93:B94"/>
    <mergeCell ref="O105:Q105"/>
    <mergeCell ref="S93:U93"/>
    <mergeCell ref="S94:U94"/>
    <mergeCell ref="O93:R93"/>
    <mergeCell ref="O94:P94"/>
    <mergeCell ref="Q94:R94"/>
    <mergeCell ref="W93:W94"/>
    <mergeCell ref="R105:R106"/>
    <mergeCell ref="B111:C111"/>
    <mergeCell ref="D111:D112"/>
    <mergeCell ref="S105:U105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이름이 지정된 범위</vt:lpstr>
      </vt:variant>
      <vt:variant>
        <vt:i4>29</vt:i4>
      </vt:variant>
    </vt:vector>
  </HeadingPairs>
  <TitlesOfParts>
    <vt:vector size="42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Length_5_R1</vt:lpstr>
      <vt:lpstr>Length_5_R2</vt:lpstr>
      <vt:lpstr>Length_5_R5</vt:lpstr>
      <vt:lpstr>'교정결과-E'!B_Tag</vt:lpstr>
      <vt:lpstr>'교정결과-HY'!B_Tag</vt:lpstr>
      <vt:lpstr>B_Tag</vt:lpstr>
      <vt:lpstr>판정결과!B_Tag_2</vt:lpstr>
      <vt:lpstr>부록!B_Tag_3</vt:lpstr>
      <vt:lpstr>Length_5_R1_CMC</vt:lpstr>
      <vt:lpstr>Length_5_R1_Condition</vt:lpstr>
      <vt:lpstr>Length_5_R1_Resolution</vt:lpstr>
      <vt:lpstr>Length_5_R1_Result</vt:lpstr>
      <vt:lpstr>Length_5_R1_Spec</vt:lpstr>
      <vt:lpstr>Length_5_R1_STD1</vt:lpstr>
      <vt:lpstr>Length_5_R2!Length_5_R2_CMC</vt:lpstr>
      <vt:lpstr>Length_5_R2!Length_5_R2_Condition</vt:lpstr>
      <vt:lpstr>Length_5_R2!Length_5_R2_Resolution</vt:lpstr>
      <vt:lpstr>Length_5_R2!Length_5_R2_Result</vt:lpstr>
      <vt:lpstr>Length_5_R2!Length_5_R2_Spec</vt:lpstr>
      <vt:lpstr>Length_5_R2!Length_5_R2_STD1</vt:lpstr>
      <vt:lpstr>Length_5_R5!Length_5_R5_CMC</vt:lpstr>
      <vt:lpstr>Length_5_R5!Length_5_R5_Condition</vt:lpstr>
      <vt:lpstr>Length_5_R5!Length_5_R5_Resolution</vt:lpstr>
      <vt:lpstr>Length_5_R5!Length_5_R5_Result</vt:lpstr>
      <vt:lpstr>Length_5_R5!Length_5_R5_Spec</vt:lpstr>
      <vt:lpstr>Length_5_R5!Length_5_R5_STD1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2021-02-02T02:36:13Z</cp:lastPrinted>
  <dcterms:created xsi:type="dcterms:W3CDTF">2004-11-10T00:11:43Z</dcterms:created>
  <dcterms:modified xsi:type="dcterms:W3CDTF">2021-11-11T04:39:56Z</dcterms:modified>
</cp:coreProperties>
</file>