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3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5_R1" sheetId="14" r:id="rId11"/>
    <sheet name="Length_5_R2" sheetId="37" r:id="rId12"/>
    <sheet name="Magnification_1" sheetId="41" r:id="rId13"/>
    <sheet name="Angle_3" sheetId="40" r:id="rId14"/>
    <sheet name="Angle_1" sheetId="43" r:id="rId15"/>
  </sheets>
  <definedNames>
    <definedName name="_xlnm._FilterDatabase" localSheetId="0" hidden="1">기본정보!#REF!</definedName>
    <definedName name="Angle_1_CMC" localSheetId="14">Angle_1!$C$4:$E$23</definedName>
    <definedName name="Angle_1_Condition" localSheetId="14">Angle_1!$A$4:$B$23</definedName>
    <definedName name="Angle_1_Resolution" localSheetId="14">Angle_1!$F$4:$I$23</definedName>
    <definedName name="Angle_1_Result" localSheetId="14">Angle_1!$M$4:$Q$23</definedName>
    <definedName name="Angle_1_Spec" localSheetId="14">Angle_1!$J$4:$L$23</definedName>
    <definedName name="Angle_1_STD1" localSheetId="14">Angle_1!$A$28</definedName>
    <definedName name="Angle_3_CMC" localSheetId="13">Angle_3!$C$4:$E$23</definedName>
    <definedName name="Angle_3_Condition" localSheetId="13">Angle_3!$A$4:$B$23</definedName>
    <definedName name="Angle_3_Resolution" localSheetId="13">Angle_3!$F$4:$I$23</definedName>
    <definedName name="Angle_3_Result" localSheetId="13">Angle_3!$M$4:$Q$23</definedName>
    <definedName name="Angle_3_Spec" localSheetId="13">Angle_3!$J$4:$L$23</definedName>
    <definedName name="Angle_3_STD1" localSheetId="13">Angle_3!$A$27</definedName>
    <definedName name="B_Tag" localSheetId="2">'교정결과-E'!$C$131:$I$131</definedName>
    <definedName name="B_Tag" localSheetId="3">'교정결과-HY'!$B$123:$Q$123</definedName>
    <definedName name="B_Tag">교정결과!$C$119:$H$119</definedName>
    <definedName name="B_Tag_2" localSheetId="4">판정결과!$E$77:$I$77</definedName>
    <definedName name="B_Tag_3" localSheetId="5">부록!$B$11:$K$11</definedName>
    <definedName name="Length_5_R1_CMC">Length_5_R1!$C$4:$E$23</definedName>
    <definedName name="Length_5_R1_Condition">Length_5_R1!$A$4:$B$23</definedName>
    <definedName name="Length_5_R1_Resolution">Length_5_R1!$F$4:$I$23</definedName>
    <definedName name="Length_5_R1_Result">Length_5_R1!$M$4:$Q$23</definedName>
    <definedName name="Length_5_R1_Spec">Length_5_R1!$J$4:$L$23</definedName>
    <definedName name="Length_5_R1_STD1">Length_5_R1!$A$27</definedName>
    <definedName name="Length_5_R2_CMC" localSheetId="11">Length_5_R2!$C$4:$E$23</definedName>
    <definedName name="Length_5_R2_Condition" localSheetId="11">Length_5_R2!$A$4:$B$23</definedName>
    <definedName name="Length_5_R2_Resolution" localSheetId="11">Length_5_R2!$F$4:$I$23</definedName>
    <definedName name="Length_5_R2_Result" localSheetId="11">Length_5_R2!$M$4:$Q$23</definedName>
    <definedName name="Length_5_R2_Spec" localSheetId="11">Length_5_R2!$J$4:$L$23</definedName>
    <definedName name="Length_5_R2_STD1" localSheetId="11">Length_5_R2!$A$27</definedName>
    <definedName name="Magnification_1_CMC" localSheetId="12">Magnification_1!$G$4:$I$23</definedName>
    <definedName name="Magnification_1_Condition" localSheetId="12">Magnification_1!$A$4:$B$23</definedName>
    <definedName name="Magnification_1_Resolution" localSheetId="12">Magnification_1!$J$4:$M$23</definedName>
    <definedName name="Magnification_1_Result" localSheetId="12">Magnification_1!$Q$4:$U$23</definedName>
    <definedName name="Magnification_1_Spec" localSheetId="12">Magnification_1!$N$4:$P$23</definedName>
    <definedName name="Magnification_1_STD1" localSheetId="12">Magnification_1!$A$27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A40" i="24" l="1"/>
  <c r="A38" i="11" l="1"/>
  <c r="L81" i="33" l="1"/>
  <c r="L82" i="33"/>
  <c r="L83" i="33"/>
  <c r="L84" i="33"/>
  <c r="L85" i="33"/>
  <c r="L86" i="33"/>
  <c r="L87" i="33"/>
  <c r="L88" i="33"/>
  <c r="L89" i="33"/>
  <c r="L90" i="33"/>
  <c r="L91" i="33"/>
  <c r="L92" i="33"/>
  <c r="L93" i="33"/>
  <c r="L94" i="33"/>
  <c r="L95" i="33"/>
  <c r="L96" i="33"/>
  <c r="L97" i="33"/>
  <c r="L98" i="33"/>
  <c r="L99" i="33"/>
  <c r="L80" i="33"/>
  <c r="AB190" i="21" l="1"/>
  <c r="G243" i="21" l="1"/>
  <c r="F94" i="11" s="1"/>
  <c r="C104" i="24" l="1"/>
  <c r="U281" i="21"/>
  <c r="T281" i="21"/>
  <c r="T223" i="21"/>
  <c r="S223" i="21"/>
  <c r="Q110" i="21"/>
  <c r="Q48" i="21" l="1"/>
  <c r="T97" i="21" l="1"/>
  <c r="T102" i="21"/>
  <c r="T103" i="21"/>
  <c r="T104" i="21"/>
  <c r="T35" i="21"/>
  <c r="T40" i="21"/>
  <c r="T41" i="21"/>
  <c r="T42" i="21"/>
  <c r="K103" i="21" l="1"/>
  <c r="S103" i="21" s="1"/>
  <c r="K41" i="21"/>
  <c r="S41" i="21" s="1"/>
  <c r="O283" i="21" l="1"/>
  <c r="M283" i="21" s="1"/>
  <c r="O225" i="21"/>
  <c r="M225" i="21" s="1"/>
  <c r="O167" i="21"/>
  <c r="O110" i="21"/>
  <c r="M110" i="21" s="1"/>
  <c r="O48" i="21"/>
  <c r="M48" i="21" s="1"/>
  <c r="K167" i="21" l="1"/>
  <c r="M167" i="21"/>
  <c r="K225" i="21"/>
  <c r="K48" i="21"/>
  <c r="K283" i="21"/>
  <c r="K110" i="21"/>
  <c r="AW632" i="23" l="1"/>
  <c r="M632" i="23"/>
  <c r="BC631" i="23"/>
  <c r="AF644" i="23" s="1"/>
  <c r="AW631" i="23"/>
  <c r="AG631" i="23"/>
  <c r="AB631" i="23"/>
  <c r="V631" i="23"/>
  <c r="M631" i="23"/>
  <c r="H631" i="23"/>
  <c r="BC630" i="23"/>
  <c r="AA644" i="23" s="1"/>
  <c r="AW630" i="23"/>
  <c r="AG630" i="23"/>
  <c r="AB630" i="23"/>
  <c r="V630" i="23"/>
  <c r="M630" i="23"/>
  <c r="H630" i="23"/>
  <c r="BC629" i="23"/>
  <c r="V644" i="23" s="1"/>
  <c r="AW629" i="23"/>
  <c r="AG629" i="23"/>
  <c r="AB629" i="23"/>
  <c r="V629" i="23"/>
  <c r="M629" i="23"/>
  <c r="H629" i="23"/>
  <c r="BC628" i="23"/>
  <c r="Q644" i="23" s="1"/>
  <c r="AW628" i="23"/>
  <c r="AG628" i="23"/>
  <c r="AB628" i="23"/>
  <c r="V628" i="23"/>
  <c r="M628" i="23"/>
  <c r="BC627" i="23"/>
  <c r="L644" i="23" s="1"/>
  <c r="AW627" i="23"/>
  <c r="AG627" i="23"/>
  <c r="AB627" i="23"/>
  <c r="V627" i="23"/>
  <c r="M627" i="23"/>
  <c r="I535" i="23"/>
  <c r="D534" i="23" s="1"/>
  <c r="I520" i="23"/>
  <c r="D519" i="23" s="1"/>
  <c r="AW476" i="23"/>
  <c r="M476" i="23"/>
  <c r="BC475" i="23"/>
  <c r="AF557" i="23" s="1"/>
  <c r="AW475" i="23"/>
  <c r="AG475" i="23"/>
  <c r="N541" i="23" s="1"/>
  <c r="L543" i="23" s="1"/>
  <c r="AB475" i="23"/>
  <c r="I540" i="23" s="1"/>
  <c r="V475" i="23"/>
  <c r="M475" i="23"/>
  <c r="M536" i="23" s="1"/>
  <c r="H475" i="23"/>
  <c r="H536" i="23" s="1"/>
  <c r="BC474" i="23"/>
  <c r="AA557" i="23" s="1"/>
  <c r="AW474" i="23"/>
  <c r="AG474" i="23"/>
  <c r="N526" i="23" s="1"/>
  <c r="L528" i="23" s="1"/>
  <c r="AB474" i="23"/>
  <c r="I525" i="23" s="1"/>
  <c r="V474" i="23"/>
  <c r="M474" i="23"/>
  <c r="M521" i="23" s="1"/>
  <c r="H474" i="23"/>
  <c r="H521" i="23" s="1"/>
  <c r="BC473" i="23"/>
  <c r="V557" i="23" s="1"/>
  <c r="AW473" i="23"/>
  <c r="AG473" i="23"/>
  <c r="N511" i="23" s="1"/>
  <c r="L513" i="23" s="1"/>
  <c r="AB473" i="23"/>
  <c r="I510" i="23" s="1"/>
  <c r="V473" i="23"/>
  <c r="M473" i="23"/>
  <c r="M506" i="23" s="1"/>
  <c r="H473" i="23"/>
  <c r="H506" i="23" s="1"/>
  <c r="BC472" i="23"/>
  <c r="Q557" i="23" s="1"/>
  <c r="AW472" i="23"/>
  <c r="AG472" i="23"/>
  <c r="N499" i="23" s="1"/>
  <c r="L501" i="23" s="1"/>
  <c r="AB472" i="23"/>
  <c r="I498" i="23" s="1"/>
  <c r="V472" i="23"/>
  <c r="M472" i="23"/>
  <c r="M494" i="23" s="1"/>
  <c r="BC471" i="23"/>
  <c r="L557" i="23" s="1"/>
  <c r="AW471" i="23"/>
  <c r="AG471" i="23"/>
  <c r="N486" i="23" s="1"/>
  <c r="L488" i="23" s="1"/>
  <c r="AB471" i="23"/>
  <c r="I485" i="23" s="1"/>
  <c r="V471" i="23"/>
  <c r="M471" i="23"/>
  <c r="M480" i="23" s="1"/>
  <c r="AI394" i="23"/>
  <c r="AM394" i="23" s="1"/>
  <c r="M351" i="23"/>
  <c r="BC350" i="23"/>
  <c r="AG416" i="23" s="1"/>
  <c r="AL350" i="23"/>
  <c r="W400" i="23" s="1"/>
  <c r="O402" i="23" s="1"/>
  <c r="AB350" i="23"/>
  <c r="I399" i="23" s="1"/>
  <c r="V350" i="23"/>
  <c r="M350" i="23"/>
  <c r="H350" i="23"/>
  <c r="BC349" i="23"/>
  <c r="Z416" i="23" s="1"/>
  <c r="AL349" i="23"/>
  <c r="X386" i="23" s="1"/>
  <c r="O388" i="23" s="1"/>
  <c r="AB349" i="23"/>
  <c r="I385" i="23" s="1"/>
  <c r="V349" i="23"/>
  <c r="M349" i="23"/>
  <c r="N381" i="23" s="1"/>
  <c r="H349" i="23"/>
  <c r="I381" i="23" s="1"/>
  <c r="BC348" i="23"/>
  <c r="S416" i="23" s="1"/>
  <c r="AL348" i="23"/>
  <c r="W374" i="23" s="1"/>
  <c r="O376" i="23" s="1"/>
  <c r="AB348" i="23"/>
  <c r="I373" i="23" s="1"/>
  <c r="V348" i="23"/>
  <c r="M348" i="23"/>
  <c r="N369" i="23" s="1"/>
  <c r="BC347" i="23"/>
  <c r="L416" i="23" s="1"/>
  <c r="AL347" i="23"/>
  <c r="AB361" i="23" s="1"/>
  <c r="O363" i="23" s="1"/>
  <c r="AB347" i="23"/>
  <c r="I360" i="23" s="1"/>
  <c r="V347" i="23"/>
  <c r="M347" i="23"/>
  <c r="N355" i="23" s="1"/>
  <c r="L301" i="23"/>
  <c r="BA272" i="23"/>
  <c r="Q281" i="23" s="1"/>
  <c r="X289" i="23" s="1"/>
  <c r="AL289" i="23" s="1"/>
  <c r="AZ289" i="23" s="1"/>
  <c r="M272" i="23"/>
  <c r="BC271" i="23"/>
  <c r="AZ286" i="23" s="1"/>
  <c r="AW271" i="23"/>
  <c r="AG271" i="23"/>
  <c r="AB271" i="23"/>
  <c r="V271" i="23"/>
  <c r="M271" i="23"/>
  <c r="H271" i="23"/>
  <c r="BC270" i="23"/>
  <c r="AU286" i="23" s="1"/>
  <c r="AW270" i="23"/>
  <c r="AG270" i="23"/>
  <c r="AB270" i="23"/>
  <c r="V270" i="23"/>
  <c r="M270" i="23"/>
  <c r="H270" i="23"/>
  <c r="BC269" i="23"/>
  <c r="AP286" i="23" s="1"/>
  <c r="AW269" i="23"/>
  <c r="AG269" i="23"/>
  <c r="AB269" i="23"/>
  <c r="V269" i="23"/>
  <c r="M269" i="23"/>
  <c r="H269" i="23"/>
  <c r="BC268" i="23"/>
  <c r="AK286" i="23" s="1"/>
  <c r="AB268" i="23"/>
  <c r="V268" i="23"/>
  <c r="M268" i="23"/>
  <c r="BC267" i="23"/>
  <c r="AF286" i="23" s="1"/>
  <c r="AB267" i="23"/>
  <c r="X267" i="23"/>
  <c r="M267" i="23"/>
  <c r="BC266" i="23"/>
  <c r="AA286" i="23" s="1"/>
  <c r="AB266" i="23"/>
  <c r="V266" i="23"/>
  <c r="M266" i="23"/>
  <c r="BC265" i="23"/>
  <c r="V286" i="23" s="1"/>
  <c r="AB265" i="23"/>
  <c r="X265" i="23"/>
  <c r="M265" i="23"/>
  <c r="BC264" i="23"/>
  <c r="Q286" i="23" s="1"/>
  <c r="AW264" i="23"/>
  <c r="AG264" i="23"/>
  <c r="AB264" i="23"/>
  <c r="V264" i="23"/>
  <c r="M264" i="23"/>
  <c r="BC263" i="23"/>
  <c r="L286" i="23" s="1"/>
  <c r="BA263" i="23"/>
  <c r="AG263" i="23"/>
  <c r="AB263" i="23"/>
  <c r="Z263" i="23"/>
  <c r="M263" i="23"/>
  <c r="BA67" i="23"/>
  <c r="Q205" i="23" s="1"/>
  <c r="X223" i="23" s="1"/>
  <c r="AL223" i="23" s="1"/>
  <c r="AZ223" i="23" s="1"/>
  <c r="M67" i="23"/>
  <c r="BC66" i="23"/>
  <c r="AZ210" i="23" s="1"/>
  <c r="AW66" i="23"/>
  <c r="AG66" i="23"/>
  <c r="N193" i="23" s="1"/>
  <c r="AB66" i="23"/>
  <c r="I192" i="23" s="1"/>
  <c r="V66" i="23"/>
  <c r="M66" i="23"/>
  <c r="H66" i="23"/>
  <c r="BC65" i="23"/>
  <c r="AU210" i="23" s="1"/>
  <c r="AW65" i="23"/>
  <c r="AG65" i="23"/>
  <c r="N177" i="23" s="1"/>
  <c r="L179" i="23" s="1"/>
  <c r="V179" i="23" s="1"/>
  <c r="AB65" i="23"/>
  <c r="I176" i="23" s="1"/>
  <c r="V65" i="23"/>
  <c r="M65" i="23"/>
  <c r="H65" i="23"/>
  <c r="BC64" i="23"/>
  <c r="AP210" i="23" s="1"/>
  <c r="AW64" i="23"/>
  <c r="AG64" i="23"/>
  <c r="N165" i="23" s="1"/>
  <c r="AB64" i="23"/>
  <c r="I164" i="23" s="1"/>
  <c r="V64" i="23"/>
  <c r="M64" i="23"/>
  <c r="H64" i="23"/>
  <c r="BC63" i="23"/>
  <c r="AK210" i="23" s="1"/>
  <c r="AB63" i="23"/>
  <c r="I151" i="23" s="1"/>
  <c r="V63" i="23"/>
  <c r="M63" i="23"/>
  <c r="BC62" i="23"/>
  <c r="AF210" i="23" s="1"/>
  <c r="AB62" i="23"/>
  <c r="I135" i="23" s="1"/>
  <c r="X62" i="23"/>
  <c r="M62" i="23"/>
  <c r="BC61" i="23"/>
  <c r="AA210" i="23" s="1"/>
  <c r="AB61" i="23"/>
  <c r="I89" i="23" s="1"/>
  <c r="V61" i="23"/>
  <c r="M61" i="23"/>
  <c r="BC60" i="23"/>
  <c r="V210" i="23" s="1"/>
  <c r="AB60" i="23"/>
  <c r="I105" i="23" s="1"/>
  <c r="X60" i="23"/>
  <c r="M60" i="23"/>
  <c r="BC59" i="23"/>
  <c r="Q210" i="23" s="1"/>
  <c r="AW59" i="23"/>
  <c r="AG59" i="23"/>
  <c r="N90" i="23" s="1"/>
  <c r="L92" i="23" s="1"/>
  <c r="AB59" i="23"/>
  <c r="V59" i="23"/>
  <c r="M59" i="23"/>
  <c r="N85" i="23" s="1"/>
  <c r="BC58" i="23"/>
  <c r="L210" i="23" s="1"/>
  <c r="BA58" i="23"/>
  <c r="Z79" i="23" s="1"/>
  <c r="AO79" i="23" s="1"/>
  <c r="AG58" i="23"/>
  <c r="N77" i="23" s="1"/>
  <c r="L79" i="23" s="1"/>
  <c r="AB58" i="23"/>
  <c r="I76" i="23" s="1"/>
  <c r="Z58" i="23"/>
  <c r="M58" i="23"/>
  <c r="N71" i="23" s="1"/>
  <c r="G610" i="23"/>
  <c r="G582" i="23"/>
  <c r="C505" i="23"/>
  <c r="U496" i="23"/>
  <c r="J481" i="23"/>
  <c r="B479" i="23"/>
  <c r="G454" i="23"/>
  <c r="G441" i="23"/>
  <c r="AI415" i="23"/>
  <c r="AB415" i="23"/>
  <c r="U415" i="23"/>
  <c r="N415" i="23"/>
  <c r="X414" i="23"/>
  <c r="H409" i="23"/>
  <c r="H411" i="23" s="1"/>
  <c r="AF408" i="23"/>
  <c r="X408" i="23"/>
  <c r="P408" i="23"/>
  <c r="H408" i="23"/>
  <c r="Y397" i="23"/>
  <c r="W402" i="23" s="1"/>
  <c r="AE402" i="23" s="1"/>
  <c r="AE388" i="23"/>
  <c r="W388" i="23"/>
  <c r="AC383" i="23"/>
  <c r="W376" i="23"/>
  <c r="AE376" i="23" s="1"/>
  <c r="AB371" i="23"/>
  <c r="U371" i="23"/>
  <c r="W363" i="23"/>
  <c r="AE363" i="23" s="1"/>
  <c r="J356" i="23"/>
  <c r="B354" i="23"/>
  <c r="G331" i="23"/>
  <c r="L303" i="23"/>
  <c r="Q303" i="23" s="1"/>
  <c r="V303" i="23" s="1"/>
  <c r="AA303" i="23" s="1"/>
  <c r="AF303" i="23" s="1"/>
  <c r="L237" i="23"/>
  <c r="Q237" i="23" s="1"/>
  <c r="V237" i="23" s="1"/>
  <c r="AA237" i="23" s="1"/>
  <c r="G237" i="23"/>
  <c r="T232" i="23"/>
  <c r="N232" i="23"/>
  <c r="G235" i="23" s="1"/>
  <c r="R195" i="23"/>
  <c r="Y195" i="23" s="1"/>
  <c r="X190" i="23"/>
  <c r="Q186" i="23"/>
  <c r="O179" i="23"/>
  <c r="W174" i="23"/>
  <c r="R179" i="23" s="1"/>
  <c r="Y179" i="23" s="1"/>
  <c r="T174" i="23"/>
  <c r="AB162" i="23"/>
  <c r="R167" i="23" s="1"/>
  <c r="Y167" i="23" s="1"/>
  <c r="C159" i="23"/>
  <c r="B158" i="23"/>
  <c r="V149" i="23"/>
  <c r="B145" i="23"/>
  <c r="C129" i="23"/>
  <c r="B128" i="23"/>
  <c r="V119" i="23"/>
  <c r="B115" i="23"/>
  <c r="C96" i="23"/>
  <c r="B95" i="23"/>
  <c r="Y92" i="23"/>
  <c r="R92" i="23"/>
  <c r="AA87" i="23"/>
  <c r="U87" i="23"/>
  <c r="B82" i="23"/>
  <c r="J72" i="23"/>
  <c r="B70" i="23"/>
  <c r="G45" i="23"/>
  <c r="G43" i="23"/>
  <c r="G42" i="23"/>
  <c r="G41" i="23"/>
  <c r="G40" i="23"/>
  <c r="G39" i="23"/>
  <c r="G38" i="23"/>
  <c r="G37" i="23"/>
  <c r="G36" i="23"/>
  <c r="G35" i="23"/>
  <c r="Q10" i="23"/>
  <c r="V10" i="23" s="1"/>
  <c r="AA10" i="23" s="1"/>
  <c r="L10" i="23"/>
  <c r="G10" i="23"/>
  <c r="G8" i="23"/>
  <c r="I121" i="23" l="1"/>
  <c r="V133" i="21" l="1"/>
  <c r="AC133" i="21" s="1"/>
  <c r="B153" i="21"/>
  <c r="Z153" i="21" s="1"/>
  <c r="B152" i="21"/>
  <c r="Y152" i="21" s="1"/>
  <c r="B151" i="21"/>
  <c r="P151" i="21" s="1"/>
  <c r="B150" i="21"/>
  <c r="M150" i="21" s="1"/>
  <c r="AF320" i="23" s="1"/>
  <c r="B149" i="21"/>
  <c r="Z149" i="21" s="1"/>
  <c r="B148" i="21"/>
  <c r="P148" i="21" s="1"/>
  <c r="B147" i="21"/>
  <c r="P147" i="21" s="1"/>
  <c r="B146" i="21"/>
  <c r="M146" i="21" s="1"/>
  <c r="AF316" i="23" s="1"/>
  <c r="B145" i="21"/>
  <c r="Y145" i="21" s="1"/>
  <c r="B144" i="21"/>
  <c r="P144" i="21" s="1"/>
  <c r="B143" i="21"/>
  <c r="P143" i="21" s="1"/>
  <c r="B142" i="21"/>
  <c r="M142" i="21" s="1"/>
  <c r="AF312" i="23" s="1"/>
  <c r="B141" i="21"/>
  <c r="Y141" i="21" s="1"/>
  <c r="B140" i="21"/>
  <c r="P140" i="21" s="1"/>
  <c r="B139" i="21"/>
  <c r="P139" i="21" s="1"/>
  <c r="B138" i="21"/>
  <c r="M138" i="21" s="1"/>
  <c r="AF308" i="23" s="1"/>
  <c r="B137" i="21"/>
  <c r="Y137" i="21" s="1"/>
  <c r="B136" i="21"/>
  <c r="P136" i="21" s="1"/>
  <c r="B135" i="21"/>
  <c r="P135" i="21" s="1"/>
  <c r="B134" i="21"/>
  <c r="V134" i="21" s="1"/>
  <c r="I128" i="21"/>
  <c r="B298" i="23" s="1"/>
  <c r="H128" i="21"/>
  <c r="G128" i="21"/>
  <c r="I166" i="21" s="1"/>
  <c r="K166" i="21" s="1"/>
  <c r="Q166" i="21" s="1"/>
  <c r="C128" i="21"/>
  <c r="B128" i="21" s="1"/>
  <c r="P166" i="21"/>
  <c r="W161" i="21"/>
  <c r="U160" i="21"/>
  <c r="W160" i="21"/>
  <c r="V159" i="21"/>
  <c r="U158" i="21"/>
  <c r="V158" i="21"/>
  <c r="AF150" i="21"/>
  <c r="L74" i="33" s="1"/>
  <c r="AD133" i="21"/>
  <c r="AE133" i="21" s="1"/>
  <c r="AG133" i="21" s="1"/>
  <c r="AB133" i="21"/>
  <c r="O142" i="21" l="1"/>
  <c r="AP312" i="23" s="1"/>
  <c r="AE146" i="21"/>
  <c r="H70" i="33" s="1"/>
  <c r="T137" i="21"/>
  <c r="N145" i="21"/>
  <c r="AK315" i="23" s="1"/>
  <c r="AE141" i="21"/>
  <c r="H65" i="33" s="1"/>
  <c r="AF145" i="21"/>
  <c r="L69" i="33" s="1"/>
  <c r="U145" i="21"/>
  <c r="U143" i="21"/>
  <c r="S145" i="21"/>
  <c r="W145" i="21"/>
  <c r="AD145" i="21" s="1"/>
  <c r="J69" i="33" s="1"/>
  <c r="I133" i="21"/>
  <c r="J133" i="21" s="1"/>
  <c r="K133" i="21" s="1"/>
  <c r="L133" i="21" s="1"/>
  <c r="M133" i="21" s="1"/>
  <c r="N133" i="21" s="1"/>
  <c r="T139" i="21"/>
  <c r="AF139" i="21"/>
  <c r="L63" i="33" s="1"/>
  <c r="O143" i="21"/>
  <c r="AP313" i="23" s="1"/>
  <c r="O139" i="21"/>
  <c r="AP309" i="23" s="1"/>
  <c r="Q143" i="21"/>
  <c r="AE143" i="21"/>
  <c r="H67" i="33" s="1"/>
  <c r="AF148" i="21"/>
  <c r="L72" i="33" s="1"/>
  <c r="S152" i="21"/>
  <c r="U139" i="21"/>
  <c r="U151" i="21"/>
  <c r="Q139" i="21"/>
  <c r="S143" i="21"/>
  <c r="S144" i="21"/>
  <c r="T148" i="21"/>
  <c r="AE152" i="21"/>
  <c r="H76" i="33" s="1"/>
  <c r="E145" i="21"/>
  <c r="B315" i="23" s="1"/>
  <c r="S136" i="21"/>
  <c r="U140" i="21"/>
  <c r="N147" i="21"/>
  <c r="AK317" i="23" s="1"/>
  <c r="S151" i="21"/>
  <c r="G143" i="21"/>
  <c r="V148" i="21"/>
  <c r="AF141" i="21"/>
  <c r="L65" i="33" s="1"/>
  <c r="Z141" i="21"/>
  <c r="V145" i="21"/>
  <c r="AC145" i="21" s="1"/>
  <c r="K69" i="33" s="1"/>
  <c r="S141" i="21"/>
  <c r="AF149" i="21"/>
  <c r="L73" i="33" s="1"/>
  <c r="K139" i="21"/>
  <c r="V309" i="23" s="1"/>
  <c r="V152" i="21"/>
  <c r="V141" i="21"/>
  <c r="AC141" i="21" s="1"/>
  <c r="K65" i="33" s="1"/>
  <c r="T141" i="21"/>
  <c r="U149" i="21"/>
  <c r="AC134" i="21"/>
  <c r="K58" i="33" s="1"/>
  <c r="D145" i="21"/>
  <c r="V149" i="21"/>
  <c r="AC149" i="21" s="1"/>
  <c r="K73" i="33" s="1"/>
  <c r="V136" i="21"/>
  <c r="AC136" i="21" s="1"/>
  <c r="K60" i="33" s="1"/>
  <c r="AC152" i="21"/>
  <c r="K76" i="33" s="1"/>
  <c r="AC148" i="21"/>
  <c r="K72" i="33" s="1"/>
  <c r="V153" i="21"/>
  <c r="AC153" i="21" s="1"/>
  <c r="K77" i="33" s="1"/>
  <c r="V137" i="21"/>
  <c r="AC137" i="21" s="1"/>
  <c r="K61" i="33" s="1"/>
  <c r="AF137" i="21"/>
  <c r="L61" i="33" s="1"/>
  <c r="U137" i="21"/>
  <c r="O137" i="21"/>
  <c r="AP307" i="23" s="1"/>
  <c r="AE137" i="21"/>
  <c r="H61" i="33" s="1"/>
  <c r="AF140" i="21"/>
  <c r="L64" i="33" s="1"/>
  <c r="O141" i="21"/>
  <c r="AP311" i="23" s="1"/>
  <c r="U141" i="21"/>
  <c r="S142" i="21"/>
  <c r="O144" i="21"/>
  <c r="AP314" i="23" s="1"/>
  <c r="Q147" i="21"/>
  <c r="AF151" i="21"/>
  <c r="L75" i="33" s="1"/>
  <c r="AE151" i="21"/>
  <c r="H75" i="33" s="1"/>
  <c r="D141" i="21"/>
  <c r="M144" i="21"/>
  <c r="AF314" i="23" s="1"/>
  <c r="M145" i="21"/>
  <c r="AF315" i="23" s="1"/>
  <c r="D151" i="21"/>
  <c r="W133" i="21"/>
  <c r="V151" i="21"/>
  <c r="AC151" i="21" s="1"/>
  <c r="K75" i="33" s="1"/>
  <c r="V147" i="21"/>
  <c r="AC147" i="21" s="1"/>
  <c r="K71" i="33" s="1"/>
  <c r="V143" i="21"/>
  <c r="AC143" i="21" s="1"/>
  <c r="K67" i="33" s="1"/>
  <c r="V139" i="21"/>
  <c r="AC139" i="21" s="1"/>
  <c r="K63" i="33" s="1"/>
  <c r="V135" i="21"/>
  <c r="AC135" i="21" s="1"/>
  <c r="K59" i="33" s="1"/>
  <c r="T150" i="21"/>
  <c r="S153" i="21"/>
  <c r="E144" i="21"/>
  <c r="B314" i="23" s="1"/>
  <c r="V144" i="21"/>
  <c r="AC144" i="21" s="1"/>
  <c r="K68" i="33" s="1"/>
  <c r="V140" i="21"/>
  <c r="AC140" i="21" s="1"/>
  <c r="K64" i="33" s="1"/>
  <c r="S137" i="21"/>
  <c r="O138" i="21"/>
  <c r="AP308" i="23" s="1"/>
  <c r="Q140" i="21"/>
  <c r="Q141" i="21"/>
  <c r="Q144" i="21"/>
  <c r="S146" i="21"/>
  <c r="AE147" i="21"/>
  <c r="H71" i="33" s="1"/>
  <c r="Q151" i="21"/>
  <c r="H141" i="21"/>
  <c r="Z145" i="21"/>
  <c r="V150" i="21"/>
  <c r="AC150" i="21" s="1"/>
  <c r="K74" i="33" s="1"/>
  <c r="V146" i="21"/>
  <c r="AC146" i="21" s="1"/>
  <c r="K70" i="33" s="1"/>
  <c r="V142" i="21"/>
  <c r="AC142" i="21" s="1"/>
  <c r="K66" i="33" s="1"/>
  <c r="V138" i="21"/>
  <c r="AC138" i="21" s="1"/>
  <c r="K62" i="33" s="1"/>
  <c r="S138" i="21"/>
  <c r="O148" i="21"/>
  <c r="AP318" i="23" s="1"/>
  <c r="U148" i="21"/>
  <c r="O149" i="21"/>
  <c r="AP319" i="23" s="1"/>
  <c r="C136" i="21"/>
  <c r="G306" i="23" s="1"/>
  <c r="H144" i="21"/>
  <c r="Y144" i="21"/>
  <c r="E148" i="21"/>
  <c r="B318" i="23" s="1"/>
  <c r="M149" i="21"/>
  <c r="AF319" i="23" s="1"/>
  <c r="O136" i="21"/>
  <c r="AP306" i="23" s="1"/>
  <c r="Q137" i="21"/>
  <c r="S139" i="21"/>
  <c r="AE139" i="21"/>
  <c r="H63" i="33" s="1"/>
  <c r="AE140" i="21"/>
  <c r="H64" i="33" s="1"/>
  <c r="AF143" i="21"/>
  <c r="L67" i="33" s="1"/>
  <c r="T143" i="21"/>
  <c r="AF144" i="21"/>
  <c r="L68" i="33" s="1"/>
  <c r="U144" i="21"/>
  <c r="Q145" i="21"/>
  <c r="U147" i="21"/>
  <c r="Q148" i="21"/>
  <c r="Q149" i="21"/>
  <c r="AE149" i="21"/>
  <c r="H73" i="33" s="1"/>
  <c r="O151" i="21"/>
  <c r="AP321" i="23" s="1"/>
  <c r="G136" i="21"/>
  <c r="E137" i="21"/>
  <c r="B307" i="23" s="1"/>
  <c r="C139" i="21"/>
  <c r="G309" i="23" s="1"/>
  <c r="C144" i="21"/>
  <c r="G314" i="23" s="1"/>
  <c r="I144" i="21"/>
  <c r="L314" i="23" s="1"/>
  <c r="Z144" i="21"/>
  <c r="H145" i="21"/>
  <c r="K148" i="21"/>
  <c r="V318" i="23" s="1"/>
  <c r="Y136" i="21"/>
  <c r="AF136" i="21"/>
  <c r="L60" i="33" s="1"/>
  <c r="U136" i="21"/>
  <c r="Q136" i="21"/>
  <c r="AE136" i="21"/>
  <c r="H60" i="33" s="1"/>
  <c r="S148" i="21"/>
  <c r="AE148" i="21"/>
  <c r="H72" i="33" s="1"/>
  <c r="S149" i="21"/>
  <c r="K136" i="21"/>
  <c r="V306" i="23" s="1"/>
  <c r="M137" i="21"/>
  <c r="AF307" i="23" s="1"/>
  <c r="G139" i="21"/>
  <c r="D144" i="21"/>
  <c r="K144" i="21"/>
  <c r="V314" i="23" s="1"/>
  <c r="L145" i="21"/>
  <c r="AA315" i="23" s="1"/>
  <c r="Z148" i="21"/>
  <c r="Y135" i="21"/>
  <c r="H140" i="21"/>
  <c r="Z140" i="21"/>
  <c r="Y147" i="21"/>
  <c r="I152" i="21"/>
  <c r="L322" i="23" s="1"/>
  <c r="S140" i="21"/>
  <c r="S147" i="21"/>
  <c r="AF152" i="21"/>
  <c r="L76" i="33" s="1"/>
  <c r="T152" i="21"/>
  <c r="AF153" i="21"/>
  <c r="L77" i="33" s="1"/>
  <c r="U153" i="21"/>
  <c r="C135" i="21"/>
  <c r="G305" i="23" s="1"/>
  <c r="H136" i="21"/>
  <c r="Z136" i="21"/>
  <c r="H137" i="21"/>
  <c r="Z137" i="21"/>
  <c r="C140" i="21"/>
  <c r="G310" i="23" s="1"/>
  <c r="K140" i="21"/>
  <c r="V310" i="23" s="1"/>
  <c r="I141" i="21"/>
  <c r="L311" i="23" s="1"/>
  <c r="K143" i="21"/>
  <c r="V313" i="23" s="1"/>
  <c r="C147" i="21"/>
  <c r="G317" i="23" s="1"/>
  <c r="G148" i="21"/>
  <c r="L148" i="21"/>
  <c r="AA318" i="23" s="1"/>
  <c r="G151" i="21"/>
  <c r="D152" i="21"/>
  <c r="L152" i="21"/>
  <c r="AA322" i="23" s="1"/>
  <c r="E153" i="21"/>
  <c r="B323" i="23" s="1"/>
  <c r="O152" i="21"/>
  <c r="AP322" i="23" s="1"/>
  <c r="U152" i="21"/>
  <c r="O153" i="21"/>
  <c r="AP323" i="23" s="1"/>
  <c r="G135" i="21"/>
  <c r="I137" i="21"/>
  <c r="L307" i="23" s="1"/>
  <c r="D140" i="21"/>
  <c r="L140" i="21"/>
  <c r="AA310" i="23" s="1"/>
  <c r="L141" i="21"/>
  <c r="AA311" i="23" s="1"/>
  <c r="Y143" i="21"/>
  <c r="G147" i="21"/>
  <c r="C148" i="21"/>
  <c r="G318" i="23" s="1"/>
  <c r="H148" i="21"/>
  <c r="M148" i="21"/>
  <c r="AF318" i="23" s="1"/>
  <c r="E149" i="21"/>
  <c r="B319" i="23" s="1"/>
  <c r="K151" i="21"/>
  <c r="V321" i="23" s="1"/>
  <c r="E152" i="21"/>
  <c r="B322" i="23" s="1"/>
  <c r="M152" i="21"/>
  <c r="AF322" i="23" s="1"/>
  <c r="I153" i="21"/>
  <c r="L323" i="23" s="1"/>
  <c r="S135" i="21"/>
  <c r="O140" i="21"/>
  <c r="AP310" i="23" s="1"/>
  <c r="O147" i="21"/>
  <c r="AP317" i="23" s="1"/>
  <c r="Q152" i="21"/>
  <c r="Q153" i="21"/>
  <c r="AE153" i="21"/>
  <c r="H77" i="33" s="1"/>
  <c r="K135" i="21"/>
  <c r="V305" i="23" s="1"/>
  <c r="D136" i="21"/>
  <c r="L136" i="21"/>
  <c r="AA306" i="23" s="1"/>
  <c r="D137" i="21"/>
  <c r="L137" i="21"/>
  <c r="AA307" i="23" s="1"/>
  <c r="Y139" i="21"/>
  <c r="G140" i="21"/>
  <c r="Y140" i="21"/>
  <c r="E141" i="21"/>
  <c r="B311" i="23" s="1"/>
  <c r="M141" i="21"/>
  <c r="AF311" i="23" s="1"/>
  <c r="C143" i="21"/>
  <c r="G313" i="23" s="1"/>
  <c r="G144" i="21"/>
  <c r="L144" i="21"/>
  <c r="AA314" i="23" s="1"/>
  <c r="I145" i="21"/>
  <c r="L315" i="23" s="1"/>
  <c r="K147" i="21"/>
  <c r="V317" i="23" s="1"/>
  <c r="D148" i="21"/>
  <c r="I148" i="21"/>
  <c r="L318" i="23" s="1"/>
  <c r="Y148" i="21"/>
  <c r="I149" i="21"/>
  <c r="L319" i="23" s="1"/>
  <c r="C151" i="21"/>
  <c r="G321" i="23" s="1"/>
  <c r="Y151" i="21"/>
  <c r="H152" i="21"/>
  <c r="Z152" i="21"/>
  <c r="M153" i="21"/>
  <c r="AF323" i="23" s="1"/>
  <c r="M134" i="21"/>
  <c r="AF304" i="23" s="1"/>
  <c r="I134" i="21"/>
  <c r="L304" i="23" s="1"/>
  <c r="E134" i="21"/>
  <c r="B304" i="23" s="1"/>
  <c r="Z134" i="21"/>
  <c r="L134" i="21"/>
  <c r="AA304" i="23" s="1"/>
  <c r="H134" i="21"/>
  <c r="D134" i="21"/>
  <c r="Y134" i="21"/>
  <c r="K134" i="21"/>
  <c r="V304" i="23" s="1"/>
  <c r="G134" i="21"/>
  <c r="C134" i="21"/>
  <c r="G304" i="23" s="1"/>
  <c r="P134" i="21"/>
  <c r="J134" i="21"/>
  <c r="Q304" i="23" s="1"/>
  <c r="F134" i="21"/>
  <c r="F138" i="21"/>
  <c r="J138" i="21"/>
  <c r="Q308" i="23" s="1"/>
  <c r="P138" i="21"/>
  <c r="F142" i="21"/>
  <c r="J142" i="21"/>
  <c r="Q312" i="23" s="1"/>
  <c r="P142" i="21"/>
  <c r="F146" i="21"/>
  <c r="J146" i="21"/>
  <c r="Q316" i="23" s="1"/>
  <c r="P146" i="21"/>
  <c r="F150" i="21"/>
  <c r="J150" i="21"/>
  <c r="Q320" i="23" s="1"/>
  <c r="P150" i="21"/>
  <c r="Q138" i="21"/>
  <c r="AE138" i="21"/>
  <c r="H62" i="33" s="1"/>
  <c r="AF142" i="21"/>
  <c r="L66" i="33" s="1"/>
  <c r="U142" i="21"/>
  <c r="AF146" i="21"/>
  <c r="L70" i="33" s="1"/>
  <c r="T146" i="21"/>
  <c r="O150" i="21"/>
  <c r="AP320" i="23" s="1"/>
  <c r="U150" i="21"/>
  <c r="D135" i="21"/>
  <c r="H135" i="21"/>
  <c r="L135" i="21"/>
  <c r="AA305" i="23" s="1"/>
  <c r="Z135" i="21"/>
  <c r="E136" i="21"/>
  <c r="B306" i="23" s="1"/>
  <c r="I136" i="21"/>
  <c r="L306" i="23" s="1"/>
  <c r="M136" i="21"/>
  <c r="AF306" i="23" s="1"/>
  <c r="F137" i="21"/>
  <c r="J137" i="21"/>
  <c r="Q307" i="23" s="1"/>
  <c r="P137" i="21"/>
  <c r="C138" i="21"/>
  <c r="G308" i="23" s="1"/>
  <c r="G138" i="21"/>
  <c r="K138" i="21"/>
  <c r="V308" i="23" s="1"/>
  <c r="Y138" i="21"/>
  <c r="D139" i="21"/>
  <c r="H139" i="21"/>
  <c r="L139" i="21"/>
  <c r="AA309" i="23" s="1"/>
  <c r="Z139" i="21"/>
  <c r="E140" i="21"/>
  <c r="B310" i="23" s="1"/>
  <c r="I140" i="21"/>
  <c r="L310" i="23" s="1"/>
  <c r="M140" i="21"/>
  <c r="AF310" i="23" s="1"/>
  <c r="F141" i="21"/>
  <c r="J141" i="21"/>
  <c r="Q311" i="23" s="1"/>
  <c r="P141" i="21"/>
  <c r="C142" i="21"/>
  <c r="G312" i="23" s="1"/>
  <c r="G142" i="21"/>
  <c r="K142" i="21"/>
  <c r="V312" i="23" s="1"/>
  <c r="Y142" i="21"/>
  <c r="D143" i="21"/>
  <c r="H143" i="21"/>
  <c r="L143" i="21"/>
  <c r="AA313" i="23" s="1"/>
  <c r="Z143" i="21"/>
  <c r="F145" i="21"/>
  <c r="J145" i="21"/>
  <c r="Q315" i="23" s="1"/>
  <c r="P145" i="21"/>
  <c r="C146" i="21"/>
  <c r="G316" i="23" s="1"/>
  <c r="G146" i="21"/>
  <c r="K146" i="21"/>
  <c r="V316" i="23" s="1"/>
  <c r="Y146" i="21"/>
  <c r="D147" i="21"/>
  <c r="H147" i="21"/>
  <c r="L147" i="21"/>
  <c r="AA317" i="23" s="1"/>
  <c r="Z147" i="21"/>
  <c r="F149" i="21"/>
  <c r="J149" i="21"/>
  <c r="Q319" i="23" s="1"/>
  <c r="P149" i="21"/>
  <c r="C150" i="21"/>
  <c r="G320" i="23" s="1"/>
  <c r="G150" i="21"/>
  <c r="K150" i="21"/>
  <c r="V320" i="23" s="1"/>
  <c r="Y150" i="21"/>
  <c r="H151" i="21"/>
  <c r="L151" i="21"/>
  <c r="AA321" i="23" s="1"/>
  <c r="Z151" i="21"/>
  <c r="F153" i="21"/>
  <c r="J153" i="21"/>
  <c r="Q323" i="23" s="1"/>
  <c r="P153" i="21"/>
  <c r="O146" i="21"/>
  <c r="AP316" i="23" s="1"/>
  <c r="U146" i="21"/>
  <c r="Q150" i="21"/>
  <c r="E135" i="21"/>
  <c r="B305" i="23" s="1"/>
  <c r="I135" i="21"/>
  <c r="L305" i="23" s="1"/>
  <c r="M135" i="21"/>
  <c r="AF305" i="23" s="1"/>
  <c r="F136" i="21"/>
  <c r="J136" i="21"/>
  <c r="Q306" i="23" s="1"/>
  <c r="C137" i="21"/>
  <c r="G307" i="23" s="1"/>
  <c r="G137" i="21"/>
  <c r="K137" i="21"/>
  <c r="V307" i="23" s="1"/>
  <c r="D138" i="21"/>
  <c r="H138" i="21"/>
  <c r="L138" i="21"/>
  <c r="AA308" i="23" s="1"/>
  <c r="Z138" i="21"/>
  <c r="E139" i="21"/>
  <c r="B309" i="23" s="1"/>
  <c r="I139" i="21"/>
  <c r="L309" i="23" s="1"/>
  <c r="M139" i="21"/>
  <c r="AF309" i="23" s="1"/>
  <c r="F140" i="21"/>
  <c r="J140" i="21"/>
  <c r="Q310" i="23" s="1"/>
  <c r="C141" i="21"/>
  <c r="G311" i="23" s="1"/>
  <c r="G141" i="21"/>
  <c r="K141" i="21"/>
  <c r="V311" i="23" s="1"/>
  <c r="D142" i="21"/>
  <c r="H142" i="21"/>
  <c r="L142" i="21"/>
  <c r="AA312" i="23" s="1"/>
  <c r="Z142" i="21"/>
  <c r="E143" i="21"/>
  <c r="B313" i="23" s="1"/>
  <c r="I143" i="21"/>
  <c r="L313" i="23" s="1"/>
  <c r="M143" i="21"/>
  <c r="AF313" i="23" s="1"/>
  <c r="F144" i="21"/>
  <c r="J144" i="21"/>
  <c r="Q314" i="23" s="1"/>
  <c r="C145" i="21"/>
  <c r="G315" i="23" s="1"/>
  <c r="G145" i="21"/>
  <c r="K145" i="21"/>
  <c r="V315" i="23" s="1"/>
  <c r="D146" i="21"/>
  <c r="H146" i="21"/>
  <c r="L146" i="21"/>
  <c r="AA316" i="23" s="1"/>
  <c r="Z146" i="21"/>
  <c r="E147" i="21"/>
  <c r="B317" i="23" s="1"/>
  <c r="I147" i="21"/>
  <c r="L317" i="23" s="1"/>
  <c r="M147" i="21"/>
  <c r="AF317" i="23" s="1"/>
  <c r="F148" i="21"/>
  <c r="J148" i="21"/>
  <c r="Q318" i="23" s="1"/>
  <c r="C149" i="21"/>
  <c r="G319" i="23" s="1"/>
  <c r="G149" i="21"/>
  <c r="K149" i="21"/>
  <c r="V319" i="23" s="1"/>
  <c r="Y149" i="21"/>
  <c r="D150" i="21"/>
  <c r="H150" i="21"/>
  <c r="L150" i="21"/>
  <c r="AA320" i="23" s="1"/>
  <c r="Z150" i="21"/>
  <c r="E151" i="21"/>
  <c r="B321" i="23" s="1"/>
  <c r="I151" i="21"/>
  <c r="L321" i="23" s="1"/>
  <c r="M151" i="21"/>
  <c r="AF321" i="23" s="1"/>
  <c r="F152" i="21"/>
  <c r="J152" i="21"/>
  <c r="Q322" i="23" s="1"/>
  <c r="P152" i="21"/>
  <c r="C153" i="21"/>
  <c r="G323" i="23" s="1"/>
  <c r="G153" i="21"/>
  <c r="K153" i="21"/>
  <c r="V323" i="23" s="1"/>
  <c r="Y153" i="21"/>
  <c r="AF138" i="21"/>
  <c r="L62" i="33" s="1"/>
  <c r="U138" i="21"/>
  <c r="Q142" i="21"/>
  <c r="AE142" i="21"/>
  <c r="H66" i="33" s="1"/>
  <c r="Q146" i="21"/>
  <c r="S150" i="21"/>
  <c r="AE150" i="21"/>
  <c r="H74" i="33" s="1"/>
  <c r="F135" i="21"/>
  <c r="J135" i="21"/>
  <c r="Q305" i="23" s="1"/>
  <c r="E138" i="21"/>
  <c r="B308" i="23" s="1"/>
  <c r="I138" i="21"/>
  <c r="L308" i="23" s="1"/>
  <c r="F139" i="21"/>
  <c r="J139" i="21"/>
  <c r="Q309" i="23" s="1"/>
  <c r="E142" i="21"/>
  <c r="B312" i="23" s="1"/>
  <c r="I142" i="21"/>
  <c r="L312" i="23" s="1"/>
  <c r="F143" i="21"/>
  <c r="J143" i="21"/>
  <c r="Q313" i="23" s="1"/>
  <c r="E146" i="21"/>
  <c r="B316" i="23" s="1"/>
  <c r="I146" i="21"/>
  <c r="L316" i="23" s="1"/>
  <c r="F147" i="21"/>
  <c r="J147" i="21"/>
  <c r="Q317" i="23" s="1"/>
  <c r="D149" i="21"/>
  <c r="H149" i="21"/>
  <c r="L149" i="21"/>
  <c r="AA319" i="23" s="1"/>
  <c r="E150" i="21"/>
  <c r="B320" i="23" s="1"/>
  <c r="I150" i="21"/>
  <c r="L320" i="23" s="1"/>
  <c r="F151" i="21"/>
  <c r="J151" i="21"/>
  <c r="Q321" i="23" s="1"/>
  <c r="C152" i="21"/>
  <c r="G322" i="23" s="1"/>
  <c r="G152" i="21"/>
  <c r="K152" i="21"/>
  <c r="V322" i="23" s="1"/>
  <c r="D153" i="21"/>
  <c r="H153" i="21"/>
  <c r="L153" i="21"/>
  <c r="AA323" i="23" s="1"/>
  <c r="S134" i="21"/>
  <c r="AE135" i="21"/>
  <c r="H59" i="33" s="1"/>
  <c r="H160" i="21"/>
  <c r="O135" i="21"/>
  <c r="AP305" i="23" s="1"/>
  <c r="R135" i="21"/>
  <c r="T136" i="21"/>
  <c r="N137" i="21"/>
  <c r="AK307" i="23" s="1"/>
  <c r="R137" i="21"/>
  <c r="W137" i="21"/>
  <c r="AD137" i="21" s="1"/>
  <c r="J61" i="33" s="1"/>
  <c r="T138" i="21"/>
  <c r="N139" i="21"/>
  <c r="AK309" i="23" s="1"/>
  <c r="R139" i="21"/>
  <c r="W139" i="21"/>
  <c r="AD139" i="21" s="1"/>
  <c r="J63" i="33" s="1"/>
  <c r="T140" i="21"/>
  <c r="N141" i="21"/>
  <c r="AK311" i="23" s="1"/>
  <c r="R141" i="21"/>
  <c r="W141" i="21"/>
  <c r="AD141" i="21" s="1"/>
  <c r="J65" i="33" s="1"/>
  <c r="T142" i="21"/>
  <c r="N143" i="21"/>
  <c r="AK313" i="23" s="1"/>
  <c r="R143" i="21"/>
  <c r="W143" i="21"/>
  <c r="AD143" i="21" s="1"/>
  <c r="J67" i="33" s="1"/>
  <c r="T144" i="21"/>
  <c r="AE144" i="21"/>
  <c r="H68" i="33" s="1"/>
  <c r="O145" i="21"/>
  <c r="AP315" i="23" s="1"/>
  <c r="AF147" i="21"/>
  <c r="L71" i="33" s="1"/>
  <c r="W147" i="21"/>
  <c r="AD147" i="21" s="1"/>
  <c r="J71" i="33" s="1"/>
  <c r="T147" i="21"/>
  <c r="R147" i="21"/>
  <c r="N134" i="21"/>
  <c r="AK304" i="23" s="1"/>
  <c r="R134" i="21"/>
  <c r="N136" i="21"/>
  <c r="AK306" i="23" s="1"/>
  <c r="R136" i="21"/>
  <c r="W136" i="21"/>
  <c r="AD136" i="21" s="1"/>
  <c r="J60" i="33" s="1"/>
  <c r="N138" i="21"/>
  <c r="AK308" i="23" s="1"/>
  <c r="R138" i="21"/>
  <c r="W138" i="21"/>
  <c r="AD138" i="21" s="1"/>
  <c r="J62" i="33" s="1"/>
  <c r="N140" i="21"/>
  <c r="AK310" i="23" s="1"/>
  <c r="R140" i="21"/>
  <c r="W140" i="21"/>
  <c r="AD140" i="21" s="1"/>
  <c r="J64" i="33" s="1"/>
  <c r="N142" i="21"/>
  <c r="AK312" i="23" s="1"/>
  <c r="R142" i="21"/>
  <c r="W142" i="21"/>
  <c r="AD142" i="21" s="1"/>
  <c r="J66" i="33" s="1"/>
  <c r="N144" i="21"/>
  <c r="AK314" i="23" s="1"/>
  <c r="R144" i="21"/>
  <c r="W144" i="21"/>
  <c r="AD144" i="21" s="1"/>
  <c r="J68" i="33" s="1"/>
  <c r="T145" i="21"/>
  <c r="R145" i="21"/>
  <c r="AE145" i="21"/>
  <c r="H69" i="33" s="1"/>
  <c r="N146" i="21"/>
  <c r="AK316" i="23" s="1"/>
  <c r="R146" i="21"/>
  <c r="W146" i="21"/>
  <c r="AD146" i="21" s="1"/>
  <c r="J70" i="33" s="1"/>
  <c r="N148" i="21"/>
  <c r="AK318" i="23" s="1"/>
  <c r="R148" i="21"/>
  <c r="W148" i="21"/>
  <c r="AD148" i="21" s="1"/>
  <c r="J72" i="33" s="1"/>
  <c r="T149" i="21"/>
  <c r="N150" i="21"/>
  <c r="AK320" i="23" s="1"/>
  <c r="R150" i="21"/>
  <c r="W150" i="21"/>
  <c r="AD150" i="21" s="1"/>
  <c r="J74" i="33" s="1"/>
  <c r="T151" i="21"/>
  <c r="N152" i="21"/>
  <c r="AK322" i="23" s="1"/>
  <c r="R152" i="21"/>
  <c r="W152" i="21"/>
  <c r="AD152" i="21" s="1"/>
  <c r="J76" i="33" s="1"/>
  <c r="T153" i="21"/>
  <c r="N149" i="21"/>
  <c r="AK319" i="23" s="1"/>
  <c r="R149" i="21"/>
  <c r="W149" i="21"/>
  <c r="AD149" i="21" s="1"/>
  <c r="J73" i="33" s="1"/>
  <c r="N151" i="21"/>
  <c r="AK321" i="23" s="1"/>
  <c r="R151" i="21"/>
  <c r="W151" i="21"/>
  <c r="AD151" i="21" s="1"/>
  <c r="J75" i="33" s="1"/>
  <c r="N153" i="21"/>
  <c r="AK323" i="23" s="1"/>
  <c r="R153" i="21"/>
  <c r="W153" i="21"/>
  <c r="AD153" i="21" s="1"/>
  <c r="J77" i="33" s="1"/>
  <c r="T383" i="23" l="1"/>
  <c r="Y383" i="23" s="1"/>
  <c r="S388" i="23" s="1"/>
  <c r="AA388" i="23" s="1"/>
  <c r="K160" i="21"/>
  <c r="O349" i="23" s="1"/>
  <c r="AA140" i="21"/>
  <c r="Q134" i="21"/>
  <c r="T134" i="21" s="1"/>
  <c r="AA145" i="21"/>
  <c r="AA146" i="21"/>
  <c r="AA151" i="21"/>
  <c r="AA153" i="21"/>
  <c r="AA141" i="21"/>
  <c r="AA147" i="21"/>
  <c r="AA135" i="21"/>
  <c r="AA136" i="21"/>
  <c r="AA134" i="21"/>
  <c r="AA152" i="21"/>
  <c r="AA149" i="21"/>
  <c r="AA137" i="21"/>
  <c r="AA144" i="21"/>
  <c r="AA150" i="21"/>
  <c r="Z133" i="21"/>
  <c r="Y133" i="21"/>
  <c r="AA148" i="21"/>
  <c r="AA142" i="21"/>
  <c r="AA143" i="21"/>
  <c r="AA139" i="21"/>
  <c r="AA138" i="21"/>
  <c r="W134" i="21"/>
  <c r="AD134" i="21" s="1"/>
  <c r="J58" i="33" s="1"/>
  <c r="O134" i="21"/>
  <c r="AP304" i="23" s="1"/>
  <c r="Q370" i="23" s="1"/>
  <c r="R371" i="23" s="1"/>
  <c r="X371" i="23" s="1"/>
  <c r="S376" i="23" s="1"/>
  <c r="AA376" i="23" s="1"/>
  <c r="D128" i="21"/>
  <c r="AE134" i="21"/>
  <c r="H58" i="33" s="1"/>
  <c r="E128" i="21"/>
  <c r="N135" i="21"/>
  <c r="AK305" i="23" s="1"/>
  <c r="J80" i="3"/>
  <c r="P382" i="23" l="1"/>
  <c r="Q135" i="21"/>
  <c r="T135" i="21" s="1"/>
  <c r="H159" i="21"/>
  <c r="J158" i="21"/>
  <c r="P359" i="23" s="1"/>
  <c r="J128" i="21"/>
  <c r="I158" i="21"/>
  <c r="H158" i="21"/>
  <c r="G158" i="21"/>
  <c r="Y356" i="23" s="1"/>
  <c r="P358" i="23" s="1"/>
  <c r="AF134" i="21"/>
  <c r="W135" i="21"/>
  <c r="E159" i="21"/>
  <c r="H348" i="23" s="1"/>
  <c r="I369" i="23" s="1"/>
  <c r="E158" i="21"/>
  <c r="H347" i="23" s="1"/>
  <c r="I355" i="23" s="1"/>
  <c r="F128" i="21"/>
  <c r="AM395" i="23" s="1"/>
  <c r="AR394" i="23" s="1"/>
  <c r="O397" i="23" s="1"/>
  <c r="U397" i="23" s="1"/>
  <c r="S402" i="23" s="1"/>
  <c r="AA402" i="23" s="1"/>
  <c r="E162" i="21"/>
  <c r="H351" i="23" s="1"/>
  <c r="E46" i="3"/>
  <c r="L58" i="33" l="1"/>
  <c r="K159" i="21"/>
  <c r="O348" i="23" s="1"/>
  <c r="C167" i="21"/>
  <c r="G167" i="21" s="1"/>
  <c r="AB356" i="23"/>
  <c r="S358" i="23" s="1"/>
  <c r="AF358" i="23" s="1"/>
  <c r="AC358" i="23"/>
  <c r="O158" i="21"/>
  <c r="N159" i="21" s="1"/>
  <c r="N160" i="21" s="1"/>
  <c r="N158" i="21"/>
  <c r="K158" i="21"/>
  <c r="AD135" i="21"/>
  <c r="J59" i="33" s="1"/>
  <c r="AF135" i="21"/>
  <c r="AF133" i="21" s="1"/>
  <c r="O159" i="21"/>
  <c r="O160" i="21" s="1"/>
  <c r="O161" i="21" s="1"/>
  <c r="H161" i="21"/>
  <c r="AI268" i="21"/>
  <c r="AH268" i="21"/>
  <c r="AG268" i="21"/>
  <c r="AF268" i="21"/>
  <c r="AE268" i="21"/>
  <c r="B268" i="21"/>
  <c r="AI267" i="21"/>
  <c r="AH267" i="21"/>
  <c r="AG267" i="21"/>
  <c r="AF267" i="21"/>
  <c r="AE267" i="21"/>
  <c r="B267" i="21"/>
  <c r="AI266" i="21"/>
  <c r="AH266" i="21"/>
  <c r="AG266" i="21"/>
  <c r="AF266" i="21"/>
  <c r="AE266" i="21"/>
  <c r="B266" i="21"/>
  <c r="AI265" i="21"/>
  <c r="AH265" i="21"/>
  <c r="AG265" i="21"/>
  <c r="AF265" i="21"/>
  <c r="AE265" i="21"/>
  <c r="B265" i="21"/>
  <c r="AI264" i="21"/>
  <c r="AH264" i="21"/>
  <c r="AG264" i="21"/>
  <c r="AF264" i="21"/>
  <c r="AE264" i="21"/>
  <c r="B264" i="21"/>
  <c r="AI263" i="21"/>
  <c r="AH263" i="21"/>
  <c r="AG263" i="21"/>
  <c r="AF263" i="21"/>
  <c r="AE263" i="21"/>
  <c r="B263" i="21"/>
  <c r="AI262" i="21"/>
  <c r="AH262" i="21"/>
  <c r="AG262" i="21"/>
  <c r="AF262" i="21"/>
  <c r="AE262" i="21"/>
  <c r="B262" i="21"/>
  <c r="AI261" i="21"/>
  <c r="AH261" i="21"/>
  <c r="AG261" i="21"/>
  <c r="AF261" i="21"/>
  <c r="AE261" i="21"/>
  <c r="B261" i="21"/>
  <c r="AI260" i="21"/>
  <c r="AH260" i="21"/>
  <c r="AG260" i="21"/>
  <c r="AF260" i="21"/>
  <c r="AE260" i="21"/>
  <c r="B260" i="21"/>
  <c r="AI259" i="21"/>
  <c r="AH259" i="21"/>
  <c r="AG259" i="21"/>
  <c r="AF259" i="21"/>
  <c r="AE259" i="21"/>
  <c r="B259" i="21"/>
  <c r="AI258" i="21"/>
  <c r="AH258" i="21"/>
  <c r="AG258" i="21"/>
  <c r="AF258" i="21"/>
  <c r="AE258" i="21"/>
  <c r="B258" i="21"/>
  <c r="AI257" i="21"/>
  <c r="AH257" i="21"/>
  <c r="AG257" i="21"/>
  <c r="AF257" i="21"/>
  <c r="AE257" i="21"/>
  <c r="B257" i="21"/>
  <c r="AI256" i="21"/>
  <c r="AH256" i="21"/>
  <c r="AG256" i="21"/>
  <c r="AF256" i="21"/>
  <c r="AE256" i="21"/>
  <c r="B256" i="21"/>
  <c r="AI255" i="21"/>
  <c r="AH255" i="21"/>
  <c r="AG255" i="21"/>
  <c r="AF255" i="21"/>
  <c r="AE255" i="21"/>
  <c r="B255" i="21"/>
  <c r="AI254" i="21"/>
  <c r="AH254" i="21"/>
  <c r="AG254" i="21"/>
  <c r="AF254" i="21"/>
  <c r="AE254" i="21"/>
  <c r="B254" i="21"/>
  <c r="AI253" i="21"/>
  <c r="AH253" i="21"/>
  <c r="AG253" i="21"/>
  <c r="AF253" i="21"/>
  <c r="AE253" i="21"/>
  <c r="B253" i="21"/>
  <c r="AI252" i="21"/>
  <c r="AH252" i="21"/>
  <c r="AG252" i="21"/>
  <c r="AF252" i="21"/>
  <c r="AE252" i="21"/>
  <c r="B252" i="21"/>
  <c r="AI251" i="21"/>
  <c r="AH251" i="21"/>
  <c r="AG251" i="21"/>
  <c r="AF251" i="21"/>
  <c r="AE251" i="21"/>
  <c r="B251" i="21"/>
  <c r="AI250" i="21"/>
  <c r="AH250" i="21"/>
  <c r="AG250" i="21"/>
  <c r="AF250" i="21"/>
  <c r="AE250" i="21"/>
  <c r="B250" i="21"/>
  <c r="AI249" i="21"/>
  <c r="AH249" i="21"/>
  <c r="AG249" i="21"/>
  <c r="AF249" i="21"/>
  <c r="AE249" i="21"/>
  <c r="B249" i="21"/>
  <c r="I243" i="21"/>
  <c r="H275" i="21" s="1"/>
  <c r="H243" i="21"/>
  <c r="F243" i="21"/>
  <c r="C243" i="21"/>
  <c r="K161" i="21" l="1"/>
  <c r="O350" i="23" s="1"/>
  <c r="AP358" i="23"/>
  <c r="S363" i="23" s="1"/>
  <c r="AA363" i="23" s="1"/>
  <c r="O347" i="23"/>
  <c r="A102" i="33"/>
  <c r="A101" i="33" s="1"/>
  <c r="BI249" i="21"/>
  <c r="BE249" i="21"/>
  <c r="BA249" i="21"/>
  <c r="AW249" i="21"/>
  <c r="AS249" i="21"/>
  <c r="AO249" i="21"/>
  <c r="BH249" i="21"/>
  <c r="BD249" i="21"/>
  <c r="AZ249" i="21"/>
  <c r="AV249" i="21"/>
  <c r="AR249" i="21"/>
  <c r="AN249" i="21"/>
  <c r="BG249" i="21"/>
  <c r="AY249" i="21"/>
  <c r="AQ249" i="21"/>
  <c r="BC249" i="21"/>
  <c r="AM249" i="21"/>
  <c r="BF249" i="21"/>
  <c r="AX249" i="21"/>
  <c r="AP249" i="21"/>
  <c r="AU249" i="21"/>
  <c r="AT249" i="21"/>
  <c r="BB249" i="21"/>
  <c r="AL249" i="21"/>
  <c r="A104" i="33"/>
  <c r="BI251" i="21"/>
  <c r="BE251" i="21"/>
  <c r="BA251" i="21"/>
  <c r="AW251" i="21"/>
  <c r="AS251" i="21"/>
  <c r="AO251" i="21"/>
  <c r="BH251" i="21"/>
  <c r="BD251" i="21"/>
  <c r="AZ251" i="21"/>
  <c r="AV251" i="21"/>
  <c r="AR251" i="21"/>
  <c r="AN251" i="21"/>
  <c r="BG251" i="21"/>
  <c r="AY251" i="21"/>
  <c r="AQ251" i="21"/>
  <c r="BC251" i="21"/>
  <c r="AM251" i="21"/>
  <c r="BF251" i="21"/>
  <c r="AX251" i="21"/>
  <c r="AP251" i="21"/>
  <c r="AU251" i="21"/>
  <c r="BB251" i="21"/>
  <c r="AT251" i="21"/>
  <c r="AL251" i="21"/>
  <c r="A106" i="33"/>
  <c r="BI253" i="21"/>
  <c r="BE253" i="21"/>
  <c r="BA253" i="21"/>
  <c r="AW253" i="21"/>
  <c r="AS253" i="21"/>
  <c r="AO253" i="21"/>
  <c r="BH253" i="21"/>
  <c r="BD253" i="21"/>
  <c r="AZ253" i="21"/>
  <c r="AV253" i="21"/>
  <c r="AR253" i="21"/>
  <c r="AN253" i="21"/>
  <c r="BG253" i="21"/>
  <c r="AY253" i="21"/>
  <c r="AQ253" i="21"/>
  <c r="BC253" i="21"/>
  <c r="AM253" i="21"/>
  <c r="BF253" i="21"/>
  <c r="AX253" i="21"/>
  <c r="AP253" i="21"/>
  <c r="AU253" i="21"/>
  <c r="AT253" i="21"/>
  <c r="AL253" i="21"/>
  <c r="BB253" i="21"/>
  <c r="A110" i="33"/>
  <c r="BI257" i="21"/>
  <c r="BE257" i="21"/>
  <c r="BA257" i="21"/>
  <c r="AW257" i="21"/>
  <c r="AS257" i="21"/>
  <c r="AO257" i="21"/>
  <c r="BH257" i="21"/>
  <c r="BD257" i="21"/>
  <c r="AZ257" i="21"/>
  <c r="AV257" i="21"/>
  <c r="AR257" i="21"/>
  <c r="AN257" i="21"/>
  <c r="BG257" i="21"/>
  <c r="AY257" i="21"/>
  <c r="AQ257" i="21"/>
  <c r="BC257" i="21"/>
  <c r="AM257" i="21"/>
  <c r="BF257" i="21"/>
  <c r="AX257" i="21"/>
  <c r="AP257" i="21"/>
  <c r="AU257" i="21"/>
  <c r="AT257" i="21"/>
  <c r="BB257" i="21"/>
  <c r="AL257" i="21"/>
  <c r="A112" i="33"/>
  <c r="BI259" i="21"/>
  <c r="BE259" i="21"/>
  <c r="BA259" i="21"/>
  <c r="AW259" i="21"/>
  <c r="AS259" i="21"/>
  <c r="AO259" i="21"/>
  <c r="BH259" i="21"/>
  <c r="BD259" i="21"/>
  <c r="AZ259" i="21"/>
  <c r="AV259" i="21"/>
  <c r="AR259" i="21"/>
  <c r="AN259" i="21"/>
  <c r="BG259" i="21"/>
  <c r="AY259" i="21"/>
  <c r="AQ259" i="21"/>
  <c r="BC259" i="21"/>
  <c r="AM259" i="21"/>
  <c r="BF259" i="21"/>
  <c r="AX259" i="21"/>
  <c r="AP259" i="21"/>
  <c r="AU259" i="21"/>
  <c r="BB259" i="21"/>
  <c r="AT259" i="21"/>
  <c r="AL259" i="21"/>
  <c r="A114" i="33"/>
  <c r="BI261" i="21"/>
  <c r="BE261" i="21"/>
  <c r="BA261" i="21"/>
  <c r="AW261" i="21"/>
  <c r="AS261" i="21"/>
  <c r="AO261" i="21"/>
  <c r="BH261" i="21"/>
  <c r="BD261" i="21"/>
  <c r="AZ261" i="21"/>
  <c r="AV261" i="21"/>
  <c r="AR261" i="21"/>
  <c r="AN261" i="21"/>
  <c r="BG261" i="21"/>
  <c r="AY261" i="21"/>
  <c r="AQ261" i="21"/>
  <c r="BC261" i="21"/>
  <c r="AM261" i="21"/>
  <c r="BB261" i="21"/>
  <c r="AL261" i="21"/>
  <c r="BF261" i="21"/>
  <c r="AX261" i="21"/>
  <c r="AP261" i="21"/>
  <c r="AU261" i="21"/>
  <c r="AT261" i="21"/>
  <c r="A116" i="33"/>
  <c r="BI263" i="21"/>
  <c r="BE263" i="21"/>
  <c r="BA263" i="21"/>
  <c r="AW263" i="21"/>
  <c r="AS263" i="21"/>
  <c r="AO263" i="21"/>
  <c r="BH263" i="21"/>
  <c r="BD263" i="21"/>
  <c r="AZ263" i="21"/>
  <c r="AV263" i="21"/>
  <c r="AR263" i="21"/>
  <c r="AN263" i="21"/>
  <c r="BG263" i="21"/>
  <c r="AY263" i="21"/>
  <c r="AQ263" i="21"/>
  <c r="BC263" i="21"/>
  <c r="AM263" i="21"/>
  <c r="BB263" i="21"/>
  <c r="AL263" i="21"/>
  <c r="BF263" i="21"/>
  <c r="AX263" i="21"/>
  <c r="AP263" i="21"/>
  <c r="AU263" i="21"/>
  <c r="AT263" i="21"/>
  <c r="A118" i="33"/>
  <c r="BI265" i="21"/>
  <c r="BE265" i="21"/>
  <c r="BA265" i="21"/>
  <c r="AW265" i="21"/>
  <c r="AS265" i="21"/>
  <c r="AO265" i="21"/>
  <c r="BH265" i="21"/>
  <c r="BD265" i="21"/>
  <c r="AZ265" i="21"/>
  <c r="AV265" i="21"/>
  <c r="AR265" i="21"/>
  <c r="AN265" i="21"/>
  <c r="BG265" i="21"/>
  <c r="AY265" i="21"/>
  <c r="AQ265" i="21"/>
  <c r="BC265" i="21"/>
  <c r="AM265" i="21"/>
  <c r="BB265" i="21"/>
  <c r="AL265" i="21"/>
  <c r="BF265" i="21"/>
  <c r="AX265" i="21"/>
  <c r="AP265" i="21"/>
  <c r="AU265" i="21"/>
  <c r="AT265" i="21"/>
  <c r="A120" i="33"/>
  <c r="BI267" i="21"/>
  <c r="BE267" i="21"/>
  <c r="BA267" i="21"/>
  <c r="AW267" i="21"/>
  <c r="AS267" i="21"/>
  <c r="AO267" i="21"/>
  <c r="BH267" i="21"/>
  <c r="BD267" i="21"/>
  <c r="AZ267" i="21"/>
  <c r="AV267" i="21"/>
  <c r="AR267" i="21"/>
  <c r="AN267" i="21"/>
  <c r="BG267" i="21"/>
  <c r="AY267" i="21"/>
  <c r="AQ267" i="21"/>
  <c r="BC267" i="21"/>
  <c r="AM267" i="21"/>
  <c r="AL267" i="21"/>
  <c r="BF267" i="21"/>
  <c r="AX267" i="21"/>
  <c r="AP267" i="21"/>
  <c r="AU267" i="21"/>
  <c r="BB267" i="21"/>
  <c r="AT267" i="21"/>
  <c r="A108" i="33"/>
  <c r="BI255" i="21"/>
  <c r="BE255" i="21"/>
  <c r="BA255" i="21"/>
  <c r="AW255" i="21"/>
  <c r="AS255" i="21"/>
  <c r="AO255" i="21"/>
  <c r="BH255" i="21"/>
  <c r="BD255" i="21"/>
  <c r="AZ255" i="21"/>
  <c r="AV255" i="21"/>
  <c r="AR255" i="21"/>
  <c r="AN255" i="21"/>
  <c r="BG255" i="21"/>
  <c r="AY255" i="21"/>
  <c r="AQ255" i="21"/>
  <c r="BC255" i="21"/>
  <c r="AM255" i="21"/>
  <c r="BF255" i="21"/>
  <c r="AX255" i="21"/>
  <c r="AP255" i="21"/>
  <c r="AU255" i="21"/>
  <c r="BB255" i="21"/>
  <c r="AT255" i="21"/>
  <c r="AL255" i="21"/>
  <c r="J282" i="21"/>
  <c r="M282" i="21" s="1"/>
  <c r="R282" i="21" s="1"/>
  <c r="G275" i="21"/>
  <c r="A103" i="33"/>
  <c r="BI250" i="21"/>
  <c r="BE250" i="21"/>
  <c r="BA250" i="21"/>
  <c r="AW250" i="21"/>
  <c r="AS250" i="21"/>
  <c r="AO250" i="21"/>
  <c r="BH250" i="21"/>
  <c r="BD250" i="21"/>
  <c r="AZ250" i="21"/>
  <c r="AV250" i="21"/>
  <c r="AR250" i="21"/>
  <c r="AN250" i="21"/>
  <c r="BG250" i="21"/>
  <c r="AY250" i="21"/>
  <c r="AQ250" i="21"/>
  <c r="AU250" i="21"/>
  <c r="BF250" i="21"/>
  <c r="AX250" i="21"/>
  <c r="AP250" i="21"/>
  <c r="BC250" i="21"/>
  <c r="AM250" i="21"/>
  <c r="BB250" i="21"/>
  <c r="AT250" i="21"/>
  <c r="AL250" i="21"/>
  <c r="A105" i="33"/>
  <c r="BI252" i="21"/>
  <c r="BE252" i="21"/>
  <c r="BA252" i="21"/>
  <c r="AW252" i="21"/>
  <c r="AS252" i="21"/>
  <c r="AO252" i="21"/>
  <c r="BH252" i="21"/>
  <c r="BD252" i="21"/>
  <c r="AZ252" i="21"/>
  <c r="AV252" i="21"/>
  <c r="AR252" i="21"/>
  <c r="AN252" i="21"/>
  <c r="BG252" i="21"/>
  <c r="AY252" i="21"/>
  <c r="AQ252" i="21"/>
  <c r="AU252" i="21"/>
  <c r="BF252" i="21"/>
  <c r="AX252" i="21"/>
  <c r="AP252" i="21"/>
  <c r="BC252" i="21"/>
  <c r="AM252" i="21"/>
  <c r="AL252" i="21"/>
  <c r="AT252" i="21"/>
  <c r="BB252" i="21"/>
  <c r="A107" i="33"/>
  <c r="BI254" i="21"/>
  <c r="BE254" i="21"/>
  <c r="BA254" i="21"/>
  <c r="AW254" i="21"/>
  <c r="AS254" i="21"/>
  <c r="AO254" i="21"/>
  <c r="BH254" i="21"/>
  <c r="BD254" i="21"/>
  <c r="AZ254" i="21"/>
  <c r="AV254" i="21"/>
  <c r="AR254" i="21"/>
  <c r="AN254" i="21"/>
  <c r="BG254" i="21"/>
  <c r="AY254" i="21"/>
  <c r="AQ254" i="21"/>
  <c r="AU254" i="21"/>
  <c r="BF254" i="21"/>
  <c r="AX254" i="21"/>
  <c r="AP254" i="21"/>
  <c r="BC254" i="21"/>
  <c r="AM254" i="21"/>
  <c r="BB254" i="21"/>
  <c r="AT254" i="21"/>
  <c r="AL254" i="21"/>
  <c r="A109" i="33"/>
  <c r="BI256" i="21"/>
  <c r="BE256" i="21"/>
  <c r="BA256" i="21"/>
  <c r="AW256" i="21"/>
  <c r="AS256" i="21"/>
  <c r="AO256" i="21"/>
  <c r="BH256" i="21"/>
  <c r="BD256" i="21"/>
  <c r="AZ256" i="21"/>
  <c r="AV256" i="21"/>
  <c r="AR256" i="21"/>
  <c r="AN256" i="21"/>
  <c r="BG256" i="21"/>
  <c r="AY256" i="21"/>
  <c r="AQ256" i="21"/>
  <c r="AU256" i="21"/>
  <c r="BF256" i="21"/>
  <c r="AX256" i="21"/>
  <c r="AP256" i="21"/>
  <c r="BC256" i="21"/>
  <c r="AM256" i="21"/>
  <c r="AL256" i="21"/>
  <c r="BB256" i="21"/>
  <c r="AT256" i="21"/>
  <c r="A111" i="33"/>
  <c r="BI258" i="21"/>
  <c r="BE258" i="21"/>
  <c r="BA258" i="21"/>
  <c r="AW258" i="21"/>
  <c r="AS258" i="21"/>
  <c r="AO258" i="21"/>
  <c r="BH258" i="21"/>
  <c r="BD258" i="21"/>
  <c r="AZ258" i="21"/>
  <c r="AV258" i="21"/>
  <c r="AR258" i="21"/>
  <c r="AN258" i="21"/>
  <c r="BG258" i="21"/>
  <c r="AY258" i="21"/>
  <c r="AQ258" i="21"/>
  <c r="AU258" i="21"/>
  <c r="BF258" i="21"/>
  <c r="AX258" i="21"/>
  <c r="AP258" i="21"/>
  <c r="BC258" i="21"/>
  <c r="AM258" i="21"/>
  <c r="BB258" i="21"/>
  <c r="AT258" i="21"/>
  <c r="AL258" i="21"/>
  <c r="A113" i="33"/>
  <c r="BI260" i="21"/>
  <c r="BE260" i="21"/>
  <c r="BA260" i="21"/>
  <c r="AW260" i="21"/>
  <c r="AS260" i="21"/>
  <c r="AO260" i="21"/>
  <c r="BH260" i="21"/>
  <c r="BD260" i="21"/>
  <c r="AZ260" i="21"/>
  <c r="AV260" i="21"/>
  <c r="AR260" i="21"/>
  <c r="AN260" i="21"/>
  <c r="BG260" i="21"/>
  <c r="AY260" i="21"/>
  <c r="AQ260" i="21"/>
  <c r="AU260" i="21"/>
  <c r="AT260" i="21"/>
  <c r="BF260" i="21"/>
  <c r="AX260" i="21"/>
  <c r="AP260" i="21"/>
  <c r="BC260" i="21"/>
  <c r="AM260" i="21"/>
  <c r="BB260" i="21"/>
  <c r="AL260" i="21"/>
  <c r="A115" i="33"/>
  <c r="BI262" i="21"/>
  <c r="BE262" i="21"/>
  <c r="BA262" i="21"/>
  <c r="AW262" i="21"/>
  <c r="AS262" i="21"/>
  <c r="AO262" i="21"/>
  <c r="BH262" i="21"/>
  <c r="BD262" i="21"/>
  <c r="AZ262" i="21"/>
  <c r="AV262" i="21"/>
  <c r="AR262" i="21"/>
  <c r="AN262" i="21"/>
  <c r="BG262" i="21"/>
  <c r="AY262" i="21"/>
  <c r="AQ262" i="21"/>
  <c r="AU262" i="21"/>
  <c r="AT262" i="21"/>
  <c r="BF262" i="21"/>
  <c r="AX262" i="21"/>
  <c r="AP262" i="21"/>
  <c r="BC262" i="21"/>
  <c r="AM262" i="21"/>
  <c r="BB262" i="21"/>
  <c r="AL262" i="21"/>
  <c r="A117" i="33"/>
  <c r="BI264" i="21"/>
  <c r="BE264" i="21"/>
  <c r="BA264" i="21"/>
  <c r="AW264" i="21"/>
  <c r="AS264" i="21"/>
  <c r="AO264" i="21"/>
  <c r="BH264" i="21"/>
  <c r="BD264" i="21"/>
  <c r="AZ264" i="21"/>
  <c r="AV264" i="21"/>
  <c r="AR264" i="21"/>
  <c r="AN264" i="21"/>
  <c r="BG264" i="21"/>
  <c r="AY264" i="21"/>
  <c r="AQ264" i="21"/>
  <c r="AU264" i="21"/>
  <c r="AT264" i="21"/>
  <c r="BF264" i="21"/>
  <c r="AX264" i="21"/>
  <c r="AP264" i="21"/>
  <c r="BC264" i="21"/>
  <c r="AM264" i="21"/>
  <c r="BB264" i="21"/>
  <c r="AL264" i="21"/>
  <c r="A119" i="33"/>
  <c r="BI266" i="21"/>
  <c r="BE266" i="21"/>
  <c r="BA266" i="21"/>
  <c r="AW266" i="21"/>
  <c r="AS266" i="21"/>
  <c r="AO266" i="21"/>
  <c r="BH266" i="21"/>
  <c r="BD266" i="21"/>
  <c r="AZ266" i="21"/>
  <c r="AV266" i="21"/>
  <c r="AR266" i="21"/>
  <c r="AN266" i="21"/>
  <c r="BG266" i="21"/>
  <c r="AY266" i="21"/>
  <c r="AQ266" i="21"/>
  <c r="AU266" i="21"/>
  <c r="AT266" i="21"/>
  <c r="BF266" i="21"/>
  <c r="AX266" i="21"/>
  <c r="AP266" i="21"/>
  <c r="BC266" i="21"/>
  <c r="AM266" i="21"/>
  <c r="BB266" i="21"/>
  <c r="AL266" i="21"/>
  <c r="A121" i="33"/>
  <c r="BI268" i="21"/>
  <c r="BE268" i="21"/>
  <c r="BA268" i="21"/>
  <c r="AW268" i="21"/>
  <c r="AS268" i="21"/>
  <c r="AO268" i="21"/>
  <c r="BH268" i="21"/>
  <c r="BD268" i="21"/>
  <c r="AZ268" i="21"/>
  <c r="AV268" i="21"/>
  <c r="AR268" i="21"/>
  <c r="AN268" i="21"/>
  <c r="BG268" i="21"/>
  <c r="AY268" i="21"/>
  <c r="AQ268" i="21"/>
  <c r="BC268" i="21"/>
  <c r="AU268" i="21"/>
  <c r="BB268" i="21"/>
  <c r="AL268" i="21"/>
  <c r="BF268" i="21"/>
  <c r="AX268" i="21"/>
  <c r="AP268" i="21"/>
  <c r="AM268" i="21"/>
  <c r="AT268" i="21"/>
  <c r="L59" i="33"/>
  <c r="P158" i="21"/>
  <c r="AG347" i="23" s="1"/>
  <c r="Y361" i="23" s="1"/>
  <c r="L363" i="23" s="1"/>
  <c r="P159" i="21"/>
  <c r="AG348" i="23" s="1"/>
  <c r="T374" i="23" s="1"/>
  <c r="L376" i="23" s="1"/>
  <c r="P160" i="21"/>
  <c r="AG349" i="23" s="1"/>
  <c r="U386" i="23" s="1"/>
  <c r="L388" i="23" s="1"/>
  <c r="N161" i="21"/>
  <c r="P161" i="21" s="1"/>
  <c r="AG350" i="23" s="1"/>
  <c r="T400" i="23" s="1"/>
  <c r="L402" i="23" s="1"/>
  <c r="A111" i="24"/>
  <c r="A101" i="11"/>
  <c r="A115" i="24"/>
  <c r="A105" i="11"/>
  <c r="A121" i="24"/>
  <c r="A111" i="11"/>
  <c r="A125" i="24"/>
  <c r="A115" i="11"/>
  <c r="J76" i="3"/>
  <c r="A110" i="24"/>
  <c r="A100" i="11"/>
  <c r="A112" i="24"/>
  <c r="A102" i="11"/>
  <c r="A114" i="24"/>
  <c r="A104" i="11"/>
  <c r="A116" i="24"/>
  <c r="A106" i="11"/>
  <c r="A118" i="24"/>
  <c r="A108" i="11"/>
  <c r="A120" i="24"/>
  <c r="A110" i="11"/>
  <c r="A122" i="24"/>
  <c r="A112" i="11"/>
  <c r="A124" i="24"/>
  <c r="A114" i="11"/>
  <c r="A126" i="24"/>
  <c r="A116" i="11"/>
  <c r="A101" i="24"/>
  <c r="A102" i="24" s="1"/>
  <c r="A103" i="24" s="1"/>
  <c r="A104" i="24" s="1"/>
  <c r="A105" i="24" s="1"/>
  <c r="A107" i="24"/>
  <c r="A127" i="24" s="1"/>
  <c r="A128" i="24" s="1"/>
  <c r="A129" i="24" s="1"/>
  <c r="A92" i="11"/>
  <c r="A93" i="11" s="1"/>
  <c r="A94" i="11" s="1"/>
  <c r="A95" i="11" s="1"/>
  <c r="A97" i="11"/>
  <c r="A109" i="24"/>
  <c r="A99" i="11"/>
  <c r="A113" i="24"/>
  <c r="A103" i="11"/>
  <c r="A117" i="24"/>
  <c r="A107" i="11"/>
  <c r="A119" i="24"/>
  <c r="A109" i="11"/>
  <c r="A123" i="24"/>
  <c r="A113" i="11"/>
  <c r="A108" i="24"/>
  <c r="A98" i="11"/>
  <c r="K76" i="3"/>
  <c r="J281" i="21"/>
  <c r="H250" i="21"/>
  <c r="V586" i="23" s="1"/>
  <c r="H252" i="21"/>
  <c r="V588" i="23" s="1"/>
  <c r="H254" i="21"/>
  <c r="V590" i="23" s="1"/>
  <c r="H256" i="21"/>
  <c r="V592" i="23" s="1"/>
  <c r="H258" i="21"/>
  <c r="V594" i="23" s="1"/>
  <c r="H260" i="21"/>
  <c r="V596" i="23" s="1"/>
  <c r="H262" i="21"/>
  <c r="V598" i="23" s="1"/>
  <c r="H264" i="21"/>
  <c r="V600" i="23" s="1"/>
  <c r="H266" i="21"/>
  <c r="V602" i="23" s="1"/>
  <c r="H268" i="21"/>
  <c r="V604" i="23" s="1"/>
  <c r="H249" i="21"/>
  <c r="V585" i="23" s="1"/>
  <c r="H251" i="21"/>
  <c r="V587" i="23" s="1"/>
  <c r="H253" i="21"/>
  <c r="V589" i="23" s="1"/>
  <c r="H255" i="21"/>
  <c r="V591" i="23" s="1"/>
  <c r="H257" i="21"/>
  <c r="V593" i="23" s="1"/>
  <c r="H259" i="21"/>
  <c r="V595" i="23" s="1"/>
  <c r="H261" i="21"/>
  <c r="V597" i="23" s="1"/>
  <c r="H263" i="21"/>
  <c r="V599" i="23" s="1"/>
  <c r="H265" i="21"/>
  <c r="V601" i="23" s="1"/>
  <c r="H267" i="21"/>
  <c r="V603" i="23" s="1"/>
  <c r="E249" i="21"/>
  <c r="G585" i="23" s="1"/>
  <c r="E250" i="21"/>
  <c r="G586" i="23" s="1"/>
  <c r="E251" i="21"/>
  <c r="G587" i="23" s="1"/>
  <c r="E252" i="21"/>
  <c r="G588" i="23" s="1"/>
  <c r="E253" i="21"/>
  <c r="G589" i="23" s="1"/>
  <c r="E254" i="21"/>
  <c r="G590" i="23" s="1"/>
  <c r="E255" i="21"/>
  <c r="G591" i="23" s="1"/>
  <c r="E256" i="21"/>
  <c r="G592" i="23" s="1"/>
  <c r="E257" i="21"/>
  <c r="G593" i="23" s="1"/>
  <c r="E258" i="21"/>
  <c r="G594" i="23" s="1"/>
  <c r="E259" i="21"/>
  <c r="G595" i="23" s="1"/>
  <c r="E260" i="21"/>
  <c r="G596" i="23" s="1"/>
  <c r="E261" i="21"/>
  <c r="G597" i="23" s="1"/>
  <c r="E262" i="21"/>
  <c r="G598" i="23" s="1"/>
  <c r="E263" i="21"/>
  <c r="G599" i="23" s="1"/>
  <c r="E264" i="21"/>
  <c r="G600" i="23" s="1"/>
  <c r="E265" i="21"/>
  <c r="G601" i="23" s="1"/>
  <c r="E266" i="21"/>
  <c r="G602" i="23" s="1"/>
  <c r="E267" i="21"/>
  <c r="G603" i="23" s="1"/>
  <c r="E268" i="21"/>
  <c r="G604" i="23" s="1"/>
  <c r="I249" i="21"/>
  <c r="AA585" i="23" s="1"/>
  <c r="I250" i="21"/>
  <c r="AA586" i="23" s="1"/>
  <c r="I251" i="21"/>
  <c r="AA587" i="23" s="1"/>
  <c r="I252" i="21"/>
  <c r="AA588" i="23" s="1"/>
  <c r="I253" i="21"/>
  <c r="AA589" i="23" s="1"/>
  <c r="I254" i="21"/>
  <c r="AA590" i="23" s="1"/>
  <c r="I255" i="21"/>
  <c r="AA591" i="23" s="1"/>
  <c r="I256" i="21"/>
  <c r="AA592" i="23" s="1"/>
  <c r="I257" i="21"/>
  <c r="AA593" i="23" s="1"/>
  <c r="I258" i="21"/>
  <c r="AA594" i="23" s="1"/>
  <c r="I259" i="21"/>
  <c r="AA595" i="23" s="1"/>
  <c r="I260" i="21"/>
  <c r="AA596" i="23" s="1"/>
  <c r="I261" i="21"/>
  <c r="AA597" i="23" s="1"/>
  <c r="I262" i="21"/>
  <c r="AA598" i="23" s="1"/>
  <c r="I263" i="21"/>
  <c r="AA599" i="23" s="1"/>
  <c r="I264" i="21"/>
  <c r="AA600" i="23" s="1"/>
  <c r="I265" i="21"/>
  <c r="AA601" i="23" s="1"/>
  <c r="I266" i="21"/>
  <c r="AA602" i="23" s="1"/>
  <c r="I267" i="21"/>
  <c r="AA603" i="23" s="1"/>
  <c r="I268" i="21"/>
  <c r="AA604" i="23" s="1"/>
  <c r="F249" i="21"/>
  <c r="L585" i="23" s="1"/>
  <c r="M249" i="21"/>
  <c r="F250" i="21"/>
  <c r="L586" i="23" s="1"/>
  <c r="M250" i="21"/>
  <c r="F251" i="21"/>
  <c r="L587" i="23" s="1"/>
  <c r="M251" i="21"/>
  <c r="F252" i="21"/>
  <c r="L588" i="23" s="1"/>
  <c r="M252" i="21"/>
  <c r="F253" i="21"/>
  <c r="L589" i="23" s="1"/>
  <c r="M253" i="21"/>
  <c r="F254" i="21"/>
  <c r="L590" i="23" s="1"/>
  <c r="M254" i="21"/>
  <c r="F255" i="21"/>
  <c r="L591" i="23" s="1"/>
  <c r="M255" i="21"/>
  <c r="F256" i="21"/>
  <c r="L592" i="23" s="1"/>
  <c r="M256" i="21"/>
  <c r="F257" i="21"/>
  <c r="L593" i="23" s="1"/>
  <c r="M257" i="21"/>
  <c r="F258" i="21"/>
  <c r="L594" i="23" s="1"/>
  <c r="M258" i="21"/>
  <c r="F259" i="21"/>
  <c r="L595" i="23" s="1"/>
  <c r="M259" i="21"/>
  <c r="F260" i="21"/>
  <c r="L596" i="23" s="1"/>
  <c r="M260" i="21"/>
  <c r="F261" i="21"/>
  <c r="L597" i="23" s="1"/>
  <c r="M261" i="21"/>
  <c r="F262" i="21"/>
  <c r="L598" i="23" s="1"/>
  <c r="M262" i="21"/>
  <c r="F263" i="21"/>
  <c r="L599" i="23" s="1"/>
  <c r="M263" i="21"/>
  <c r="F264" i="21"/>
  <c r="L600" i="23" s="1"/>
  <c r="M264" i="21"/>
  <c r="F265" i="21"/>
  <c r="L601" i="23" s="1"/>
  <c r="M265" i="21"/>
  <c r="F266" i="21"/>
  <c r="L602" i="23" s="1"/>
  <c r="M266" i="21"/>
  <c r="F267" i="21"/>
  <c r="L603" i="23" s="1"/>
  <c r="M267" i="21"/>
  <c r="F268" i="21"/>
  <c r="L604" i="23" s="1"/>
  <c r="M268" i="21"/>
  <c r="C249" i="21"/>
  <c r="B585" i="23" s="1"/>
  <c r="G249" i="21"/>
  <c r="Q585" i="23" s="1"/>
  <c r="C250" i="21"/>
  <c r="B586" i="23" s="1"/>
  <c r="G250" i="21"/>
  <c r="Q586" i="23" s="1"/>
  <c r="C251" i="21"/>
  <c r="B587" i="23" s="1"/>
  <c r="G251" i="21"/>
  <c r="Q587" i="23" s="1"/>
  <c r="C252" i="21"/>
  <c r="B588" i="23" s="1"/>
  <c r="G252" i="21"/>
  <c r="Q588" i="23" s="1"/>
  <c r="C253" i="21"/>
  <c r="B589" i="23" s="1"/>
  <c r="G253" i="21"/>
  <c r="Q589" i="23" s="1"/>
  <c r="C254" i="21"/>
  <c r="B590" i="23" s="1"/>
  <c r="G254" i="21"/>
  <c r="Q590" i="23" s="1"/>
  <c r="C255" i="21"/>
  <c r="B591" i="23" s="1"/>
  <c r="G255" i="21"/>
  <c r="Q591" i="23" s="1"/>
  <c r="C256" i="21"/>
  <c r="B592" i="23" s="1"/>
  <c r="G256" i="21"/>
  <c r="Q592" i="23" s="1"/>
  <c r="C257" i="21"/>
  <c r="B593" i="23" s="1"/>
  <c r="G257" i="21"/>
  <c r="Q593" i="23" s="1"/>
  <c r="C258" i="21"/>
  <c r="B594" i="23" s="1"/>
  <c r="G258" i="21"/>
  <c r="Q594" i="23" s="1"/>
  <c r="C259" i="21"/>
  <c r="B595" i="23" s="1"/>
  <c r="G259" i="21"/>
  <c r="Q595" i="23" s="1"/>
  <c r="C260" i="21"/>
  <c r="B596" i="23" s="1"/>
  <c r="G260" i="21"/>
  <c r="Q596" i="23" s="1"/>
  <c r="C261" i="21"/>
  <c r="B597" i="23" s="1"/>
  <c r="G261" i="21"/>
  <c r="Q597" i="23" s="1"/>
  <c r="C262" i="21"/>
  <c r="B598" i="23" s="1"/>
  <c r="G262" i="21"/>
  <c r="Q598" i="23" s="1"/>
  <c r="C263" i="21"/>
  <c r="B599" i="23" s="1"/>
  <c r="G263" i="21"/>
  <c r="Q599" i="23" s="1"/>
  <c r="C264" i="21"/>
  <c r="B600" i="23" s="1"/>
  <c r="G264" i="21"/>
  <c r="Q600" i="23" s="1"/>
  <c r="C265" i="21"/>
  <c r="B601" i="23" s="1"/>
  <c r="G265" i="21"/>
  <c r="Q601" i="23" s="1"/>
  <c r="C266" i="21"/>
  <c r="B602" i="23" s="1"/>
  <c r="G266" i="21"/>
  <c r="Q602" i="23" s="1"/>
  <c r="C267" i="21"/>
  <c r="B603" i="23" s="1"/>
  <c r="G267" i="21"/>
  <c r="Q603" i="23" s="1"/>
  <c r="C268" i="21"/>
  <c r="B604" i="23" s="1"/>
  <c r="G268" i="21"/>
  <c r="Q604" i="23" s="1"/>
  <c r="D249" i="21"/>
  <c r="B584" i="23" s="1"/>
  <c r="G584" i="23" s="1"/>
  <c r="L584" i="23" s="1"/>
  <c r="Q584" i="23" s="1"/>
  <c r="V584" i="23" s="1"/>
  <c r="AA584" i="23" s="1"/>
  <c r="AF584" i="23" s="1"/>
  <c r="AK584" i="23" s="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B243" i="21"/>
  <c r="E248" i="21"/>
  <c r="F248" i="21" s="1"/>
  <c r="G248" i="21" s="1"/>
  <c r="H248" i="21" s="1"/>
  <c r="I248" i="21" s="1"/>
  <c r="J248" i="21" s="1"/>
  <c r="K248" i="21" s="1"/>
  <c r="L248" i="21" s="1"/>
  <c r="M248" i="21" s="1"/>
  <c r="N248" i="21" s="1"/>
  <c r="O248" i="21" s="1"/>
  <c r="P248" i="21" s="1"/>
  <c r="Q248" i="21" s="1"/>
  <c r="S248" i="21" s="1"/>
  <c r="Y248" i="21"/>
  <c r="AJ250" i="21"/>
  <c r="AJ251" i="21"/>
  <c r="L254" i="21"/>
  <c r="W254" i="21" s="1"/>
  <c r="F107" i="33" s="1"/>
  <c r="AJ255" i="21"/>
  <c r="L256" i="21"/>
  <c r="W256" i="21" s="1"/>
  <c r="F109" i="33" s="1"/>
  <c r="AJ257" i="21"/>
  <c r="N259" i="21"/>
  <c r="R259" i="21"/>
  <c r="S259" i="21"/>
  <c r="AB259" i="21"/>
  <c r="L112" i="33" s="1"/>
  <c r="J260" i="21"/>
  <c r="AF596" i="23" s="1"/>
  <c r="J261" i="21"/>
  <c r="AF597" i="23" s="1"/>
  <c r="R262" i="21"/>
  <c r="J263" i="21"/>
  <c r="AF599" i="23" s="1"/>
  <c r="L263" i="21"/>
  <c r="W263" i="21" s="1"/>
  <c r="F116" i="33" s="1"/>
  <c r="R263" i="21"/>
  <c r="AB263" i="21"/>
  <c r="L116" i="33" s="1"/>
  <c r="L264" i="21"/>
  <c r="W264" i="21" s="1"/>
  <c r="F117" i="33" s="1"/>
  <c r="P265" i="21"/>
  <c r="O266" i="21"/>
  <c r="S266" i="21"/>
  <c r="AA266" i="21"/>
  <c r="H119" i="33" s="1"/>
  <c r="AJ266" i="21"/>
  <c r="J268" i="21"/>
  <c r="AF604" i="23" s="1"/>
  <c r="K268" i="21"/>
  <c r="AK604" i="23" s="1"/>
  <c r="L268" i="21"/>
  <c r="W268" i="21" s="1"/>
  <c r="F121" i="33" s="1"/>
  <c r="N268" i="21"/>
  <c r="O268" i="21"/>
  <c r="P268" i="21"/>
  <c r="R268" i="21"/>
  <c r="S268" i="21"/>
  <c r="AA268" i="21"/>
  <c r="H121" i="33" s="1"/>
  <c r="AB268" i="21"/>
  <c r="L121" i="33" s="1"/>
  <c r="AJ268" i="21"/>
  <c r="U273" i="21"/>
  <c r="T273" i="21"/>
  <c r="U274" i="21"/>
  <c r="V275" i="21"/>
  <c r="T275" i="21"/>
  <c r="V276" i="21"/>
  <c r="V277" i="21"/>
  <c r="E282" i="21"/>
  <c r="A106" i="24" l="1"/>
  <c r="A122" i="33"/>
  <c r="U248" i="21"/>
  <c r="V248" i="21" s="1"/>
  <c r="W248" i="21" s="1"/>
  <c r="I82" i="3"/>
  <c r="I97" i="3"/>
  <c r="I91" i="3"/>
  <c r="I85" i="3"/>
  <c r="I101" i="3"/>
  <c r="I95" i="3"/>
  <c r="I89" i="3"/>
  <c r="I102" i="3"/>
  <c r="I100" i="3"/>
  <c r="I98" i="3"/>
  <c r="I96" i="3"/>
  <c r="I94" i="3"/>
  <c r="I92" i="3"/>
  <c r="I90" i="3"/>
  <c r="I88" i="3"/>
  <c r="I86" i="3"/>
  <c r="I84" i="3"/>
  <c r="N102" i="3"/>
  <c r="J102" i="3"/>
  <c r="K101" i="3"/>
  <c r="L100" i="3"/>
  <c r="M99" i="3"/>
  <c r="N98" i="3"/>
  <c r="J98" i="3"/>
  <c r="K97" i="3"/>
  <c r="L96" i="3"/>
  <c r="M95" i="3"/>
  <c r="N94" i="3"/>
  <c r="J94" i="3"/>
  <c r="K93" i="3"/>
  <c r="L92" i="3"/>
  <c r="M91" i="3"/>
  <c r="N90" i="3"/>
  <c r="J90" i="3"/>
  <c r="K89" i="3"/>
  <c r="L88" i="3"/>
  <c r="M87" i="3"/>
  <c r="N86" i="3"/>
  <c r="J86" i="3"/>
  <c r="K85" i="3"/>
  <c r="L84" i="3"/>
  <c r="M83" i="3"/>
  <c r="M102" i="3"/>
  <c r="N101" i="3"/>
  <c r="J101" i="3"/>
  <c r="K100" i="3"/>
  <c r="L99" i="3"/>
  <c r="M98" i="3"/>
  <c r="N97" i="3"/>
  <c r="J97" i="3"/>
  <c r="K96" i="3"/>
  <c r="L95" i="3"/>
  <c r="M94" i="3"/>
  <c r="N93" i="3"/>
  <c r="J93" i="3"/>
  <c r="K92" i="3"/>
  <c r="L91" i="3"/>
  <c r="M90" i="3"/>
  <c r="N89" i="3"/>
  <c r="J89" i="3"/>
  <c r="K88" i="3"/>
  <c r="L87" i="3"/>
  <c r="M86" i="3"/>
  <c r="N85" i="3"/>
  <c r="J85" i="3"/>
  <c r="K84" i="3"/>
  <c r="L83" i="3"/>
  <c r="L102" i="3"/>
  <c r="N100" i="3"/>
  <c r="K99" i="3"/>
  <c r="M97" i="3"/>
  <c r="J96" i="3"/>
  <c r="L94" i="3"/>
  <c r="N92" i="3"/>
  <c r="K91" i="3"/>
  <c r="M89" i="3"/>
  <c r="J88" i="3"/>
  <c r="L86" i="3"/>
  <c r="N84" i="3"/>
  <c r="K83" i="3"/>
  <c r="J100" i="3"/>
  <c r="N99" i="3"/>
  <c r="M96" i="3"/>
  <c r="L93" i="3"/>
  <c r="K90" i="3"/>
  <c r="J87" i="3"/>
  <c r="N83" i="3"/>
  <c r="K102" i="3"/>
  <c r="M100" i="3"/>
  <c r="J99" i="3"/>
  <c r="L97" i="3"/>
  <c r="N95" i="3"/>
  <c r="K94" i="3"/>
  <c r="M92" i="3"/>
  <c r="J91" i="3"/>
  <c r="L89" i="3"/>
  <c r="N87" i="3"/>
  <c r="K86" i="3"/>
  <c r="M84" i="3"/>
  <c r="J83" i="3"/>
  <c r="M101" i="3"/>
  <c r="L98" i="3"/>
  <c r="N96" i="3"/>
  <c r="K95" i="3"/>
  <c r="M93" i="3"/>
  <c r="J92" i="3"/>
  <c r="L90" i="3"/>
  <c r="N88" i="3"/>
  <c r="K87" i="3"/>
  <c r="M85" i="3"/>
  <c r="J84" i="3"/>
  <c r="L101" i="3"/>
  <c r="K98" i="3"/>
  <c r="J95" i="3"/>
  <c r="N91" i="3"/>
  <c r="M88" i="3"/>
  <c r="L85" i="3"/>
  <c r="I99" i="3"/>
  <c r="I93" i="3"/>
  <c r="I87" i="3"/>
  <c r="I83" i="3"/>
  <c r="R158" i="21"/>
  <c r="R161" i="21"/>
  <c r="R160" i="21"/>
  <c r="R159" i="21"/>
  <c r="C114" i="24"/>
  <c r="C104" i="11"/>
  <c r="C126" i="24"/>
  <c r="C116" i="11"/>
  <c r="C122" i="24"/>
  <c r="C112" i="11"/>
  <c r="C121" i="24"/>
  <c r="C111" i="11"/>
  <c r="C112" i="24"/>
  <c r="C102" i="11"/>
  <c r="L259" i="21"/>
  <c r="W259" i="21" s="1"/>
  <c r="F112" i="33" s="1"/>
  <c r="N267" i="21"/>
  <c r="K266" i="21"/>
  <c r="AK602" i="23" s="1"/>
  <c r="AJ265" i="21"/>
  <c r="AA265" i="21"/>
  <c r="H118" i="33" s="1"/>
  <c r="K265" i="21"/>
  <c r="AK601" i="23" s="1"/>
  <c r="AJ264" i="21"/>
  <c r="P264" i="21"/>
  <c r="N263" i="21"/>
  <c r="J262" i="21"/>
  <c r="AF598" i="23" s="1"/>
  <c r="P261" i="21"/>
  <c r="AJ260" i="21"/>
  <c r="AA259" i="21"/>
  <c r="H112" i="33" s="1"/>
  <c r="P259" i="21"/>
  <c r="K259" i="21"/>
  <c r="AK595" i="23" s="1"/>
  <c r="L252" i="21"/>
  <c r="L250" i="21"/>
  <c r="R267" i="21"/>
  <c r="J267" i="21"/>
  <c r="AF603" i="23" s="1"/>
  <c r="Q267" i="21"/>
  <c r="AB265" i="21"/>
  <c r="L118" i="33" s="1"/>
  <c r="L265" i="21"/>
  <c r="W265" i="21" s="1"/>
  <c r="F118" i="33" s="1"/>
  <c r="R264" i="21"/>
  <c r="J264" i="21"/>
  <c r="AF600" i="23" s="1"/>
  <c r="R261" i="21"/>
  <c r="AJ249" i="21"/>
  <c r="I275" i="21"/>
  <c r="AJ267" i="21"/>
  <c r="R265" i="21"/>
  <c r="AB264" i="21"/>
  <c r="L117" i="33" s="1"/>
  <c r="N264" i="21"/>
  <c r="O259" i="21"/>
  <c r="J259" i="21"/>
  <c r="AF595" i="23" s="1"/>
  <c r="AJ254" i="21"/>
  <c r="J250" i="21"/>
  <c r="AF586" i="23" s="1"/>
  <c r="AB266" i="21"/>
  <c r="L119" i="33" s="1"/>
  <c r="P266" i="21"/>
  <c r="L266" i="21"/>
  <c r="W266" i="21" s="1"/>
  <c r="F119" i="33" s="1"/>
  <c r="Q265" i="21"/>
  <c r="AJ263" i="21"/>
  <c r="AB262" i="21"/>
  <c r="L115" i="33" s="1"/>
  <c r="L262" i="21"/>
  <c r="W262" i="21" s="1"/>
  <c r="F115" i="33" s="1"/>
  <c r="Q261" i="21"/>
  <c r="K261" i="21"/>
  <c r="AK597" i="23" s="1"/>
  <c r="O261" i="21"/>
  <c r="S261" i="21"/>
  <c r="AA261" i="21"/>
  <c r="H114" i="33" s="1"/>
  <c r="P260" i="21"/>
  <c r="J256" i="21"/>
  <c r="AF592" i="23" s="1"/>
  <c r="K256" i="21"/>
  <c r="AK592" i="23" s="1"/>
  <c r="AJ253" i="21"/>
  <c r="N254" i="21"/>
  <c r="K262" i="21"/>
  <c r="AK598" i="23" s="1"/>
  <c r="O262" i="21"/>
  <c r="S262" i="21"/>
  <c r="AA262" i="21"/>
  <c r="H115" i="33" s="1"/>
  <c r="Q262" i="21"/>
  <c r="N256" i="21"/>
  <c r="AB267" i="21"/>
  <c r="L120" i="33" s="1"/>
  <c r="P267" i="21"/>
  <c r="L267" i="21"/>
  <c r="W267" i="21" s="1"/>
  <c r="F120" i="33" s="1"/>
  <c r="R266" i="21"/>
  <c r="N266" i="21"/>
  <c r="J266" i="21"/>
  <c r="AF602" i="23" s="1"/>
  <c r="O265" i="21"/>
  <c r="J265" i="21"/>
  <c r="AF601" i="23" s="1"/>
  <c r="Q263" i="21"/>
  <c r="K263" i="21"/>
  <c r="AK599" i="23" s="1"/>
  <c r="O263" i="21"/>
  <c r="S263" i="21"/>
  <c r="AA263" i="21"/>
  <c r="H116" i="33" s="1"/>
  <c r="P262" i="21"/>
  <c r="AJ261" i="21"/>
  <c r="N261" i="21"/>
  <c r="AB260" i="21"/>
  <c r="L113" i="33" s="1"/>
  <c r="AJ259" i="21"/>
  <c r="AJ258" i="21"/>
  <c r="K260" i="21"/>
  <c r="AK596" i="23" s="1"/>
  <c r="O260" i="21"/>
  <c r="N260" i="21"/>
  <c r="S260" i="21"/>
  <c r="AA260" i="21"/>
  <c r="H113" i="33" s="1"/>
  <c r="L260" i="21"/>
  <c r="W260" i="21" s="1"/>
  <c r="F113" i="33" s="1"/>
  <c r="Q260" i="21"/>
  <c r="Q268" i="21"/>
  <c r="AA267" i="21"/>
  <c r="H120" i="33" s="1"/>
  <c r="S267" i="21"/>
  <c r="O267" i="21"/>
  <c r="K267" i="21"/>
  <c r="AK603" i="23" s="1"/>
  <c r="Q266" i="21"/>
  <c r="S265" i="21"/>
  <c r="N265" i="21"/>
  <c r="K264" i="21"/>
  <c r="AK600" i="23" s="1"/>
  <c r="O264" i="21"/>
  <c r="S264" i="21"/>
  <c r="AA264" i="21"/>
  <c r="H117" i="33" s="1"/>
  <c r="Q264" i="21"/>
  <c r="P263" i="21"/>
  <c r="AJ262" i="21"/>
  <c r="N262" i="21"/>
  <c r="AB261" i="21"/>
  <c r="L114" i="33" s="1"/>
  <c r="L261" i="21"/>
  <c r="W261" i="21" s="1"/>
  <c r="F114" i="33" s="1"/>
  <c r="R260" i="21"/>
  <c r="P256" i="21"/>
  <c r="L258" i="21"/>
  <c r="W258" i="21" s="1"/>
  <c r="F111" i="33" s="1"/>
  <c r="AJ252" i="21"/>
  <c r="L251" i="21"/>
  <c r="L253" i="21"/>
  <c r="W253" i="21" s="1"/>
  <c r="F106" i="33" s="1"/>
  <c r="J252" i="21"/>
  <c r="AF588" i="23" s="1"/>
  <c r="K252" i="21"/>
  <c r="AK588" i="23" s="1"/>
  <c r="Q259" i="21"/>
  <c r="J258" i="21"/>
  <c r="AF594" i="23" s="1"/>
  <c r="K258" i="21"/>
  <c r="AK594" i="23" s="1"/>
  <c r="AJ256" i="21"/>
  <c r="L255" i="21"/>
  <c r="W255" i="21" s="1"/>
  <c r="F108" i="33" s="1"/>
  <c r="J254" i="21"/>
  <c r="AF590" i="23" s="1"/>
  <c r="K254" i="21"/>
  <c r="AK590" i="23" s="1"/>
  <c r="M304" i="21"/>
  <c r="N304" i="21" s="1"/>
  <c r="J304" i="21"/>
  <c r="F304" i="21"/>
  <c r="F303" i="21"/>
  <c r="G105" i="33" l="1"/>
  <c r="G121" i="33"/>
  <c r="G110" i="33"/>
  <c r="G108" i="33"/>
  <c r="G111" i="33"/>
  <c r="G109" i="33"/>
  <c r="G104" i="33"/>
  <c r="G114" i="33"/>
  <c r="G120" i="33"/>
  <c r="G115" i="33"/>
  <c r="G113" i="33"/>
  <c r="G116" i="33"/>
  <c r="G118" i="33"/>
  <c r="G103" i="33"/>
  <c r="G119" i="33"/>
  <c r="X248" i="21"/>
  <c r="Z248" i="21" s="1"/>
  <c r="AA248" i="21" s="1"/>
  <c r="AC248" i="21" s="1"/>
  <c r="G117" i="33"/>
  <c r="G106" i="33"/>
  <c r="G102" i="33"/>
  <c r="G107" i="33"/>
  <c r="G112" i="33"/>
  <c r="L275" i="21"/>
  <c r="O629" i="23" s="1"/>
  <c r="A96" i="11"/>
  <c r="A118" i="11" s="1"/>
  <c r="A117" i="11"/>
  <c r="AX349" i="23"/>
  <c r="AP349" i="23"/>
  <c r="AX350" i="23"/>
  <c r="AP350" i="23"/>
  <c r="AX347" i="23"/>
  <c r="AP347" i="23"/>
  <c r="AP348" i="23"/>
  <c r="AX348" i="23"/>
  <c r="O252" i="21"/>
  <c r="P252" i="21" s="1"/>
  <c r="O256" i="21"/>
  <c r="O250" i="21"/>
  <c r="P250" i="21" s="1"/>
  <c r="O254" i="21"/>
  <c r="P254" i="21" s="1"/>
  <c r="O258" i="21"/>
  <c r="P258" i="21" s="1"/>
  <c r="P275" i="21"/>
  <c r="AP629" i="23" s="1"/>
  <c r="T159" i="21"/>
  <c r="T161" i="21"/>
  <c r="T160" i="21"/>
  <c r="V160" i="21" s="1"/>
  <c r="V162" i="21" s="1"/>
  <c r="E171" i="21" s="1"/>
  <c r="T158" i="21"/>
  <c r="W158" i="21" s="1"/>
  <c r="R162" i="21"/>
  <c r="C124" i="24"/>
  <c r="C114" i="11"/>
  <c r="N252" i="21"/>
  <c r="W252" i="21"/>
  <c r="F105" i="33" s="1"/>
  <c r="C111" i="24"/>
  <c r="C101" i="11"/>
  <c r="C116" i="24"/>
  <c r="C106" i="11"/>
  <c r="C113" i="24"/>
  <c r="C103" i="11"/>
  <c r="N251" i="21"/>
  <c r="W251" i="21"/>
  <c r="F104" i="33" s="1"/>
  <c r="C123" i="24"/>
  <c r="C113" i="11"/>
  <c r="C119" i="24"/>
  <c r="C109" i="11"/>
  <c r="C118" i="24"/>
  <c r="C108" i="11"/>
  <c r="C125" i="24"/>
  <c r="C115" i="11"/>
  <c r="C120" i="24"/>
  <c r="C110" i="11"/>
  <c r="N250" i="21"/>
  <c r="W250" i="21"/>
  <c r="F103" i="33" s="1"/>
  <c r="C117" i="24"/>
  <c r="C107" i="11"/>
  <c r="K253" i="21"/>
  <c r="AK589" i="23" s="1"/>
  <c r="K250" i="21"/>
  <c r="AK586" i="23" s="1"/>
  <c r="J249" i="21"/>
  <c r="AF585" i="23" s="1"/>
  <c r="J257" i="21"/>
  <c r="AF593" i="23" s="1"/>
  <c r="N255" i="21"/>
  <c r="G273" i="21"/>
  <c r="I273" i="21" s="1"/>
  <c r="L273" i="21" s="1"/>
  <c r="O627" i="23" s="1"/>
  <c r="K257" i="21"/>
  <c r="AK593" i="23" s="1"/>
  <c r="J255" i="21"/>
  <c r="AF591" i="23" s="1"/>
  <c r="K255" i="21"/>
  <c r="AK591" i="23" s="1"/>
  <c r="N258" i="21"/>
  <c r="K249" i="21"/>
  <c r="AK585" i="23" s="1"/>
  <c r="L257" i="21"/>
  <c r="W257" i="21" s="1"/>
  <c r="F110" i="33" s="1"/>
  <c r="K304" i="21"/>
  <c r="O304" i="21" s="1"/>
  <c r="P304" i="21" s="1"/>
  <c r="J253" i="21"/>
  <c r="AF589" i="23" s="1"/>
  <c r="N253" i="21"/>
  <c r="J251" i="21"/>
  <c r="AF587" i="23" s="1"/>
  <c r="K251" i="21"/>
  <c r="AK587" i="23" s="1"/>
  <c r="D243" i="21"/>
  <c r="L249" i="21"/>
  <c r="W249" i="21" s="1"/>
  <c r="V643" i="23" l="1"/>
  <c r="R636" i="23"/>
  <c r="T162" i="21"/>
  <c r="M429" i="23"/>
  <c r="AX351" i="23"/>
  <c r="AP351" i="23"/>
  <c r="S415" i="23"/>
  <c r="N408" i="23"/>
  <c r="W415" i="23"/>
  <c r="R408" i="23"/>
  <c r="AD408" i="23"/>
  <c r="AG415" i="23"/>
  <c r="AK415" i="23"/>
  <c r="AH408" i="23"/>
  <c r="F408" i="23"/>
  <c r="L415" i="23"/>
  <c r="Z415" i="23"/>
  <c r="V408" i="23"/>
  <c r="P415" i="23"/>
  <c r="J408" i="23"/>
  <c r="Z408" i="23"/>
  <c r="AD415" i="23"/>
  <c r="W162" i="21"/>
  <c r="F171" i="21" s="1"/>
  <c r="G171" i="21" s="1"/>
  <c r="S275" i="21"/>
  <c r="U275" i="21" s="1"/>
  <c r="O253" i="21"/>
  <c r="P253" i="21" s="1"/>
  <c r="P273" i="21"/>
  <c r="AP627" i="23" s="1"/>
  <c r="O251" i="21"/>
  <c r="P251" i="21" s="1"/>
  <c r="O255" i="21"/>
  <c r="P255" i="21" s="1"/>
  <c r="O257" i="21"/>
  <c r="P257" i="21" s="1"/>
  <c r="C172" i="21"/>
  <c r="E173" i="21" s="1"/>
  <c r="O249" i="21"/>
  <c r="P249" i="21" s="1"/>
  <c r="C175" i="21"/>
  <c r="W159" i="21"/>
  <c r="U159" i="21"/>
  <c r="U162" i="21" s="1"/>
  <c r="C173" i="21"/>
  <c r="F173" i="21" s="1"/>
  <c r="U161" i="21"/>
  <c r="V161" i="21"/>
  <c r="C174" i="21" s="1"/>
  <c r="C107" i="24"/>
  <c r="F102" i="33"/>
  <c r="A77" i="33"/>
  <c r="A65" i="24"/>
  <c r="A69" i="33"/>
  <c r="A57" i="24"/>
  <c r="A61" i="33"/>
  <c r="A49" i="24"/>
  <c r="A58" i="33"/>
  <c r="A41" i="24"/>
  <c r="A42" i="24" s="1"/>
  <c r="A43" i="24" s="1"/>
  <c r="A44" i="24" s="1"/>
  <c r="A45" i="24" s="1"/>
  <c r="A46" i="24"/>
  <c r="A66" i="24" s="1"/>
  <c r="A67" i="24" s="1"/>
  <c r="A68" i="24" s="1"/>
  <c r="C108" i="24"/>
  <c r="C98" i="11"/>
  <c r="C109" i="24"/>
  <c r="C99" i="11"/>
  <c r="C110" i="24"/>
  <c r="C100" i="11"/>
  <c r="A73" i="33"/>
  <c r="A61" i="24"/>
  <c r="A65" i="33"/>
  <c r="A53" i="24"/>
  <c r="A74" i="33"/>
  <c r="A62" i="24"/>
  <c r="A70" i="33"/>
  <c r="A58" i="24"/>
  <c r="A66" i="33"/>
  <c r="A54" i="24"/>
  <c r="A62" i="33"/>
  <c r="A50" i="24"/>
  <c r="A75" i="33"/>
  <c r="A63" i="24"/>
  <c r="A71" i="33"/>
  <c r="A59" i="24"/>
  <c r="A67" i="33"/>
  <c r="A55" i="24"/>
  <c r="A63" i="33"/>
  <c r="A51" i="24"/>
  <c r="A59" i="33"/>
  <c r="A47" i="24"/>
  <c r="A76" i="33"/>
  <c r="A64" i="24"/>
  <c r="A72" i="33"/>
  <c r="A60" i="24"/>
  <c r="A68" i="33"/>
  <c r="A56" i="24"/>
  <c r="A64" i="33"/>
  <c r="A52" i="24"/>
  <c r="A60" i="33"/>
  <c r="A48" i="24"/>
  <c r="C115" i="24"/>
  <c r="C105" i="11"/>
  <c r="A58" i="11"/>
  <c r="A54" i="11"/>
  <c r="A63" i="11"/>
  <c r="A55" i="11"/>
  <c r="A60" i="11"/>
  <c r="A56" i="11"/>
  <c r="A52" i="11"/>
  <c r="A48" i="11"/>
  <c r="A39" i="11"/>
  <c r="A44" i="11"/>
  <c r="A62" i="11"/>
  <c r="A50" i="11"/>
  <c r="A46" i="11"/>
  <c r="A59" i="11"/>
  <c r="A51" i="11"/>
  <c r="A47" i="11"/>
  <c r="A61" i="11"/>
  <c r="A57" i="11"/>
  <c r="B58" i="3"/>
  <c r="A53" i="11"/>
  <c r="A49" i="11"/>
  <c r="A45" i="11"/>
  <c r="H49" i="3"/>
  <c r="G49" i="3"/>
  <c r="F49" i="3"/>
  <c r="I49" i="3"/>
  <c r="E49" i="3"/>
  <c r="F67" i="3"/>
  <c r="I67" i="3"/>
  <c r="E67" i="3"/>
  <c r="H67" i="3"/>
  <c r="G67" i="3"/>
  <c r="G72" i="33"/>
  <c r="F63" i="3"/>
  <c r="I63" i="3"/>
  <c r="E63" i="3"/>
  <c r="H63" i="3"/>
  <c r="G63" i="3"/>
  <c r="I52" i="3"/>
  <c r="E52" i="3"/>
  <c r="H52" i="3"/>
  <c r="G52" i="3"/>
  <c r="F52" i="3"/>
  <c r="I64" i="3"/>
  <c r="E64" i="3"/>
  <c r="H64" i="3"/>
  <c r="G64" i="3"/>
  <c r="F64" i="3"/>
  <c r="F59" i="3"/>
  <c r="I59" i="3"/>
  <c r="E59" i="3"/>
  <c r="H59" i="3"/>
  <c r="G59" i="3"/>
  <c r="H65" i="3"/>
  <c r="G65" i="3"/>
  <c r="F65" i="3"/>
  <c r="I65" i="3"/>
  <c r="E65" i="3"/>
  <c r="I60" i="3"/>
  <c r="E60" i="3"/>
  <c r="H60" i="3"/>
  <c r="G60" i="3"/>
  <c r="F60" i="3"/>
  <c r="G54" i="3"/>
  <c r="F54" i="3"/>
  <c r="I54" i="3"/>
  <c r="E54" i="3"/>
  <c r="H54" i="3"/>
  <c r="G50" i="3"/>
  <c r="F50" i="3"/>
  <c r="I50" i="3"/>
  <c r="E50" i="3"/>
  <c r="H50" i="3"/>
  <c r="I68" i="3"/>
  <c r="E68" i="3"/>
  <c r="H68" i="3"/>
  <c r="G68" i="3"/>
  <c r="F68" i="3"/>
  <c r="H53" i="3"/>
  <c r="G53" i="3"/>
  <c r="F53" i="3"/>
  <c r="I53" i="3"/>
  <c r="E53" i="3"/>
  <c r="G66" i="3"/>
  <c r="F66" i="3"/>
  <c r="I66" i="3"/>
  <c r="E66" i="3"/>
  <c r="H66" i="3"/>
  <c r="G62" i="3"/>
  <c r="F62" i="3"/>
  <c r="I62" i="3"/>
  <c r="E62" i="3"/>
  <c r="H62" i="3"/>
  <c r="H61" i="3"/>
  <c r="G61" i="3"/>
  <c r="F61" i="3"/>
  <c r="I61" i="3"/>
  <c r="E61" i="3"/>
  <c r="G58" i="3"/>
  <c r="F58" i="3"/>
  <c r="I58" i="3"/>
  <c r="E58" i="3"/>
  <c r="H58" i="3"/>
  <c r="H57" i="3"/>
  <c r="G57" i="3"/>
  <c r="F57" i="3"/>
  <c r="I57" i="3"/>
  <c r="E57" i="3"/>
  <c r="I56" i="3"/>
  <c r="E56" i="3"/>
  <c r="H56" i="3"/>
  <c r="G56" i="3"/>
  <c r="F56" i="3"/>
  <c r="F55" i="3"/>
  <c r="I55" i="3"/>
  <c r="E55" i="3"/>
  <c r="H55" i="3"/>
  <c r="G55" i="3"/>
  <c r="F51" i="3"/>
  <c r="I51" i="3"/>
  <c r="E51" i="3"/>
  <c r="H51" i="3"/>
  <c r="G51" i="3"/>
  <c r="J302" i="21"/>
  <c r="D42" i="3"/>
  <c r="F77" i="33"/>
  <c r="G69" i="33"/>
  <c r="B51" i="3"/>
  <c r="D68" i="3"/>
  <c r="B67" i="3"/>
  <c r="B63" i="3"/>
  <c r="B61" i="3"/>
  <c r="D52" i="3"/>
  <c r="C42" i="3"/>
  <c r="G70" i="33"/>
  <c r="N257" i="21"/>
  <c r="D58" i="3"/>
  <c r="E243" i="21"/>
  <c r="N249" i="21"/>
  <c r="F70" i="33"/>
  <c r="F72" i="33"/>
  <c r="M302" i="21"/>
  <c r="N302" i="21" s="1"/>
  <c r="F67" i="33"/>
  <c r="B68" i="3"/>
  <c r="F59" i="33"/>
  <c r="D63" i="3"/>
  <c r="D50" i="3"/>
  <c r="D66" i="3"/>
  <c r="B50" i="3"/>
  <c r="D56" i="3"/>
  <c r="D54" i="3"/>
  <c r="B49" i="3"/>
  <c r="G76" i="33"/>
  <c r="F69" i="33"/>
  <c r="F71" i="33"/>
  <c r="D62" i="3"/>
  <c r="G65" i="33"/>
  <c r="G63" i="33"/>
  <c r="G74" i="33"/>
  <c r="B52" i="3"/>
  <c r="F61" i="33"/>
  <c r="G61" i="33"/>
  <c r="B65" i="3"/>
  <c r="D65" i="3"/>
  <c r="F74" i="33"/>
  <c r="B64" i="3"/>
  <c r="F73" i="33"/>
  <c r="G73" i="33"/>
  <c r="D64" i="3"/>
  <c r="B55" i="3"/>
  <c r="G64" i="33"/>
  <c r="B53" i="3"/>
  <c r="G62" i="33"/>
  <c r="F76" i="33"/>
  <c r="D67" i="3"/>
  <c r="F75" i="33"/>
  <c r="B66" i="3"/>
  <c r="B62" i="3"/>
  <c r="B60" i="3"/>
  <c r="G68" i="33"/>
  <c r="G67" i="33"/>
  <c r="F65" i="33"/>
  <c r="B56" i="3"/>
  <c r="F63" i="33"/>
  <c r="B54" i="3"/>
  <c r="G59" i="33"/>
  <c r="G60" i="33"/>
  <c r="B57" i="3"/>
  <c r="D57" i="3"/>
  <c r="F66" i="33"/>
  <c r="G77" i="33"/>
  <c r="G71" i="33"/>
  <c r="D60" i="3"/>
  <c r="D61" i="3"/>
  <c r="G66" i="33"/>
  <c r="G75" i="33"/>
  <c r="B59" i="3"/>
  <c r="D59" i="3"/>
  <c r="F68" i="33"/>
  <c r="D48" i="3"/>
  <c r="E48" i="3" s="1"/>
  <c r="F48" i="3" s="1"/>
  <c r="G48" i="3" s="1"/>
  <c r="H48" i="3" s="1"/>
  <c r="I48" i="3" s="1"/>
  <c r="B48" i="3"/>
  <c r="F64" i="33"/>
  <c r="D55" i="3"/>
  <c r="F62" i="33"/>
  <c r="D53" i="3"/>
  <c r="F60" i="33"/>
  <c r="D51" i="3"/>
  <c r="F58" i="33"/>
  <c r="D49" i="3"/>
  <c r="S273" i="21" l="1"/>
  <c r="V273" i="21" s="1"/>
  <c r="F175" i="21"/>
  <c r="E175" i="21"/>
  <c r="S162" i="21"/>
  <c r="J274" i="21"/>
  <c r="F636" i="23"/>
  <c r="L643" i="23"/>
  <c r="V414" i="23"/>
  <c r="F409" i="23"/>
  <c r="F411" i="23" s="1"/>
  <c r="Z414" i="23"/>
  <c r="J409" i="23"/>
  <c r="J411" i="23" s="1"/>
  <c r="E172" i="21"/>
  <c r="G172" i="21" s="1"/>
  <c r="E176" i="21" s="1"/>
  <c r="D68" i="24" s="1"/>
  <c r="C48" i="3"/>
  <c r="G58" i="33"/>
  <c r="I76" i="3"/>
  <c r="H276" i="21"/>
  <c r="C57" i="3"/>
  <c r="C60" i="3"/>
  <c r="C63" i="3"/>
  <c r="C53" i="3"/>
  <c r="C49" i="3"/>
  <c r="C50" i="3"/>
  <c r="C67" i="3"/>
  <c r="C61" i="3"/>
  <c r="C58" i="3"/>
  <c r="C51" i="3"/>
  <c r="C59" i="3"/>
  <c r="C65" i="3"/>
  <c r="C54" i="3"/>
  <c r="C62" i="3"/>
  <c r="C64" i="3"/>
  <c r="C66" i="3"/>
  <c r="C68" i="3"/>
  <c r="C55" i="3"/>
  <c r="C52" i="3"/>
  <c r="C56" i="3"/>
  <c r="J243" i="21"/>
  <c r="C283" i="21" s="1"/>
  <c r="L243" i="21"/>
  <c r="E283" i="21" s="1"/>
  <c r="E274" i="21"/>
  <c r="H628" i="23" s="1"/>
  <c r="E273" i="21"/>
  <c r="H627" i="23" s="1"/>
  <c r="E278" i="21"/>
  <c r="H632" i="23" s="1"/>
  <c r="B42" i="3"/>
  <c r="X104" i="21"/>
  <c r="Z104" i="21"/>
  <c r="Z103" i="21"/>
  <c r="O270" i="23"/>
  <c r="X102" i="21"/>
  <c r="Z102" i="21"/>
  <c r="E177" i="21" l="1"/>
  <c r="H78" i="33" s="1"/>
  <c r="BC351" i="23"/>
  <c r="AN414" i="23" s="1"/>
  <c r="G175" i="21"/>
  <c r="AP270" i="23"/>
  <c r="AJ278" i="23" s="1"/>
  <c r="G78" i="33"/>
  <c r="U134" i="21"/>
  <c r="U135" i="21"/>
  <c r="C51" i="11"/>
  <c r="C53" i="24"/>
  <c r="C57" i="11"/>
  <c r="C59" i="24"/>
  <c r="C54" i="11"/>
  <c r="C56" i="24"/>
  <c r="C62" i="11"/>
  <c r="C64" i="24"/>
  <c r="C58" i="11"/>
  <c r="C60" i="24"/>
  <c r="C61" i="11"/>
  <c r="C63" i="24"/>
  <c r="C53" i="11"/>
  <c r="C55" i="24"/>
  <c r="C44" i="11"/>
  <c r="C46" i="24"/>
  <c r="C47" i="11"/>
  <c r="C49" i="24"/>
  <c r="C63" i="11"/>
  <c r="C65" i="24"/>
  <c r="C59" i="11"/>
  <c r="C61" i="24"/>
  <c r="C60" i="11"/>
  <c r="C62" i="24"/>
  <c r="C46" i="11"/>
  <c r="C48" i="24"/>
  <c r="C56" i="11"/>
  <c r="C58" i="24"/>
  <c r="C45" i="11"/>
  <c r="C47" i="24"/>
  <c r="C48" i="11"/>
  <c r="C50" i="24"/>
  <c r="C55" i="11"/>
  <c r="C57" i="24"/>
  <c r="C50" i="11"/>
  <c r="C52" i="24"/>
  <c r="C49" i="11"/>
  <c r="C51" i="24"/>
  <c r="C52" i="11"/>
  <c r="C54" i="24"/>
  <c r="F283" i="21"/>
  <c r="G283" i="21" s="1"/>
  <c r="F47" i="21"/>
  <c r="X42" i="21"/>
  <c r="Z42" i="21"/>
  <c r="Z41" i="21"/>
  <c r="I429" i="23" l="1"/>
  <c r="R429" i="23" s="1"/>
  <c r="W429" i="23" s="1"/>
  <c r="AB429" i="23" s="1"/>
  <c r="E68" i="24"/>
  <c r="C166" i="21"/>
  <c r="G166" i="21" s="1"/>
  <c r="H166" i="21" s="1"/>
  <c r="J166" i="21" s="1"/>
  <c r="O166" i="21" s="1"/>
  <c r="B210" i="21"/>
  <c r="AI210" i="21" s="1"/>
  <c r="B209" i="21"/>
  <c r="AI209" i="21" s="1"/>
  <c r="B208" i="21"/>
  <c r="AI208" i="21" s="1"/>
  <c r="B207" i="21"/>
  <c r="AI207" i="21" s="1"/>
  <c r="B206" i="21"/>
  <c r="AI206" i="21" s="1"/>
  <c r="B205" i="21"/>
  <c r="AI205" i="21" s="1"/>
  <c r="B204" i="21"/>
  <c r="AI204" i="21" s="1"/>
  <c r="B203" i="21"/>
  <c r="AI203" i="21" s="1"/>
  <c r="B202" i="21"/>
  <c r="AI202" i="21" s="1"/>
  <c r="B201" i="21"/>
  <c r="AI201" i="21" s="1"/>
  <c r="B200" i="21"/>
  <c r="AI200" i="21" s="1"/>
  <c r="B199" i="21"/>
  <c r="AI199" i="21" s="1"/>
  <c r="B198" i="21"/>
  <c r="AI198" i="21" s="1"/>
  <c r="B197" i="21"/>
  <c r="AI197" i="21" s="1"/>
  <c r="B196" i="21"/>
  <c r="AI196" i="21" s="1"/>
  <c r="B195" i="21"/>
  <c r="AI195" i="21" s="1"/>
  <c r="B194" i="21"/>
  <c r="AI194" i="21" s="1"/>
  <c r="B193" i="21"/>
  <c r="AI193" i="21" s="1"/>
  <c r="B192" i="21"/>
  <c r="AI192" i="21" s="1"/>
  <c r="B191" i="21"/>
  <c r="I185" i="21"/>
  <c r="J185" i="21" s="1"/>
  <c r="H185" i="21"/>
  <c r="F185" i="21"/>
  <c r="G185" i="21" s="1"/>
  <c r="C185" i="21"/>
  <c r="B185" i="21" s="1"/>
  <c r="E224" i="21"/>
  <c r="V219" i="21"/>
  <c r="V218" i="21"/>
  <c r="T217" i="21"/>
  <c r="V217" i="21"/>
  <c r="U216" i="21"/>
  <c r="T215" i="21"/>
  <c r="U215" i="21"/>
  <c r="Y190" i="21"/>
  <c r="AF190" i="21" s="1"/>
  <c r="K190" i="21"/>
  <c r="L190" i="21" s="1"/>
  <c r="M190" i="21" s="1"/>
  <c r="N190" i="21" s="1"/>
  <c r="O190" i="21" s="1"/>
  <c r="P190" i="21" s="1"/>
  <c r="S190" i="21" s="1"/>
  <c r="T190" i="21" s="1"/>
  <c r="U190" i="21" s="1"/>
  <c r="F67" i="11" l="1"/>
  <c r="C73" i="24"/>
  <c r="A65" i="11"/>
  <c r="A66" i="11" s="1"/>
  <c r="A67" i="11" s="1"/>
  <c r="A68" i="11" s="1"/>
  <c r="A69" i="11" s="1"/>
  <c r="AI191" i="21"/>
  <c r="R166" i="21"/>
  <c r="AB135" i="21"/>
  <c r="AB137" i="21"/>
  <c r="AB149" i="21"/>
  <c r="AB150" i="21"/>
  <c r="AB146" i="21"/>
  <c r="AB142" i="21"/>
  <c r="AB139" i="21"/>
  <c r="AB153" i="21"/>
  <c r="AB148" i="21"/>
  <c r="AB144" i="21"/>
  <c r="AB134" i="21"/>
  <c r="AB143" i="21"/>
  <c r="AB151" i="21"/>
  <c r="AB138" i="21"/>
  <c r="AB140" i="21"/>
  <c r="AB136" i="21"/>
  <c r="AB141" i="21"/>
  <c r="AB147" i="21"/>
  <c r="AB152" i="21"/>
  <c r="AB145" i="21"/>
  <c r="N166" i="21"/>
  <c r="S166" i="21" s="1"/>
  <c r="G217" i="21"/>
  <c r="P507" i="23" s="1"/>
  <c r="T508" i="23" s="1"/>
  <c r="Y508" i="23" s="1"/>
  <c r="O513" i="23" s="1"/>
  <c r="U513" i="23" s="1"/>
  <c r="BI201" i="21"/>
  <c r="BE201" i="21"/>
  <c r="D93" i="3" s="1"/>
  <c r="BA201" i="21"/>
  <c r="AW201" i="21"/>
  <c r="AS201" i="21"/>
  <c r="AO201" i="21"/>
  <c r="BC201" i="21"/>
  <c r="AU201" i="21"/>
  <c r="AM201" i="21"/>
  <c r="BH201" i="21"/>
  <c r="G93" i="3" s="1"/>
  <c r="BD201" i="21"/>
  <c r="C93" i="3" s="1"/>
  <c r="AZ201" i="21"/>
  <c r="AV201" i="21"/>
  <c r="AR201" i="21"/>
  <c r="AN201" i="21"/>
  <c r="BG201" i="21"/>
  <c r="F93" i="3" s="1"/>
  <c r="AY201" i="21"/>
  <c r="AQ201" i="21"/>
  <c r="BF201" i="21"/>
  <c r="E93" i="3" s="1"/>
  <c r="AP201" i="21"/>
  <c r="BB201" i="21"/>
  <c r="AL201" i="21"/>
  <c r="AX201" i="21"/>
  <c r="AT201" i="21"/>
  <c r="E190" i="21"/>
  <c r="F190" i="21" s="1"/>
  <c r="G190" i="21" s="1"/>
  <c r="H190" i="21" s="1"/>
  <c r="I190" i="21" s="1"/>
  <c r="H217" i="21"/>
  <c r="R507" i="23" s="1"/>
  <c r="V508" i="23" s="1"/>
  <c r="BI194" i="21"/>
  <c r="AF447" i="23" s="1"/>
  <c r="BE194" i="21"/>
  <c r="L447" i="23" s="1"/>
  <c r="BA194" i="21"/>
  <c r="AW194" i="21"/>
  <c r="AS194" i="21"/>
  <c r="AO194" i="21"/>
  <c r="BC194" i="21"/>
  <c r="AU194" i="21"/>
  <c r="AM194" i="21"/>
  <c r="BH194" i="21"/>
  <c r="AA447" i="23" s="1"/>
  <c r="BD194" i="21"/>
  <c r="G447" i="23" s="1"/>
  <c r="AZ194" i="21"/>
  <c r="AV194" i="21"/>
  <c r="AR194" i="21"/>
  <c r="AN194" i="21"/>
  <c r="BG194" i="21"/>
  <c r="V447" i="23" s="1"/>
  <c r="AY194" i="21"/>
  <c r="AQ194" i="21"/>
  <c r="AX194" i="21"/>
  <c r="AP194" i="21"/>
  <c r="AL194" i="21"/>
  <c r="AT194" i="21"/>
  <c r="BF194" i="21"/>
  <c r="Q447" i="23" s="1"/>
  <c r="BB194" i="21"/>
  <c r="BI198" i="21"/>
  <c r="BE198" i="21"/>
  <c r="D90" i="3" s="1"/>
  <c r="BA198" i="21"/>
  <c r="AW198" i="21"/>
  <c r="AS198" i="21"/>
  <c r="AO198" i="21"/>
  <c r="BC198" i="21"/>
  <c r="AU198" i="21"/>
  <c r="AM198" i="21"/>
  <c r="BH198" i="21"/>
  <c r="G90" i="3" s="1"/>
  <c r="BD198" i="21"/>
  <c r="C90" i="3" s="1"/>
  <c r="AZ198" i="21"/>
  <c r="AV198" i="21"/>
  <c r="AR198" i="21"/>
  <c r="AN198" i="21"/>
  <c r="BG198" i="21"/>
  <c r="F90" i="3" s="1"/>
  <c r="AY198" i="21"/>
  <c r="AQ198" i="21"/>
  <c r="AX198" i="21"/>
  <c r="AP198" i="21"/>
  <c r="AL198" i="21"/>
  <c r="AT198" i="21"/>
  <c r="BF198" i="21"/>
  <c r="E90" i="3" s="1"/>
  <c r="BB198" i="21"/>
  <c r="BI202" i="21"/>
  <c r="BE202" i="21"/>
  <c r="D94" i="3" s="1"/>
  <c r="BA202" i="21"/>
  <c r="AW202" i="21"/>
  <c r="AS202" i="21"/>
  <c r="AO202" i="21"/>
  <c r="BC202" i="21"/>
  <c r="AU202" i="21"/>
  <c r="AM202" i="21"/>
  <c r="BH202" i="21"/>
  <c r="G94" i="3" s="1"/>
  <c r="BD202" i="21"/>
  <c r="C94" i="3" s="1"/>
  <c r="AZ202" i="21"/>
  <c r="AV202" i="21"/>
  <c r="AR202" i="21"/>
  <c r="AN202" i="21"/>
  <c r="BG202" i="21"/>
  <c r="F94" i="3" s="1"/>
  <c r="AY202" i="21"/>
  <c r="AQ202" i="21"/>
  <c r="AX202" i="21"/>
  <c r="AL202" i="21"/>
  <c r="AT202" i="21"/>
  <c r="BF202" i="21"/>
  <c r="E94" i="3" s="1"/>
  <c r="AP202" i="21"/>
  <c r="BB202" i="21"/>
  <c r="BI206" i="21"/>
  <c r="BE206" i="21"/>
  <c r="D98" i="3" s="1"/>
  <c r="BA206" i="21"/>
  <c r="AW206" i="21"/>
  <c r="AS206" i="21"/>
  <c r="AO206" i="21"/>
  <c r="BC206" i="21"/>
  <c r="AU206" i="21"/>
  <c r="AM206" i="21"/>
  <c r="BH206" i="21"/>
  <c r="G98" i="3" s="1"/>
  <c r="BD206" i="21"/>
  <c r="C98" i="3" s="1"/>
  <c r="AZ206" i="21"/>
  <c r="AV206" i="21"/>
  <c r="AR206" i="21"/>
  <c r="AN206" i="21"/>
  <c r="BG206" i="21"/>
  <c r="F98" i="3" s="1"/>
  <c r="AY206" i="21"/>
  <c r="AQ206" i="21"/>
  <c r="AX206" i="21"/>
  <c r="AL206" i="21"/>
  <c r="AT206" i="21"/>
  <c r="BF206" i="21"/>
  <c r="E98" i="3" s="1"/>
  <c r="AP206" i="21"/>
  <c r="BB206" i="21"/>
  <c r="BI210" i="21"/>
  <c r="BE210" i="21"/>
  <c r="D102" i="3" s="1"/>
  <c r="BA210" i="21"/>
  <c r="AW210" i="21"/>
  <c r="AS210" i="21"/>
  <c r="AO210" i="21"/>
  <c r="BC210" i="21"/>
  <c r="AU210" i="21"/>
  <c r="AM210" i="21"/>
  <c r="BH210" i="21"/>
  <c r="G102" i="3" s="1"/>
  <c r="BD210" i="21"/>
  <c r="C102" i="3" s="1"/>
  <c r="AZ210" i="21"/>
  <c r="AV210" i="21"/>
  <c r="AR210" i="21"/>
  <c r="AN210" i="21"/>
  <c r="BG210" i="21"/>
  <c r="F102" i="3" s="1"/>
  <c r="AY210" i="21"/>
  <c r="AQ210" i="21"/>
  <c r="AX210" i="21"/>
  <c r="AL210" i="21"/>
  <c r="AT210" i="21"/>
  <c r="BF210" i="21"/>
  <c r="E102" i="3" s="1"/>
  <c r="AP210" i="21"/>
  <c r="BB210" i="21"/>
  <c r="BI197" i="21"/>
  <c r="BE197" i="21"/>
  <c r="D89" i="3" s="1"/>
  <c r="BA197" i="21"/>
  <c r="AW197" i="21"/>
  <c r="AS197" i="21"/>
  <c r="AO197" i="21"/>
  <c r="BC197" i="21"/>
  <c r="AU197" i="21"/>
  <c r="AM197" i="21"/>
  <c r="BH197" i="21"/>
  <c r="G89" i="3" s="1"/>
  <c r="BD197" i="21"/>
  <c r="C89" i="3" s="1"/>
  <c r="AZ197" i="21"/>
  <c r="AV197" i="21"/>
  <c r="AR197" i="21"/>
  <c r="AN197" i="21"/>
  <c r="BG197" i="21"/>
  <c r="F89" i="3" s="1"/>
  <c r="AY197" i="21"/>
  <c r="AQ197" i="21"/>
  <c r="BF197" i="21"/>
  <c r="E89" i="3" s="1"/>
  <c r="AP197" i="21"/>
  <c r="BB197" i="21"/>
  <c r="AL197" i="21"/>
  <c r="AX197" i="21"/>
  <c r="AT197" i="21"/>
  <c r="BI209" i="21"/>
  <c r="BE209" i="21"/>
  <c r="D101" i="3" s="1"/>
  <c r="BA209" i="21"/>
  <c r="AW209" i="21"/>
  <c r="AS209" i="21"/>
  <c r="AO209" i="21"/>
  <c r="BC209" i="21"/>
  <c r="AU209" i="21"/>
  <c r="AM209" i="21"/>
  <c r="BH209" i="21"/>
  <c r="G101" i="3" s="1"/>
  <c r="BD209" i="21"/>
  <c r="C101" i="3" s="1"/>
  <c r="AZ209" i="21"/>
  <c r="AV209" i="21"/>
  <c r="AR209" i="21"/>
  <c r="AN209" i="21"/>
  <c r="BG209" i="21"/>
  <c r="F101" i="3" s="1"/>
  <c r="AY209" i="21"/>
  <c r="AQ209" i="21"/>
  <c r="BF209" i="21"/>
  <c r="E101" i="3" s="1"/>
  <c r="AP209" i="21"/>
  <c r="BB209" i="21"/>
  <c r="AL209" i="21"/>
  <c r="AX209" i="21"/>
  <c r="AT209" i="21"/>
  <c r="BI191" i="21"/>
  <c r="AF444" i="23" s="1"/>
  <c r="BE191" i="21"/>
  <c r="L444" i="23" s="1"/>
  <c r="BA191" i="21"/>
  <c r="AW191" i="21"/>
  <c r="AS191" i="21"/>
  <c r="AO191" i="21"/>
  <c r="BC191" i="21"/>
  <c r="AQ191" i="21"/>
  <c r="BH191" i="21"/>
  <c r="AA444" i="23" s="1"/>
  <c r="BD191" i="21"/>
  <c r="G444" i="23" s="1"/>
  <c r="AZ191" i="21"/>
  <c r="AV191" i="21"/>
  <c r="AR191" i="21"/>
  <c r="AN191" i="21"/>
  <c r="BG191" i="21"/>
  <c r="V444" i="23" s="1"/>
  <c r="AY191" i="21"/>
  <c r="AU191" i="21"/>
  <c r="AM191" i="21"/>
  <c r="BF191" i="21"/>
  <c r="Q444" i="23" s="1"/>
  <c r="AP191" i="21"/>
  <c r="AX191" i="21"/>
  <c r="AT191" i="21"/>
  <c r="BB191" i="21"/>
  <c r="AL191" i="21"/>
  <c r="BI195" i="21"/>
  <c r="AF448" i="23" s="1"/>
  <c r="BE195" i="21"/>
  <c r="L448" i="23" s="1"/>
  <c r="BA195" i="21"/>
  <c r="AW195" i="21"/>
  <c r="AS195" i="21"/>
  <c r="AO195" i="21"/>
  <c r="BC195" i="21"/>
  <c r="AU195" i="21"/>
  <c r="AM195" i="21"/>
  <c r="BH195" i="21"/>
  <c r="AA448" i="23" s="1"/>
  <c r="BD195" i="21"/>
  <c r="G448" i="23" s="1"/>
  <c r="AZ195" i="21"/>
  <c r="AV195" i="21"/>
  <c r="AR195" i="21"/>
  <c r="AN195" i="21"/>
  <c r="BG195" i="21"/>
  <c r="V448" i="23" s="1"/>
  <c r="AY195" i="21"/>
  <c r="AQ195" i="21"/>
  <c r="BF195" i="21"/>
  <c r="Q448" i="23" s="1"/>
  <c r="AP195" i="21"/>
  <c r="AX195" i="21"/>
  <c r="AT195" i="21"/>
  <c r="BB195" i="21"/>
  <c r="AL195" i="21"/>
  <c r="BI199" i="21"/>
  <c r="BE199" i="21"/>
  <c r="D91" i="3" s="1"/>
  <c r="BA199" i="21"/>
  <c r="AW199" i="21"/>
  <c r="AS199" i="21"/>
  <c r="AO199" i="21"/>
  <c r="BC199" i="21"/>
  <c r="AU199" i="21"/>
  <c r="AM199" i="21"/>
  <c r="BH199" i="21"/>
  <c r="G91" i="3" s="1"/>
  <c r="BD199" i="21"/>
  <c r="C91" i="3" s="1"/>
  <c r="AZ199" i="21"/>
  <c r="AV199" i="21"/>
  <c r="AR199" i="21"/>
  <c r="AN199" i="21"/>
  <c r="BG199" i="21"/>
  <c r="F91" i="3" s="1"/>
  <c r="AY199" i="21"/>
  <c r="AQ199" i="21"/>
  <c r="BF199" i="21"/>
  <c r="E91" i="3" s="1"/>
  <c r="AP199" i="21"/>
  <c r="AT199" i="21"/>
  <c r="BB199" i="21"/>
  <c r="AL199" i="21"/>
  <c r="AX199" i="21"/>
  <c r="BI203" i="21"/>
  <c r="BE203" i="21"/>
  <c r="D95" i="3" s="1"/>
  <c r="BA203" i="21"/>
  <c r="AW203" i="21"/>
  <c r="AS203" i="21"/>
  <c r="AO203" i="21"/>
  <c r="BC203" i="21"/>
  <c r="AU203" i="21"/>
  <c r="AM203" i="21"/>
  <c r="BH203" i="21"/>
  <c r="G95" i="3" s="1"/>
  <c r="BD203" i="21"/>
  <c r="C95" i="3" s="1"/>
  <c r="AZ203" i="21"/>
  <c r="AV203" i="21"/>
  <c r="AR203" i="21"/>
  <c r="AN203" i="21"/>
  <c r="BG203" i="21"/>
  <c r="F95" i="3" s="1"/>
  <c r="AY203" i="21"/>
  <c r="AQ203" i="21"/>
  <c r="BF203" i="21"/>
  <c r="E95" i="3" s="1"/>
  <c r="AP203" i="21"/>
  <c r="AT203" i="21"/>
  <c r="BB203" i="21"/>
  <c r="AL203" i="21"/>
  <c r="AX203" i="21"/>
  <c r="BI207" i="21"/>
  <c r="BE207" i="21"/>
  <c r="D99" i="3" s="1"/>
  <c r="BA207" i="21"/>
  <c r="AW207" i="21"/>
  <c r="AS207" i="21"/>
  <c r="AO207" i="21"/>
  <c r="BC207" i="21"/>
  <c r="AU207" i="21"/>
  <c r="AM207" i="21"/>
  <c r="BH207" i="21"/>
  <c r="G99" i="3" s="1"/>
  <c r="BD207" i="21"/>
  <c r="C99" i="3" s="1"/>
  <c r="AZ207" i="21"/>
  <c r="AV207" i="21"/>
  <c r="AR207" i="21"/>
  <c r="AN207" i="21"/>
  <c r="BG207" i="21"/>
  <c r="F99" i="3" s="1"/>
  <c r="AY207" i="21"/>
  <c r="AQ207" i="21"/>
  <c r="BF207" i="21"/>
  <c r="E99" i="3" s="1"/>
  <c r="AP207" i="21"/>
  <c r="AT207" i="21"/>
  <c r="BB207" i="21"/>
  <c r="AL207" i="21"/>
  <c r="AX207" i="21"/>
  <c r="BI193" i="21"/>
  <c r="AF446" i="23" s="1"/>
  <c r="BE193" i="21"/>
  <c r="L446" i="23" s="1"/>
  <c r="BA193" i="21"/>
  <c r="AW193" i="21"/>
  <c r="AS193" i="21"/>
  <c r="AO193" i="21"/>
  <c r="BC193" i="21"/>
  <c r="AU193" i="21"/>
  <c r="AM193" i="21"/>
  <c r="BH193" i="21"/>
  <c r="AA446" i="23" s="1"/>
  <c r="BD193" i="21"/>
  <c r="G446" i="23" s="1"/>
  <c r="AZ193" i="21"/>
  <c r="AV193" i="21"/>
  <c r="AR193" i="21"/>
  <c r="AN193" i="21"/>
  <c r="BG193" i="21"/>
  <c r="V446" i="23" s="1"/>
  <c r="AY193" i="21"/>
  <c r="AQ193" i="21"/>
  <c r="BF193" i="21"/>
  <c r="Q446" i="23" s="1"/>
  <c r="AP193" i="21"/>
  <c r="BB193" i="21"/>
  <c r="AL193" i="21"/>
  <c r="AX193" i="21"/>
  <c r="AT193" i="21"/>
  <c r="BI205" i="21"/>
  <c r="BE205" i="21"/>
  <c r="D97" i="3" s="1"/>
  <c r="BA205" i="21"/>
  <c r="AW205" i="21"/>
  <c r="AS205" i="21"/>
  <c r="AO205" i="21"/>
  <c r="BC205" i="21"/>
  <c r="AU205" i="21"/>
  <c r="AM205" i="21"/>
  <c r="BH205" i="21"/>
  <c r="G97" i="3" s="1"/>
  <c r="BD205" i="21"/>
  <c r="C97" i="3" s="1"/>
  <c r="AZ205" i="21"/>
  <c r="AV205" i="21"/>
  <c r="AR205" i="21"/>
  <c r="AN205" i="21"/>
  <c r="BG205" i="21"/>
  <c r="F97" i="3" s="1"/>
  <c r="AY205" i="21"/>
  <c r="AQ205" i="21"/>
  <c r="BF205" i="21"/>
  <c r="E97" i="3" s="1"/>
  <c r="AP205" i="21"/>
  <c r="BB205" i="21"/>
  <c r="AL205" i="21"/>
  <c r="AX205" i="21"/>
  <c r="AT205" i="21"/>
  <c r="BI192" i="21"/>
  <c r="AF445" i="23" s="1"/>
  <c r="BE192" i="21"/>
  <c r="L445" i="23" s="1"/>
  <c r="BA192" i="21"/>
  <c r="AW192" i="21"/>
  <c r="AS192" i="21"/>
  <c r="AO192" i="21"/>
  <c r="BC192" i="21"/>
  <c r="AU192" i="21"/>
  <c r="AM192" i="21"/>
  <c r="BH192" i="21"/>
  <c r="AA445" i="23" s="1"/>
  <c r="BD192" i="21"/>
  <c r="G445" i="23" s="1"/>
  <c r="AZ192" i="21"/>
  <c r="AV192" i="21"/>
  <c r="AR192" i="21"/>
  <c r="AN192" i="21"/>
  <c r="BG192" i="21"/>
  <c r="V445" i="23" s="1"/>
  <c r="AY192" i="21"/>
  <c r="AQ192" i="21"/>
  <c r="AX192" i="21"/>
  <c r="BF192" i="21"/>
  <c r="Q445" i="23" s="1"/>
  <c r="BB192" i="21"/>
  <c r="AT192" i="21"/>
  <c r="AP192" i="21"/>
  <c r="AL192" i="21"/>
  <c r="BI196" i="21"/>
  <c r="BE196" i="21"/>
  <c r="D88" i="3" s="1"/>
  <c r="BA196" i="21"/>
  <c r="AW196" i="21"/>
  <c r="AS196" i="21"/>
  <c r="AO196" i="21"/>
  <c r="BC196" i="21"/>
  <c r="AU196" i="21"/>
  <c r="AM196" i="21"/>
  <c r="BH196" i="21"/>
  <c r="G88" i="3" s="1"/>
  <c r="BD196" i="21"/>
  <c r="C88" i="3" s="1"/>
  <c r="AZ196" i="21"/>
  <c r="AV196" i="21"/>
  <c r="AR196" i="21"/>
  <c r="AN196" i="21"/>
  <c r="BG196" i="21"/>
  <c r="F88" i="3" s="1"/>
  <c r="AY196" i="21"/>
  <c r="AQ196" i="21"/>
  <c r="AX196" i="21"/>
  <c r="BF196" i="21"/>
  <c r="E88" i="3" s="1"/>
  <c r="BB196" i="21"/>
  <c r="AT196" i="21"/>
  <c r="AP196" i="21"/>
  <c r="AL196" i="21"/>
  <c r="BI200" i="21"/>
  <c r="BE200" i="21"/>
  <c r="D92" i="3" s="1"/>
  <c r="BA200" i="21"/>
  <c r="AW200" i="21"/>
  <c r="AS200" i="21"/>
  <c r="AO200" i="21"/>
  <c r="BC200" i="21"/>
  <c r="AU200" i="21"/>
  <c r="AM200" i="21"/>
  <c r="BH200" i="21"/>
  <c r="G92" i="3" s="1"/>
  <c r="BD200" i="21"/>
  <c r="C92" i="3" s="1"/>
  <c r="AZ200" i="21"/>
  <c r="AV200" i="21"/>
  <c r="AR200" i="21"/>
  <c r="AN200" i="21"/>
  <c r="BG200" i="21"/>
  <c r="F92" i="3" s="1"/>
  <c r="AY200" i="21"/>
  <c r="AQ200" i="21"/>
  <c r="AX200" i="21"/>
  <c r="BB200" i="21"/>
  <c r="AT200" i="21"/>
  <c r="BF200" i="21"/>
  <c r="E92" i="3" s="1"/>
  <c r="AP200" i="21"/>
  <c r="AL200" i="21"/>
  <c r="BI204" i="21"/>
  <c r="BE204" i="21"/>
  <c r="D96" i="3" s="1"/>
  <c r="BA204" i="21"/>
  <c r="AW204" i="21"/>
  <c r="AS204" i="21"/>
  <c r="AO204" i="21"/>
  <c r="BC204" i="21"/>
  <c r="AU204" i="21"/>
  <c r="AM204" i="21"/>
  <c r="BH204" i="21"/>
  <c r="G96" i="3" s="1"/>
  <c r="BD204" i="21"/>
  <c r="C96" i="3" s="1"/>
  <c r="AZ204" i="21"/>
  <c r="AV204" i="21"/>
  <c r="AR204" i="21"/>
  <c r="AN204" i="21"/>
  <c r="BG204" i="21"/>
  <c r="F96" i="3" s="1"/>
  <c r="AY204" i="21"/>
  <c r="AQ204" i="21"/>
  <c r="AX204" i="21"/>
  <c r="BB204" i="21"/>
  <c r="AT204" i="21"/>
  <c r="BF204" i="21"/>
  <c r="E96" i="3" s="1"/>
  <c r="AP204" i="21"/>
  <c r="AL204" i="21"/>
  <c r="BI208" i="21"/>
  <c r="BE208" i="21"/>
  <c r="D100" i="3" s="1"/>
  <c r="BA208" i="21"/>
  <c r="AW208" i="21"/>
  <c r="AS208" i="21"/>
  <c r="AO208" i="21"/>
  <c r="BC208" i="21"/>
  <c r="AU208" i="21"/>
  <c r="AM208" i="21"/>
  <c r="BH208" i="21"/>
  <c r="G100" i="3" s="1"/>
  <c r="BD208" i="21"/>
  <c r="C100" i="3" s="1"/>
  <c r="AZ208" i="21"/>
  <c r="AV208" i="21"/>
  <c r="AR208" i="21"/>
  <c r="AN208" i="21"/>
  <c r="BG208" i="21"/>
  <c r="F100" i="3" s="1"/>
  <c r="AY208" i="21"/>
  <c r="AQ208" i="21"/>
  <c r="AX208" i="21"/>
  <c r="BB208" i="21"/>
  <c r="AT208" i="21"/>
  <c r="BF208" i="21"/>
  <c r="E100" i="3" s="1"/>
  <c r="AP208" i="21"/>
  <c r="AL208" i="21"/>
  <c r="A80" i="33"/>
  <c r="A79" i="33" s="1"/>
  <c r="A84" i="33"/>
  <c r="A88" i="33"/>
  <c r="A92" i="33"/>
  <c r="A96" i="33"/>
  <c r="A81" i="33"/>
  <c r="A85" i="33"/>
  <c r="A89" i="33"/>
  <c r="A93" i="33"/>
  <c r="A97" i="33"/>
  <c r="A82" i="33"/>
  <c r="A86" i="33"/>
  <c r="A90" i="33"/>
  <c r="A94" i="33"/>
  <c r="A98" i="33"/>
  <c r="A83" i="33"/>
  <c r="A87" i="33"/>
  <c r="A91" i="33"/>
  <c r="A95" i="33"/>
  <c r="A99" i="33"/>
  <c r="A100" i="33"/>
  <c r="A70" i="24"/>
  <c r="A71" i="24" s="1"/>
  <c r="A72" i="24" s="1"/>
  <c r="A73" i="24" s="1"/>
  <c r="A74" i="24" s="1"/>
  <c r="A75" i="24" s="1"/>
  <c r="A76" i="24"/>
  <c r="A96" i="24" s="1"/>
  <c r="A98" i="24" s="1"/>
  <c r="A74" i="11"/>
  <c r="A80" i="24"/>
  <c r="A78" i="11"/>
  <c r="A84" i="24"/>
  <c r="A82" i="11"/>
  <c r="A88" i="24"/>
  <c r="A86" i="11"/>
  <c r="A92" i="24"/>
  <c r="A71" i="11"/>
  <c r="A77" i="24"/>
  <c r="A75" i="11"/>
  <c r="A81" i="24"/>
  <c r="A79" i="11"/>
  <c r="A85" i="24"/>
  <c r="A83" i="11"/>
  <c r="A89" i="24"/>
  <c r="A87" i="11"/>
  <c r="A93" i="24"/>
  <c r="A72" i="11"/>
  <c r="A78" i="24"/>
  <c r="A76" i="11"/>
  <c r="A82" i="24"/>
  <c r="A80" i="11"/>
  <c r="A86" i="24"/>
  <c r="A84" i="11"/>
  <c r="A90" i="24"/>
  <c r="A88" i="11"/>
  <c r="A94" i="24"/>
  <c r="A73" i="11"/>
  <c r="A79" i="24"/>
  <c r="A77" i="11"/>
  <c r="A83" i="24"/>
  <c r="A81" i="11"/>
  <c r="A87" i="24"/>
  <c r="A85" i="11"/>
  <c r="A91" i="24"/>
  <c r="A89" i="11"/>
  <c r="A95" i="24"/>
  <c r="A70" i="11"/>
  <c r="T199" i="21"/>
  <c r="T207" i="21"/>
  <c r="Q192" i="21"/>
  <c r="Q196" i="21"/>
  <c r="Q200" i="21"/>
  <c r="Q204" i="21"/>
  <c r="Q208" i="21"/>
  <c r="Q193" i="21"/>
  <c r="Q197" i="21"/>
  <c r="Q201" i="21"/>
  <c r="Q205" i="21"/>
  <c r="Q209" i="21"/>
  <c r="T195" i="21"/>
  <c r="T203" i="21"/>
  <c r="Q198" i="21"/>
  <c r="V202" i="21"/>
  <c r="Q206" i="21"/>
  <c r="Q210" i="21"/>
  <c r="N204" i="21"/>
  <c r="M303" i="21"/>
  <c r="N303" i="21" s="1"/>
  <c r="T191" i="21"/>
  <c r="J303" i="21"/>
  <c r="K303" i="21" s="1"/>
  <c r="O303" i="21" s="1"/>
  <c r="M207" i="21"/>
  <c r="Z200" i="21"/>
  <c r="Y207" i="21"/>
  <c r="H208" i="21"/>
  <c r="AC190" i="21"/>
  <c r="O65" i="23"/>
  <c r="X195" i="21"/>
  <c r="Y197" i="21"/>
  <c r="H192" i="21"/>
  <c r="E195" i="21"/>
  <c r="U195" i="21"/>
  <c r="AD195" i="21" s="1"/>
  <c r="Q195" i="21"/>
  <c r="Y195" i="21"/>
  <c r="P197" i="21"/>
  <c r="U201" i="21"/>
  <c r="AD201" i="21" s="1"/>
  <c r="Z206" i="21"/>
  <c r="S207" i="21"/>
  <c r="P209" i="21"/>
  <c r="C196" i="21"/>
  <c r="E203" i="21"/>
  <c r="U193" i="21"/>
  <c r="AD193" i="21" s="1"/>
  <c r="X204" i="21"/>
  <c r="O207" i="21"/>
  <c r="F191" i="21"/>
  <c r="C204" i="21"/>
  <c r="F207" i="21"/>
  <c r="L204" i="21"/>
  <c r="X207" i="21"/>
  <c r="W207" i="21"/>
  <c r="Y209" i="21"/>
  <c r="Q203" i="21"/>
  <c r="O200" i="21"/>
  <c r="K205" i="21"/>
  <c r="Q191" i="21"/>
  <c r="F195" i="21"/>
  <c r="H196" i="21"/>
  <c r="E199" i="21"/>
  <c r="C200" i="21"/>
  <c r="Q207" i="21"/>
  <c r="S205" i="21"/>
  <c r="F199" i="21"/>
  <c r="H200" i="21"/>
  <c r="P200" i="21"/>
  <c r="V199" i="21"/>
  <c r="X200" i="21"/>
  <c r="E191" i="21"/>
  <c r="C192" i="21"/>
  <c r="B445" i="23" s="1"/>
  <c r="Q199" i="21"/>
  <c r="F203" i="21"/>
  <c r="H204" i="21"/>
  <c r="E207" i="21"/>
  <c r="C208" i="21"/>
  <c r="R193" i="21"/>
  <c r="R197" i="21"/>
  <c r="R201" i="21"/>
  <c r="R205" i="21"/>
  <c r="R209" i="21"/>
  <c r="K197" i="21"/>
  <c r="S197" i="21"/>
  <c r="K200" i="21"/>
  <c r="S200" i="21"/>
  <c r="Y201" i="21"/>
  <c r="P204" i="21"/>
  <c r="L205" i="21"/>
  <c r="U205" i="21"/>
  <c r="AD205" i="21" s="1"/>
  <c r="K209" i="21"/>
  <c r="S209" i="21"/>
  <c r="D193" i="21"/>
  <c r="D196" i="21"/>
  <c r="I196" i="21"/>
  <c r="D197" i="21"/>
  <c r="I200" i="21"/>
  <c r="D201" i="21"/>
  <c r="D204" i="21"/>
  <c r="I204" i="21"/>
  <c r="D205" i="21"/>
  <c r="D208" i="21"/>
  <c r="I208" i="21"/>
  <c r="D209" i="21"/>
  <c r="D192" i="21"/>
  <c r="I192" i="21"/>
  <c r="D200" i="21"/>
  <c r="N185" i="21"/>
  <c r="L197" i="21"/>
  <c r="U197" i="21"/>
  <c r="AD197" i="21" s="1"/>
  <c r="U198" i="21"/>
  <c r="AD198" i="21" s="1"/>
  <c r="L200" i="21"/>
  <c r="W200" i="21"/>
  <c r="M201" i="21"/>
  <c r="V204" i="21"/>
  <c r="M205" i="21"/>
  <c r="X205" i="21"/>
  <c r="L209" i="21"/>
  <c r="U209" i="21"/>
  <c r="AD209" i="21" s="1"/>
  <c r="E192" i="21"/>
  <c r="R192" i="21"/>
  <c r="F193" i="21"/>
  <c r="E196" i="21"/>
  <c r="R196" i="21"/>
  <c r="F197" i="21"/>
  <c r="E200" i="21"/>
  <c r="R200" i="21"/>
  <c r="F201" i="21"/>
  <c r="E204" i="21"/>
  <c r="R204" i="21"/>
  <c r="F205" i="21"/>
  <c r="E208" i="21"/>
  <c r="R208" i="21"/>
  <c r="F209" i="21"/>
  <c r="M197" i="21"/>
  <c r="X197" i="21"/>
  <c r="P201" i="21"/>
  <c r="P205" i="21"/>
  <c r="Y205" i="21"/>
  <c r="M209" i="21"/>
  <c r="X209" i="21"/>
  <c r="G192" i="21"/>
  <c r="T192" i="21"/>
  <c r="G196" i="21"/>
  <c r="T196" i="21"/>
  <c r="G200" i="21"/>
  <c r="T200" i="21"/>
  <c r="G204" i="21"/>
  <c r="T204" i="21"/>
  <c r="G208" i="21"/>
  <c r="T208" i="21"/>
  <c r="T194" i="21"/>
  <c r="H194" i="21"/>
  <c r="D194" i="21"/>
  <c r="G194" i="21"/>
  <c r="T202" i="21"/>
  <c r="H202" i="21"/>
  <c r="D202" i="21"/>
  <c r="N202" i="21"/>
  <c r="G202" i="21"/>
  <c r="V198" i="21"/>
  <c r="C198" i="21"/>
  <c r="I198" i="21"/>
  <c r="C202" i="21"/>
  <c r="I202" i="21"/>
  <c r="C206" i="21"/>
  <c r="I206" i="21"/>
  <c r="C210" i="21"/>
  <c r="I210" i="21"/>
  <c r="M202" i="21"/>
  <c r="P210" i="21"/>
  <c r="R191" i="21"/>
  <c r="G191" i="21"/>
  <c r="C191" i="21"/>
  <c r="B444" i="23" s="1"/>
  <c r="H191" i="21"/>
  <c r="I193" i="21"/>
  <c r="E193" i="21"/>
  <c r="G193" i="21"/>
  <c r="T193" i="21"/>
  <c r="E194" i="21"/>
  <c r="Q194" i="21"/>
  <c r="R195" i="21"/>
  <c r="G195" i="21"/>
  <c r="C195" i="21"/>
  <c r="B448" i="23" s="1"/>
  <c r="M195" i="21"/>
  <c r="H195" i="21"/>
  <c r="I197" i="21"/>
  <c r="E197" i="21"/>
  <c r="W197" i="21"/>
  <c r="O197" i="21"/>
  <c r="Z197" i="21"/>
  <c r="G197" i="21"/>
  <c r="T197" i="21"/>
  <c r="E198" i="21"/>
  <c r="R199" i="21"/>
  <c r="G199" i="21"/>
  <c r="C199" i="21"/>
  <c r="H199" i="21"/>
  <c r="I201" i="21"/>
  <c r="E201" i="21"/>
  <c r="X201" i="21"/>
  <c r="L201" i="21"/>
  <c r="G201" i="21"/>
  <c r="T201" i="21"/>
  <c r="E202" i="21"/>
  <c r="Q202" i="21"/>
  <c r="R203" i="21"/>
  <c r="G203" i="21"/>
  <c r="C203" i="21"/>
  <c r="H203" i="21"/>
  <c r="I205" i="21"/>
  <c r="E205" i="21"/>
  <c r="W205" i="21"/>
  <c r="O205" i="21"/>
  <c r="Z205" i="21"/>
  <c r="G205" i="21"/>
  <c r="T205" i="21"/>
  <c r="E206" i="21"/>
  <c r="R207" i="21"/>
  <c r="G207" i="21"/>
  <c r="C207" i="21"/>
  <c r="U207" i="21"/>
  <c r="AD207" i="21" s="1"/>
  <c r="K207" i="21"/>
  <c r="H207" i="21"/>
  <c r="I209" i="21"/>
  <c r="E209" i="21"/>
  <c r="W209" i="21"/>
  <c r="O209" i="21"/>
  <c r="Z209" i="21"/>
  <c r="G209" i="21"/>
  <c r="T209" i="21"/>
  <c r="E210" i="21"/>
  <c r="T198" i="21"/>
  <c r="H198" i="21"/>
  <c r="D198" i="21"/>
  <c r="Y198" i="21"/>
  <c r="M198" i="21"/>
  <c r="G198" i="21"/>
  <c r="T206" i="21"/>
  <c r="H206" i="21"/>
  <c r="D206" i="21"/>
  <c r="J206" i="21"/>
  <c r="G206" i="21"/>
  <c r="T210" i="21"/>
  <c r="H210" i="21"/>
  <c r="D210" i="21"/>
  <c r="G210" i="21"/>
  <c r="Y202" i="21"/>
  <c r="L210" i="21"/>
  <c r="C194" i="21"/>
  <c r="B447" i="23" s="1"/>
  <c r="I194" i="21"/>
  <c r="N198" i="21"/>
  <c r="U202" i="21"/>
  <c r="AD202" i="21" s="1"/>
  <c r="L206" i="21"/>
  <c r="X210" i="21"/>
  <c r="D191" i="21"/>
  <c r="B443" i="23" s="1"/>
  <c r="G443" i="23" s="1"/>
  <c r="L443" i="23" s="1"/>
  <c r="Q443" i="23" s="1"/>
  <c r="V443" i="23" s="1"/>
  <c r="AA443" i="23" s="1"/>
  <c r="AF443" i="23" s="1"/>
  <c r="AK443" i="23" s="1"/>
  <c r="I191" i="21"/>
  <c r="C193" i="21"/>
  <c r="B446" i="23" s="1"/>
  <c r="H193" i="21"/>
  <c r="F194" i="21"/>
  <c r="R194" i="21"/>
  <c r="D195" i="21"/>
  <c r="I195" i="21"/>
  <c r="C197" i="21"/>
  <c r="H197" i="21"/>
  <c r="F198" i="21"/>
  <c r="R198" i="21"/>
  <c r="D199" i="21"/>
  <c r="I199" i="21"/>
  <c r="C201" i="21"/>
  <c r="H201" i="21"/>
  <c r="F202" i="21"/>
  <c r="R202" i="21"/>
  <c r="D203" i="21"/>
  <c r="I203" i="21"/>
  <c r="C205" i="21"/>
  <c r="H205" i="21"/>
  <c r="F206" i="21"/>
  <c r="R206" i="21"/>
  <c r="D207" i="21"/>
  <c r="I207" i="21"/>
  <c r="C209" i="21"/>
  <c r="H209" i="21"/>
  <c r="F210" i="21"/>
  <c r="R210" i="21"/>
  <c r="F192" i="21"/>
  <c r="F196" i="21"/>
  <c r="F200" i="21"/>
  <c r="F204" i="21"/>
  <c r="F208" i="21"/>
  <c r="AD190" i="21"/>
  <c r="V190" i="21"/>
  <c r="S192" i="21"/>
  <c r="N196" i="21"/>
  <c r="X196" i="21"/>
  <c r="J199" i="21"/>
  <c r="Z199" i="21"/>
  <c r="K203" i="21"/>
  <c r="Y208" i="21"/>
  <c r="U208" i="21"/>
  <c r="AD208" i="21" s="1"/>
  <c r="M208" i="21"/>
  <c r="W208" i="21"/>
  <c r="S208" i="21"/>
  <c r="O208" i="21"/>
  <c r="K208" i="21"/>
  <c r="X208" i="21"/>
  <c r="P208" i="21"/>
  <c r="V208" i="21"/>
  <c r="N208" i="21"/>
  <c r="J191" i="21"/>
  <c r="J192" i="21"/>
  <c r="K192" i="21"/>
  <c r="L193" i="21"/>
  <c r="J195" i="21"/>
  <c r="Z195" i="21"/>
  <c r="K191" i="21"/>
  <c r="L192" i="21"/>
  <c r="M193" i="21"/>
  <c r="K195" i="21"/>
  <c r="O195" i="21"/>
  <c r="S195" i="21"/>
  <c r="W195" i="21"/>
  <c r="L196" i="21"/>
  <c r="P196" i="21"/>
  <c r="V196" i="21"/>
  <c r="N199" i="21"/>
  <c r="W206" i="21"/>
  <c r="S206" i="21"/>
  <c r="O206" i="21"/>
  <c r="K206" i="21"/>
  <c r="Y206" i="21"/>
  <c r="U206" i="21"/>
  <c r="AD206" i="21" s="1"/>
  <c r="M206" i="21"/>
  <c r="X206" i="21"/>
  <c r="P206" i="21"/>
  <c r="V206" i="21"/>
  <c r="N206" i="21"/>
  <c r="J208" i="21"/>
  <c r="Z208" i="21"/>
  <c r="Y196" i="21"/>
  <c r="U196" i="21"/>
  <c r="AD196" i="21" s="1"/>
  <c r="J196" i="21"/>
  <c r="S196" i="21"/>
  <c r="Y199" i="21"/>
  <c r="U199" i="21"/>
  <c r="AD199" i="21" s="1"/>
  <c r="M199" i="21"/>
  <c r="X199" i="21"/>
  <c r="P199" i="21"/>
  <c r="L199" i="21"/>
  <c r="X203" i="21"/>
  <c r="P203" i="21"/>
  <c r="Z203" i="21"/>
  <c r="V203" i="21"/>
  <c r="N203" i="21"/>
  <c r="J203" i="21"/>
  <c r="W203" i="21"/>
  <c r="O203" i="21"/>
  <c r="U203" i="21"/>
  <c r="AD203" i="21" s="1"/>
  <c r="M203" i="21"/>
  <c r="Y203" i="21"/>
  <c r="S191" i="21"/>
  <c r="N195" i="21"/>
  <c r="V195" i="21"/>
  <c r="K196" i="21"/>
  <c r="O196" i="21"/>
  <c r="Z196" i="21"/>
  <c r="K199" i="21"/>
  <c r="S199" i="21"/>
  <c r="L203" i="21"/>
  <c r="L191" i="21"/>
  <c r="N192" i="21"/>
  <c r="M192" i="21"/>
  <c r="K193" i="21"/>
  <c r="J193" i="21"/>
  <c r="N193" i="21"/>
  <c r="S193" i="21"/>
  <c r="V193" i="21"/>
  <c r="N194" i="21"/>
  <c r="S194" i="21"/>
  <c r="L195" i="21"/>
  <c r="P195" i="21"/>
  <c r="AK448" i="23" s="1"/>
  <c r="M196" i="21"/>
  <c r="W196" i="21"/>
  <c r="X198" i="21"/>
  <c r="P198" i="21"/>
  <c r="L198" i="21"/>
  <c r="W198" i="21"/>
  <c r="S198" i="21"/>
  <c r="O198" i="21"/>
  <c r="K198" i="21"/>
  <c r="J198" i="21"/>
  <c r="Z198" i="21"/>
  <c r="O199" i="21"/>
  <c r="W199" i="21"/>
  <c r="X202" i="21"/>
  <c r="P202" i="21"/>
  <c r="L202" i="21"/>
  <c r="W202" i="21"/>
  <c r="S202" i="21"/>
  <c r="O202" i="21"/>
  <c r="K202" i="21"/>
  <c r="J202" i="21"/>
  <c r="Z202" i="21"/>
  <c r="S203" i="21"/>
  <c r="L208" i="21"/>
  <c r="J197" i="21"/>
  <c r="N197" i="21"/>
  <c r="V197" i="21"/>
  <c r="M200" i="21"/>
  <c r="U200" i="21"/>
  <c r="AD200" i="21" s="1"/>
  <c r="Y200" i="21"/>
  <c r="J201" i="21"/>
  <c r="N201" i="21"/>
  <c r="V201" i="21"/>
  <c r="Z201" i="21"/>
  <c r="Y204" i="21"/>
  <c r="U204" i="21"/>
  <c r="AD204" i="21" s="1"/>
  <c r="M204" i="21"/>
  <c r="W204" i="21"/>
  <c r="S204" i="21"/>
  <c r="O204" i="21"/>
  <c r="K204" i="21"/>
  <c r="J204" i="21"/>
  <c r="Z204" i="21"/>
  <c r="J200" i="21"/>
  <c r="N200" i="21"/>
  <c r="V200" i="21"/>
  <c r="K201" i="21"/>
  <c r="O201" i="21"/>
  <c r="S201" i="21"/>
  <c r="W201" i="21"/>
  <c r="J207" i="21"/>
  <c r="N207" i="21"/>
  <c r="V207" i="21"/>
  <c r="Z207" i="21"/>
  <c r="M210" i="21"/>
  <c r="U210" i="21"/>
  <c r="AD210" i="21" s="1"/>
  <c r="Y210" i="21"/>
  <c r="J210" i="21"/>
  <c r="N210" i="21"/>
  <c r="V210" i="21"/>
  <c r="Z210" i="21"/>
  <c r="J205" i="21"/>
  <c r="N205" i="21"/>
  <c r="V205" i="21"/>
  <c r="L207" i="21"/>
  <c r="P207" i="21"/>
  <c r="J209" i="21"/>
  <c r="N209" i="21"/>
  <c r="V209" i="21"/>
  <c r="K210" i="21"/>
  <c r="O210" i="21"/>
  <c r="S210" i="21"/>
  <c r="W210" i="21"/>
  <c r="C66" i="21"/>
  <c r="B66" i="21" s="1"/>
  <c r="F66" i="21"/>
  <c r="G66" i="21"/>
  <c r="H66" i="21"/>
  <c r="B232" i="23" s="1"/>
  <c r="B72" i="21"/>
  <c r="AE72" i="21" s="1"/>
  <c r="B73" i="21"/>
  <c r="AE73" i="21" s="1"/>
  <c r="B74" i="21"/>
  <c r="AE74" i="21" s="1"/>
  <c r="B75" i="21"/>
  <c r="AE75" i="21" s="1"/>
  <c r="B76" i="21"/>
  <c r="AE76" i="21" s="1"/>
  <c r="B77" i="21"/>
  <c r="AE77" i="21" s="1"/>
  <c r="B78" i="21"/>
  <c r="AE78" i="21" s="1"/>
  <c r="B79" i="21"/>
  <c r="AE79" i="21" s="1"/>
  <c r="B80" i="21"/>
  <c r="AE80" i="21" s="1"/>
  <c r="B81" i="21"/>
  <c r="AE81" i="21" s="1"/>
  <c r="B82" i="21"/>
  <c r="AE82" i="21" s="1"/>
  <c r="B83" i="21"/>
  <c r="AE83" i="21" s="1"/>
  <c r="B84" i="21"/>
  <c r="AE84" i="21" s="1"/>
  <c r="B85" i="21"/>
  <c r="AE85" i="21" s="1"/>
  <c r="B86" i="21"/>
  <c r="AE86" i="21" s="1"/>
  <c r="B87" i="21"/>
  <c r="AE87" i="21" s="1"/>
  <c r="B88" i="21"/>
  <c r="AE88" i="21" s="1"/>
  <c r="B89" i="21"/>
  <c r="AE89" i="21" s="1"/>
  <c r="B90" i="21"/>
  <c r="AE90" i="21" s="1"/>
  <c r="B91" i="21"/>
  <c r="AE91" i="21" s="1"/>
  <c r="Y96" i="21"/>
  <c r="X96" i="21"/>
  <c r="Y97" i="21"/>
  <c r="H98" i="21"/>
  <c r="Z98" i="21"/>
  <c r="H99" i="21"/>
  <c r="Z99" i="21"/>
  <c r="H100" i="21"/>
  <c r="Z100" i="21"/>
  <c r="H101" i="21"/>
  <c r="Z101" i="21"/>
  <c r="F109" i="21"/>
  <c r="V83" i="21" l="1"/>
  <c r="W83" i="21"/>
  <c r="V87" i="21"/>
  <c r="W87" i="21"/>
  <c r="V75" i="21"/>
  <c r="W75" i="21"/>
  <c r="W86" i="21"/>
  <c r="V86" i="21"/>
  <c r="W74" i="21"/>
  <c r="V74" i="21"/>
  <c r="V77" i="21"/>
  <c r="W77" i="21"/>
  <c r="V91" i="21"/>
  <c r="W91" i="21"/>
  <c r="V79" i="21"/>
  <c r="W79" i="21"/>
  <c r="W90" i="21"/>
  <c r="V90" i="21"/>
  <c r="W82" i="21"/>
  <c r="V82" i="21"/>
  <c r="W78" i="21"/>
  <c r="V78" i="21"/>
  <c r="V89" i="21"/>
  <c r="W89" i="21"/>
  <c r="V85" i="21"/>
  <c r="W85" i="21"/>
  <c r="V81" i="21"/>
  <c r="W81" i="21"/>
  <c r="V73" i="21"/>
  <c r="W73" i="21"/>
  <c r="V88" i="21"/>
  <c r="W88" i="21"/>
  <c r="V84" i="21"/>
  <c r="W84" i="21"/>
  <c r="V80" i="21"/>
  <c r="W80" i="21"/>
  <c r="V76" i="21"/>
  <c r="W76" i="21"/>
  <c r="W72" i="21"/>
  <c r="V72" i="21"/>
  <c r="AG135" i="21"/>
  <c r="Q59" i="33" s="1"/>
  <c r="AG139" i="21"/>
  <c r="Q63" i="33" s="1"/>
  <c r="AG143" i="21"/>
  <c r="Q67" i="33" s="1"/>
  <c r="AG147" i="21"/>
  <c r="Q71" i="33" s="1"/>
  <c r="AG151" i="21"/>
  <c r="Q75" i="33" s="1"/>
  <c r="AG136" i="21"/>
  <c r="Q60" i="33" s="1"/>
  <c r="AG140" i="21"/>
  <c r="Q64" i="33" s="1"/>
  <c r="AG144" i="21"/>
  <c r="Q68" i="33" s="1"/>
  <c r="AG152" i="21"/>
  <c r="Q76" i="33" s="1"/>
  <c r="AG137" i="21"/>
  <c r="Q61" i="33" s="1"/>
  <c r="AG141" i="21"/>
  <c r="Q65" i="33" s="1"/>
  <c r="AG145" i="21"/>
  <c r="Q69" i="33" s="1"/>
  <c r="AG149" i="21"/>
  <c r="Q73" i="33" s="1"/>
  <c r="AG153" i="21"/>
  <c r="Q77" i="33" s="1"/>
  <c r="AG138" i="21"/>
  <c r="Q62" i="33" s="1"/>
  <c r="AG142" i="21"/>
  <c r="Q66" i="33" s="1"/>
  <c r="AG146" i="21"/>
  <c r="Q70" i="33" s="1"/>
  <c r="AG150" i="21"/>
  <c r="Q74" i="33" s="1"/>
  <c r="AG148" i="21"/>
  <c r="Q72" i="33" s="1"/>
  <c r="T166" i="21"/>
  <c r="AG134" i="21"/>
  <c r="L100" i="21"/>
  <c r="L98" i="21"/>
  <c r="L101" i="21"/>
  <c r="O268" i="23" s="1"/>
  <c r="L99" i="21"/>
  <c r="O266" i="23" s="1"/>
  <c r="L257" i="23"/>
  <c r="AA257" i="23"/>
  <c r="G257" i="23"/>
  <c r="V257" i="23"/>
  <c r="Q257" i="23"/>
  <c r="L252" i="23"/>
  <c r="AA252" i="23"/>
  <c r="G252" i="23"/>
  <c r="V252" i="23"/>
  <c r="Q252" i="23"/>
  <c r="L253" i="23"/>
  <c r="AA253" i="23"/>
  <c r="G253" i="23"/>
  <c r="V253" i="23"/>
  <c r="Q253" i="23"/>
  <c r="L245" i="23"/>
  <c r="AA245" i="23"/>
  <c r="G245" i="23"/>
  <c r="V245" i="23"/>
  <c r="Q245" i="23"/>
  <c r="L256" i="23"/>
  <c r="AA256" i="23"/>
  <c r="G256" i="23"/>
  <c r="V256" i="23"/>
  <c r="Q256" i="23"/>
  <c r="L248" i="23"/>
  <c r="AA248" i="23"/>
  <c r="G248" i="23"/>
  <c r="V248" i="23"/>
  <c r="Q248" i="23"/>
  <c r="L244" i="23"/>
  <c r="AA244" i="23"/>
  <c r="G244" i="23"/>
  <c r="V244" i="23"/>
  <c r="Q244" i="23"/>
  <c r="L240" i="23"/>
  <c r="AA240" i="23"/>
  <c r="G240" i="23"/>
  <c r="V240" i="23"/>
  <c r="Q240" i="23"/>
  <c r="L255" i="23"/>
  <c r="AA255" i="23"/>
  <c r="G255" i="23"/>
  <c r="V255" i="23"/>
  <c r="Q255" i="23"/>
  <c r="L251" i="23"/>
  <c r="AA251" i="23"/>
  <c r="G251" i="23"/>
  <c r="V251" i="23"/>
  <c r="Q251" i="23"/>
  <c r="L247" i="23"/>
  <c r="AA247" i="23"/>
  <c r="G247" i="23"/>
  <c r="V247" i="23"/>
  <c r="Q247" i="23"/>
  <c r="L243" i="23"/>
  <c r="AA243" i="23"/>
  <c r="G243" i="23"/>
  <c r="V243" i="23"/>
  <c r="Q243" i="23"/>
  <c r="L239" i="23"/>
  <c r="AA239" i="23"/>
  <c r="G239" i="23"/>
  <c r="V239" i="23"/>
  <c r="Q239" i="23"/>
  <c r="L249" i="23"/>
  <c r="AA249" i="23"/>
  <c r="G249" i="23"/>
  <c r="V249" i="23"/>
  <c r="Q249" i="23"/>
  <c r="L241" i="23"/>
  <c r="AA241" i="23"/>
  <c r="G241" i="23"/>
  <c r="V241" i="23"/>
  <c r="Q241" i="23"/>
  <c r="L254" i="23"/>
  <c r="AA254" i="23"/>
  <c r="G254" i="23"/>
  <c r="V254" i="23"/>
  <c r="Q254" i="23"/>
  <c r="L250" i="23"/>
  <c r="AA250" i="23"/>
  <c r="G250" i="23"/>
  <c r="V250" i="23"/>
  <c r="Q250" i="23"/>
  <c r="L246" i="23"/>
  <c r="AA246" i="23"/>
  <c r="G246" i="23"/>
  <c r="V246" i="23"/>
  <c r="Q246" i="23"/>
  <c r="L242" i="23"/>
  <c r="AA242" i="23"/>
  <c r="G242" i="23"/>
  <c r="V242" i="23"/>
  <c r="Q242" i="23"/>
  <c r="L238" i="23"/>
  <c r="AA238" i="23"/>
  <c r="G238" i="23"/>
  <c r="V238" i="23"/>
  <c r="Q238" i="23"/>
  <c r="A90" i="11"/>
  <c r="F85" i="3"/>
  <c r="F87" i="3"/>
  <c r="AP65" i="23"/>
  <c r="AJ202" i="23" s="1"/>
  <c r="C84" i="3"/>
  <c r="E85" i="3"/>
  <c r="C85" i="3"/>
  <c r="E87" i="3"/>
  <c r="C87" i="3"/>
  <c r="E83" i="3"/>
  <c r="F83" i="3"/>
  <c r="E86" i="3"/>
  <c r="C86" i="3"/>
  <c r="F84" i="3"/>
  <c r="G84" i="3"/>
  <c r="D84" i="3"/>
  <c r="G85" i="3"/>
  <c r="D85" i="3"/>
  <c r="G87" i="3"/>
  <c r="D87" i="3"/>
  <c r="C83" i="3"/>
  <c r="D83" i="3"/>
  <c r="G86" i="3"/>
  <c r="D86" i="3"/>
  <c r="E84" i="3"/>
  <c r="F86" i="3"/>
  <c r="G83" i="3"/>
  <c r="I217" i="21"/>
  <c r="D90" i="21"/>
  <c r="J86" i="21"/>
  <c r="R78" i="21"/>
  <c r="O74" i="21"/>
  <c r="C81" i="24"/>
  <c r="F85" i="33"/>
  <c r="C87" i="24"/>
  <c r="F91" i="33"/>
  <c r="C89" i="24"/>
  <c r="F93" i="33"/>
  <c r="C91" i="24"/>
  <c r="F95" i="33"/>
  <c r="C93" i="24"/>
  <c r="F97" i="33"/>
  <c r="C78" i="24"/>
  <c r="F82" i="33"/>
  <c r="C95" i="24"/>
  <c r="F99" i="33"/>
  <c r="C84" i="24"/>
  <c r="F88" i="33"/>
  <c r="C92" i="24"/>
  <c r="F96" i="33"/>
  <c r="F89" i="21"/>
  <c r="F85" i="21"/>
  <c r="N81" i="21"/>
  <c r="R73" i="21"/>
  <c r="R88" i="21"/>
  <c r="G84" i="21"/>
  <c r="J80" i="21"/>
  <c r="G83" i="33"/>
  <c r="G87" i="33"/>
  <c r="G91" i="33"/>
  <c r="G95" i="33"/>
  <c r="G99" i="33"/>
  <c r="G86" i="33"/>
  <c r="G98" i="33"/>
  <c r="G84" i="33"/>
  <c r="G88" i="33"/>
  <c r="G92" i="33"/>
  <c r="G96" i="33"/>
  <c r="G80" i="33"/>
  <c r="G90" i="33"/>
  <c r="G81" i="33"/>
  <c r="G85" i="33"/>
  <c r="G89" i="33"/>
  <c r="G93" i="33"/>
  <c r="G97" i="33"/>
  <c r="G82" i="33"/>
  <c r="G94" i="33"/>
  <c r="C90" i="24"/>
  <c r="F94" i="33"/>
  <c r="O82" i="21"/>
  <c r="C85" i="24"/>
  <c r="F89" i="33"/>
  <c r="C82" i="24"/>
  <c r="F86" i="33"/>
  <c r="F91" i="21"/>
  <c r="I87" i="21"/>
  <c r="P83" i="21"/>
  <c r="F79" i="21"/>
  <c r="L75" i="21"/>
  <c r="C88" i="24"/>
  <c r="F92" i="33"/>
  <c r="C94" i="24"/>
  <c r="F98" i="33"/>
  <c r="C83" i="24"/>
  <c r="F87" i="33"/>
  <c r="C86" i="24"/>
  <c r="F90" i="33"/>
  <c r="C80" i="24"/>
  <c r="F84" i="33"/>
  <c r="A91" i="11"/>
  <c r="P303" i="21"/>
  <c r="J301" i="21"/>
  <c r="M301" i="21"/>
  <c r="N301" i="21" s="1"/>
  <c r="M185" i="21"/>
  <c r="V194" i="21"/>
  <c r="O192" i="21"/>
  <c r="P192" i="21"/>
  <c r="AK445" i="23" s="1"/>
  <c r="P193" i="21"/>
  <c r="AK446" i="23" s="1"/>
  <c r="O193" i="21"/>
  <c r="K194" i="21"/>
  <c r="U192" i="21"/>
  <c r="AD192" i="21" s="1"/>
  <c r="D185" i="21"/>
  <c r="E185" i="21"/>
  <c r="K215" i="21" s="1"/>
  <c r="U191" i="21"/>
  <c r="M191" i="21"/>
  <c r="P191" i="21" s="1"/>
  <c r="AK444" i="23" s="1"/>
  <c r="N191" i="21"/>
  <c r="U194" i="21"/>
  <c r="AD194" i="21" s="1"/>
  <c r="M194" i="21"/>
  <c r="L194" i="21"/>
  <c r="W193" i="21"/>
  <c r="J194" i="21"/>
  <c r="Z190" i="21"/>
  <c r="X190" i="21"/>
  <c r="AE190" i="21" s="1"/>
  <c r="R81" i="21"/>
  <c r="P90" i="21"/>
  <c r="O83" i="21"/>
  <c r="E72" i="21"/>
  <c r="J88" i="21"/>
  <c r="R82" i="21"/>
  <c r="U80" i="21"/>
  <c r="R74" i="21"/>
  <c r="R86" i="21"/>
  <c r="J74" i="21"/>
  <c r="Q87" i="21"/>
  <c r="M86" i="21"/>
  <c r="AF252" i="23" s="1"/>
  <c r="E80" i="21"/>
  <c r="G74" i="21"/>
  <c r="R72" i="21"/>
  <c r="U86" i="21"/>
  <c r="E86" i="21"/>
  <c r="R79" i="21"/>
  <c r="U90" i="21"/>
  <c r="N90" i="21"/>
  <c r="H90" i="21"/>
  <c r="U85" i="21"/>
  <c r="M85" i="21"/>
  <c r="AF251" i="23" s="1"/>
  <c r="N84" i="21"/>
  <c r="M80" i="21"/>
  <c r="AF246" i="23" s="1"/>
  <c r="P79" i="21"/>
  <c r="P72" i="21"/>
  <c r="K72" i="21"/>
  <c r="AK238" i="23" s="1"/>
  <c r="F72" i="21"/>
  <c r="O85" i="21"/>
  <c r="O84" i="21"/>
  <c r="L72" i="21"/>
  <c r="G72" i="21"/>
  <c r="M90" i="21"/>
  <c r="AF256" i="23" s="1"/>
  <c r="P89" i="21"/>
  <c r="T85" i="21"/>
  <c r="B251" i="23" s="1"/>
  <c r="J72" i="21"/>
  <c r="I90" i="21"/>
  <c r="T90" i="21"/>
  <c r="B256" i="23" s="1"/>
  <c r="E90" i="21"/>
  <c r="H85" i="21"/>
  <c r="H84" i="21"/>
  <c r="T72" i="21"/>
  <c r="B238" i="23" s="1"/>
  <c r="O72" i="21"/>
  <c r="D72" i="21"/>
  <c r="R90" i="21"/>
  <c r="J90" i="21"/>
  <c r="J89" i="21"/>
  <c r="P85" i="21"/>
  <c r="R84" i="21"/>
  <c r="S72" i="21"/>
  <c r="E101" i="21" s="1"/>
  <c r="H268" i="23" s="1"/>
  <c r="N72" i="21"/>
  <c r="H72" i="21"/>
  <c r="C72" i="21"/>
  <c r="G76" i="21"/>
  <c r="J76" i="21"/>
  <c r="N87" i="21"/>
  <c r="C84" i="21"/>
  <c r="L84" i="21"/>
  <c r="S84" i="21"/>
  <c r="K79" i="21"/>
  <c r="AK245" i="23" s="1"/>
  <c r="C78" i="21"/>
  <c r="K78" i="21"/>
  <c r="AK244" i="23" s="1"/>
  <c r="L86" i="21"/>
  <c r="T84" i="21"/>
  <c r="B250" i="23" s="1"/>
  <c r="J84" i="21"/>
  <c r="R80" i="21"/>
  <c r="P75" i="21"/>
  <c r="E87" i="21"/>
  <c r="J87" i="21"/>
  <c r="R87" i="21"/>
  <c r="F87" i="21"/>
  <c r="C79" i="21"/>
  <c r="H79" i="21"/>
  <c r="S79" i="21"/>
  <c r="R76" i="21"/>
  <c r="F75" i="21"/>
  <c r="C80" i="21"/>
  <c r="G80" i="21"/>
  <c r="K80" i="21"/>
  <c r="AK246" i="23" s="1"/>
  <c r="O80" i="21"/>
  <c r="S80" i="21"/>
  <c r="D80" i="21"/>
  <c r="H80" i="21"/>
  <c r="L80" i="21"/>
  <c r="P80" i="21"/>
  <c r="T80" i="21"/>
  <c r="B246" i="23" s="1"/>
  <c r="E75" i="21"/>
  <c r="C75" i="21"/>
  <c r="H75" i="21"/>
  <c r="N75" i="21"/>
  <c r="S75" i="21"/>
  <c r="D75" i="21"/>
  <c r="J75" i="21"/>
  <c r="O75" i="21"/>
  <c r="T75" i="21"/>
  <c r="B241" i="23" s="1"/>
  <c r="F73" i="21"/>
  <c r="J73" i="21"/>
  <c r="N73" i="21"/>
  <c r="T89" i="21"/>
  <c r="B255" i="23" s="1"/>
  <c r="L89" i="21"/>
  <c r="D85" i="21"/>
  <c r="E85" i="21"/>
  <c r="L85" i="21"/>
  <c r="Q85" i="21"/>
  <c r="Q80" i="21"/>
  <c r="I80" i="21"/>
  <c r="E89" i="21"/>
  <c r="C89" i="21"/>
  <c r="H89" i="21"/>
  <c r="N89" i="21"/>
  <c r="S89" i="21"/>
  <c r="I66" i="21"/>
  <c r="E71" i="21"/>
  <c r="F71" i="21" s="1"/>
  <c r="G71" i="21" s="1"/>
  <c r="H71" i="21" s="1"/>
  <c r="I71" i="21" s="1"/>
  <c r="J71" i="21" s="1"/>
  <c r="O89" i="21"/>
  <c r="G89" i="21"/>
  <c r="D83" i="21"/>
  <c r="G83" i="21"/>
  <c r="J83" i="21"/>
  <c r="K75" i="21"/>
  <c r="AK241" i="23" s="1"/>
  <c r="C90" i="21"/>
  <c r="F90" i="21"/>
  <c r="L90" i="21"/>
  <c r="Q90" i="21"/>
  <c r="R89" i="21"/>
  <c r="K89" i="21"/>
  <c r="AK255" i="23" s="1"/>
  <c r="D89" i="21"/>
  <c r="F86" i="21"/>
  <c r="Q86" i="21"/>
  <c r="S85" i="21"/>
  <c r="J85" i="21"/>
  <c r="D84" i="21"/>
  <c r="F84" i="21"/>
  <c r="K84" i="21"/>
  <c r="AK250" i="23" s="1"/>
  <c r="P84" i="21"/>
  <c r="N80" i="21"/>
  <c r="F80" i="21"/>
  <c r="R75" i="21"/>
  <c r="G75" i="21"/>
  <c r="D74" i="21"/>
  <c r="C74" i="21"/>
  <c r="K74" i="21"/>
  <c r="AK240" i="23" s="1"/>
  <c r="S74" i="21"/>
  <c r="F74" i="21"/>
  <c r="N74" i="21"/>
  <c r="L79" i="21"/>
  <c r="E79" i="21"/>
  <c r="D79" i="21"/>
  <c r="J79" i="21"/>
  <c r="O79" i="21"/>
  <c r="T79" i="21"/>
  <c r="B245" i="23" s="1"/>
  <c r="J78" i="21"/>
  <c r="O76" i="21"/>
  <c r="E81" i="21"/>
  <c r="F81" i="21"/>
  <c r="Q81" i="21"/>
  <c r="D76" i="21"/>
  <c r="H76" i="21"/>
  <c r="L76" i="21"/>
  <c r="P76" i="21"/>
  <c r="T76" i="21"/>
  <c r="B242" i="23" s="1"/>
  <c r="E76" i="21"/>
  <c r="I76" i="21"/>
  <c r="M76" i="21"/>
  <c r="AF242" i="23" s="1"/>
  <c r="Q76" i="21"/>
  <c r="U76" i="21"/>
  <c r="C86" i="21"/>
  <c r="D86" i="21"/>
  <c r="I86" i="21"/>
  <c r="N86" i="21"/>
  <c r="T86" i="21"/>
  <c r="B252" i="23" s="1"/>
  <c r="T83" i="21"/>
  <c r="B249" i="23" s="1"/>
  <c r="L83" i="21"/>
  <c r="F83" i="21"/>
  <c r="U89" i="21"/>
  <c r="Q89" i="21"/>
  <c r="M89" i="21"/>
  <c r="AF255" i="23" s="1"/>
  <c r="I89" i="21"/>
  <c r="P86" i="21"/>
  <c r="H86" i="21"/>
  <c r="E84" i="21"/>
  <c r="I84" i="21"/>
  <c r="M84" i="21"/>
  <c r="AF250" i="23" s="1"/>
  <c r="Q84" i="21"/>
  <c r="U84" i="21"/>
  <c r="R83" i="21"/>
  <c r="K83" i="21"/>
  <c r="AK249" i="23" s="1"/>
  <c r="G82" i="21"/>
  <c r="J82" i="21"/>
  <c r="J81" i="21"/>
  <c r="N79" i="21"/>
  <c r="G79" i="21"/>
  <c r="S78" i="21"/>
  <c r="N76" i="21"/>
  <c r="F76" i="21"/>
  <c r="E83" i="21"/>
  <c r="C83" i="21"/>
  <c r="H83" i="21"/>
  <c r="N83" i="21"/>
  <c r="S83" i="21"/>
  <c r="I81" i="21"/>
  <c r="D78" i="21"/>
  <c r="F78" i="21"/>
  <c r="N78" i="21"/>
  <c r="G78" i="21"/>
  <c r="O78" i="21"/>
  <c r="S76" i="21"/>
  <c r="K76" i="21"/>
  <c r="AK242" i="23" s="1"/>
  <c r="C76" i="21"/>
  <c r="U72" i="21"/>
  <c r="Q72" i="21"/>
  <c r="E99" i="21" s="1"/>
  <c r="H266" i="23" s="1"/>
  <c r="M72" i="21"/>
  <c r="AF238" i="23" s="1"/>
  <c r="I72" i="21"/>
  <c r="R91" i="21"/>
  <c r="J91" i="21"/>
  <c r="D88" i="21"/>
  <c r="H88" i="21"/>
  <c r="L88" i="21"/>
  <c r="P88" i="21"/>
  <c r="T88" i="21"/>
  <c r="B254" i="23" s="1"/>
  <c r="E88" i="21"/>
  <c r="I88" i="21"/>
  <c r="M88" i="21"/>
  <c r="AF254" i="23" s="1"/>
  <c r="Q88" i="21"/>
  <c r="U88" i="21"/>
  <c r="C77" i="21"/>
  <c r="G77" i="21"/>
  <c r="K77" i="21"/>
  <c r="AK243" i="23" s="1"/>
  <c r="O77" i="21"/>
  <c r="S77" i="21"/>
  <c r="D77" i="21"/>
  <c r="H77" i="21"/>
  <c r="L77" i="21"/>
  <c r="P77" i="21"/>
  <c r="T77" i="21"/>
  <c r="B243" i="23" s="1"/>
  <c r="E77" i="21"/>
  <c r="I77" i="21"/>
  <c r="M77" i="21"/>
  <c r="AF243" i="23" s="1"/>
  <c r="Q77" i="21"/>
  <c r="U77" i="21"/>
  <c r="F77" i="21"/>
  <c r="J77" i="21"/>
  <c r="Q91" i="21"/>
  <c r="I91" i="21"/>
  <c r="O88" i="21"/>
  <c r="G88" i="21"/>
  <c r="O98" i="21"/>
  <c r="Q98" i="21" s="1"/>
  <c r="N91" i="21"/>
  <c r="N88" i="21"/>
  <c r="F88" i="21"/>
  <c r="U87" i="21"/>
  <c r="M87" i="21"/>
  <c r="AF253" i="23" s="1"/>
  <c r="R77" i="21"/>
  <c r="C91" i="21"/>
  <c r="G91" i="21"/>
  <c r="K91" i="21"/>
  <c r="AK257" i="23" s="1"/>
  <c r="O91" i="21"/>
  <c r="S91" i="21"/>
  <c r="D91" i="21"/>
  <c r="H91" i="21"/>
  <c r="L91" i="21"/>
  <c r="P91" i="21"/>
  <c r="T91" i="21"/>
  <c r="B257" i="23" s="1"/>
  <c r="U91" i="21"/>
  <c r="M91" i="21"/>
  <c r="AF257" i="23" s="1"/>
  <c r="E91" i="21"/>
  <c r="S88" i="21"/>
  <c r="K88" i="21"/>
  <c r="AK254" i="23" s="1"/>
  <c r="C88" i="21"/>
  <c r="C87" i="21"/>
  <c r="G87" i="21"/>
  <c r="K87" i="21"/>
  <c r="AK253" i="23" s="1"/>
  <c r="O87" i="21"/>
  <c r="S87" i="21"/>
  <c r="D87" i="21"/>
  <c r="H87" i="21"/>
  <c r="L87" i="21"/>
  <c r="P87" i="21"/>
  <c r="T87" i="21"/>
  <c r="B253" i="23" s="1"/>
  <c r="D82" i="21"/>
  <c r="H82" i="21"/>
  <c r="L82" i="21"/>
  <c r="P82" i="21"/>
  <c r="T82" i="21"/>
  <c r="B248" i="23" s="1"/>
  <c r="E82" i="21"/>
  <c r="I82" i="21"/>
  <c r="M82" i="21"/>
  <c r="AF248" i="23" s="1"/>
  <c r="Q82" i="21"/>
  <c r="U82" i="21"/>
  <c r="C82" i="21"/>
  <c r="K82" i="21"/>
  <c r="AK248" i="23" s="1"/>
  <c r="S82" i="21"/>
  <c r="F82" i="21"/>
  <c r="N82" i="21"/>
  <c r="N77" i="21"/>
  <c r="S90" i="21"/>
  <c r="O90" i="21"/>
  <c r="K90" i="21"/>
  <c r="AK256" i="23" s="1"/>
  <c r="G90" i="21"/>
  <c r="S86" i="21"/>
  <c r="O86" i="21"/>
  <c r="K86" i="21"/>
  <c r="AK252" i="23" s="1"/>
  <c r="G86" i="21"/>
  <c r="R85" i="21"/>
  <c r="N85" i="21"/>
  <c r="I85" i="21"/>
  <c r="U81" i="21"/>
  <c r="M81" i="21"/>
  <c r="AF247" i="23" s="1"/>
  <c r="C85" i="21"/>
  <c r="G85" i="21"/>
  <c r="K85" i="21"/>
  <c r="AK251" i="23" s="1"/>
  <c r="C81" i="21"/>
  <c r="G81" i="21"/>
  <c r="K81" i="21"/>
  <c r="AK247" i="23" s="1"/>
  <c r="O81" i="21"/>
  <c r="S81" i="21"/>
  <c r="D81" i="21"/>
  <c r="H81" i="21"/>
  <c r="L81" i="21"/>
  <c r="P81" i="21"/>
  <c r="T81" i="21"/>
  <c r="B247" i="23" s="1"/>
  <c r="C73" i="21"/>
  <c r="G73" i="21"/>
  <c r="K73" i="21"/>
  <c r="AK239" i="23" s="1"/>
  <c r="O73" i="21"/>
  <c r="S73" i="21"/>
  <c r="D73" i="21"/>
  <c r="H73" i="21"/>
  <c r="L73" i="21"/>
  <c r="P73" i="21"/>
  <c r="T73" i="21"/>
  <c r="B239" i="23" s="1"/>
  <c r="E73" i="21"/>
  <c r="I73" i="21"/>
  <c r="M73" i="21"/>
  <c r="AF239" i="23" s="1"/>
  <c r="Q73" i="21"/>
  <c r="U73" i="21"/>
  <c r="U78" i="21"/>
  <c r="Q78" i="21"/>
  <c r="M78" i="21"/>
  <c r="AF244" i="23" s="1"/>
  <c r="I78" i="21"/>
  <c r="E78" i="21"/>
  <c r="U74" i="21"/>
  <c r="Q74" i="21"/>
  <c r="M74" i="21"/>
  <c r="AF240" i="23" s="1"/>
  <c r="I74" i="21"/>
  <c r="E74" i="21"/>
  <c r="U83" i="21"/>
  <c r="Q83" i="21"/>
  <c r="M83" i="21"/>
  <c r="AF249" i="23" s="1"/>
  <c r="I83" i="21"/>
  <c r="U79" i="21"/>
  <c r="Q79" i="21"/>
  <c r="M79" i="21"/>
  <c r="AF245" i="23" s="1"/>
  <c r="I79" i="21"/>
  <c r="T78" i="21"/>
  <c r="B244" i="23" s="1"/>
  <c r="P78" i="21"/>
  <c r="L78" i="21"/>
  <c r="H78" i="21"/>
  <c r="U75" i="21"/>
  <c r="Q75" i="21"/>
  <c r="M75" i="21"/>
  <c r="AF241" i="23" s="1"/>
  <c r="I75" i="21"/>
  <c r="T74" i="21"/>
  <c r="B240" i="23" s="1"/>
  <c r="P74" i="21"/>
  <c r="L74" i="21"/>
  <c r="H74" i="21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Q58" i="33" l="1"/>
  <c r="C67" i="24"/>
  <c r="AG265" i="23"/>
  <c r="S98" i="21"/>
  <c r="H232" i="23"/>
  <c r="O265" i="23"/>
  <c r="T98" i="21"/>
  <c r="AP265" i="23" s="1"/>
  <c r="AC277" i="23" s="1"/>
  <c r="O267" i="23"/>
  <c r="L217" i="21"/>
  <c r="O473" i="23" s="1"/>
  <c r="AD191" i="21"/>
  <c r="F80" i="33" s="1"/>
  <c r="K185" i="21"/>
  <c r="O100" i="21"/>
  <c r="Q100" i="21" s="1"/>
  <c r="M66" i="21"/>
  <c r="N66" i="21" s="1"/>
  <c r="C79" i="24"/>
  <c r="F83" i="33"/>
  <c r="C77" i="24"/>
  <c r="F81" i="33"/>
  <c r="H215" i="21"/>
  <c r="AL482" i="23" s="1"/>
  <c r="AI481" i="23" s="1"/>
  <c r="G215" i="21"/>
  <c r="AE482" i="23" s="1"/>
  <c r="H218" i="21"/>
  <c r="O520" i="23" s="1"/>
  <c r="O484" i="23"/>
  <c r="P194" i="21"/>
  <c r="AK447" i="23" s="1"/>
  <c r="Q495" i="23" s="1"/>
  <c r="R496" i="23" s="1"/>
  <c r="W496" i="23" s="1"/>
  <c r="O501" i="23" s="1"/>
  <c r="U501" i="23" s="1"/>
  <c r="O194" i="21"/>
  <c r="L185" i="21"/>
  <c r="V192" i="21"/>
  <c r="W194" i="21"/>
  <c r="AG190" i="21"/>
  <c r="O191" i="21"/>
  <c r="V191" i="21"/>
  <c r="A40" i="11"/>
  <c r="A41" i="11" s="1"/>
  <c r="A35" i="33"/>
  <c r="A56" i="33"/>
  <c r="A78" i="33"/>
  <c r="A57" i="33"/>
  <c r="O66" i="21"/>
  <c r="I109" i="21" s="1"/>
  <c r="I97" i="21"/>
  <c r="J66" i="21"/>
  <c r="K66" i="21"/>
  <c r="D66" i="21"/>
  <c r="E66" i="21"/>
  <c r="L109" i="21" l="1"/>
  <c r="Q109" i="21" s="1"/>
  <c r="H104" i="21"/>
  <c r="W103" i="21"/>
  <c r="Z78" i="21"/>
  <c r="Y90" i="21"/>
  <c r="Z85" i="21"/>
  <c r="Z77" i="21"/>
  <c r="Y89" i="21"/>
  <c r="AG267" i="23"/>
  <c r="S100" i="21"/>
  <c r="T100" i="21"/>
  <c r="AP267" i="23" s="1"/>
  <c r="H278" i="23" s="1"/>
  <c r="Y72" i="21"/>
  <c r="Z84" i="21"/>
  <c r="Z76" i="21"/>
  <c r="Y88" i="21"/>
  <c r="Y80" i="21"/>
  <c r="Z91" i="21"/>
  <c r="Z83" i="21"/>
  <c r="Z75" i="21"/>
  <c r="Y87" i="21"/>
  <c r="Y79" i="21"/>
  <c r="Z90" i="21"/>
  <c r="Z82" i="21"/>
  <c r="Z74" i="21"/>
  <c r="Y86" i="21"/>
  <c r="Y78" i="21"/>
  <c r="Z89" i="21"/>
  <c r="Z81" i="21"/>
  <c r="Z73" i="21"/>
  <c r="Y85" i="21"/>
  <c r="Y77" i="21"/>
  <c r="W98" i="21"/>
  <c r="V285" i="23" s="1"/>
  <c r="Z88" i="21"/>
  <c r="Z80" i="21"/>
  <c r="Z72" i="21"/>
  <c r="Y84" i="21"/>
  <c r="Y76" i="21"/>
  <c r="Z87" i="21"/>
  <c r="Z79" i="21"/>
  <c r="Y91" i="21"/>
  <c r="Y83" i="21"/>
  <c r="P217" i="21"/>
  <c r="AP473" i="23" s="1"/>
  <c r="R549" i="23" s="1"/>
  <c r="C76" i="24"/>
  <c r="K104" i="21"/>
  <c r="U520" i="23"/>
  <c r="O523" i="23" s="1"/>
  <c r="T523" i="23" s="1"/>
  <c r="O528" i="23" s="1"/>
  <c r="U528" i="23" s="1"/>
  <c r="C518" i="23"/>
  <c r="AR482" i="23"/>
  <c r="O483" i="23" s="1"/>
  <c r="T483" i="23" s="1"/>
  <c r="T481" i="23"/>
  <c r="J216" i="21"/>
  <c r="A42" i="11"/>
  <c r="A43" i="11" s="1"/>
  <c r="A64" i="11" s="1"/>
  <c r="H97" i="21"/>
  <c r="H102" i="21"/>
  <c r="I215" i="21"/>
  <c r="L215" i="21" s="1"/>
  <c r="O185" i="21"/>
  <c r="C225" i="21" s="1"/>
  <c r="Q185" i="21"/>
  <c r="E225" i="21" s="1"/>
  <c r="P185" i="21"/>
  <c r="J82" i="3" s="1"/>
  <c r="K82" i="3" s="1"/>
  <c r="L82" i="3" s="1"/>
  <c r="M82" i="3" s="1"/>
  <c r="N82" i="3" s="1"/>
  <c r="W191" i="21"/>
  <c r="E215" i="21"/>
  <c r="H471" i="23" s="1"/>
  <c r="H480" i="23" s="1"/>
  <c r="E216" i="21"/>
  <c r="H472" i="23" s="1"/>
  <c r="H494" i="23" s="1"/>
  <c r="AH190" i="21"/>
  <c r="AJ190" i="21"/>
  <c r="W192" i="21"/>
  <c r="I216" i="21"/>
  <c r="I218" i="21"/>
  <c r="H219" i="21"/>
  <c r="P535" i="23" s="1"/>
  <c r="V535" i="23" s="1"/>
  <c r="O538" i="23" s="1"/>
  <c r="T538" i="23" s="1"/>
  <c r="O543" i="23" s="1"/>
  <c r="U543" i="23" s="1"/>
  <c r="R115" i="21"/>
  <c r="P66" i="21"/>
  <c r="C110" i="21" s="1"/>
  <c r="L66" i="21"/>
  <c r="Q66" i="21"/>
  <c r="D110" i="21" s="1"/>
  <c r="E98" i="21"/>
  <c r="H265" i="23" s="1"/>
  <c r="E100" i="21"/>
  <c r="H267" i="23" s="1"/>
  <c r="E109" i="21"/>
  <c r="E110" i="21"/>
  <c r="E97" i="21"/>
  <c r="H264" i="23" s="1"/>
  <c r="R66" i="21"/>
  <c r="F110" i="21" s="1"/>
  <c r="E96" i="21"/>
  <c r="H263" i="23" s="1"/>
  <c r="H96" i="21"/>
  <c r="I96" i="21"/>
  <c r="J96" i="21"/>
  <c r="G96" i="21"/>
  <c r="A53" i="30"/>
  <c r="A54" i="30" s="1"/>
  <c r="A55" i="30" s="1"/>
  <c r="A56" i="30" s="1"/>
  <c r="A29" i="30"/>
  <c r="A30" i="30" s="1"/>
  <c r="A31" i="30" s="1"/>
  <c r="A32" i="30" s="1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B76" i="3"/>
  <c r="C76" i="3"/>
  <c r="D76" i="3"/>
  <c r="C82" i="3" s="1"/>
  <c r="D82" i="3" s="1"/>
  <c r="E82" i="3" s="1"/>
  <c r="F82" i="3" s="1"/>
  <c r="G82" i="3" s="1"/>
  <c r="C80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J8" i="3"/>
  <c r="K8" i="3"/>
  <c r="L8" i="3"/>
  <c r="J14" i="3" s="1"/>
  <c r="K14" i="3" s="1"/>
  <c r="L14" i="3" s="1"/>
  <c r="M14" i="3" s="1"/>
  <c r="N14" i="3" s="1"/>
  <c r="O14" i="3" s="1"/>
  <c r="K12" i="3"/>
  <c r="J15" i="3"/>
  <c r="K15" i="3"/>
  <c r="L15" i="3"/>
  <c r="M15" i="3"/>
  <c r="N15" i="3"/>
  <c r="O15" i="3"/>
  <c r="J16" i="3"/>
  <c r="K16" i="3"/>
  <c r="L16" i="3"/>
  <c r="M16" i="3"/>
  <c r="N16" i="3"/>
  <c r="O16" i="3"/>
  <c r="J17" i="3"/>
  <c r="K17" i="3"/>
  <c r="L17" i="3"/>
  <c r="M17" i="3"/>
  <c r="N17" i="3"/>
  <c r="O17" i="3"/>
  <c r="J18" i="3"/>
  <c r="K18" i="3"/>
  <c r="L18" i="3"/>
  <c r="M18" i="3"/>
  <c r="N18" i="3"/>
  <c r="O18" i="3"/>
  <c r="J19" i="3"/>
  <c r="K19" i="3"/>
  <c r="L19" i="3"/>
  <c r="M19" i="3"/>
  <c r="N19" i="3"/>
  <c r="O19" i="3"/>
  <c r="J20" i="3"/>
  <c r="K20" i="3"/>
  <c r="L20" i="3"/>
  <c r="M20" i="3"/>
  <c r="N20" i="3"/>
  <c r="O20" i="3"/>
  <c r="J21" i="3"/>
  <c r="K21" i="3"/>
  <c r="L21" i="3"/>
  <c r="M21" i="3"/>
  <c r="N21" i="3"/>
  <c r="O21" i="3"/>
  <c r="J22" i="3"/>
  <c r="K22" i="3"/>
  <c r="L22" i="3"/>
  <c r="M22" i="3"/>
  <c r="N22" i="3"/>
  <c r="O22" i="3"/>
  <c r="J23" i="3"/>
  <c r="K23" i="3"/>
  <c r="L23" i="3"/>
  <c r="M23" i="3"/>
  <c r="N23" i="3"/>
  <c r="O23" i="3"/>
  <c r="J24" i="3"/>
  <c r="K24" i="3"/>
  <c r="L24" i="3"/>
  <c r="M24" i="3"/>
  <c r="N24" i="3"/>
  <c r="O24" i="3"/>
  <c r="J25" i="3"/>
  <c r="K25" i="3"/>
  <c r="L25" i="3"/>
  <c r="M25" i="3"/>
  <c r="N25" i="3"/>
  <c r="O25" i="3"/>
  <c r="J26" i="3"/>
  <c r="K26" i="3"/>
  <c r="L26" i="3"/>
  <c r="M26" i="3"/>
  <c r="N26" i="3"/>
  <c r="O26" i="3"/>
  <c r="J27" i="3"/>
  <c r="K27" i="3"/>
  <c r="L27" i="3"/>
  <c r="M27" i="3"/>
  <c r="N27" i="3"/>
  <c r="O27" i="3"/>
  <c r="J28" i="3"/>
  <c r="K28" i="3"/>
  <c r="L28" i="3"/>
  <c r="M28" i="3"/>
  <c r="N28" i="3"/>
  <c r="O28" i="3"/>
  <c r="J29" i="3"/>
  <c r="K29" i="3"/>
  <c r="L29" i="3"/>
  <c r="M29" i="3"/>
  <c r="N29" i="3"/>
  <c r="O29" i="3"/>
  <c r="J30" i="3"/>
  <c r="K30" i="3"/>
  <c r="L30" i="3"/>
  <c r="M30" i="3"/>
  <c r="N30" i="3"/>
  <c r="O30" i="3"/>
  <c r="J31" i="3"/>
  <c r="K31" i="3"/>
  <c r="L31" i="3"/>
  <c r="M31" i="3"/>
  <c r="N31" i="3"/>
  <c r="O31" i="3"/>
  <c r="J32" i="3"/>
  <c r="K32" i="3"/>
  <c r="L32" i="3"/>
  <c r="M32" i="3"/>
  <c r="N32" i="3"/>
  <c r="O32" i="3"/>
  <c r="J33" i="3"/>
  <c r="K33" i="3"/>
  <c r="L33" i="3"/>
  <c r="M33" i="3"/>
  <c r="N33" i="3"/>
  <c r="O33" i="3"/>
  <c r="J34" i="3"/>
  <c r="K34" i="3"/>
  <c r="L34" i="3"/>
  <c r="M34" i="3"/>
  <c r="N34" i="3"/>
  <c r="O34" i="3"/>
  <c r="Y73" i="21" l="1"/>
  <c r="Y82" i="21"/>
  <c r="L216" i="21"/>
  <c r="S217" i="21"/>
  <c r="U217" i="21" s="1"/>
  <c r="W100" i="21"/>
  <c r="Y81" i="21"/>
  <c r="Y74" i="21"/>
  <c r="Z86" i="21"/>
  <c r="Y75" i="21"/>
  <c r="V556" i="23"/>
  <c r="O271" i="23"/>
  <c r="S104" i="21"/>
  <c r="W104" i="21" s="1"/>
  <c r="AU285" i="23"/>
  <c r="X103" i="21"/>
  <c r="Y103" i="21"/>
  <c r="O471" i="23"/>
  <c r="L218" i="21"/>
  <c r="O474" i="23" s="1"/>
  <c r="K97" i="21"/>
  <c r="K102" i="21"/>
  <c r="AP271" i="23"/>
  <c r="AR278" i="23" s="1"/>
  <c r="AF285" i="23"/>
  <c r="O472" i="23"/>
  <c r="O101" i="21"/>
  <c r="Q101" i="21" s="1"/>
  <c r="O99" i="21"/>
  <c r="Q99" i="21" s="1"/>
  <c r="I219" i="21"/>
  <c r="A69" i="24"/>
  <c r="F225" i="21"/>
  <c r="G225" i="21" s="1"/>
  <c r="E220" i="21"/>
  <c r="H476" i="23" s="1"/>
  <c r="E105" i="21"/>
  <c r="H272" i="23" s="1"/>
  <c r="K96" i="21"/>
  <c r="O263" i="23" s="1"/>
  <c r="G110" i="21"/>
  <c r="X98" i="21"/>
  <c r="Y98" i="21"/>
  <c r="L96" i="21"/>
  <c r="T263" i="23" s="1"/>
  <c r="O264" i="23" l="1"/>
  <c r="S97" i="21"/>
  <c r="W97" i="21" s="1"/>
  <c r="O269" i="23"/>
  <c r="S102" i="21"/>
  <c r="W102" i="21" s="1"/>
  <c r="S101" i="21"/>
  <c r="T101" i="21"/>
  <c r="W101" i="21" s="1"/>
  <c r="AG266" i="23"/>
  <c r="S99" i="21"/>
  <c r="T99" i="21"/>
  <c r="W99" i="21" s="1"/>
  <c r="P215" i="21"/>
  <c r="P220" i="21" s="1"/>
  <c r="S220" i="21" s="1"/>
  <c r="P218" i="21"/>
  <c r="AP474" i="23" s="1"/>
  <c r="L219" i="21"/>
  <c r="O475" i="23" s="1"/>
  <c r="AG268" i="23"/>
  <c r="X100" i="21"/>
  <c r="AP264" i="23"/>
  <c r="V277" i="23" s="1"/>
  <c r="AP269" i="23"/>
  <c r="AB278" i="23" s="1"/>
  <c r="Y100" i="21"/>
  <c r="AZ285" i="23"/>
  <c r="P216" i="21"/>
  <c r="T96" i="21"/>
  <c r="AU263" i="23" s="1"/>
  <c r="M277" i="23" s="1"/>
  <c r="S96" i="21"/>
  <c r="AP263" i="23" s="1"/>
  <c r="F277" i="23" s="1"/>
  <c r="C69" i="24"/>
  <c r="D64" i="11"/>
  <c r="H37" i="30"/>
  <c r="H38" i="30"/>
  <c r="L51" i="33"/>
  <c r="L39" i="33"/>
  <c r="H34" i="30"/>
  <c r="L52" i="33"/>
  <c r="L36" i="33" l="1"/>
  <c r="AE71" i="21"/>
  <c r="AP268" i="23"/>
  <c r="R278" i="23" s="1"/>
  <c r="AP266" i="23"/>
  <c r="AM277" i="23" s="1"/>
  <c r="AA285" i="23"/>
  <c r="AP471" i="23"/>
  <c r="L556" i="23" s="1"/>
  <c r="S215" i="21"/>
  <c r="V215" i="21" s="1"/>
  <c r="V220" i="21" s="1"/>
  <c r="S218" i="21"/>
  <c r="U218" i="21" s="1"/>
  <c r="C231" i="21" s="1"/>
  <c r="F231" i="21" s="1"/>
  <c r="F233" i="21" s="1"/>
  <c r="P219" i="21"/>
  <c r="AP475" i="23" s="1"/>
  <c r="AF556" i="23" s="1"/>
  <c r="T218" i="21"/>
  <c r="Q285" i="23"/>
  <c r="Y104" i="21"/>
  <c r="AP285" i="23"/>
  <c r="AP472" i="23"/>
  <c r="S216" i="21"/>
  <c r="V216" i="21" s="1"/>
  <c r="T216" i="21"/>
  <c r="T105" i="21"/>
  <c r="AA556" i="23"/>
  <c r="X549" i="23"/>
  <c r="M570" i="23"/>
  <c r="AP476" i="23"/>
  <c r="W96" i="21"/>
  <c r="Z97" i="21"/>
  <c r="S105" i="21"/>
  <c r="AP272" i="23" s="1"/>
  <c r="F279" i="23" s="1"/>
  <c r="F281" i="23" s="1"/>
  <c r="M289" i="23" s="1"/>
  <c r="AK285" i="23"/>
  <c r="E64" i="11"/>
  <c r="H49" i="30"/>
  <c r="H36" i="30"/>
  <c r="L40" i="33"/>
  <c r="H48" i="30"/>
  <c r="L37" i="33"/>
  <c r="H33" i="30"/>
  <c r="L41" i="33"/>
  <c r="L47" i="33"/>
  <c r="H44" i="30"/>
  <c r="L42" i="33"/>
  <c r="H39" i="30"/>
  <c r="L49" i="33"/>
  <c r="H46" i="30"/>
  <c r="L43" i="33"/>
  <c r="H40" i="30"/>
  <c r="L38" i="33"/>
  <c r="H35" i="30"/>
  <c r="L48" i="33"/>
  <c r="H45" i="30"/>
  <c r="L54" i="33"/>
  <c r="H51" i="30"/>
  <c r="L50" i="33"/>
  <c r="H47" i="30"/>
  <c r="L55" i="33"/>
  <c r="H52" i="30"/>
  <c r="L44" i="33"/>
  <c r="H41" i="30"/>
  <c r="L53" i="33"/>
  <c r="H50" i="30"/>
  <c r="L45" i="33"/>
  <c r="H42" i="30"/>
  <c r="L46" i="33"/>
  <c r="H43" i="30"/>
  <c r="L285" i="23" l="1"/>
  <c r="W105" i="21"/>
  <c r="L284" i="23" s="1"/>
  <c r="Y102" i="21"/>
  <c r="F549" i="23"/>
  <c r="O488" i="23"/>
  <c r="U488" i="23" s="1"/>
  <c r="T219" i="21"/>
  <c r="S219" i="21"/>
  <c r="U219" i="21" s="1"/>
  <c r="AD549" i="23"/>
  <c r="C234" i="21"/>
  <c r="T220" i="21"/>
  <c r="R220" i="21" s="1"/>
  <c r="BC476" i="23" s="1"/>
  <c r="AK555" i="23" s="1"/>
  <c r="U220" i="21"/>
  <c r="E229" i="21" s="1"/>
  <c r="C230" i="21"/>
  <c r="E231" i="21" s="1"/>
  <c r="E233" i="21" s="1"/>
  <c r="C232" i="21"/>
  <c r="C233" i="21"/>
  <c r="F229" i="21"/>
  <c r="Z96" i="21"/>
  <c r="Z105" i="21" s="1"/>
  <c r="F114" i="21" s="1"/>
  <c r="X97" i="21"/>
  <c r="AU272" i="23"/>
  <c r="M279" i="23" s="1"/>
  <c r="K281" i="23" s="1"/>
  <c r="R289" i="23" s="1"/>
  <c r="Q556" i="23"/>
  <c r="L549" i="23"/>
  <c r="L555" i="23"/>
  <c r="F550" i="23"/>
  <c r="F552" i="23" s="1"/>
  <c r="Y99" i="21"/>
  <c r="X99" i="21"/>
  <c r="Y101" i="21"/>
  <c r="X101" i="21"/>
  <c r="G229" i="21" l="1"/>
  <c r="G233" i="21"/>
  <c r="E230" i="21"/>
  <c r="G230" i="21" s="1"/>
  <c r="X105" i="21"/>
  <c r="V105" i="21" s="1"/>
  <c r="BC272" i="23" s="1"/>
  <c r="BE284" i="23" s="1"/>
  <c r="C123" i="21"/>
  <c r="C119" i="21"/>
  <c r="C117" i="21"/>
  <c r="C121" i="21"/>
  <c r="Y105" i="21"/>
  <c r="E114" i="21" s="1"/>
  <c r="G114" i="21" s="1"/>
  <c r="C116" i="21"/>
  <c r="F116" i="21" s="1"/>
  <c r="F118" i="21" s="1"/>
  <c r="C122" i="21"/>
  <c r="C115" i="21"/>
  <c r="E116" i="21" s="1"/>
  <c r="E118" i="21" s="1"/>
  <c r="C120" i="21"/>
  <c r="C118" i="21"/>
  <c r="E234" i="21" l="1"/>
  <c r="D99" i="24" s="1"/>
  <c r="G118" i="21"/>
  <c r="E115" i="21"/>
  <c r="G115" i="21" s="1"/>
  <c r="E119" i="21" s="1"/>
  <c r="E120" i="21" s="1"/>
  <c r="I289" i="23" s="1"/>
  <c r="X193" i="21"/>
  <c r="Z193" i="21"/>
  <c r="Z194" i="21"/>
  <c r="X194" i="21"/>
  <c r="Z192" i="21"/>
  <c r="X191" i="21"/>
  <c r="Z191" i="21"/>
  <c r="X192" i="21"/>
  <c r="Q304" i="21"/>
  <c r="H37" i="21"/>
  <c r="G100" i="33" l="1"/>
  <c r="D91" i="11"/>
  <c r="E235" i="21"/>
  <c r="A100" i="24"/>
  <c r="C100" i="24"/>
  <c r="N119" i="23"/>
  <c r="C116" i="23" s="1"/>
  <c r="L37" i="21"/>
  <c r="D109" i="21"/>
  <c r="AF289" i="23" s="1"/>
  <c r="AS289" i="23" s="1"/>
  <c r="C109" i="21"/>
  <c r="AA289" i="23" s="1"/>
  <c r="AO289" i="23" s="1"/>
  <c r="F44" i="11"/>
  <c r="D49" i="24"/>
  <c r="D47" i="24"/>
  <c r="D61" i="24"/>
  <c r="D46" i="24"/>
  <c r="D56" i="24"/>
  <c r="D63" i="24"/>
  <c r="D57" i="24"/>
  <c r="D50" i="24"/>
  <c r="D52" i="24"/>
  <c r="D62" i="24"/>
  <c r="D65" i="24"/>
  <c r="D58" i="24"/>
  <c r="D55" i="24"/>
  <c r="D64" i="24"/>
  <c r="D53" i="24"/>
  <c r="D59" i="24"/>
  <c r="D48" i="24"/>
  <c r="D60" i="24"/>
  <c r="D54" i="24"/>
  <c r="D51" i="24"/>
  <c r="Y193" i="21"/>
  <c r="Y194" i="21"/>
  <c r="Y192" i="21"/>
  <c r="Y191" i="21"/>
  <c r="I570" i="23" l="1"/>
  <c r="R570" i="23" s="1"/>
  <c r="W570" i="23" s="1"/>
  <c r="E99" i="24"/>
  <c r="C224" i="21"/>
  <c r="F224" i="21" s="1"/>
  <c r="H224" i="21" s="1"/>
  <c r="J224" i="21" s="1"/>
  <c r="E91" i="11"/>
  <c r="H100" i="33"/>
  <c r="S119" i="23"/>
  <c r="U124" i="23" s="1"/>
  <c r="G109" i="21"/>
  <c r="D53" i="11"/>
  <c r="D49" i="11"/>
  <c r="D58" i="11"/>
  <c r="D60" i="11"/>
  <c r="D48" i="11"/>
  <c r="D46" i="11"/>
  <c r="D51" i="11"/>
  <c r="D56" i="11"/>
  <c r="D63" i="11"/>
  <c r="D50" i="11"/>
  <c r="D55" i="11"/>
  <c r="D61" i="11"/>
  <c r="D54" i="11"/>
  <c r="D47" i="11"/>
  <c r="D52" i="11"/>
  <c r="D57" i="11"/>
  <c r="D62" i="11"/>
  <c r="D44" i="11"/>
  <c r="D59" i="11"/>
  <c r="D45" i="11"/>
  <c r="E9" i="33"/>
  <c r="E8" i="33"/>
  <c r="E7" i="33"/>
  <c r="E6" i="33"/>
  <c r="A4" i="33"/>
  <c r="AC191" i="21" l="1"/>
  <c r="AC210" i="21"/>
  <c r="AC206" i="21"/>
  <c r="AC202" i="21"/>
  <c r="AC198" i="21"/>
  <c r="AC194" i="21"/>
  <c r="AC209" i="21"/>
  <c r="AC205" i="21"/>
  <c r="AC201" i="21"/>
  <c r="AC197" i="21"/>
  <c r="AC193" i="21"/>
  <c r="AC195" i="21"/>
  <c r="AC208" i="21"/>
  <c r="AC204" i="21"/>
  <c r="AC200" i="21"/>
  <c r="AC196" i="21"/>
  <c r="AC192" i="21"/>
  <c r="AC199" i="21"/>
  <c r="AC207" i="21"/>
  <c r="AC203" i="21"/>
  <c r="AB192" i="21"/>
  <c r="AB196" i="21"/>
  <c r="AB200" i="21"/>
  <c r="AB204" i="21"/>
  <c r="AB208" i="21"/>
  <c r="AB195" i="21"/>
  <c r="AB203" i="21"/>
  <c r="AB193" i="21"/>
  <c r="AB197" i="21"/>
  <c r="AB201" i="21"/>
  <c r="AB205" i="21"/>
  <c r="AB209" i="21"/>
  <c r="AB194" i="21"/>
  <c r="AB198" i="21"/>
  <c r="AB202" i="21"/>
  <c r="AB206" i="21"/>
  <c r="AB210" i="21"/>
  <c r="AB199" i="21"/>
  <c r="AB207" i="21"/>
  <c r="O224" i="21"/>
  <c r="AB191" i="21"/>
  <c r="H109" i="21"/>
  <c r="U109" i="21" s="1"/>
  <c r="G224" i="21"/>
  <c r="M224" i="21"/>
  <c r="S224" i="21" s="1"/>
  <c r="C77" i="11"/>
  <c r="C81" i="11"/>
  <c r="C74" i="11"/>
  <c r="C84" i="11"/>
  <c r="C83" i="11"/>
  <c r="C75" i="11"/>
  <c r="C71" i="11"/>
  <c r="C88" i="11"/>
  <c r="C78" i="11"/>
  <c r="C73" i="11"/>
  <c r="C76" i="11"/>
  <c r="C85" i="11"/>
  <c r="C87" i="11"/>
  <c r="C72" i="11"/>
  <c r="C79" i="11"/>
  <c r="C70" i="11"/>
  <c r="C82" i="11"/>
  <c r="C86" i="11"/>
  <c r="C80" i="11"/>
  <c r="C89" i="11"/>
  <c r="Z36" i="21"/>
  <c r="Z37" i="21"/>
  <c r="Z38" i="21"/>
  <c r="Z39" i="21"/>
  <c r="Z40" i="21"/>
  <c r="AH203" i="21" l="1"/>
  <c r="AH196" i="21"/>
  <c r="AH195" i="21"/>
  <c r="AH205" i="21"/>
  <c r="AH202" i="21"/>
  <c r="AH207" i="21"/>
  <c r="AH200" i="21"/>
  <c r="AH193" i="21"/>
  <c r="AH209" i="21"/>
  <c r="AH206" i="21"/>
  <c r="AH199" i="21"/>
  <c r="AH204" i="21"/>
  <c r="AH197" i="21"/>
  <c r="AH194" i="21"/>
  <c r="AH210" i="21"/>
  <c r="AH192" i="21"/>
  <c r="AH208" i="21"/>
  <c r="AH201" i="21"/>
  <c r="AH198" i="21"/>
  <c r="AH191" i="21"/>
  <c r="AG198" i="21"/>
  <c r="J87" i="33" s="1"/>
  <c r="AG194" i="21"/>
  <c r="J83" i="33" s="1"/>
  <c r="AG201" i="21"/>
  <c r="J90" i="33" s="1"/>
  <c r="AG206" i="21"/>
  <c r="J95" i="33" s="1"/>
  <c r="AG193" i="21"/>
  <c r="J82" i="33" s="1"/>
  <c r="AE197" i="21"/>
  <c r="K86" i="33" s="1"/>
  <c r="AG204" i="21"/>
  <c r="J93" i="33" s="1"/>
  <c r="AE196" i="21"/>
  <c r="K85" i="33" s="1"/>
  <c r="AE204" i="21"/>
  <c r="K93" i="33" s="1"/>
  <c r="AG197" i="21"/>
  <c r="J86" i="33" s="1"/>
  <c r="AG199" i="21"/>
  <c r="J88" i="33" s="1"/>
  <c r="AG196" i="21"/>
  <c r="J85" i="33" s="1"/>
  <c r="AG208" i="21"/>
  <c r="J97" i="33" s="1"/>
  <c r="AG202" i="21"/>
  <c r="J91" i="33" s="1"/>
  <c r="AG203" i="21"/>
  <c r="J92" i="33" s="1"/>
  <c r="AE209" i="21"/>
  <c r="K98" i="33" s="1"/>
  <c r="AE201" i="21"/>
  <c r="K90" i="33" s="1"/>
  <c r="AE208" i="21"/>
  <c r="K97" i="33" s="1"/>
  <c r="AE200" i="21"/>
  <c r="K89" i="33" s="1"/>
  <c r="AE198" i="21"/>
  <c r="K87" i="33" s="1"/>
  <c r="AG205" i="21"/>
  <c r="J94" i="33" s="1"/>
  <c r="AE194" i="21"/>
  <c r="K83" i="33" s="1"/>
  <c r="AE199" i="21"/>
  <c r="K88" i="33" s="1"/>
  <c r="AE195" i="21"/>
  <c r="K84" i="33" s="1"/>
  <c r="AG191" i="21"/>
  <c r="J80" i="33" s="1"/>
  <c r="AE193" i="21"/>
  <c r="K82" i="33" s="1"/>
  <c r="AG192" i="21"/>
  <c r="J81" i="33" s="1"/>
  <c r="AE203" i="21"/>
  <c r="K92" i="33" s="1"/>
  <c r="AE205" i="21"/>
  <c r="K94" i="33" s="1"/>
  <c r="AE207" i="21"/>
  <c r="K96" i="33" s="1"/>
  <c r="AG195" i="21"/>
  <c r="J84" i="33" s="1"/>
  <c r="AE210" i="21"/>
  <c r="K99" i="33" s="1"/>
  <c r="AE202" i="21"/>
  <c r="K91" i="33" s="1"/>
  <c r="AG209" i="21"/>
  <c r="J98" i="33" s="1"/>
  <c r="AE206" i="21"/>
  <c r="K95" i="33" s="1"/>
  <c r="AE191" i="21"/>
  <c r="K80" i="33" s="1"/>
  <c r="AE192" i="21"/>
  <c r="K81" i="33" s="1"/>
  <c r="AG210" i="21"/>
  <c r="J99" i="33" s="1"/>
  <c r="AG207" i="21"/>
  <c r="J96" i="33" s="1"/>
  <c r="AG200" i="21"/>
  <c r="J89" i="33" s="1"/>
  <c r="I224" i="21"/>
  <c r="R224" i="21" s="1"/>
  <c r="R109" i="21"/>
  <c r="AJ210" i="21"/>
  <c r="Q99" i="33" s="1"/>
  <c r="AJ209" i="21"/>
  <c r="Q98" i="33" s="1"/>
  <c r="AJ205" i="21"/>
  <c r="Q94" i="33" s="1"/>
  <c r="AJ201" i="21"/>
  <c r="Q90" i="33" s="1"/>
  <c r="AJ197" i="21"/>
  <c r="Q86" i="33" s="1"/>
  <c r="AJ193" i="21"/>
  <c r="Q82" i="33" s="1"/>
  <c r="AJ204" i="21"/>
  <c r="Q93" i="33" s="1"/>
  <c r="AJ200" i="21"/>
  <c r="Q89" i="33" s="1"/>
  <c r="AJ196" i="21"/>
  <c r="Q85" i="33" s="1"/>
  <c r="AJ192" i="21"/>
  <c r="Q81" i="33" s="1"/>
  <c r="AJ207" i="21"/>
  <c r="Q96" i="33" s="1"/>
  <c r="AJ203" i="21"/>
  <c r="Q92" i="33" s="1"/>
  <c r="AJ199" i="21"/>
  <c r="Q88" i="33" s="1"/>
  <c r="AJ195" i="21"/>
  <c r="Q84" i="33" s="1"/>
  <c r="AJ191" i="21"/>
  <c r="Q80" i="33" s="1"/>
  <c r="AJ202" i="21"/>
  <c r="Q91" i="33" s="1"/>
  <c r="AJ198" i="21"/>
  <c r="Q87" i="33" s="1"/>
  <c r="AJ208" i="21"/>
  <c r="Q97" i="33" s="1"/>
  <c r="AJ206" i="21"/>
  <c r="Q95" i="33" s="1"/>
  <c r="AJ194" i="21"/>
  <c r="Q83" i="33" s="1"/>
  <c r="H110" i="21"/>
  <c r="K109" i="21" s="1"/>
  <c r="T109" i="21" s="1"/>
  <c r="J109" i="21"/>
  <c r="M109" i="21" s="1"/>
  <c r="N109" i="21" s="1"/>
  <c r="T115" i="21"/>
  <c r="U110" i="21"/>
  <c r="E58" i="30"/>
  <c r="F72" i="30"/>
  <c r="E60" i="30"/>
  <c r="E68" i="30"/>
  <c r="E67" i="30"/>
  <c r="E70" i="30"/>
  <c r="G56" i="33"/>
  <c r="H38" i="21"/>
  <c r="H36" i="21"/>
  <c r="Y35" i="21"/>
  <c r="Y34" i="21"/>
  <c r="F63" i="30" l="1"/>
  <c r="F68" i="30"/>
  <c r="F65" i="30"/>
  <c r="F76" i="30"/>
  <c r="F70" i="30"/>
  <c r="F67" i="30"/>
  <c r="F66" i="30"/>
  <c r="K224" i="21"/>
  <c r="T110" i="21"/>
  <c r="S115" i="21"/>
  <c r="O109" i="21"/>
  <c r="P109" i="21"/>
  <c r="L36" i="21"/>
  <c r="L38" i="21"/>
  <c r="E71" i="30"/>
  <c r="E64" i="30"/>
  <c r="F64" i="30"/>
  <c r="E62" i="30"/>
  <c r="E75" i="30"/>
  <c r="F57" i="30"/>
  <c r="F58" i="30"/>
  <c r="F71" i="30"/>
  <c r="F74" i="30"/>
  <c r="E59" i="30"/>
  <c r="E69" i="30"/>
  <c r="F61" i="30"/>
  <c r="F73" i="30"/>
  <c r="E65" i="30"/>
  <c r="E76" i="30"/>
  <c r="E63" i="30"/>
  <c r="E73" i="30"/>
  <c r="E72" i="30"/>
  <c r="E57" i="30"/>
  <c r="E61" i="30"/>
  <c r="F75" i="30"/>
  <c r="E74" i="30"/>
  <c r="F59" i="30"/>
  <c r="F69" i="30"/>
  <c r="E66" i="30"/>
  <c r="F60" i="30"/>
  <c r="F62" i="30"/>
  <c r="H56" i="33"/>
  <c r="H94" i="33" l="1"/>
  <c r="H96" i="33"/>
  <c r="H81" i="33"/>
  <c r="H87" i="33"/>
  <c r="H91" i="33"/>
  <c r="H84" i="33"/>
  <c r="H92" i="33"/>
  <c r="H83" i="33"/>
  <c r="H80" i="33"/>
  <c r="H86" i="33"/>
  <c r="H97" i="33"/>
  <c r="H93" i="33"/>
  <c r="H85" i="33"/>
  <c r="P224" i="21"/>
  <c r="AF197" i="21" s="1"/>
  <c r="D82" i="24" s="1"/>
  <c r="H90" i="33"/>
  <c r="H58" i="30"/>
  <c r="H95" i="33"/>
  <c r="H88" i="33"/>
  <c r="H73" i="30"/>
  <c r="N224" i="21"/>
  <c r="G76" i="30"/>
  <c r="H98" i="33"/>
  <c r="H89" i="33"/>
  <c r="H82" i="33"/>
  <c r="AD91" i="21"/>
  <c r="AB78" i="21"/>
  <c r="AC89" i="21"/>
  <c r="AB87" i="21"/>
  <c r="AB82" i="21"/>
  <c r="AC90" i="21"/>
  <c r="AB83" i="21"/>
  <c r="AC80" i="21"/>
  <c r="AA86" i="21"/>
  <c r="AC82" i="21"/>
  <c r="AA78" i="21"/>
  <c r="AB72" i="21"/>
  <c r="AA85" i="21"/>
  <c r="AA77" i="21"/>
  <c r="AB84" i="21"/>
  <c r="AB73" i="21"/>
  <c r="AD79" i="21"/>
  <c r="AD74" i="21"/>
  <c r="AD75" i="21"/>
  <c r="AD77" i="21"/>
  <c r="AB74" i="21"/>
  <c r="AC78" i="21"/>
  <c r="AB80" i="21"/>
  <c r="AB75" i="21"/>
  <c r="AB91" i="21"/>
  <c r="AC72" i="21"/>
  <c r="AA89" i="21"/>
  <c r="AD76" i="21"/>
  <c r="AD83" i="21"/>
  <c r="AD90" i="21"/>
  <c r="AC84" i="21"/>
  <c r="AA80" i="21"/>
  <c r="AC74" i="21"/>
  <c r="AA75" i="21"/>
  <c r="AB77" i="21"/>
  <c r="AB85" i="21"/>
  <c r="AC76" i="21"/>
  <c r="AA84" i="21"/>
  <c r="AA87" i="21"/>
  <c r="AC87" i="21"/>
  <c r="AB88" i="21"/>
  <c r="AA79" i="21"/>
  <c r="AA76" i="21"/>
  <c r="AA74" i="21"/>
  <c r="AB90" i="21"/>
  <c r="AD78" i="21"/>
  <c r="AD73" i="21"/>
  <c r="AD84" i="21"/>
  <c r="AD89" i="21"/>
  <c r="AC83" i="21"/>
  <c r="AC75" i="21"/>
  <c r="AA82" i="21"/>
  <c r="AC86" i="21"/>
  <c r="AC81" i="21"/>
  <c r="AC88" i="21"/>
  <c r="AD87" i="21"/>
  <c r="AD80" i="21"/>
  <c r="AC79" i="21"/>
  <c r="AA90" i="21"/>
  <c r="AC85" i="21"/>
  <c r="AA72" i="21"/>
  <c r="AC73" i="21"/>
  <c r="AB76" i="21"/>
  <c r="AB89" i="21"/>
  <c r="AA83" i="21"/>
  <c r="AB81" i="21"/>
  <c r="AC91" i="21"/>
  <c r="AA73" i="21"/>
  <c r="AB79" i="21"/>
  <c r="AC77" i="21"/>
  <c r="AA88" i="21"/>
  <c r="AB86" i="21"/>
  <c r="AD81" i="21"/>
  <c r="AD88" i="21"/>
  <c r="AD82" i="21"/>
  <c r="AD86" i="21"/>
  <c r="AA81" i="21"/>
  <c r="AA91" i="21"/>
  <c r="AD72" i="21"/>
  <c r="AD85" i="21"/>
  <c r="S109" i="21"/>
  <c r="O60" i="23"/>
  <c r="O62" i="23"/>
  <c r="H68" i="30"/>
  <c r="H63" i="30"/>
  <c r="H74" i="30"/>
  <c r="H60" i="30"/>
  <c r="H70" i="30"/>
  <c r="H69" i="30"/>
  <c r="H62" i="30"/>
  <c r="H65" i="30"/>
  <c r="H64" i="30"/>
  <c r="G57" i="30"/>
  <c r="H75" i="30"/>
  <c r="H67" i="30"/>
  <c r="H39" i="21"/>
  <c r="B29" i="21"/>
  <c r="AE29" i="21" s="1"/>
  <c r="B28" i="21"/>
  <c r="AE28" i="21" s="1"/>
  <c r="B27" i="21"/>
  <c r="AE27" i="21" s="1"/>
  <c r="B26" i="21"/>
  <c r="AE26" i="21" s="1"/>
  <c r="B25" i="21"/>
  <c r="AE25" i="21" s="1"/>
  <c r="B24" i="21"/>
  <c r="AE24" i="21" s="1"/>
  <c r="B23" i="21"/>
  <c r="AE23" i="21" s="1"/>
  <c r="B22" i="21"/>
  <c r="AE22" i="21" s="1"/>
  <c r="B21" i="21"/>
  <c r="AE21" i="21" s="1"/>
  <c r="B20" i="21"/>
  <c r="AE20" i="21" s="1"/>
  <c r="B19" i="21"/>
  <c r="AE19" i="21" s="1"/>
  <c r="B18" i="21"/>
  <c r="AE18" i="21" s="1"/>
  <c r="B17" i="21"/>
  <c r="AE17" i="21" s="1"/>
  <c r="B16" i="21"/>
  <c r="AE16" i="21" s="1"/>
  <c r="B15" i="21"/>
  <c r="AE15" i="21" s="1"/>
  <c r="B14" i="21"/>
  <c r="AE14" i="21" s="1"/>
  <c r="B13" i="21"/>
  <c r="AE13" i="21" s="1"/>
  <c r="B12" i="21"/>
  <c r="AE12" i="21" s="1"/>
  <c r="B11" i="21"/>
  <c r="AE11" i="21" s="1"/>
  <c r="B10" i="21"/>
  <c r="AE10" i="21" s="1"/>
  <c r="H4" i="21"/>
  <c r="B5" i="23" s="1"/>
  <c r="G4" i="21"/>
  <c r="F4" i="21"/>
  <c r="C4" i="21"/>
  <c r="B4" i="21" s="1"/>
  <c r="X40" i="21"/>
  <c r="X34" i="21"/>
  <c r="G74" i="30" l="1"/>
  <c r="G60" i="30"/>
  <c r="G70" i="30"/>
  <c r="G67" i="30"/>
  <c r="AF208" i="21"/>
  <c r="D93" i="24" s="1"/>
  <c r="AF194" i="21"/>
  <c r="D73" i="11" s="1"/>
  <c r="G71" i="30"/>
  <c r="AF196" i="21"/>
  <c r="D81" i="24" s="1"/>
  <c r="AF195" i="21"/>
  <c r="D80" i="24" s="1"/>
  <c r="G58" i="30"/>
  <c r="G63" i="30"/>
  <c r="AF191" i="21"/>
  <c r="D70" i="11" s="1"/>
  <c r="AF193" i="21"/>
  <c r="D78" i="24" s="1"/>
  <c r="AF206" i="21"/>
  <c r="D91" i="24" s="1"/>
  <c r="G66" i="30"/>
  <c r="AF203" i="21"/>
  <c r="D88" i="24" s="1"/>
  <c r="AF210" i="21"/>
  <c r="D95" i="24" s="1"/>
  <c r="G68" i="30"/>
  <c r="G62" i="30"/>
  <c r="AF192" i="21"/>
  <c r="D77" i="24" s="1"/>
  <c r="AF207" i="21"/>
  <c r="D92" i="24" s="1"/>
  <c r="AF202" i="21"/>
  <c r="D87" i="24" s="1"/>
  <c r="AF209" i="21"/>
  <c r="D94" i="24" s="1"/>
  <c r="AF201" i="21"/>
  <c r="D86" i="24" s="1"/>
  <c r="D76" i="11"/>
  <c r="AF200" i="21"/>
  <c r="D85" i="24" s="1"/>
  <c r="AF198" i="21"/>
  <c r="D83" i="24" s="1"/>
  <c r="AF205" i="21"/>
  <c r="D90" i="24" s="1"/>
  <c r="AF199" i="21"/>
  <c r="D84" i="24" s="1"/>
  <c r="AF204" i="21"/>
  <c r="D89" i="24" s="1"/>
  <c r="T224" i="21"/>
  <c r="G59" i="30"/>
  <c r="G65" i="30"/>
  <c r="G64" i="30"/>
  <c r="G69" i="30"/>
  <c r="H66" i="30"/>
  <c r="G72" i="30"/>
  <c r="H72" i="30"/>
  <c r="V13" i="21"/>
  <c r="W13" i="21"/>
  <c r="V25" i="21"/>
  <c r="W25" i="21"/>
  <c r="W10" i="21"/>
  <c r="V10" i="21"/>
  <c r="V14" i="21"/>
  <c r="W14" i="21"/>
  <c r="V18" i="21"/>
  <c r="W18" i="21"/>
  <c r="V22" i="21"/>
  <c r="W22" i="21"/>
  <c r="V26" i="21"/>
  <c r="W26" i="21"/>
  <c r="V21" i="21"/>
  <c r="W21" i="21"/>
  <c r="V11" i="21"/>
  <c r="W11" i="21"/>
  <c r="V15" i="21"/>
  <c r="W15" i="21"/>
  <c r="V19" i="21"/>
  <c r="W19" i="21"/>
  <c r="V23" i="21"/>
  <c r="W23" i="21"/>
  <c r="V27" i="21"/>
  <c r="W27" i="21"/>
  <c r="V17" i="21"/>
  <c r="W17" i="21"/>
  <c r="V29" i="21"/>
  <c r="W29" i="21"/>
  <c r="W12" i="21"/>
  <c r="V12" i="21"/>
  <c r="W16" i="21"/>
  <c r="V16" i="21"/>
  <c r="V20" i="21"/>
  <c r="W20" i="21"/>
  <c r="V24" i="21"/>
  <c r="W24" i="21"/>
  <c r="V28" i="21"/>
  <c r="W28" i="21"/>
  <c r="AF72" i="21"/>
  <c r="AF74" i="21"/>
  <c r="AF78" i="21"/>
  <c r="AF82" i="21"/>
  <c r="Q46" i="33" s="1"/>
  <c r="AF86" i="21"/>
  <c r="AF90" i="21"/>
  <c r="AF83" i="21"/>
  <c r="AF91" i="21"/>
  <c r="AF76" i="21"/>
  <c r="AF84" i="21"/>
  <c r="AF77" i="21"/>
  <c r="AF85" i="21"/>
  <c r="AF89" i="21"/>
  <c r="AF75" i="21"/>
  <c r="AF79" i="21"/>
  <c r="AF87" i="21"/>
  <c r="AF80" i="21"/>
  <c r="AF88" i="21"/>
  <c r="AF73" i="21"/>
  <c r="AF81" i="21"/>
  <c r="H71" i="30"/>
  <c r="H59" i="30"/>
  <c r="H99" i="33"/>
  <c r="G61" i="30"/>
  <c r="H61" i="30"/>
  <c r="H76" i="30"/>
  <c r="G73" i="30"/>
  <c r="G75" i="30"/>
  <c r="H57" i="30"/>
  <c r="H50" i="33"/>
  <c r="G47" i="30"/>
  <c r="H51" i="33"/>
  <c r="G48" i="30"/>
  <c r="J51" i="33"/>
  <c r="F48" i="30"/>
  <c r="H41" i="33"/>
  <c r="G38" i="30"/>
  <c r="G16" i="24"/>
  <c r="K36" i="33"/>
  <c r="G15" i="11"/>
  <c r="H36" i="33"/>
  <c r="G33" i="30"/>
  <c r="H46" i="33"/>
  <c r="G43" i="30"/>
  <c r="F32" i="24"/>
  <c r="F52" i="33"/>
  <c r="E49" i="30"/>
  <c r="F31" i="11"/>
  <c r="J55" i="33"/>
  <c r="F52" i="30"/>
  <c r="G20" i="24"/>
  <c r="K40" i="33"/>
  <c r="G19" i="11"/>
  <c r="F34" i="24"/>
  <c r="F54" i="33"/>
  <c r="F33" i="11"/>
  <c r="E51" i="30"/>
  <c r="J52" i="33"/>
  <c r="F49" i="30"/>
  <c r="J39" i="33"/>
  <c r="F36" i="30"/>
  <c r="H37" i="33"/>
  <c r="G34" i="30"/>
  <c r="F20" i="24"/>
  <c r="F40" i="33"/>
  <c r="F19" i="11"/>
  <c r="E37" i="30"/>
  <c r="F31" i="24"/>
  <c r="F51" i="33"/>
  <c r="E48" i="30"/>
  <c r="F30" i="11"/>
  <c r="G21" i="24"/>
  <c r="K41" i="33"/>
  <c r="G20" i="11"/>
  <c r="J48" i="33"/>
  <c r="F45" i="30"/>
  <c r="F33" i="24"/>
  <c r="F53" i="33"/>
  <c r="F32" i="11"/>
  <c r="E50" i="30"/>
  <c r="G24" i="24"/>
  <c r="K44" i="33"/>
  <c r="G23" i="11"/>
  <c r="H39" i="33"/>
  <c r="G36" i="30"/>
  <c r="G28" i="24"/>
  <c r="K48" i="33"/>
  <c r="G27" i="11"/>
  <c r="F22" i="24"/>
  <c r="F42" i="33"/>
  <c r="E39" i="30"/>
  <c r="F21" i="11"/>
  <c r="G27" i="24"/>
  <c r="K47" i="33"/>
  <c r="G26" i="11"/>
  <c r="J53" i="33"/>
  <c r="F50" i="30"/>
  <c r="F17" i="24"/>
  <c r="F37" i="33"/>
  <c r="F16" i="11"/>
  <c r="E34" i="30"/>
  <c r="H48" i="33"/>
  <c r="G45" i="30"/>
  <c r="H40" i="33"/>
  <c r="G37" i="30"/>
  <c r="G17" i="24"/>
  <c r="K37" i="33"/>
  <c r="G16" i="11"/>
  <c r="G31" i="24"/>
  <c r="K51" i="33"/>
  <c r="G30" i="11"/>
  <c r="F35" i="24"/>
  <c r="F55" i="33"/>
  <c r="E52" i="30"/>
  <c r="F34" i="11"/>
  <c r="H52" i="33"/>
  <c r="G49" i="30"/>
  <c r="J41" i="33"/>
  <c r="F38" i="30"/>
  <c r="G25" i="24"/>
  <c r="K45" i="33"/>
  <c r="G24" i="11"/>
  <c r="J37" i="33"/>
  <c r="F34" i="30"/>
  <c r="J43" i="33"/>
  <c r="F40" i="30"/>
  <c r="J45" i="33"/>
  <c r="F42" i="30"/>
  <c r="J47" i="33"/>
  <c r="F44" i="30"/>
  <c r="H42" i="33"/>
  <c r="G39" i="30"/>
  <c r="F23" i="24"/>
  <c r="F43" i="33"/>
  <c r="E40" i="30"/>
  <c r="F22" i="11"/>
  <c r="F28" i="24"/>
  <c r="F48" i="33"/>
  <c r="F27" i="11"/>
  <c r="E45" i="30"/>
  <c r="F19" i="24"/>
  <c r="F39" i="33"/>
  <c r="E36" i="30"/>
  <c r="F18" i="11"/>
  <c r="H54" i="33"/>
  <c r="G51" i="30"/>
  <c r="J36" i="33"/>
  <c r="F33" i="30"/>
  <c r="J42" i="33"/>
  <c r="F39" i="30"/>
  <c r="H38" i="33"/>
  <c r="G35" i="30"/>
  <c r="F21" i="24"/>
  <c r="F41" i="33"/>
  <c r="F20" i="11"/>
  <c r="E38" i="30"/>
  <c r="J46" i="33"/>
  <c r="F43" i="30"/>
  <c r="J54" i="33"/>
  <c r="F51" i="30"/>
  <c r="G22" i="24"/>
  <c r="K42" i="33"/>
  <c r="G21" i="11"/>
  <c r="H49" i="33"/>
  <c r="G46" i="30"/>
  <c r="G30" i="24"/>
  <c r="K50" i="33"/>
  <c r="G29" i="11"/>
  <c r="G33" i="24"/>
  <c r="K53" i="33"/>
  <c r="G32" i="11"/>
  <c r="J49" i="33"/>
  <c r="F46" i="30"/>
  <c r="F26" i="24"/>
  <c r="F46" i="33"/>
  <c r="F25" i="11"/>
  <c r="E43" i="30"/>
  <c r="F18" i="24"/>
  <c r="F38" i="33"/>
  <c r="F17" i="11"/>
  <c r="E35" i="30"/>
  <c r="G29" i="24"/>
  <c r="K49" i="33"/>
  <c r="G28" i="11"/>
  <c r="F24" i="24"/>
  <c r="F44" i="33"/>
  <c r="E41" i="30"/>
  <c r="F23" i="11"/>
  <c r="G19" i="24"/>
  <c r="K39" i="33"/>
  <c r="G18" i="11"/>
  <c r="J44" i="33"/>
  <c r="F41" i="30"/>
  <c r="F25" i="24"/>
  <c r="F45" i="33"/>
  <c r="F24" i="11"/>
  <c r="E42" i="30"/>
  <c r="H45" i="33"/>
  <c r="G42" i="30"/>
  <c r="G23" i="24"/>
  <c r="K43" i="33"/>
  <c r="G22" i="11"/>
  <c r="F27" i="24"/>
  <c r="F47" i="33"/>
  <c r="E44" i="30"/>
  <c r="F26" i="11"/>
  <c r="F16" i="24"/>
  <c r="F36" i="33"/>
  <c r="F15" i="11"/>
  <c r="E33" i="30"/>
  <c r="H44" i="33"/>
  <c r="G41" i="30"/>
  <c r="J50" i="33"/>
  <c r="F47" i="30"/>
  <c r="H53" i="33"/>
  <c r="G50" i="30"/>
  <c r="G34" i="24"/>
  <c r="K54" i="33"/>
  <c r="G33" i="11"/>
  <c r="G32" i="24"/>
  <c r="K52" i="33"/>
  <c r="G31" i="11"/>
  <c r="J40" i="33"/>
  <c r="F37" i="30"/>
  <c r="J38" i="33"/>
  <c r="F35" i="30"/>
  <c r="H47" i="33"/>
  <c r="G44" i="30"/>
  <c r="G35" i="24"/>
  <c r="K55" i="33"/>
  <c r="G34" i="11"/>
  <c r="G18" i="24"/>
  <c r="K38" i="33"/>
  <c r="G17" i="11"/>
  <c r="H43" i="33"/>
  <c r="G40" i="30"/>
  <c r="F29" i="24"/>
  <c r="F49" i="33"/>
  <c r="E46" i="30"/>
  <c r="F28" i="11"/>
  <c r="F30" i="24"/>
  <c r="F50" i="33"/>
  <c r="F29" i="11"/>
  <c r="E47" i="30"/>
  <c r="G26" i="24"/>
  <c r="K46" i="33"/>
  <c r="G25" i="11"/>
  <c r="H55" i="33"/>
  <c r="G52" i="30"/>
  <c r="N149" i="23"/>
  <c r="S149" i="23" s="1"/>
  <c r="T154" i="23" s="1"/>
  <c r="L39" i="21"/>
  <c r="O63" i="23" s="1"/>
  <c r="AA13" i="23"/>
  <c r="G13" i="23"/>
  <c r="V13" i="23"/>
  <c r="Q13" i="23"/>
  <c r="L13" i="23"/>
  <c r="AA17" i="23"/>
  <c r="G17" i="23"/>
  <c r="V17" i="23"/>
  <c r="Q17" i="23"/>
  <c r="L17" i="23"/>
  <c r="L21" i="23"/>
  <c r="AA21" i="23"/>
  <c r="G21" i="23"/>
  <c r="Q21" i="23"/>
  <c r="V21" i="23"/>
  <c r="Q25" i="23"/>
  <c r="L25" i="23"/>
  <c r="AA25" i="23"/>
  <c r="G25" i="23"/>
  <c r="V25" i="23"/>
  <c r="Q29" i="23"/>
  <c r="L29" i="23"/>
  <c r="AA29" i="23"/>
  <c r="G29" i="23"/>
  <c r="V29" i="23"/>
  <c r="AA14" i="23"/>
  <c r="G14" i="23"/>
  <c r="V14" i="23"/>
  <c r="Q14" i="23"/>
  <c r="L14" i="23"/>
  <c r="AA18" i="23"/>
  <c r="G18" i="23"/>
  <c r="V18" i="23"/>
  <c r="Q18" i="23"/>
  <c r="L18" i="23"/>
  <c r="Q22" i="23"/>
  <c r="L22" i="23"/>
  <c r="AA22" i="23"/>
  <c r="G22" i="23"/>
  <c r="V22" i="23"/>
  <c r="Q26" i="23"/>
  <c r="L26" i="23"/>
  <c r="AA26" i="23"/>
  <c r="G26" i="23"/>
  <c r="V26" i="23"/>
  <c r="Q30" i="23"/>
  <c r="L30" i="23"/>
  <c r="AA30" i="23"/>
  <c r="G30" i="23"/>
  <c r="V30" i="23"/>
  <c r="AA11" i="23"/>
  <c r="G11" i="23"/>
  <c r="V11" i="23"/>
  <c r="Q11" i="23"/>
  <c r="L11" i="23"/>
  <c r="AA15" i="23"/>
  <c r="G15" i="23"/>
  <c r="V15" i="23"/>
  <c r="Q15" i="23"/>
  <c r="L15" i="23"/>
  <c r="AA19" i="23"/>
  <c r="G19" i="23"/>
  <c r="V19" i="23"/>
  <c r="Q19" i="23"/>
  <c r="L19" i="23"/>
  <c r="Q23" i="23"/>
  <c r="L23" i="23"/>
  <c r="AA23" i="23"/>
  <c r="G23" i="23"/>
  <c r="V23" i="23"/>
  <c r="Q27" i="23"/>
  <c r="L27" i="23"/>
  <c r="AA27" i="23"/>
  <c r="G27" i="23"/>
  <c r="V27" i="23"/>
  <c r="AA12" i="23"/>
  <c r="G12" i="23"/>
  <c r="V12" i="23"/>
  <c r="Q12" i="23"/>
  <c r="L12" i="23"/>
  <c r="AA16" i="23"/>
  <c r="G16" i="23"/>
  <c r="V16" i="23"/>
  <c r="Q16" i="23"/>
  <c r="L16" i="23"/>
  <c r="AA20" i="23"/>
  <c r="G20" i="23"/>
  <c r="V20" i="23"/>
  <c r="Q20" i="23"/>
  <c r="L20" i="23"/>
  <c r="Q24" i="23"/>
  <c r="L24" i="23"/>
  <c r="AA24" i="23"/>
  <c r="G24" i="23"/>
  <c r="V24" i="23"/>
  <c r="Q28" i="23"/>
  <c r="L28" i="23"/>
  <c r="AA28" i="23"/>
  <c r="G28" i="23"/>
  <c r="V28" i="23"/>
  <c r="A20" i="24"/>
  <c r="A18" i="24"/>
  <c r="A22" i="24"/>
  <c r="A26" i="24"/>
  <c r="A30" i="24"/>
  <c r="A34" i="24"/>
  <c r="A19" i="24"/>
  <c r="A23" i="24"/>
  <c r="A27" i="24"/>
  <c r="A31" i="24"/>
  <c r="A35" i="24"/>
  <c r="A24" i="24"/>
  <c r="A28" i="24"/>
  <c r="A32" i="24"/>
  <c r="A17" i="24"/>
  <c r="A21" i="24"/>
  <c r="A25" i="24"/>
  <c r="A29" i="24"/>
  <c r="A33" i="24"/>
  <c r="A11" i="24"/>
  <c r="A12" i="24" s="1"/>
  <c r="A13" i="24" s="1"/>
  <c r="A16" i="24"/>
  <c r="M300" i="21"/>
  <c r="N300" i="21" s="1"/>
  <c r="J300" i="21"/>
  <c r="K300" i="21" s="1"/>
  <c r="A11" i="11"/>
  <c r="A36" i="11" s="1"/>
  <c r="A17" i="11"/>
  <c r="A29" i="11"/>
  <c r="A22" i="11"/>
  <c r="A26" i="11"/>
  <c r="A30" i="11"/>
  <c r="A34" i="11"/>
  <c r="A25" i="11"/>
  <c r="A18" i="11"/>
  <c r="A15" i="11"/>
  <c r="A6" i="30"/>
  <c r="A7" i="30" s="1"/>
  <c r="A8" i="30" s="1"/>
  <c r="A19" i="11"/>
  <c r="A23" i="11"/>
  <c r="A27" i="11"/>
  <c r="A31" i="11"/>
  <c r="A21" i="11"/>
  <c r="A33" i="11"/>
  <c r="A16" i="11"/>
  <c r="A20" i="11"/>
  <c r="A24" i="11"/>
  <c r="A28" i="11"/>
  <c r="A32" i="11"/>
  <c r="I4" i="21"/>
  <c r="N11" i="21"/>
  <c r="O11" i="21"/>
  <c r="N19" i="21"/>
  <c r="O19" i="21"/>
  <c r="N23" i="21"/>
  <c r="O23" i="21"/>
  <c r="N13" i="21"/>
  <c r="O13" i="21"/>
  <c r="N17" i="21"/>
  <c r="O17" i="21"/>
  <c r="N21" i="21"/>
  <c r="O21" i="21"/>
  <c r="N25" i="21"/>
  <c r="O25" i="21"/>
  <c r="N29" i="21"/>
  <c r="O29" i="21"/>
  <c r="N15" i="21"/>
  <c r="O15" i="21"/>
  <c r="N27" i="21"/>
  <c r="O27" i="21"/>
  <c r="N10" i="21"/>
  <c r="O10" i="21"/>
  <c r="N14" i="21"/>
  <c r="O14" i="21"/>
  <c r="N18" i="21"/>
  <c r="O18" i="21"/>
  <c r="N22" i="21"/>
  <c r="O22" i="21"/>
  <c r="N26" i="21"/>
  <c r="O26" i="21"/>
  <c r="N12" i="21"/>
  <c r="O12" i="21"/>
  <c r="N16" i="21"/>
  <c r="O16" i="21"/>
  <c r="N20" i="21"/>
  <c r="O20" i="21"/>
  <c r="N24" i="21"/>
  <c r="O24" i="21"/>
  <c r="N28" i="21"/>
  <c r="O28" i="21"/>
  <c r="U29" i="21"/>
  <c r="A24" i="33"/>
  <c r="A28" i="33"/>
  <c r="A31" i="33"/>
  <c r="A16" i="33"/>
  <c r="A20" i="33"/>
  <c r="A32" i="33"/>
  <c r="A15" i="33"/>
  <c r="A19" i="33"/>
  <c r="A23" i="33"/>
  <c r="A27" i="33"/>
  <c r="A14" i="33"/>
  <c r="A34" i="33" s="1"/>
  <c r="A18" i="33"/>
  <c r="A22" i="33"/>
  <c r="A26" i="33"/>
  <c r="A30" i="33"/>
  <c r="A17" i="33"/>
  <c r="A21" i="33"/>
  <c r="A25" i="33"/>
  <c r="A29" i="33"/>
  <c r="A33" i="33"/>
  <c r="Q19" i="21"/>
  <c r="D14" i="21"/>
  <c r="H14" i="21"/>
  <c r="D18" i="3"/>
  <c r="G18" i="3"/>
  <c r="C18" i="3"/>
  <c r="F18" i="3"/>
  <c r="E18" i="3"/>
  <c r="E15" i="21"/>
  <c r="F20" i="3"/>
  <c r="E20" i="3"/>
  <c r="D20" i="3"/>
  <c r="G20" i="3"/>
  <c r="C20" i="3"/>
  <c r="E21" i="21"/>
  <c r="D26" i="3"/>
  <c r="G26" i="3"/>
  <c r="C26" i="3"/>
  <c r="F26" i="3"/>
  <c r="E26" i="3"/>
  <c r="G27" i="21"/>
  <c r="F32" i="3"/>
  <c r="D32" i="3"/>
  <c r="E32" i="3"/>
  <c r="G32" i="3"/>
  <c r="C32" i="3"/>
  <c r="U27" i="21"/>
  <c r="E17" i="3"/>
  <c r="G17" i="3"/>
  <c r="D17" i="3"/>
  <c r="C17" i="3"/>
  <c r="F17" i="3"/>
  <c r="E18" i="21"/>
  <c r="G23" i="3"/>
  <c r="C23" i="3"/>
  <c r="F23" i="3"/>
  <c r="E23" i="3"/>
  <c r="D23" i="3"/>
  <c r="F24" i="3"/>
  <c r="D24" i="3"/>
  <c r="E24" i="3"/>
  <c r="G24" i="3"/>
  <c r="C24" i="3"/>
  <c r="E25" i="3"/>
  <c r="G25" i="3"/>
  <c r="D25" i="3"/>
  <c r="C25" i="3"/>
  <c r="F25" i="3"/>
  <c r="D21" i="21"/>
  <c r="G27" i="3"/>
  <c r="C27" i="3"/>
  <c r="E27" i="3"/>
  <c r="F27" i="3"/>
  <c r="D27" i="3"/>
  <c r="F28" i="3"/>
  <c r="E28" i="3"/>
  <c r="D28" i="3"/>
  <c r="C28" i="3"/>
  <c r="G28" i="3"/>
  <c r="L24" i="21"/>
  <c r="E29" i="3"/>
  <c r="C29" i="3"/>
  <c r="D29" i="3"/>
  <c r="G29" i="3"/>
  <c r="F29" i="3"/>
  <c r="G31" i="3"/>
  <c r="C31" i="3"/>
  <c r="F31" i="3"/>
  <c r="E31" i="3"/>
  <c r="D31" i="3"/>
  <c r="Q15" i="21"/>
  <c r="F16" i="3"/>
  <c r="D16" i="3"/>
  <c r="E16" i="3"/>
  <c r="G16" i="3"/>
  <c r="C16" i="3"/>
  <c r="D22" i="3"/>
  <c r="F22" i="3"/>
  <c r="G22" i="3"/>
  <c r="C22" i="3"/>
  <c r="E22" i="3"/>
  <c r="H18" i="21"/>
  <c r="I19" i="21"/>
  <c r="M21" i="21"/>
  <c r="AF22" i="23" s="1"/>
  <c r="I22" i="21"/>
  <c r="I23" i="21"/>
  <c r="E24" i="21"/>
  <c r="D30" i="3"/>
  <c r="F30" i="3"/>
  <c r="G30" i="3"/>
  <c r="C30" i="3"/>
  <c r="E30" i="3"/>
  <c r="D34" i="3"/>
  <c r="G34" i="3"/>
  <c r="C34" i="3"/>
  <c r="F34" i="3"/>
  <c r="E34" i="3"/>
  <c r="Q24" i="21"/>
  <c r="I10" i="21"/>
  <c r="G15" i="3"/>
  <c r="C15" i="3"/>
  <c r="F15" i="3"/>
  <c r="E15" i="3"/>
  <c r="D15" i="3"/>
  <c r="G19" i="3"/>
  <c r="C19" i="3"/>
  <c r="E19" i="3"/>
  <c r="F19" i="3"/>
  <c r="D19" i="3"/>
  <c r="E21" i="3"/>
  <c r="C21" i="3"/>
  <c r="D21" i="3"/>
  <c r="G21" i="3"/>
  <c r="F21" i="3"/>
  <c r="F24" i="21"/>
  <c r="F28" i="21"/>
  <c r="E33" i="3"/>
  <c r="G33" i="3"/>
  <c r="D33" i="3"/>
  <c r="C33" i="3"/>
  <c r="F33" i="3"/>
  <c r="D18" i="21"/>
  <c r="M25" i="21"/>
  <c r="AF26" i="23" s="1"/>
  <c r="C26" i="21"/>
  <c r="E27" i="21"/>
  <c r="F29" i="21"/>
  <c r="Q27" i="21"/>
  <c r="H10" i="21"/>
  <c r="M14" i="21"/>
  <c r="AF15" i="23" s="1"/>
  <c r="L16" i="21"/>
  <c r="E25" i="21"/>
  <c r="H26" i="21"/>
  <c r="I28" i="21"/>
  <c r="M29" i="21"/>
  <c r="AF30" i="23" s="1"/>
  <c r="L300" i="21"/>
  <c r="I15" i="21"/>
  <c r="L21" i="21"/>
  <c r="H21" i="21"/>
  <c r="E14" i="21"/>
  <c r="M18" i="21"/>
  <c r="AF19" i="23" s="1"/>
  <c r="E19" i="21"/>
  <c r="C21" i="21"/>
  <c r="I21" i="21"/>
  <c r="G26" i="21"/>
  <c r="D27" i="21"/>
  <c r="G29" i="21"/>
  <c r="L13" i="21"/>
  <c r="M13" i="21"/>
  <c r="AF14" i="23" s="1"/>
  <c r="D13" i="21"/>
  <c r="H17" i="21"/>
  <c r="I11" i="21"/>
  <c r="C13" i="21"/>
  <c r="C17" i="21"/>
  <c r="I17" i="21"/>
  <c r="M22" i="21"/>
  <c r="AF23" i="23" s="1"/>
  <c r="D22" i="21"/>
  <c r="M10" i="21"/>
  <c r="AF11" i="23" s="1"/>
  <c r="E10" i="21"/>
  <c r="E11" i="21"/>
  <c r="E13" i="21"/>
  <c r="D17" i="21"/>
  <c r="E22" i="21"/>
  <c r="F25" i="21"/>
  <c r="L27" i="21"/>
  <c r="H27" i="21"/>
  <c r="C27" i="21"/>
  <c r="I27" i="21"/>
  <c r="H13" i="21"/>
  <c r="L17" i="21"/>
  <c r="M17" i="21"/>
  <c r="AF18" i="23" s="1"/>
  <c r="E17" i="21"/>
  <c r="D10" i="21"/>
  <c r="G13" i="21"/>
  <c r="G17" i="21"/>
  <c r="H22" i="21"/>
  <c r="L23" i="21"/>
  <c r="E23" i="21"/>
  <c r="L25" i="21"/>
  <c r="L26" i="21"/>
  <c r="D26" i="21"/>
  <c r="M26" i="21"/>
  <c r="AF27" i="23" s="1"/>
  <c r="M27" i="21"/>
  <c r="AF28" i="23" s="1"/>
  <c r="C29" i="21"/>
  <c r="Q29" i="21"/>
  <c r="I14" i="21"/>
  <c r="I18" i="21"/>
  <c r="G21" i="21"/>
  <c r="I12" i="21"/>
  <c r="E12" i="21"/>
  <c r="H12" i="21"/>
  <c r="D12" i="21"/>
  <c r="Q12" i="21"/>
  <c r="M12" i="21"/>
  <c r="AF13" i="23" s="1"/>
  <c r="G12" i="21"/>
  <c r="C12" i="21"/>
  <c r="F12" i="21"/>
  <c r="I20" i="21"/>
  <c r="E20" i="21"/>
  <c r="H20" i="21"/>
  <c r="D20" i="21"/>
  <c r="M20" i="21"/>
  <c r="AF21" i="23" s="1"/>
  <c r="G20" i="21"/>
  <c r="C20" i="21"/>
  <c r="L12" i="21"/>
  <c r="I16" i="21"/>
  <c r="E16" i="21"/>
  <c r="H16" i="21"/>
  <c r="D16" i="21"/>
  <c r="M16" i="21"/>
  <c r="AF17" i="23" s="1"/>
  <c r="G16" i="21"/>
  <c r="C16" i="21"/>
  <c r="Q16" i="21"/>
  <c r="F20" i="21"/>
  <c r="F16" i="21"/>
  <c r="L20" i="21"/>
  <c r="F11" i="21"/>
  <c r="L11" i="21"/>
  <c r="F15" i="21"/>
  <c r="L15" i="21"/>
  <c r="F19" i="21"/>
  <c r="L19" i="21"/>
  <c r="F23" i="21"/>
  <c r="M23" i="21"/>
  <c r="AF24" i="23" s="1"/>
  <c r="F10" i="21"/>
  <c r="L10" i="21"/>
  <c r="C11" i="21"/>
  <c r="G11" i="21"/>
  <c r="M11" i="21"/>
  <c r="AF12" i="23" s="1"/>
  <c r="I13" i="21"/>
  <c r="F14" i="21"/>
  <c r="L14" i="21"/>
  <c r="C15" i="21"/>
  <c r="G15" i="21"/>
  <c r="M15" i="21"/>
  <c r="AF16" i="23" s="1"/>
  <c r="F18" i="21"/>
  <c r="L18" i="21"/>
  <c r="C19" i="21"/>
  <c r="G19" i="21"/>
  <c r="M19" i="21"/>
  <c r="AF20" i="23" s="1"/>
  <c r="F22" i="21"/>
  <c r="L22" i="21"/>
  <c r="C23" i="21"/>
  <c r="G23" i="21"/>
  <c r="M24" i="21"/>
  <c r="AF25" i="23" s="1"/>
  <c r="G24" i="21"/>
  <c r="C24" i="21"/>
  <c r="H24" i="21"/>
  <c r="H25" i="21"/>
  <c r="D25" i="21"/>
  <c r="G25" i="21"/>
  <c r="H28" i="21"/>
  <c r="D28" i="21"/>
  <c r="M28" i="21"/>
  <c r="AF29" i="23" s="1"/>
  <c r="G28" i="21"/>
  <c r="C28" i="21"/>
  <c r="L28" i="21"/>
  <c r="C10" i="21"/>
  <c r="G10" i="21"/>
  <c r="D11" i="21"/>
  <c r="H11" i="21"/>
  <c r="F13" i="21"/>
  <c r="C14" i="21"/>
  <c r="G14" i="21"/>
  <c r="D15" i="21"/>
  <c r="H15" i="21"/>
  <c r="F17" i="21"/>
  <c r="C18" i="21"/>
  <c r="G18" i="21"/>
  <c r="D19" i="21"/>
  <c r="H19" i="21"/>
  <c r="F21" i="21"/>
  <c r="C22" i="21"/>
  <c r="G22" i="21"/>
  <c r="D23" i="21"/>
  <c r="H23" i="21"/>
  <c r="D24" i="21"/>
  <c r="I24" i="21"/>
  <c r="C25" i="21"/>
  <c r="I25" i="21"/>
  <c r="E28" i="21"/>
  <c r="I29" i="21"/>
  <c r="E29" i="21"/>
  <c r="H29" i="21"/>
  <c r="D29" i="21"/>
  <c r="L29" i="21"/>
  <c r="E26" i="21"/>
  <c r="I26" i="21"/>
  <c r="F27" i="21"/>
  <c r="F26" i="21"/>
  <c r="J13" i="21"/>
  <c r="Q14" i="21"/>
  <c r="S17" i="21"/>
  <c r="T17" i="21"/>
  <c r="B18" i="23" s="1"/>
  <c r="T28" i="21"/>
  <c r="B29" i="23" s="1"/>
  <c r="P28" i="21"/>
  <c r="S28" i="21"/>
  <c r="K28" i="21"/>
  <c r="AK29" i="23" s="1"/>
  <c r="Q28" i="21"/>
  <c r="U28" i="21"/>
  <c r="E9" i="21"/>
  <c r="F9" i="21" s="1"/>
  <c r="G9" i="21" s="1"/>
  <c r="H9" i="21" s="1"/>
  <c r="I9" i="21" s="1"/>
  <c r="J9" i="21" s="1"/>
  <c r="Q10" i="21"/>
  <c r="E37" i="21" s="1"/>
  <c r="H61" i="23" s="1"/>
  <c r="Q11" i="21"/>
  <c r="R12" i="21"/>
  <c r="T14" i="21"/>
  <c r="B15" i="23" s="1"/>
  <c r="K14" i="21"/>
  <c r="AK15" i="23" s="1"/>
  <c r="S14" i="21"/>
  <c r="R14" i="21"/>
  <c r="J14" i="21"/>
  <c r="R16" i="21"/>
  <c r="K17" i="21"/>
  <c r="AK18" i="23" s="1"/>
  <c r="T18" i="21"/>
  <c r="B19" i="23" s="1"/>
  <c r="K18" i="21"/>
  <c r="AK19" i="23" s="1"/>
  <c r="S18" i="21"/>
  <c r="R18" i="21"/>
  <c r="J18" i="21"/>
  <c r="J22" i="21"/>
  <c r="Q23" i="21"/>
  <c r="T23" i="21"/>
  <c r="B24" i="23" s="1"/>
  <c r="P23" i="21"/>
  <c r="U23" i="21"/>
  <c r="S23" i="21"/>
  <c r="K23" i="21"/>
  <c r="AK24" i="23" s="1"/>
  <c r="R23" i="21"/>
  <c r="J24" i="21"/>
  <c r="J28" i="21"/>
  <c r="R13" i="21"/>
  <c r="J17" i="21"/>
  <c r="Q18" i="21"/>
  <c r="Q22" i="21"/>
  <c r="T22" i="21"/>
  <c r="B23" i="23" s="1"/>
  <c r="P22" i="21"/>
  <c r="U22" i="21"/>
  <c r="S22" i="21"/>
  <c r="K22" i="21"/>
  <c r="AK23" i="23" s="1"/>
  <c r="Q26" i="21"/>
  <c r="S10" i="21"/>
  <c r="E39" i="21" s="1"/>
  <c r="H63" i="23" s="1"/>
  <c r="P10" i="21"/>
  <c r="K10" i="21"/>
  <c r="AK11" i="23" s="1"/>
  <c r="T15" i="21"/>
  <c r="B16" i="23" s="1"/>
  <c r="K15" i="21"/>
  <c r="AK16" i="23" s="1"/>
  <c r="S15" i="21"/>
  <c r="R15" i="21"/>
  <c r="J15" i="21"/>
  <c r="R17" i="21"/>
  <c r="P19" i="21"/>
  <c r="S19" i="21"/>
  <c r="R19" i="21"/>
  <c r="J19" i="21"/>
  <c r="T19" i="21"/>
  <c r="B20" i="23" s="1"/>
  <c r="Q20" i="21"/>
  <c r="K20" i="21"/>
  <c r="AK21" i="23" s="1"/>
  <c r="S20" i="21"/>
  <c r="P20" i="21"/>
  <c r="T20" i="21"/>
  <c r="B21" i="23" s="1"/>
  <c r="R20" i="21"/>
  <c r="R28" i="21"/>
  <c r="S11" i="21"/>
  <c r="P11" i="21"/>
  <c r="J11" i="21"/>
  <c r="T11" i="21"/>
  <c r="B12" i="23" s="1"/>
  <c r="R11" i="21"/>
  <c r="T13" i="21"/>
  <c r="B14" i="23" s="1"/>
  <c r="P13" i="21"/>
  <c r="S13" i="21"/>
  <c r="K13" i="21"/>
  <c r="AK14" i="23" s="1"/>
  <c r="K11" i="21"/>
  <c r="AK12" i="23" s="1"/>
  <c r="U11" i="21"/>
  <c r="K12" i="21"/>
  <c r="AK13" i="23" s="1"/>
  <c r="S12" i="21"/>
  <c r="T12" i="21"/>
  <c r="B13" i="23" s="1"/>
  <c r="J12" i="21"/>
  <c r="Q13" i="21"/>
  <c r="U13" i="21" s="1"/>
  <c r="T16" i="21"/>
  <c r="B17" i="23" s="1"/>
  <c r="K16" i="21"/>
  <c r="AK17" i="23" s="1"/>
  <c r="S16" i="21"/>
  <c r="J16" i="21"/>
  <c r="Q17" i="21"/>
  <c r="Q21" i="21"/>
  <c r="J21" i="21"/>
  <c r="K21" i="21"/>
  <c r="AK22" i="23" s="1"/>
  <c r="S21" i="21"/>
  <c r="P21" i="21"/>
  <c r="T21" i="21"/>
  <c r="B22" i="23" s="1"/>
  <c r="R21" i="21"/>
  <c r="R22" i="21"/>
  <c r="S24" i="21"/>
  <c r="P24" i="21"/>
  <c r="K24" i="21"/>
  <c r="AK25" i="23" s="1"/>
  <c r="T24" i="21"/>
  <c r="B25" i="23" s="1"/>
  <c r="U24" i="21"/>
  <c r="R24" i="21"/>
  <c r="J25" i="21"/>
  <c r="T29" i="21"/>
  <c r="B30" i="23" s="1"/>
  <c r="P29" i="21"/>
  <c r="S29" i="21"/>
  <c r="K29" i="21"/>
  <c r="AK30" i="23" s="1"/>
  <c r="J29" i="21"/>
  <c r="R29" i="21"/>
  <c r="K25" i="21"/>
  <c r="AK26" i="23" s="1"/>
  <c r="Q25" i="21"/>
  <c r="P26" i="21"/>
  <c r="S26" i="21"/>
  <c r="R26" i="21"/>
  <c r="J26" i="21"/>
  <c r="T26" i="21"/>
  <c r="B27" i="23" s="1"/>
  <c r="S25" i="21"/>
  <c r="R25" i="21"/>
  <c r="T25" i="21"/>
  <c r="B26" i="23" s="1"/>
  <c r="T27" i="21"/>
  <c r="B28" i="23" s="1"/>
  <c r="P27" i="21"/>
  <c r="S27" i="21"/>
  <c r="K27" i="21"/>
  <c r="AK28" i="23" s="1"/>
  <c r="J27" i="21"/>
  <c r="R27" i="21"/>
  <c r="O36" i="21"/>
  <c r="Q36" i="21" s="1"/>
  <c r="O61" i="23"/>
  <c r="A14" i="24" l="1"/>
  <c r="A38" i="24"/>
  <c r="C98" i="24"/>
  <c r="D85" i="11"/>
  <c r="D87" i="11"/>
  <c r="D88" i="11"/>
  <c r="F70" i="11"/>
  <c r="D77" i="11"/>
  <c r="D79" i="11"/>
  <c r="D83" i="11"/>
  <c r="D79" i="24"/>
  <c r="D81" i="11"/>
  <c r="D82" i="11"/>
  <c r="D71" i="11"/>
  <c r="D75" i="11"/>
  <c r="D86" i="11"/>
  <c r="D74" i="11"/>
  <c r="D78" i="11"/>
  <c r="D72" i="11"/>
  <c r="D89" i="11"/>
  <c r="D84" i="11"/>
  <c r="D80" i="11"/>
  <c r="D76" i="24"/>
  <c r="AI190" i="21"/>
  <c r="H5" i="23"/>
  <c r="AG60" i="23"/>
  <c r="S36" i="21"/>
  <c r="T36" i="21"/>
  <c r="C146" i="23"/>
  <c r="R106" i="23"/>
  <c r="AA106" i="23" s="1"/>
  <c r="L108" i="23" s="1"/>
  <c r="AA108" i="23" s="1"/>
  <c r="H118" i="23"/>
  <c r="H148" i="23"/>
  <c r="S136" i="23"/>
  <c r="AB136" i="23" s="1"/>
  <c r="L138" i="23" s="1"/>
  <c r="AB138" i="23" s="1"/>
  <c r="A12" i="11"/>
  <c r="A37" i="11" s="1"/>
  <c r="M4" i="21"/>
  <c r="N4" i="21" s="1"/>
  <c r="C12" i="24" s="1"/>
  <c r="A36" i="24"/>
  <c r="A37" i="24" s="1"/>
  <c r="O300" i="21"/>
  <c r="A35" i="11"/>
  <c r="Q55" i="33"/>
  <c r="Q50" i="33"/>
  <c r="Q53" i="33"/>
  <c r="Q52" i="33"/>
  <c r="Q48" i="33"/>
  <c r="Q38" i="33"/>
  <c r="Q36" i="33"/>
  <c r="Q37" i="33"/>
  <c r="Q45" i="33"/>
  <c r="Q47" i="33"/>
  <c r="Q43" i="33"/>
  <c r="Q54" i="33"/>
  <c r="Q51" i="33"/>
  <c r="Q42" i="33"/>
  <c r="Q39" i="33"/>
  <c r="Q49" i="33"/>
  <c r="Q44" i="33"/>
  <c r="Q40" i="33"/>
  <c r="O4" i="21"/>
  <c r="I47" i="21" s="1"/>
  <c r="L47" i="21" s="1"/>
  <c r="Q47" i="21" s="1"/>
  <c r="O38" i="21"/>
  <c r="Q38" i="21" s="1"/>
  <c r="U21" i="21"/>
  <c r="U20" i="21"/>
  <c r="K26" i="21"/>
  <c r="AK27" i="23" s="1"/>
  <c r="P12" i="21"/>
  <c r="K19" i="21"/>
  <c r="AK20" i="23" s="1"/>
  <c r="T10" i="21"/>
  <c r="B11" i="23" s="1"/>
  <c r="E4" i="21"/>
  <c r="H34" i="21" s="1"/>
  <c r="D4" i="21"/>
  <c r="J23" i="21"/>
  <c r="U18" i="21"/>
  <c r="P17" i="21"/>
  <c r="U17" i="21" s="1"/>
  <c r="P25" i="21"/>
  <c r="U25" i="21" s="1"/>
  <c r="U12" i="21"/>
  <c r="P16" i="21"/>
  <c r="U16" i="21" s="1"/>
  <c r="P15" i="21"/>
  <c r="U15" i="21" s="1"/>
  <c r="R10" i="21"/>
  <c r="P18" i="21"/>
  <c r="P14" i="21"/>
  <c r="U14" i="21" s="1"/>
  <c r="U10" i="21"/>
  <c r="U26" i="21"/>
  <c r="J20" i="21"/>
  <c r="U19" i="21"/>
  <c r="J10" i="21"/>
  <c r="G11" i="11" l="1"/>
  <c r="Z28" i="21"/>
  <c r="Z11" i="21"/>
  <c r="Z26" i="21"/>
  <c r="Z18" i="21"/>
  <c r="Z10" i="21"/>
  <c r="Y22" i="21"/>
  <c r="Y14" i="21"/>
  <c r="Z25" i="21"/>
  <c r="Z17" i="21"/>
  <c r="Y29" i="21"/>
  <c r="Y21" i="21"/>
  <c r="Y13" i="21"/>
  <c r="Z12" i="21"/>
  <c r="Y16" i="21"/>
  <c r="Z27" i="21"/>
  <c r="Y23" i="21"/>
  <c r="Z24" i="21"/>
  <c r="Z16" i="21"/>
  <c r="Y28" i="21"/>
  <c r="Y20" i="21"/>
  <c r="Y12" i="21"/>
  <c r="Z23" i="21"/>
  <c r="Z15" i="21"/>
  <c r="Y27" i="21"/>
  <c r="Y19" i="21"/>
  <c r="Y11" i="21"/>
  <c r="Z20" i="21"/>
  <c r="Y24" i="21"/>
  <c r="Z19" i="21"/>
  <c r="Y15" i="21"/>
  <c r="AP60" i="23"/>
  <c r="AC201" i="23" s="1"/>
  <c r="AG62" i="23"/>
  <c r="S38" i="21"/>
  <c r="T38" i="21"/>
  <c r="Y10" i="21"/>
  <c r="Z22" i="21"/>
  <c r="Z14" i="21"/>
  <c r="Y26" i="21"/>
  <c r="Y18" i="21"/>
  <c r="Z29" i="21"/>
  <c r="Z21" i="21"/>
  <c r="Z13" i="21"/>
  <c r="Y25" i="21"/>
  <c r="Y17" i="21"/>
  <c r="Q86" i="23"/>
  <c r="R87" i="23" s="1"/>
  <c r="X87" i="23" s="1"/>
  <c r="O92" i="23" s="1"/>
  <c r="V92" i="23" s="1"/>
  <c r="P302" i="21"/>
  <c r="Q302" i="21" s="1"/>
  <c r="P301" i="21"/>
  <c r="Q301" i="21" s="1"/>
  <c r="P300" i="21"/>
  <c r="Q300" i="21" s="1"/>
  <c r="H40" i="21"/>
  <c r="G34" i="21"/>
  <c r="Y72" i="23" s="1"/>
  <c r="P74" i="23" s="1"/>
  <c r="I34" i="21"/>
  <c r="AB72" i="23" s="1"/>
  <c r="S74" i="23" s="1"/>
  <c r="J34" i="21"/>
  <c r="P75" i="23" s="1"/>
  <c r="I35" i="21"/>
  <c r="AP62" i="23"/>
  <c r="H202" i="23" s="1"/>
  <c r="H35" i="21"/>
  <c r="J4" i="21"/>
  <c r="K4" i="21"/>
  <c r="W36" i="21" s="1"/>
  <c r="C12" i="3"/>
  <c r="W38" i="21" l="1"/>
  <c r="AC186" i="23"/>
  <c r="S187" i="23" s="1"/>
  <c r="W41" i="21"/>
  <c r="K35" i="21"/>
  <c r="T162" i="23"/>
  <c r="Y162" i="23" s="1"/>
  <c r="O167" i="23" s="1"/>
  <c r="V167" i="23" s="1"/>
  <c r="K40" i="21"/>
  <c r="AF74" i="23"/>
  <c r="AC74" i="23"/>
  <c r="A15" i="24"/>
  <c r="AE9" i="21"/>
  <c r="L22" i="33"/>
  <c r="L31" i="33"/>
  <c r="L30" i="33"/>
  <c r="L19" i="33"/>
  <c r="H42" i="21"/>
  <c r="E48" i="21"/>
  <c r="E47" i="21"/>
  <c r="R300" i="21"/>
  <c r="A48" i="13" s="1"/>
  <c r="R114" i="21"/>
  <c r="U115" i="21" s="1"/>
  <c r="A13" i="11"/>
  <c r="A14" i="11" s="1"/>
  <c r="L34" i="21"/>
  <c r="T58" i="23" s="1"/>
  <c r="K34" i="21"/>
  <c r="O58" i="23" s="1"/>
  <c r="L4" i="21"/>
  <c r="P4" i="21"/>
  <c r="C48" i="21" s="1"/>
  <c r="R4" i="21"/>
  <c r="F48" i="21" s="1"/>
  <c r="Q4" i="21"/>
  <c r="D48" i="21" s="1"/>
  <c r="E38" i="21"/>
  <c r="H62" i="23" s="1"/>
  <c r="E35" i="21"/>
  <c r="H59" i="23" s="1"/>
  <c r="I85" i="23" s="1"/>
  <c r="E36" i="21"/>
  <c r="H60" i="23" s="1"/>
  <c r="E34" i="21"/>
  <c r="H58" i="23" s="1"/>
  <c r="I71" i="23" s="1"/>
  <c r="V209" i="23"/>
  <c r="AF209" i="23"/>
  <c r="O59" i="23" l="1"/>
  <c r="S35" i="21"/>
  <c r="W35" i="21" s="1"/>
  <c r="AU209" i="23"/>
  <c r="Y41" i="21"/>
  <c r="X41" i="21"/>
  <c r="O64" i="23"/>
  <c r="S40" i="21"/>
  <c r="W40" i="21" s="1"/>
  <c r="L23" i="33"/>
  <c r="P161" i="23"/>
  <c r="R189" i="23"/>
  <c r="O190" i="23" s="1"/>
  <c r="U190" i="23" s="1"/>
  <c r="O195" i="23" s="1"/>
  <c r="V195" i="23" s="1"/>
  <c r="K42" i="21"/>
  <c r="L14" i="33"/>
  <c r="H97" i="23"/>
  <c r="R122" i="23"/>
  <c r="AD122" i="23" s="1"/>
  <c r="L124" i="23" s="1"/>
  <c r="AA124" i="23" s="1"/>
  <c r="S152" i="23"/>
  <c r="AE152" i="23" s="1"/>
  <c r="L154" i="23" s="1"/>
  <c r="Z154" i="23" s="1"/>
  <c r="H130" i="23"/>
  <c r="L20" i="33"/>
  <c r="G48" i="21"/>
  <c r="L27" i="33"/>
  <c r="L16" i="33"/>
  <c r="L26" i="33"/>
  <c r="L33" i="33"/>
  <c r="L21" i="33"/>
  <c r="L18" i="33"/>
  <c r="L28" i="33"/>
  <c r="L32" i="33"/>
  <c r="L29" i="33"/>
  <c r="L17" i="33"/>
  <c r="L24" i="33"/>
  <c r="L25" i="33"/>
  <c r="L15" i="33"/>
  <c r="Y38" i="21"/>
  <c r="AP59" i="23"/>
  <c r="V201" i="23" s="1"/>
  <c r="S34" i="21"/>
  <c r="AP58" i="23" s="1"/>
  <c r="T34" i="21"/>
  <c r="AU58" i="23" s="1"/>
  <c r="Y36" i="21"/>
  <c r="X38" i="21"/>
  <c r="AP209" i="23"/>
  <c r="O39" i="21"/>
  <c r="O37" i="21"/>
  <c r="E43" i="21"/>
  <c r="H67" i="23" s="1"/>
  <c r="X36" i="21"/>
  <c r="AP64" i="23" l="1"/>
  <c r="AB202" i="23" s="1"/>
  <c r="O66" i="23"/>
  <c r="S42" i="21"/>
  <c r="W42" i="21" s="1"/>
  <c r="O79" i="23"/>
  <c r="AD79" i="23" s="1"/>
  <c r="F201" i="23"/>
  <c r="T79" i="23"/>
  <c r="AI79" i="23" s="1"/>
  <c r="M201" i="23"/>
  <c r="Q209" i="23"/>
  <c r="S43" i="21"/>
  <c r="AP67" i="23" s="1"/>
  <c r="F203" i="23" s="1"/>
  <c r="F205" i="23" s="1"/>
  <c r="M223" i="23" s="1"/>
  <c r="T43" i="21"/>
  <c r="W34" i="21"/>
  <c r="Z35" i="21"/>
  <c r="Y40" i="21"/>
  <c r="Q37" i="21"/>
  <c r="Q39" i="21"/>
  <c r="X35" i="21"/>
  <c r="A28" i="30"/>
  <c r="A14" i="30"/>
  <c r="AP66" i="23" l="1"/>
  <c r="AR202" i="23" s="1"/>
  <c r="L209" i="23"/>
  <c r="W43" i="21"/>
  <c r="S39" i="21"/>
  <c r="T39" i="21"/>
  <c r="W39" i="21" s="1"/>
  <c r="S37" i="21"/>
  <c r="T37" i="21"/>
  <c r="W37" i="21" s="1"/>
  <c r="AG61" i="23"/>
  <c r="AG63" i="23"/>
  <c r="AU67" i="23"/>
  <c r="M203" i="23" s="1"/>
  <c r="K205" i="23" s="1"/>
  <c r="R223" i="23" s="1"/>
  <c r="AZ209" i="23"/>
  <c r="Z34" i="21"/>
  <c r="Z43" i="21" s="1"/>
  <c r="F52" i="21" s="1"/>
  <c r="A13" i="30"/>
  <c r="A21" i="30"/>
  <c r="A19" i="30"/>
  <c r="A27" i="30"/>
  <c r="A17" i="30"/>
  <c r="A25" i="30"/>
  <c r="A15" i="30"/>
  <c r="A23" i="30"/>
  <c r="A10" i="30"/>
  <c r="A12" i="30"/>
  <c r="A9" i="30"/>
  <c r="A11" i="30"/>
  <c r="A16" i="30"/>
  <c r="A18" i="30"/>
  <c r="A20" i="30"/>
  <c r="A22" i="30"/>
  <c r="A24" i="30"/>
  <c r="A26" i="30"/>
  <c r="AP61" i="23" l="1"/>
  <c r="AM201" i="23" s="1"/>
  <c r="AA209" i="23"/>
  <c r="AP63" i="23"/>
  <c r="R202" i="23" s="1"/>
  <c r="AK209" i="23"/>
  <c r="Y42" i="21"/>
  <c r="Y39" i="21" l="1"/>
  <c r="X39" i="21"/>
  <c r="L208" i="23"/>
  <c r="Y37" i="21"/>
  <c r="C61" i="21" s="1"/>
  <c r="X37" i="21"/>
  <c r="X43" i="21" s="1"/>
  <c r="V43" i="21" l="1"/>
  <c r="BC67" i="23" s="1"/>
  <c r="BE208" i="23" s="1"/>
  <c r="C60" i="21"/>
  <c r="C58" i="21"/>
  <c r="C59" i="21"/>
  <c r="C57" i="21"/>
  <c r="C55" i="21"/>
  <c r="C56" i="21"/>
  <c r="C53" i="21"/>
  <c r="E54" i="21" s="1"/>
  <c r="E56" i="21" s="1"/>
  <c r="C54" i="21"/>
  <c r="Y43" i="21"/>
  <c r="E52" i="21" s="1"/>
  <c r="G52" i="21" s="1"/>
  <c r="F54" i="21" l="1"/>
  <c r="F56" i="21" s="1"/>
  <c r="E53" i="21"/>
  <c r="C8" i="3"/>
  <c r="G56" i="21" l="1"/>
  <c r="G53" i="21"/>
  <c r="E57" i="21" s="1"/>
  <c r="G34" i="33" s="1"/>
  <c r="B25" i="3"/>
  <c r="B16" i="3"/>
  <c r="B32" i="3"/>
  <c r="B23" i="3"/>
  <c r="B27" i="3"/>
  <c r="B31" i="3"/>
  <c r="B21" i="3"/>
  <c r="B29" i="3"/>
  <c r="B33" i="3"/>
  <c r="B20" i="3"/>
  <c r="B24" i="3"/>
  <c r="B28" i="3"/>
  <c r="B22" i="3"/>
  <c r="B26" i="3"/>
  <c r="B30" i="3"/>
  <c r="B17" i="3"/>
  <c r="B19" i="3"/>
  <c r="D8" i="3"/>
  <c r="B18" i="3"/>
  <c r="B34" i="3"/>
  <c r="E58" i="21" l="1"/>
  <c r="I223" i="23" s="1"/>
  <c r="B15" i="3"/>
  <c r="D47" i="21" l="1"/>
  <c r="AF223" i="23" s="1"/>
  <c r="AS223" i="23" s="1"/>
  <c r="C47" i="21"/>
  <c r="AA223" i="23" s="1"/>
  <c r="AO223" i="23" s="1"/>
  <c r="H34" i="33"/>
  <c r="B8" i="3"/>
  <c r="G47" i="21" l="1"/>
  <c r="C9" i="25"/>
  <c r="C8" i="25"/>
  <c r="C7" i="25"/>
  <c r="C6" i="25"/>
  <c r="H47" i="21" l="1"/>
  <c r="U47" i="21" s="1"/>
  <c r="H17" i="30"/>
  <c r="H23" i="30"/>
  <c r="H9" i="30"/>
  <c r="H16" i="30"/>
  <c r="H20" i="30"/>
  <c r="H26" i="30"/>
  <c r="H10" i="30"/>
  <c r="H11" i="30"/>
  <c r="H13" i="30"/>
  <c r="H25" i="30"/>
  <c r="H19" i="30"/>
  <c r="H28" i="30"/>
  <c r="H14" i="30"/>
  <c r="H15" i="30"/>
  <c r="H22" i="30"/>
  <c r="H27" i="30"/>
  <c r="H21" i="30"/>
  <c r="H12" i="30"/>
  <c r="H18" i="30"/>
  <c r="H24" i="30"/>
  <c r="R47" i="21" l="1"/>
  <c r="H48" i="21"/>
  <c r="J47" i="21"/>
  <c r="M47" i="21" s="1"/>
  <c r="N47" i="21" s="1"/>
  <c r="T114" i="21"/>
  <c r="U114" i="21" s="1"/>
  <c r="V115" i="21" s="1"/>
  <c r="Z115" i="21" s="1"/>
  <c r="U48" i="21"/>
  <c r="C9" i="24"/>
  <c r="C8" i="24"/>
  <c r="C7" i="24"/>
  <c r="C6" i="24"/>
  <c r="A4" i="24"/>
  <c r="H4" i="3"/>
  <c r="E4" i="3"/>
  <c r="C4" i="3"/>
  <c r="H3" i="3"/>
  <c r="E3" i="3"/>
  <c r="C3" i="3"/>
  <c r="K47" i="21" l="1"/>
  <c r="T47" i="21" s="1"/>
  <c r="P47" i="21"/>
  <c r="O47" i="21"/>
  <c r="S47" i="21" s="1"/>
  <c r="Y115" i="21"/>
  <c r="E36" i="11"/>
  <c r="X115" i="21"/>
  <c r="W115" i="21"/>
  <c r="F37" i="24"/>
  <c r="C9" i="11"/>
  <c r="C8" i="11"/>
  <c r="C7" i="11"/>
  <c r="C6" i="11"/>
  <c r="T48" i="21" l="1"/>
  <c r="S114" i="21"/>
  <c r="Q41" i="33" s="1"/>
  <c r="AF10" i="21"/>
  <c r="Q14" i="33" s="1"/>
  <c r="AF12" i="21"/>
  <c r="Q16" i="33" s="1"/>
  <c r="AF16" i="21"/>
  <c r="Q20" i="33" s="1"/>
  <c r="AF20" i="21"/>
  <c r="Q24" i="33" s="1"/>
  <c r="AF24" i="21"/>
  <c r="Q28" i="33" s="1"/>
  <c r="AF28" i="21"/>
  <c r="Q32" i="33" s="1"/>
  <c r="AF21" i="21"/>
  <c r="Q25" i="33" s="1"/>
  <c r="AF25" i="21"/>
  <c r="Q29" i="33" s="1"/>
  <c r="AF14" i="21"/>
  <c r="Q18" i="33" s="1"/>
  <c r="AF18" i="21"/>
  <c r="Q22" i="33" s="1"/>
  <c r="AF26" i="21"/>
  <c r="Q30" i="33" s="1"/>
  <c r="AF11" i="21"/>
  <c r="Q15" i="33" s="1"/>
  <c r="AF15" i="21"/>
  <c r="Q19" i="33" s="1"/>
  <c r="AF19" i="21"/>
  <c r="Q23" i="33" s="1"/>
  <c r="AF23" i="21"/>
  <c r="Q27" i="33" s="1"/>
  <c r="AF27" i="21"/>
  <c r="Q31" i="33" s="1"/>
  <c r="AF13" i="21"/>
  <c r="Q17" i="33" s="1"/>
  <c r="AF17" i="21"/>
  <c r="Q21" i="33" s="1"/>
  <c r="AF29" i="21"/>
  <c r="Q33" i="33" s="1"/>
  <c r="AF22" i="21"/>
  <c r="AC28" i="21"/>
  <c r="AA10" i="21"/>
  <c r="AA12" i="21"/>
  <c r="AA11" i="21"/>
  <c r="AC26" i="21"/>
  <c r="AA20" i="21"/>
  <c r="AB29" i="21"/>
  <c r="AB13" i="21"/>
  <c r="AA27" i="21"/>
  <c r="AD11" i="21"/>
  <c r="AC13" i="21"/>
  <c r="AB11" i="21"/>
  <c r="AD15" i="21"/>
  <c r="AC29" i="21"/>
  <c r="AC10" i="21"/>
  <c r="AD19" i="21"/>
  <c r="AD10" i="21"/>
  <c r="AA14" i="21"/>
  <c r="AC18" i="21"/>
  <c r="AC24" i="21"/>
  <c r="AA28" i="21"/>
  <c r="AB19" i="21"/>
  <c r="AB23" i="21"/>
  <c r="AB14" i="21"/>
  <c r="AB20" i="21"/>
  <c r="AA26" i="21"/>
  <c r="AA21" i="21"/>
  <c r="AB22" i="21"/>
  <c r="AD12" i="21"/>
  <c r="AA25" i="21"/>
  <c r="AC20" i="21"/>
  <c r="AC15" i="21"/>
  <c r="AB25" i="21"/>
  <c r="AC17" i="21"/>
  <c r="AD16" i="21"/>
  <c r="AB12" i="21"/>
  <c r="AD18" i="21"/>
  <c r="AC12" i="21"/>
  <c r="AC14" i="21"/>
  <c r="AC19" i="21"/>
  <c r="AB10" i="21"/>
  <c r="AD17" i="21"/>
  <c r="AD24" i="21"/>
  <c r="AD25" i="21"/>
  <c r="AB21" i="21"/>
  <c r="AB18" i="21"/>
  <c r="AC23" i="21"/>
  <c r="AB27" i="21"/>
  <c r="AA15" i="21"/>
  <c r="AC25" i="21"/>
  <c r="AA19" i="21"/>
  <c r="AD21" i="21"/>
  <c r="AD20" i="21"/>
  <c r="AC21" i="21"/>
  <c r="AA17" i="21"/>
  <c r="AA29" i="21"/>
  <c r="AD14" i="21"/>
  <c r="AB17" i="21"/>
  <c r="AA24" i="21"/>
  <c r="AD13" i="21"/>
  <c r="AB16" i="21"/>
  <c r="AB24" i="21"/>
  <c r="AA18" i="21"/>
  <c r="AB28" i="21"/>
  <c r="AD22" i="21"/>
  <c r="AB15" i="21"/>
  <c r="AD26" i="21"/>
  <c r="AB26" i="21"/>
  <c r="AC22" i="21"/>
  <c r="AA16" i="21"/>
  <c r="AA22" i="21"/>
  <c r="AA13" i="21"/>
  <c r="AD28" i="21"/>
  <c r="AC27" i="21"/>
  <c r="AD29" i="21"/>
  <c r="AD23" i="21"/>
  <c r="AC11" i="21"/>
  <c r="AC16" i="21"/>
  <c r="AA23" i="21"/>
  <c r="AD27" i="21"/>
  <c r="A39" i="24"/>
  <c r="C39" i="24"/>
  <c r="F38" i="24"/>
  <c r="Q26" i="33"/>
  <c r="D37" i="11"/>
  <c r="E38" i="24"/>
  <c r="E37" i="11"/>
  <c r="E37" i="24"/>
  <c r="A4" i="11"/>
  <c r="H27" i="33" l="1"/>
  <c r="G22" i="30"/>
  <c r="H17" i="33"/>
  <c r="G12" i="30"/>
  <c r="C35" i="24"/>
  <c r="F33" i="33"/>
  <c r="C34" i="11"/>
  <c r="E28" i="30"/>
  <c r="H29" i="33"/>
  <c r="G24" i="30"/>
  <c r="D18" i="24"/>
  <c r="K16" i="33"/>
  <c r="D17" i="11"/>
  <c r="D28" i="24"/>
  <c r="D27" i="11"/>
  <c r="K26" i="33"/>
  <c r="D20" i="24"/>
  <c r="K18" i="33"/>
  <c r="D19" i="11"/>
  <c r="J28" i="33"/>
  <c r="F23" i="30"/>
  <c r="D17" i="24"/>
  <c r="K15" i="33"/>
  <c r="D16" i="11"/>
  <c r="C17" i="24"/>
  <c r="F15" i="33"/>
  <c r="C16" i="11"/>
  <c r="E10" i="30"/>
  <c r="H33" i="33"/>
  <c r="G28" i="30"/>
  <c r="C28" i="24"/>
  <c r="C27" i="11"/>
  <c r="F26" i="33"/>
  <c r="E21" i="30"/>
  <c r="C24" i="24"/>
  <c r="C23" i="11"/>
  <c r="F22" i="33"/>
  <c r="E17" i="30"/>
  <c r="C23" i="24"/>
  <c r="F21" i="33"/>
  <c r="C22" i="11"/>
  <c r="E16" i="30"/>
  <c r="H28" i="33"/>
  <c r="G23" i="30"/>
  <c r="J18" i="33"/>
  <c r="F13" i="30"/>
  <c r="J24" i="33"/>
  <c r="F19" i="30"/>
  <c r="D29" i="24"/>
  <c r="D28" i="11"/>
  <c r="K27" i="33"/>
  <c r="J14" i="33"/>
  <c r="F9" i="30"/>
  <c r="J17" i="33"/>
  <c r="F12" i="30"/>
  <c r="C18" i="24"/>
  <c r="C17" i="11"/>
  <c r="F16" i="33"/>
  <c r="E11" i="30"/>
  <c r="J20" i="33"/>
  <c r="F15" i="30"/>
  <c r="J31" i="33"/>
  <c r="F26" i="30"/>
  <c r="C22" i="24"/>
  <c r="C21" i="11"/>
  <c r="F20" i="33"/>
  <c r="E15" i="30"/>
  <c r="D21" i="24"/>
  <c r="K19" i="33"/>
  <c r="D20" i="11"/>
  <c r="D30" i="24"/>
  <c r="D29" i="11"/>
  <c r="K28" i="33"/>
  <c r="D23" i="24"/>
  <c r="K21" i="33"/>
  <c r="D22" i="11"/>
  <c r="J25" i="33"/>
  <c r="F20" i="30"/>
  <c r="J29" i="33"/>
  <c r="F24" i="30"/>
  <c r="D24" i="24"/>
  <c r="D23" i="11"/>
  <c r="K22" i="33"/>
  <c r="H21" i="33"/>
  <c r="G16" i="30"/>
  <c r="J16" i="33"/>
  <c r="F11" i="30"/>
  <c r="J21" i="33"/>
  <c r="F16" i="30"/>
  <c r="C31" i="24"/>
  <c r="F29" i="33"/>
  <c r="C30" i="11"/>
  <c r="E24" i="30"/>
  <c r="C32" i="24"/>
  <c r="F30" i="33"/>
  <c r="C31" i="11"/>
  <c r="E25" i="30"/>
  <c r="D25" i="24"/>
  <c r="D24" i="11"/>
  <c r="K23" i="33"/>
  <c r="C20" i="24"/>
  <c r="F18" i="33"/>
  <c r="C19" i="11"/>
  <c r="E13" i="30"/>
  <c r="J33" i="33"/>
  <c r="F28" i="30"/>
  <c r="H15" i="33"/>
  <c r="G10" i="30"/>
  <c r="C26" i="24"/>
  <c r="C25" i="11"/>
  <c r="F24" i="33"/>
  <c r="E19" i="30"/>
  <c r="C16" i="24"/>
  <c r="F14" i="33"/>
  <c r="C15" i="11"/>
  <c r="E9" i="30"/>
  <c r="H31" i="33"/>
  <c r="G26" i="30"/>
  <c r="C19" i="24"/>
  <c r="F17" i="33"/>
  <c r="C18" i="11"/>
  <c r="E12" i="30"/>
  <c r="D32" i="24"/>
  <c r="K30" i="33"/>
  <c r="D31" i="11"/>
  <c r="D34" i="24"/>
  <c r="D33" i="11"/>
  <c r="K32" i="33"/>
  <c r="H25" i="33"/>
  <c r="G20" i="30"/>
  <c r="D33" i="24"/>
  <c r="D32" i="11"/>
  <c r="K31" i="33"/>
  <c r="J23" i="33"/>
  <c r="F18" i="30"/>
  <c r="J19" i="33"/>
  <c r="F14" i="30"/>
  <c r="H23" i="33"/>
  <c r="G18" i="30"/>
  <c r="D19" i="24"/>
  <c r="D18" i="11"/>
  <c r="K17" i="33"/>
  <c r="C29" i="24"/>
  <c r="C28" i="11"/>
  <c r="F27" i="33"/>
  <c r="E22" i="30"/>
  <c r="H30" i="33"/>
  <c r="G25" i="30"/>
  <c r="C30" i="24"/>
  <c r="F28" i="33"/>
  <c r="C29" i="11"/>
  <c r="E23" i="30"/>
  <c r="C25" i="24"/>
  <c r="F23" i="33"/>
  <c r="C24" i="11"/>
  <c r="E18" i="30"/>
  <c r="J27" i="33"/>
  <c r="F22" i="30"/>
  <c r="H20" i="33"/>
  <c r="G15" i="30"/>
  <c r="C27" i="24"/>
  <c r="F25" i="33"/>
  <c r="C26" i="11"/>
  <c r="E20" i="30"/>
  <c r="J22" i="33"/>
  <c r="F17" i="30"/>
  <c r="D35" i="24"/>
  <c r="D34" i="11"/>
  <c r="K33" i="33"/>
  <c r="J15" i="33"/>
  <c r="F10" i="30"/>
  <c r="H32" i="33"/>
  <c r="G27" i="30"/>
  <c r="J26" i="33"/>
  <c r="F21" i="30"/>
  <c r="H26" i="33"/>
  <c r="G21" i="30"/>
  <c r="D22" i="24"/>
  <c r="K20" i="33"/>
  <c r="D21" i="11"/>
  <c r="H18" i="33"/>
  <c r="G13" i="30"/>
  <c r="H24" i="33"/>
  <c r="G19" i="30"/>
  <c r="C21" i="24"/>
  <c r="C20" i="11"/>
  <c r="F19" i="33"/>
  <c r="E14" i="30"/>
  <c r="D27" i="24"/>
  <c r="D26" i="11"/>
  <c r="K25" i="33"/>
  <c r="D16" i="24"/>
  <c r="K14" i="33"/>
  <c r="D15" i="11"/>
  <c r="H22" i="33"/>
  <c r="G17" i="30"/>
  <c r="D31" i="24"/>
  <c r="D30" i="11"/>
  <c r="K29" i="33"/>
  <c r="H16" i="33"/>
  <c r="G11" i="30"/>
  <c r="D26" i="24"/>
  <c r="D25" i="11"/>
  <c r="K24" i="33"/>
  <c r="C34" i="24"/>
  <c r="C33" i="11"/>
  <c r="F32" i="33"/>
  <c r="E27" i="30"/>
  <c r="H14" i="33"/>
  <c r="G9" i="30"/>
  <c r="H19" i="33"/>
  <c r="G14" i="30"/>
  <c r="C33" i="24"/>
  <c r="C32" i="11"/>
  <c r="F31" i="33"/>
  <c r="E26" i="30"/>
  <c r="J30" i="33"/>
  <c r="F25" i="30"/>
  <c r="J32" i="33"/>
  <c r="F27" i="30"/>
  <c r="D36" i="11"/>
  <c r="B14" i="3" l="1"/>
  <c r="C14" i="3" s="1"/>
  <c r="D14" i="3" s="1"/>
  <c r="E14" i="3" s="1"/>
  <c r="F14" i="3" s="1"/>
  <c r="G14" i="3" s="1"/>
  <c r="H277" i="21" l="1"/>
  <c r="I277" i="21" s="1"/>
  <c r="I276" i="21"/>
  <c r="L277" i="21" l="1"/>
  <c r="O631" i="23" s="1"/>
  <c r="L276" i="21"/>
  <c r="P276" i="21" s="1"/>
  <c r="O630" i="23" l="1"/>
  <c r="P277" i="21"/>
  <c r="AP631" i="23" s="1"/>
  <c r="AF643" i="23" s="1"/>
  <c r="S276" i="21"/>
  <c r="T276" i="21" s="1"/>
  <c r="AP630" i="23"/>
  <c r="AD636" i="23" l="1"/>
  <c r="S277" i="21"/>
  <c r="T277" i="21" s="1"/>
  <c r="U276" i="21"/>
  <c r="AA643" i="23"/>
  <c r="X636" i="23"/>
  <c r="C290" i="21"/>
  <c r="C289" i="21"/>
  <c r="F289" i="21" s="1"/>
  <c r="C292" i="21"/>
  <c r="C288" i="21"/>
  <c r="E289" i="21" s="1"/>
  <c r="C291" i="21"/>
  <c r="U278" i="21"/>
  <c r="E287" i="21" s="1"/>
  <c r="U277" i="21" l="1"/>
  <c r="E291" i="21" s="1"/>
  <c r="AB252" i="21"/>
  <c r="L105" i="33" s="1"/>
  <c r="S256" i="21"/>
  <c r="S254" i="21"/>
  <c r="Q252" i="21"/>
  <c r="Q257" i="21"/>
  <c r="Q256" i="21"/>
  <c r="S252" i="21"/>
  <c r="S258" i="21"/>
  <c r="Q254" i="21"/>
  <c r="Q250" i="21"/>
  <c r="S250" i="21"/>
  <c r="S253" i="21"/>
  <c r="Q258" i="21"/>
  <c r="Q251" i="21"/>
  <c r="S251" i="21"/>
  <c r="S257" i="21"/>
  <c r="S249" i="21"/>
  <c r="Q255" i="21"/>
  <c r="S255" i="21"/>
  <c r="Q249" i="21"/>
  <c r="Q253" i="21"/>
  <c r="F291" i="21" l="1"/>
  <c r="G291" i="21" s="1"/>
  <c r="AB251" i="21"/>
  <c r="L104" i="33" s="1"/>
  <c r="AB254" i="21"/>
  <c r="L107" i="33" s="1"/>
  <c r="AB255" i="21"/>
  <c r="L108" i="33" s="1"/>
  <c r="R258" i="21"/>
  <c r="R254" i="21"/>
  <c r="R250" i="21"/>
  <c r="R252" i="21"/>
  <c r="R257" i="21"/>
  <c r="R256" i="21"/>
  <c r="R255" i="21"/>
  <c r="R249" i="21"/>
  <c r="R253" i="21"/>
  <c r="R251" i="21"/>
  <c r="AA257" i="21"/>
  <c r="H110" i="33" s="1"/>
  <c r="AB256" i="21"/>
  <c r="L109" i="33" s="1"/>
  <c r="AA252" i="21"/>
  <c r="H105" i="33" s="1"/>
  <c r="AA255" i="21"/>
  <c r="H108" i="33" s="1"/>
  <c r="AA249" i="21"/>
  <c r="H102" i="33" s="1"/>
  <c r="AB258" i="21"/>
  <c r="L111" i="33" s="1"/>
  <c r="AB257" i="21"/>
  <c r="L110" i="33" s="1"/>
  <c r="AB249" i="21"/>
  <c r="AA250" i="21"/>
  <c r="H103" i="33" s="1"/>
  <c r="AA251" i="21"/>
  <c r="H104" i="33" s="1"/>
  <c r="AA256" i="21"/>
  <c r="H109" i="33" s="1"/>
  <c r="AA253" i="21"/>
  <c r="H106" i="33" s="1"/>
  <c r="AA258" i="21"/>
  <c r="H111" i="33" s="1"/>
  <c r="AB250" i="21"/>
  <c r="L103" i="33" s="1"/>
  <c r="AB253" i="21"/>
  <c r="L106" i="33" s="1"/>
  <c r="AA254" i="21"/>
  <c r="H107" i="33" s="1"/>
  <c r="L102" i="33" l="1"/>
  <c r="AB248" i="21"/>
  <c r="U4" i="21" s="1"/>
  <c r="A50" i="13" s="1"/>
  <c r="I274" i="21" l="1"/>
  <c r="L274" i="21" s="1"/>
  <c r="O628" i="23" s="1"/>
  <c r="P274" i="21" l="1"/>
  <c r="AP628" i="23" s="1"/>
  <c r="P278" i="21" l="1"/>
  <c r="S278" i="21" s="1"/>
  <c r="S274" i="21"/>
  <c r="V274" i="21" s="1"/>
  <c r="Q643" i="23"/>
  <c r="L636" i="23"/>
  <c r="T274" i="21" l="1"/>
  <c r="T278" i="21" s="1"/>
  <c r="R278" i="21" s="1"/>
  <c r="BC632" i="23" s="1"/>
  <c r="AK642" i="23" s="1"/>
  <c r="M657" i="23"/>
  <c r="AP632" i="23"/>
  <c r="F637" i="23" s="1"/>
  <c r="F639" i="23" s="1"/>
  <c r="E288" i="21"/>
  <c r="G288" i="21" s="1"/>
  <c r="V278" i="21"/>
  <c r="F287" i="21" s="1"/>
  <c r="G287" i="21" s="1"/>
  <c r="L642" i="23" l="1"/>
  <c r="E292" i="21"/>
  <c r="D129" i="24" s="1"/>
  <c r="G122" i="33" l="1"/>
  <c r="C130" i="24"/>
  <c r="E293" i="21"/>
  <c r="D118" i="11"/>
  <c r="A130" i="24"/>
  <c r="I657" i="23" l="1"/>
  <c r="R657" i="23" s="1"/>
  <c r="W657" i="23" s="1"/>
  <c r="E129" i="24"/>
  <c r="H122" i="33"/>
  <c r="C282" i="21"/>
  <c r="F282" i="21" s="1"/>
  <c r="E118" i="11"/>
  <c r="C97" i="11"/>
  <c r="G282" i="21" l="1"/>
  <c r="H282" i="21"/>
  <c r="I282" i="21" l="1"/>
  <c r="L282" i="21" s="1"/>
  <c r="Q282" i="21" s="1"/>
  <c r="S282" i="21"/>
  <c r="K282" i="21"/>
  <c r="T4" i="21" l="1"/>
  <c r="C43" i="13" s="1"/>
  <c r="O282" i="21"/>
  <c r="U282" i="21" s="1"/>
  <c r="V265" i="21"/>
  <c r="U250" i="21"/>
  <c r="U262" i="21"/>
  <c r="U257" i="21"/>
  <c r="U261" i="21"/>
  <c r="U267" i="21"/>
  <c r="U251" i="21"/>
  <c r="V266" i="21"/>
  <c r="U263" i="21"/>
  <c r="V249" i="21"/>
  <c r="V256" i="21"/>
  <c r="V254" i="21"/>
  <c r="U253" i="21"/>
  <c r="V250" i="21"/>
  <c r="U259" i="21"/>
  <c r="V251" i="21"/>
  <c r="V261" i="21"/>
  <c r="U265" i="21"/>
  <c r="V258" i="21"/>
  <c r="U264" i="21"/>
  <c r="U255" i="21"/>
  <c r="V255" i="21"/>
  <c r="V263" i="21"/>
  <c r="U258" i="21"/>
  <c r="V264" i="21"/>
  <c r="V268" i="21"/>
  <c r="V262" i="21"/>
  <c r="V257" i="21"/>
  <c r="U266" i="21"/>
  <c r="U260" i="21"/>
  <c r="V253" i="21"/>
  <c r="V259" i="21"/>
  <c r="N282" i="21"/>
  <c r="T282" i="21" s="1"/>
  <c r="V267" i="21"/>
  <c r="U249" i="21"/>
  <c r="V260" i="21"/>
  <c r="U268" i="21"/>
  <c r="V252" i="21"/>
  <c r="P282" i="21"/>
  <c r="U254" i="21"/>
  <c r="U252" i="21"/>
  <c r="U256" i="21"/>
  <c r="Y256" i="21"/>
  <c r="Y266" i="21"/>
  <c r="Y260" i="21"/>
  <c r="Y261" i="21"/>
  <c r="Y258" i="21"/>
  <c r="Y267" i="21"/>
  <c r="Y268" i="21"/>
  <c r="Y265" i="21"/>
  <c r="Y249" i="21"/>
  <c r="Y263" i="21"/>
  <c r="Y257" i="21"/>
  <c r="Y250" i="21"/>
  <c r="Y254" i="21"/>
  <c r="Y253" i="21"/>
  <c r="Y252" i="21"/>
  <c r="Y259" i="21"/>
  <c r="Y264" i="21"/>
  <c r="Y255" i="21"/>
  <c r="Y251" i="21"/>
  <c r="Y262" i="21"/>
  <c r="C128" i="24" l="1"/>
  <c r="AC265" i="21"/>
  <c r="Q118" i="33" s="1"/>
  <c r="AC261" i="21"/>
  <c r="Q114" i="33" s="1"/>
  <c r="AC257" i="21"/>
  <c r="Q110" i="33" s="1"/>
  <c r="AC253" i="21"/>
  <c r="Q106" i="33" s="1"/>
  <c r="AC249" i="21"/>
  <c r="Q102" i="33" s="1"/>
  <c r="AC264" i="21"/>
  <c r="Q117" i="33" s="1"/>
  <c r="AC260" i="21"/>
  <c r="Q113" i="33" s="1"/>
  <c r="AC256" i="21"/>
  <c r="Q109" i="33" s="1"/>
  <c r="AC252" i="21"/>
  <c r="Q105" i="33" s="1"/>
  <c r="AC267" i="21"/>
  <c r="Q120" i="33" s="1"/>
  <c r="AC263" i="21"/>
  <c r="Q116" i="33" s="1"/>
  <c r="AC259" i="21"/>
  <c r="Q112" i="33" s="1"/>
  <c r="AC255" i="21"/>
  <c r="Q108" i="33" s="1"/>
  <c r="AC251" i="21"/>
  <c r="Q104" i="33" s="1"/>
  <c r="AC266" i="21"/>
  <c r="Q119" i="33" s="1"/>
  <c r="AC262" i="21"/>
  <c r="Q115" i="33" s="1"/>
  <c r="AC258" i="21"/>
  <c r="Q111" i="33" s="1"/>
  <c r="AC254" i="21"/>
  <c r="Q107" i="33" s="1"/>
  <c r="AC250" i="21"/>
  <c r="Q103" i="33" s="1"/>
  <c r="AC268" i="21"/>
  <c r="Q121" i="33" s="1"/>
  <c r="F97" i="11"/>
  <c r="D110" i="11"/>
  <c r="D120" i="24"/>
  <c r="D98" i="11"/>
  <c r="D108" i="24"/>
  <c r="D109" i="11"/>
  <c r="D119" i="24"/>
  <c r="D100" i="11"/>
  <c r="D110" i="24"/>
  <c r="D116" i="11"/>
  <c r="D126" i="24"/>
  <c r="Z256" i="21"/>
  <c r="J109" i="33" s="1"/>
  <c r="Z265" i="21"/>
  <c r="J118" i="33" s="1"/>
  <c r="Z261" i="21"/>
  <c r="J114" i="33" s="1"/>
  <c r="X260" i="21"/>
  <c r="K113" i="33" s="1"/>
  <c r="X258" i="21"/>
  <c r="K111" i="33" s="1"/>
  <c r="Z253" i="21"/>
  <c r="J106" i="33" s="1"/>
  <c r="Z267" i="21"/>
  <c r="J120" i="33" s="1"/>
  <c r="Z268" i="21"/>
  <c r="J121" i="33" s="1"/>
  <c r="X268" i="21"/>
  <c r="K121" i="33" s="1"/>
  <c r="X267" i="21"/>
  <c r="K120" i="33" s="1"/>
  <c r="Z262" i="21"/>
  <c r="J115" i="33" s="1"/>
  <c r="X266" i="21"/>
  <c r="K119" i="33" s="1"/>
  <c r="X254" i="21"/>
  <c r="K107" i="33" s="1"/>
  <c r="X255" i="21"/>
  <c r="K108" i="33" s="1"/>
  <c r="X262" i="21"/>
  <c r="K115" i="33" s="1"/>
  <c r="X259" i="21"/>
  <c r="K112" i="33" s="1"/>
  <c r="Z252" i="21"/>
  <c r="J105" i="33" s="1"/>
  <c r="Z259" i="21"/>
  <c r="J112" i="33" s="1"/>
  <c r="X250" i="21"/>
  <c r="K103" i="33" s="1"/>
  <c r="Z254" i="21"/>
  <c r="J107" i="33" s="1"/>
  <c r="Z250" i="21"/>
  <c r="J103" i="33" s="1"/>
  <c r="X249" i="21"/>
  <c r="K102" i="33" s="1"/>
  <c r="X265" i="21"/>
  <c r="K118" i="33" s="1"/>
  <c r="Z266" i="21"/>
  <c r="J119" i="33" s="1"/>
  <c r="Z249" i="21"/>
  <c r="J102" i="33" s="1"/>
  <c r="Z251" i="21"/>
  <c r="J104" i="33" s="1"/>
  <c r="X263" i="21"/>
  <c r="K116" i="33" s="1"/>
  <c r="X256" i="21"/>
  <c r="K109" i="33" s="1"/>
  <c r="X261" i="21"/>
  <c r="K114" i="33" s="1"/>
  <c r="Z264" i="21"/>
  <c r="J117" i="33" s="1"/>
  <c r="X257" i="21"/>
  <c r="K110" i="33" s="1"/>
  <c r="X252" i="21"/>
  <c r="K105" i="33" s="1"/>
  <c r="Z263" i="21"/>
  <c r="J116" i="33" s="1"/>
  <c r="X253" i="21"/>
  <c r="K106" i="33" s="1"/>
  <c r="Z255" i="21"/>
  <c r="J108" i="33" s="1"/>
  <c r="Z258" i="21"/>
  <c r="J111" i="33" s="1"/>
  <c r="Z257" i="21"/>
  <c r="J110" i="33" s="1"/>
  <c r="X264" i="21"/>
  <c r="K117" i="33" s="1"/>
  <c r="Z260" i="21"/>
  <c r="J113" i="33" s="1"/>
  <c r="X251" i="21"/>
  <c r="K104" i="33" s="1"/>
  <c r="D103" i="11"/>
  <c r="D113" i="24"/>
  <c r="D101" i="11"/>
  <c r="D111" i="24"/>
  <c r="D121" i="24"/>
  <c r="D111" i="11"/>
  <c r="D125" i="24"/>
  <c r="D115" i="11"/>
  <c r="D124" i="24"/>
  <c r="D114" i="11"/>
  <c r="D117" i="24"/>
  <c r="D107" i="11"/>
  <c r="D123" i="24"/>
  <c r="D113" i="11"/>
  <c r="D99" i="11"/>
  <c r="D109" i="24"/>
  <c r="D105" i="11"/>
  <c r="D115" i="24"/>
  <c r="D118" i="24"/>
  <c r="D108" i="11"/>
  <c r="D112" i="11"/>
  <c r="D122" i="24"/>
  <c r="D102" i="11"/>
  <c r="D112" i="24"/>
  <c r="D97" i="11"/>
  <c r="D107" i="24"/>
  <c r="D116" i="24"/>
  <c r="D106" i="11"/>
  <c r="D114" i="24"/>
  <c r="D104" i="11"/>
</calcChain>
</file>

<file path=xl/comments1.xml><?xml version="1.0" encoding="utf-8"?>
<comments xmlns="http://schemas.openxmlformats.org/spreadsheetml/2006/main">
  <authors>
    <author>Jey Jey</author>
  </authors>
  <commentList>
    <comment ref="AB19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20210827 : Y190에서 Angle_3!L4로 수정</t>
        </r>
      </text>
    </comment>
    <comment ref="AB191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20210827 : K$224 에서 J$224로 수정</t>
        </r>
      </text>
    </comment>
    <comment ref="AH191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20210827 : AC191/60 에서 AC191로 수정
20210830 : AC191 뒤 /IF(AC$190="˚",1,IF(AC$190="´",60,3600)) 추가</t>
        </r>
      </text>
    </comment>
  </commentList>
</comments>
</file>

<file path=xl/sharedStrings.xml><?xml version="1.0" encoding="utf-8"?>
<sst xmlns="http://schemas.openxmlformats.org/spreadsheetml/2006/main" count="2930" uniqueCount="1312">
  <si>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</si>
  <si>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</si>
  <si>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</si>
  <si>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</si>
  <si>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</si>
  <si>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</si>
  <si>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</si>
  <si>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</si>
  <si>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</si>
  <si>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</si>
  <si>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</si>
  <si>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</si>
  <si>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</si>
  <si>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</si>
  <si>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</si>
  <si>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</si>
  <si>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</si>
  <si>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</si>
  <si>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</si>
  <si>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</si>
  <si>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</si>
  <si>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</si>
  <si>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</si>
  <si>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</si>
  <si>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</si>
  <si>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</si>
  <si>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</si>
  <si>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</si>
  <si>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</si>
  <si>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</si>
  <si>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</si>
  <si>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</si>
  <si>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</si>
  <si>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</si>
  <si>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</si>
  <si>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</si>
  <si>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</si>
  <si>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</si>
  <si>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</si>
  <si>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</si>
  <si>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</si>
  <si>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</si>
  <si>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</si>
  <si>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</si>
  <si>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</si>
  <si>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</si>
  <si>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</si>
  <si>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</si>
  <si>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</si>
  <si>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</si>
  <si>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</si>
  <si>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</si>
  <si>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</si>
  <si>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</si>
  <si>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</si>
  <si>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</si>
  <si>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</si>
  <si>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</si>
  <si>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</si>
  <si>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</si>
  <si>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</si>
  <si>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</si>
  <si>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</si>
  <si>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</si>
  <si>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</si>
  <si>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</si>
  <si>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</si>
  <si>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</si>
  <si>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</si>
  <si>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</si>
  <si>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</si>
  <si>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1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</si>
  <si>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</si>
  <si>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</si>
  <si>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</si>
  <si>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</si>
  <si>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</si>
  <si>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</si>
  <si>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</si>
  <si>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1회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</si>
  <si>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</si>
  <si>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</si>
  <si>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교정번호</t>
    <phoneticPr fontId="4" type="noConversion"/>
  </si>
  <si>
    <t>교정일자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</si>
  <si>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</si>
  <si>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</si>
  <si>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</si>
  <si>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</si>
  <si>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</si>
  <si>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</si>
  <si>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</si>
  <si>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</si>
  <si>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</si>
  <si>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</si>
  <si>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</si>
  <si>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7" type="noConversion"/>
  </si>
  <si>
    <t>측정위치</t>
    <phoneticPr fontId="77" type="noConversion"/>
  </si>
  <si>
    <t>명목값</t>
    <phoneticPr fontId="77" type="noConversion"/>
  </si>
  <si>
    <t>기준값</t>
    <phoneticPr fontId="77" type="noConversion"/>
  </si>
  <si>
    <t>단위</t>
    <phoneticPr fontId="77" type="noConversion"/>
  </si>
  <si>
    <t>불확도 2</t>
  </si>
  <si>
    <t>비고</t>
    <phoneticPr fontId="4" type="noConversion"/>
  </si>
  <si>
    <t>열팽창계수</t>
    <phoneticPr fontId="77" type="noConversion"/>
  </si>
  <si>
    <t>단위</t>
    <phoneticPr fontId="4" type="noConversion"/>
  </si>
  <si>
    <t>개수</t>
    <phoneticPr fontId="4" type="noConversion"/>
  </si>
  <si>
    <t>교정일자</t>
    <phoneticPr fontId="77" type="noConversion"/>
  </si>
  <si>
    <t>최대범위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</si>
  <si>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</si>
  <si>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</si>
  <si>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</si>
  <si>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α_avr</t>
  </si>
  <si>
    <t>Δα</t>
  </si>
  <si>
    <t>Δt</t>
  </si>
  <si>
    <t>t_avr-20</t>
  </si>
  <si>
    <t>δt</t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</si>
  <si>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</si>
  <si>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</si>
  <si>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눈금값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</si>
  <si>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</si>
  <si>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4회</t>
  </si>
  <si>
    <t>5회</t>
  </si>
  <si>
    <t>(mm)</t>
    <phoneticPr fontId="4" type="noConversion"/>
  </si>
  <si>
    <t>(mm)</t>
    <phoneticPr fontId="4" type="noConversion"/>
  </si>
  <si>
    <t>명목값</t>
    <phoneticPr fontId="4" type="noConversion"/>
  </si>
  <si>
    <t>사용중지?</t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</si>
  <si>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</si>
  <si>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</si>
  <si>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눈금값
(mm)</t>
    <phoneticPr fontId="4" type="noConversion"/>
  </si>
  <si>
    <t>Nominal
(mm)</t>
    <phoneticPr fontId="4" type="noConversion"/>
  </si>
  <si>
    <t>기준기명</t>
  </si>
  <si>
    <t>명목값</t>
  </si>
  <si>
    <t>단위</t>
  </si>
  <si>
    <t>교정값</t>
  </si>
  <si>
    <t>블록 #2</t>
  </si>
  <si>
    <t>블록 #3</t>
  </si>
  <si>
    <t>블록 #4</t>
  </si>
  <si>
    <t>블록 #5</t>
  </si>
  <si>
    <t>열팽창계수</t>
    <phoneticPr fontId="4" type="noConversion"/>
  </si>
  <si>
    <t>보정값
(mm)</t>
    <phoneticPr fontId="4" type="noConversion"/>
  </si>
  <si>
    <t>Correction
(mm)</t>
    <phoneticPr fontId="4" type="noConversion"/>
  </si>
  <si>
    <t>μm</t>
    <phoneticPr fontId="4" type="noConversion"/>
  </si>
  <si>
    <t>fees</t>
    <phoneticPr fontId="4" type="noConversion"/>
  </si>
  <si>
    <t>P/F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</si>
  <si>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</si>
  <si>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분해능</t>
    <phoneticPr fontId="4" type="noConversion"/>
  </si>
  <si>
    <t>Res. (mm)</t>
    <phoneticPr fontId="4" type="noConversion"/>
  </si>
  <si>
    <t>CMC2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</si>
  <si>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</si>
  <si>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</si>
  <si>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</si>
  <si>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</si>
  <si>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t>표준불확도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</si>
  <si>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</si>
  <si>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</si>
  <si>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</si>
  <si>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</si>
  <si>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요인(값)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</si>
  <si>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</si>
  <si>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</si>
  <si>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</si>
  <si>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</si>
  <si>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자리수</t>
    <phoneticPr fontId="4" type="noConversion"/>
  </si>
  <si>
    <t>Format</t>
    <phoneticPr fontId="4" type="noConversion"/>
  </si>
  <si>
    <t>A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</si>
  <si>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</si>
  <si>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</si>
  <si>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mm</t>
    <phoneticPr fontId="4" type="noConversion"/>
  </si>
  <si>
    <t>μm</t>
    <phoneticPr fontId="4" type="noConversion"/>
  </si>
  <si>
    <t>정규</t>
    <phoneticPr fontId="4" type="noConversion"/>
  </si>
  <si>
    <t>∞</t>
    <phoneticPr fontId="4" type="noConversion"/>
  </si>
  <si>
    <t>0</t>
    <phoneticPr fontId="4" type="noConversion"/>
  </si>
  <si>
    <t>B</t>
    <phoneticPr fontId="4" type="noConversion"/>
  </si>
  <si>
    <t>지시값</t>
    <phoneticPr fontId="4" type="noConversion"/>
  </si>
  <si>
    <t>mm</t>
    <phoneticPr fontId="4" type="noConversion"/>
  </si>
  <si>
    <t>μm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</si>
  <si>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</si>
  <si>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/℃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</si>
  <si>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0</t>
    </r>
    <phoneticPr fontId="4" type="noConversion"/>
  </si>
  <si>
    <t>℃·μm</t>
    <phoneticPr fontId="4" type="noConversion"/>
  </si>
  <si>
    <t>0.00</t>
    <phoneticPr fontId="4" type="noConversion"/>
  </si>
  <si>
    <t>온도차</t>
    <phoneticPr fontId="4" type="noConversion"/>
  </si>
  <si>
    <t>℃</t>
    <phoneticPr fontId="4" type="noConversion"/>
  </si>
  <si>
    <t>/℃·μm</t>
    <phoneticPr fontId="4" type="noConversion"/>
  </si>
  <si>
    <t>E</t>
    <phoneticPr fontId="4" type="noConversion"/>
  </si>
  <si>
    <t>열팽창계수차</t>
    <phoneticPr fontId="4" type="noConversion"/>
  </si>
  <si>
    <t>/℃</t>
    <phoneticPr fontId="4" type="noConversion"/>
  </si>
  <si>
    <t>삼각형</t>
    <phoneticPr fontId="4" type="noConversion"/>
  </si>
  <si>
    <t>℃·μm</t>
    <phoneticPr fontId="4" type="noConversion"/>
  </si>
  <si>
    <t>F</t>
    <phoneticPr fontId="4" type="noConversion"/>
  </si>
  <si>
    <t>직사각형</t>
    <phoneticPr fontId="4" type="noConversion"/>
  </si>
  <si>
    <t>0.000 00</t>
    <phoneticPr fontId="4" type="noConversion"/>
  </si>
  <si>
    <t>G</t>
    <phoneticPr fontId="4" type="noConversion"/>
  </si>
  <si>
    <t>분해능</t>
    <phoneticPr fontId="4" type="noConversion"/>
  </si>
  <si>
    <t>합성표준</t>
    <phoneticPr fontId="4" type="noConversion"/>
  </si>
  <si>
    <t>측정불확도</t>
    <phoneticPr fontId="4" type="noConversion"/>
  </si>
  <si>
    <t>선택</t>
    <phoneticPr fontId="4" type="noConversion"/>
  </si>
  <si>
    <t>주 기여량</t>
    <phoneticPr fontId="4" type="noConversion"/>
  </si>
  <si>
    <t>불확도</t>
    <phoneticPr fontId="4" type="noConversion"/>
  </si>
  <si>
    <t>k</t>
    <phoneticPr fontId="4" type="noConversion"/>
  </si>
  <si>
    <t>조건 1</t>
    <phoneticPr fontId="4" type="noConversion"/>
  </si>
  <si>
    <t>기본수수료</t>
    <phoneticPr fontId="4" type="noConversion"/>
  </si>
  <si>
    <t>추가수수료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</si>
  <si>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</si>
  <si>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</si>
  <si>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최소범위</t>
    <phoneticPr fontId="4" type="noConversion"/>
  </si>
  <si>
    <t>최대범위</t>
    <phoneticPr fontId="4" type="noConversion"/>
  </si>
  <si>
    <t>최소눈금</t>
    <phoneticPr fontId="4" type="noConversion"/>
  </si>
  <si>
    <t>단위</t>
    <phoneticPr fontId="4" type="noConversion"/>
  </si>
  <si>
    <t>환산계수</t>
    <phoneticPr fontId="4" type="noConversion"/>
  </si>
  <si>
    <t>최소범위 (mm)</t>
    <phoneticPr fontId="4" type="noConversion"/>
  </si>
  <si>
    <t>최대범위 (mm)</t>
    <phoneticPr fontId="4" type="noConversion"/>
  </si>
  <si>
    <t>Div. (mm)</t>
    <phoneticPr fontId="4" type="noConversion"/>
  </si>
  <si>
    <t>CMC1</t>
    <phoneticPr fontId="4" type="noConversion"/>
  </si>
  <si>
    <t>CMC단위</t>
    <phoneticPr fontId="4" type="noConversion"/>
  </si>
  <si>
    <t>2. 교정결과</t>
    <phoneticPr fontId="4" type="noConversion"/>
  </si>
  <si>
    <t>4. 성적서용</t>
    <phoneticPr fontId="4" type="noConversion"/>
  </si>
  <si>
    <t>사용?</t>
    <phoneticPr fontId="4" type="noConversion"/>
  </si>
  <si>
    <t>명목값</t>
    <phoneticPr fontId="4" type="noConversion"/>
  </si>
  <si>
    <t>표준편차</t>
    <phoneticPr fontId="4" type="noConversion"/>
  </si>
  <si>
    <t>기준값</t>
    <phoneticPr fontId="4" type="noConversion"/>
  </si>
  <si>
    <t>열팽창계수</t>
    <phoneticPr fontId="4" type="noConversion"/>
  </si>
  <si>
    <t>온도차</t>
    <phoneticPr fontId="4" type="noConversion"/>
  </si>
  <si>
    <t>열팽창계수차</t>
    <phoneticPr fontId="4" type="noConversion"/>
  </si>
  <si>
    <t>t_avr-20</t>
    <phoneticPr fontId="4" type="noConversion"/>
  </si>
  <si>
    <t>보정값</t>
    <phoneticPr fontId="4" type="noConversion"/>
  </si>
  <si>
    <t>자리수 맞춤</t>
    <phoneticPr fontId="4" type="noConversion"/>
  </si>
  <si>
    <t>Spec</t>
    <phoneticPr fontId="4" type="noConversion"/>
  </si>
  <si>
    <t>표기용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</si>
  <si>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</si>
  <si>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</si>
  <si>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</si>
  <si>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</si>
  <si>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</si>
  <si>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</si>
  <si>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</si>
  <si>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</si>
  <si>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</si>
  <si>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</si>
  <si>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</si>
  <si>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</si>
  <si>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</si>
  <si>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교정값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</si>
  <si>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</si>
  <si>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</si>
  <si>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</si>
  <si>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Pass/Fail</t>
    <phoneticPr fontId="4" type="noConversion"/>
  </si>
  <si>
    <t>3. 불확도 계산</t>
    <phoneticPr fontId="4" type="noConversion"/>
  </si>
  <si>
    <t>t</t>
    <phoneticPr fontId="4" type="noConversion"/>
  </si>
  <si>
    <t>0.0</t>
    <phoneticPr fontId="4" type="noConversion"/>
  </si>
  <si>
    <t>C</t>
    <phoneticPr fontId="4" type="noConversion"/>
  </si>
  <si>
    <t>평균열팽창계수</t>
    <phoneticPr fontId="4" type="noConversion"/>
  </si>
  <si>
    <t>삼각형</t>
    <phoneticPr fontId="4" type="noConversion"/>
  </si>
  <si>
    <t>D</t>
    <phoneticPr fontId="4" type="noConversion"/>
  </si>
  <si>
    <t>℃</t>
    <phoneticPr fontId="4" type="noConversion"/>
  </si>
  <si>
    <t>직사각형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</si>
  <si>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0</t>
    </r>
    <phoneticPr fontId="4" type="noConversion"/>
  </si>
  <si>
    <t>0.000</t>
    <phoneticPr fontId="4" type="noConversion"/>
  </si>
  <si>
    <t>0.000 0</t>
    <phoneticPr fontId="4" type="noConversion"/>
  </si>
  <si>
    <t>∞</t>
    <phoneticPr fontId="4" type="noConversion"/>
  </si>
  <si>
    <t>0.000 000</t>
    <phoneticPr fontId="4" type="noConversion"/>
  </si>
  <si>
    <t>0.000 000 0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</si>
  <si>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</si>
  <si>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0.000 000 00</t>
    <phoneticPr fontId="4" type="noConversion"/>
  </si>
  <si>
    <t>0.000 000 000</t>
    <phoneticPr fontId="4" type="noConversion"/>
  </si>
  <si>
    <t>※ 직사각형 확률분포가 합성표준불확도에 미치는 영향</t>
    <phoneticPr fontId="4" type="noConversion"/>
  </si>
  <si>
    <t>직사각형
분포 성분</t>
    <phoneticPr fontId="4" type="noConversion"/>
  </si>
  <si>
    <t>측정불확도</t>
    <phoneticPr fontId="4" type="noConversion"/>
  </si>
  <si>
    <t>소수점 자리수</t>
    <phoneticPr fontId="4" type="noConversion"/>
  </si>
  <si>
    <t>계산(mm)</t>
    <phoneticPr fontId="4" type="noConversion"/>
  </si>
  <si>
    <t>성적서</t>
    <phoneticPr fontId="4" type="noConversion"/>
  </si>
  <si>
    <t>확률분포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</si>
  <si>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</si>
  <si>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</si>
  <si>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</si>
  <si>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CMC</t>
    <phoneticPr fontId="4" type="noConversion"/>
  </si>
  <si>
    <t>● 교정료 계산</t>
    <phoneticPr fontId="4" type="noConversion"/>
  </si>
  <si>
    <t>조건 2</t>
    <phoneticPr fontId="4" type="noConversion"/>
  </si>
  <si>
    <t>인치?</t>
    <phoneticPr fontId="4" type="noConversion"/>
  </si>
  <si>
    <t>소계</t>
    <phoneticPr fontId="4" type="noConversion"/>
  </si>
  <si>
    <t>합계</t>
    <phoneticPr fontId="4" type="noConversion"/>
  </si>
  <si>
    <t>※ 인치의 경우 기본수수료에서 80% 추가함.</t>
    <phoneticPr fontId="4" type="noConversion"/>
  </si>
  <si>
    <t>● 측정불확도 :</t>
    <phoneticPr fontId="4" type="noConversion"/>
  </si>
  <si>
    <t>● Measurement uncertainty :</t>
    <phoneticPr fontId="4" type="noConversion"/>
  </si>
  <si>
    <t>℃·μm</t>
  </si>
  <si>
    <t>/℃·μm</t>
  </si>
  <si>
    <t>요인(값)</t>
    <phoneticPr fontId="4" type="noConversion"/>
  </si>
  <si>
    <t>나눔수</t>
    <phoneticPr fontId="4" type="noConversion"/>
  </si>
  <si>
    <t>분모</t>
    <phoneticPr fontId="4" type="noConversion"/>
  </si>
  <si>
    <t>잔여 기여량</t>
    <phoneticPr fontId="4" type="noConversion"/>
  </si>
  <si>
    <t>최대범위 (표기용)</t>
    <phoneticPr fontId="4" type="noConversion"/>
  </si>
  <si>
    <t>기타</t>
    <phoneticPr fontId="4" type="noConversion"/>
  </si>
  <si>
    <t>불확도</t>
    <phoneticPr fontId="4" type="noConversion"/>
  </si>
  <si>
    <t>mm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</si>
  <si>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</si>
  <si>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</si>
  <si>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</si>
  <si>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</si>
  <si>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-</t>
    <phoneticPr fontId="4" type="noConversion"/>
  </si>
  <si>
    <t>Measurement Uncertainty</t>
    <phoneticPr fontId="4" type="noConversion"/>
  </si>
  <si>
    <t>-</t>
    <phoneticPr fontId="4" type="noConversion"/>
  </si>
  <si>
    <t>-</t>
    <phoneticPr fontId="4" type="noConversion"/>
  </si>
  <si>
    <t>Indication Value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</si>
  <si>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</si>
  <si>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</si>
  <si>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</si>
  <si>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불확도 단위</t>
    <phoneticPr fontId="4" type="noConversion"/>
  </si>
  <si>
    <t>k</t>
    <phoneticPr fontId="4" type="noConversion"/>
  </si>
  <si>
    <t>비고</t>
    <phoneticPr fontId="4" type="noConversion"/>
  </si>
  <si>
    <t>열팽창계수</t>
    <phoneticPr fontId="4" type="noConversion"/>
  </si>
  <si>
    <t>k</t>
    <phoneticPr fontId="4" type="noConversion"/>
  </si>
  <si>
    <t>비고</t>
    <phoneticPr fontId="4" type="noConversion"/>
  </si>
  <si>
    <t>● X축 방향 교정결과</t>
    <phoneticPr fontId="4" type="noConversion"/>
  </si>
  <si>
    <t>● Y축 방향 교정결과</t>
    <phoneticPr fontId="4" type="noConversion"/>
  </si>
  <si>
    <t>● Z축 방향 교정결과</t>
    <phoneticPr fontId="4" type="noConversion"/>
  </si>
  <si>
    <t>X축 방향</t>
    <phoneticPr fontId="4" type="noConversion"/>
  </si>
  <si>
    <t>Y축 방향</t>
    <phoneticPr fontId="4" type="noConversion"/>
  </si>
  <si>
    <t>X Axis Direction</t>
    <phoneticPr fontId="4" type="noConversion"/>
  </si>
  <si>
    <t>Y Axis Direction</t>
    <phoneticPr fontId="4" type="noConversion"/>
  </si>
  <si>
    <t>측정방향</t>
    <phoneticPr fontId="4" type="noConversion"/>
  </si>
  <si>
    <t>X 축</t>
    <phoneticPr fontId="4" type="noConversion"/>
  </si>
  <si>
    <t>Y 축</t>
    <phoneticPr fontId="4" type="noConversion"/>
  </si>
  <si>
    <t>k</t>
    <phoneticPr fontId="4" type="noConversion"/>
  </si>
  <si>
    <t>U1</t>
    <phoneticPr fontId="4" type="noConversion"/>
  </si>
  <si>
    <t>U2</t>
    <phoneticPr fontId="4" type="noConversion"/>
  </si>
  <si>
    <t>측정불확도 선택</t>
    <phoneticPr fontId="4" type="noConversion"/>
  </si>
  <si>
    <t>측정불확도</t>
    <phoneticPr fontId="4" type="noConversion"/>
  </si>
  <si>
    <t>U1</t>
    <phoneticPr fontId="4" type="noConversion"/>
  </si>
  <si>
    <t>U2</t>
    <phoneticPr fontId="4" type="noConversion"/>
  </si>
  <si>
    <t>계산</t>
    <phoneticPr fontId="4" type="noConversion"/>
  </si>
  <si>
    <t>측정범위</t>
    <phoneticPr fontId="4" type="noConversion"/>
  </si>
  <si>
    <t>결정</t>
    <phoneticPr fontId="4" type="noConversion"/>
  </si>
  <si>
    <t>Correction
(mm)</t>
  </si>
  <si>
    <t>측정불확도1</t>
    <phoneticPr fontId="4" type="noConversion"/>
  </si>
  <si>
    <t>측정불확도2</t>
  </si>
  <si>
    <t>[Angle Calibration]</t>
    <phoneticPr fontId="4" type="noConversion"/>
  </si>
  <si>
    <t>[Magnification Calibration]</t>
    <phoneticPr fontId="4" type="noConversion"/>
  </si>
  <si>
    <t>○ 투영면의 회전 각도 교정결과</t>
    <phoneticPr fontId="4" type="noConversion"/>
  </si>
  <si>
    <t>측정투영기 지시값</t>
    <phoneticPr fontId="4" type="noConversion"/>
  </si>
  <si>
    <t>1) 5점기준</t>
    <phoneticPr fontId="4" type="noConversion"/>
  </si>
  <si>
    <t>2) 추가</t>
    <phoneticPr fontId="4" type="noConversion"/>
  </si>
  <si>
    <t>측정점마다</t>
    <phoneticPr fontId="4" type="noConversion"/>
  </si>
  <si>
    <t>추가</t>
    <phoneticPr fontId="4" type="noConversion"/>
  </si>
  <si>
    <t>기능사용</t>
    <phoneticPr fontId="4" type="noConversion"/>
  </si>
  <si>
    <t>X 축</t>
    <phoneticPr fontId="4" type="noConversion"/>
  </si>
  <si>
    <t>Y 축</t>
    <phoneticPr fontId="4" type="noConversion"/>
  </si>
  <si>
    <t>배율</t>
    <phoneticPr fontId="4" type="noConversion"/>
  </si>
  <si>
    <t>회전각도</t>
    <phoneticPr fontId="4" type="noConversion"/>
  </si>
  <si>
    <t>각도측정</t>
    <phoneticPr fontId="4" type="noConversion"/>
  </si>
  <si>
    <t>측정투영기 각도 지시오차</t>
    <phoneticPr fontId="4" type="noConversion"/>
  </si>
  <si>
    <t>측정투영기 각도 지시값 (환산)</t>
    <phoneticPr fontId="4" type="noConversion"/>
  </si>
  <si>
    <t>직각자</t>
    <phoneticPr fontId="4" type="noConversion"/>
  </si>
  <si>
    <t>측정거리</t>
    <phoneticPr fontId="4" type="noConversion"/>
  </si>
  <si>
    <t>교정값</t>
    <phoneticPr fontId="4" type="noConversion"/>
  </si>
  <si>
    <r>
      <t>M</t>
    </r>
    <r>
      <rPr>
        <b/>
        <vertAlign val="subscript"/>
        <sz val="9"/>
        <color indexed="9"/>
        <rFont val="맑은 고딕"/>
        <family val="3"/>
        <charset val="129"/>
        <scheme val="major"/>
      </rPr>
      <t>n</t>
    </r>
    <phoneticPr fontId="4" type="noConversion"/>
  </si>
  <si>
    <r>
      <t>A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</si>
  <si>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Div. ( ˚ )</t>
    <phoneticPr fontId="4" type="noConversion"/>
  </si>
  <si>
    <t>비고</t>
    <phoneticPr fontId="4" type="noConversion"/>
  </si>
  <si>
    <t>측정불확도1</t>
    <phoneticPr fontId="4" type="noConversion"/>
  </si>
  <si>
    <t>측정불확도2</t>
    <phoneticPr fontId="4" type="noConversion"/>
  </si>
  <si>
    <t>불확도 단위</t>
    <phoneticPr fontId="4" type="noConversion"/>
  </si>
  <si>
    <t>k</t>
    <phoneticPr fontId="4" type="noConversion"/>
  </si>
  <si>
    <t>비고</t>
    <phoneticPr fontId="4" type="noConversion"/>
  </si>
  <si>
    <t>지시값</t>
    <phoneticPr fontId="4" type="noConversion"/>
  </si>
  <si>
    <t>투영면 반지름</t>
    <phoneticPr fontId="4" type="noConversion"/>
  </si>
  <si>
    <t>´</t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</si>
  <si>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</si>
  <si>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</si>
  <si>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최대범위</t>
    <phoneticPr fontId="4" type="noConversion"/>
  </si>
  <si>
    <t>분해능</t>
    <phoneticPr fontId="4" type="noConversion"/>
  </si>
  <si>
    <t>단위</t>
    <phoneticPr fontId="4" type="noConversion"/>
  </si>
  <si>
    <t>환산계수</t>
    <phoneticPr fontId="4" type="noConversion"/>
  </si>
  <si>
    <t>최소범위 ( ˚ )</t>
    <phoneticPr fontId="4" type="noConversion"/>
  </si>
  <si>
    <t>최대범위 ( ˚ )</t>
    <phoneticPr fontId="4" type="noConversion"/>
  </si>
  <si>
    <t>Res. ( ˚ )</t>
    <phoneticPr fontId="4" type="noConversion"/>
  </si>
  <si>
    <t>CMC1</t>
    <phoneticPr fontId="4" type="noConversion"/>
  </si>
  <si>
    <t>CMC단위</t>
    <phoneticPr fontId="4" type="noConversion"/>
  </si>
  <si>
    <t>4. 성적서용</t>
    <phoneticPr fontId="4" type="noConversion"/>
  </si>
  <si>
    <t>사용?</t>
    <phoneticPr fontId="4" type="noConversion"/>
  </si>
  <si>
    <t>보정값</t>
    <phoneticPr fontId="4" type="noConversion"/>
  </si>
  <si>
    <t>S</t>
    <phoneticPr fontId="4" type="noConversion"/>
  </si>
  <si>
    <r>
      <t>ΔA</t>
    </r>
    <r>
      <rPr>
        <b/>
        <vertAlign val="subscript"/>
        <sz val="9"/>
        <color indexed="9"/>
        <rFont val="맑은 고딕"/>
        <family val="3"/>
        <charset val="129"/>
        <scheme val="major"/>
      </rPr>
      <t>n</t>
    </r>
    <phoneticPr fontId="4" type="noConversion"/>
  </si>
  <si>
    <t>보정값</t>
    <phoneticPr fontId="4" type="noConversion"/>
  </si>
  <si>
    <t>교정값</t>
    <phoneticPr fontId="4" type="noConversion"/>
  </si>
  <si>
    <t>불확도</t>
    <phoneticPr fontId="4" type="noConversion"/>
  </si>
  <si>
    <t>Min</t>
    <phoneticPr fontId="4" type="noConversion"/>
  </si>
  <si>
    <t>눈금값</t>
    <phoneticPr fontId="4" type="noConversion"/>
  </si>
  <si>
    <t>˚</t>
    <phoneticPr fontId="4" type="noConversion"/>
  </si>
  <si>
    <t>´</t>
    <phoneticPr fontId="4" type="noConversion"/>
  </si>
  <si>
    <t>3. 불확도 계산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</si>
  <si>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</si>
  <si>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</si>
  <si>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</si>
  <si>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</si>
  <si>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t>표준불확도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</si>
  <si>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</si>
  <si>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</si>
  <si>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</si>
  <si>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</si>
  <si>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</si>
  <si>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</si>
  <si>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</si>
  <si>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</si>
  <si>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A</t>
    <phoneticPr fontId="4" type="noConversion"/>
  </si>
  <si>
    <t>기준기</t>
    <phoneticPr fontId="4" type="noConversion"/>
  </si>
  <si>
    <t>S</t>
    <phoneticPr fontId="4" type="noConversion"/>
  </si>
  <si>
    <t>˚</t>
    <phoneticPr fontId="4" type="noConversion"/>
  </si>
  <si>
    <t>˚</t>
    <phoneticPr fontId="4" type="noConversion"/>
  </si>
  <si>
    <t>정규</t>
    <phoneticPr fontId="4" type="noConversion"/>
  </si>
  <si>
    <t>∞</t>
    <phoneticPr fontId="4" type="noConversion"/>
  </si>
  <si>
    <t>B</t>
    <phoneticPr fontId="4" type="noConversion"/>
  </si>
  <si>
    <t>지시값</t>
    <phoneticPr fontId="4" type="noConversion"/>
  </si>
  <si>
    <r>
      <t>M</t>
    </r>
    <r>
      <rPr>
        <vertAlign val="subscript"/>
        <sz val="9"/>
        <rFont val="맑은 고딕"/>
        <family val="3"/>
        <charset val="129"/>
        <scheme val="major"/>
      </rPr>
      <t>n</t>
    </r>
    <phoneticPr fontId="4" type="noConversion"/>
  </si>
  <si>
    <t>˚</t>
    <phoneticPr fontId="4" type="noConversion"/>
  </si>
  <si>
    <t>t</t>
    <phoneticPr fontId="4" type="noConversion"/>
  </si>
  <si>
    <t>C</t>
    <phoneticPr fontId="4" type="noConversion"/>
  </si>
  <si>
    <t>분해능</t>
    <phoneticPr fontId="4" type="noConversion"/>
  </si>
  <si>
    <r>
      <t>δ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</si>
  <si>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t>직사각형</t>
    <phoneticPr fontId="4" type="noConversion"/>
  </si>
  <si>
    <t>∞</t>
    <phoneticPr fontId="4" type="noConversion"/>
  </si>
  <si>
    <t>D</t>
    <phoneticPr fontId="4" type="noConversion"/>
  </si>
  <si>
    <t>목측오차</t>
    <phoneticPr fontId="4" type="noConversion"/>
  </si>
  <si>
    <r>
      <t>δ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</si>
  <si>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E</t>
    <phoneticPr fontId="4" type="noConversion"/>
  </si>
  <si>
    <t>직각자허용치</t>
    <phoneticPr fontId="4" type="noConversion"/>
  </si>
  <si>
    <r>
      <t>δ</t>
    </r>
    <r>
      <rPr>
        <vertAlign val="subscript"/>
        <sz val="9"/>
        <rFont val="맑은 고딕"/>
        <family val="3"/>
        <charset val="129"/>
        <scheme val="major"/>
      </rPr>
      <t>z</t>
    </r>
    <phoneticPr fontId="4" type="noConversion"/>
  </si>
  <si>
    <t>직사각형</t>
    <phoneticPr fontId="4" type="noConversion"/>
  </si>
  <si>
    <t>F</t>
    <phoneticPr fontId="4" type="noConversion"/>
  </si>
  <si>
    <t>합성표준</t>
    <phoneticPr fontId="4" type="noConversion"/>
  </si>
  <si>
    <r>
      <t>ΔA</t>
    </r>
    <r>
      <rPr>
        <vertAlign val="subscript"/>
        <sz val="9"/>
        <rFont val="맑은 고딕"/>
        <family val="3"/>
        <charset val="129"/>
        <scheme val="major"/>
      </rPr>
      <t>n</t>
    </r>
    <phoneticPr fontId="4" type="noConversion"/>
  </si>
  <si>
    <t>※ 직사각형 확률분포가 합성표준불확도에 미치는 영향</t>
    <phoneticPr fontId="4" type="noConversion"/>
  </si>
  <si>
    <t>직사각형
분포 성분</t>
    <phoneticPr fontId="4" type="noConversion"/>
  </si>
  <si>
    <t>잔여 기여량</t>
    <phoneticPr fontId="4" type="noConversion"/>
  </si>
  <si>
    <t>측정불확도</t>
    <phoneticPr fontId="4" type="noConversion"/>
  </si>
  <si>
    <t>선택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</si>
  <si>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</si>
  <si>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</si>
  <si>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</si>
  <si>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주 기여량</t>
    <phoneticPr fontId="4" type="noConversion"/>
  </si>
  <si>
    <t>단위</t>
    <phoneticPr fontId="4" type="noConversion"/>
  </si>
  <si>
    <t>계산( ˚ )</t>
    <phoneticPr fontId="4" type="noConversion"/>
  </si>
  <si>
    <t>계산( ´ )</t>
    <phoneticPr fontId="4" type="noConversion"/>
  </si>
  <si>
    <t>불확도( ˚ )</t>
    <phoneticPr fontId="4" type="noConversion"/>
  </si>
  <si>
    <t>불확도( ´ )</t>
    <phoneticPr fontId="4" type="noConversion"/>
  </si>
  <si>
    <t>성적서(HY)</t>
    <phoneticPr fontId="4" type="noConversion"/>
  </si>
  <si>
    <t>성적서</t>
    <phoneticPr fontId="4" type="noConversion"/>
  </si>
  <si>
    <t>Rawdata</t>
    <phoneticPr fontId="4" type="noConversion"/>
  </si>
  <si>
    <t>확률분포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</si>
  <si>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</si>
  <si>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</si>
  <si>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</si>
  <si>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측정불확도</t>
    <phoneticPr fontId="4" type="noConversion"/>
  </si>
  <si>
    <t>k</t>
    <phoneticPr fontId="4" type="noConversion"/>
  </si>
  <si>
    <t>CMC</t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</si>
  <si>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</si>
  <si>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</si>
  <si>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</si>
  <si>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자리수</t>
    <phoneticPr fontId="4" type="noConversion"/>
  </si>
  <si>
    <t>Format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</si>
  <si>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</si>
  <si>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</si>
  <si>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</si>
  <si>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</si>
  <si>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</si>
  <si>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</si>
  <si>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</si>
  <si>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</si>
  <si>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</si>
  <si>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</si>
  <si>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측정눈금</t>
    <phoneticPr fontId="4" type="noConversion"/>
  </si>
  <si>
    <t>단위</t>
    <phoneticPr fontId="4" type="noConversion"/>
  </si>
  <si>
    <t>배율</t>
    <phoneticPr fontId="4" type="noConversion"/>
  </si>
  <si>
    <t>배율단위</t>
    <phoneticPr fontId="4" type="noConversion"/>
  </si>
  <si>
    <t>명목값</t>
    <phoneticPr fontId="4" type="noConversion"/>
  </si>
  <si>
    <t>단위</t>
    <phoneticPr fontId="4" type="noConversion"/>
  </si>
  <si>
    <t>단위</t>
    <phoneticPr fontId="4" type="noConversion"/>
  </si>
  <si>
    <t>측정불확도1</t>
    <phoneticPr fontId="4" type="noConversion"/>
  </si>
  <si>
    <t>측정불확도2</t>
    <phoneticPr fontId="4" type="noConversion"/>
  </si>
  <si>
    <t>불확도 단위</t>
    <phoneticPr fontId="4" type="noConversion"/>
  </si>
  <si>
    <t>k</t>
    <phoneticPr fontId="4" type="noConversion"/>
  </si>
  <si>
    <t>비고</t>
    <phoneticPr fontId="4" type="noConversion"/>
  </si>
  <si>
    <t>열팽창계수</t>
    <phoneticPr fontId="4" type="noConversion"/>
  </si>
  <si>
    <t>H</t>
    <phoneticPr fontId="4" type="noConversion"/>
  </si>
  <si>
    <t>I</t>
    <phoneticPr fontId="4" type="noConversion"/>
  </si>
  <si>
    <t>J</t>
    <phoneticPr fontId="4" type="noConversion"/>
  </si>
  <si>
    <t>목측오차</t>
    <phoneticPr fontId="4" type="noConversion"/>
  </si>
  <si>
    <t>여현오차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</si>
  <si>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c</t>
    </r>
    <phoneticPr fontId="4" type="noConversion"/>
  </si>
  <si>
    <t>μm</t>
    <phoneticPr fontId="4" type="noConversion"/>
  </si>
  <si>
    <t>H</t>
    <phoneticPr fontId="4" type="noConversion"/>
  </si>
  <si>
    <t>I</t>
    <phoneticPr fontId="4" type="noConversion"/>
  </si>
  <si>
    <t>J</t>
    <phoneticPr fontId="4" type="noConversion"/>
  </si>
  <si>
    <t>요인</t>
    <phoneticPr fontId="4" type="noConversion"/>
  </si>
  <si>
    <t>요인 1</t>
    <phoneticPr fontId="4" type="noConversion"/>
  </si>
  <si>
    <t>요인 2</t>
    <phoneticPr fontId="4" type="noConversion"/>
  </si>
  <si>
    <t>단위</t>
    <phoneticPr fontId="4" type="noConversion"/>
  </si>
  <si>
    <t>○ X 축 방향 이송 정확도 교정결과</t>
    <phoneticPr fontId="4" type="noConversion"/>
  </si>
  <si>
    <t>○ Y 축 방향 이송 정확도 교정결과</t>
    <phoneticPr fontId="4" type="noConversion"/>
  </si>
  <si>
    <t>※ 기능당 50 % 추가</t>
    <phoneticPr fontId="4" type="noConversion"/>
  </si>
  <si>
    <t>X 축</t>
    <phoneticPr fontId="4" type="noConversion"/>
  </si>
  <si>
    <t>Y 축</t>
    <phoneticPr fontId="4" type="noConversion"/>
  </si>
  <si>
    <t>배율</t>
    <phoneticPr fontId="4" type="noConversion"/>
  </si>
  <si>
    <t>회전각도</t>
    <phoneticPr fontId="4" type="noConversion"/>
  </si>
  <si>
    <t>각도측정</t>
    <phoneticPr fontId="4" type="noConversion"/>
  </si>
  <si>
    <t>기본</t>
    <phoneticPr fontId="4" type="noConversion"/>
  </si>
  <si>
    <t>기본</t>
    <phoneticPr fontId="4" type="noConversion"/>
  </si>
  <si>
    <t>기본</t>
    <phoneticPr fontId="4" type="noConversion"/>
  </si>
  <si>
    <t>추가</t>
    <phoneticPr fontId="4" type="noConversion"/>
  </si>
  <si>
    <t>추가</t>
    <phoneticPr fontId="4" type="noConversion"/>
  </si>
  <si>
    <t>※ X축, Y축, 배율 기본</t>
    <phoneticPr fontId="4" type="noConversion"/>
  </si>
  <si>
    <t>교정점수</t>
    <phoneticPr fontId="4" type="noConversion"/>
  </si>
  <si>
    <t>추가교정점</t>
    <phoneticPr fontId="4" type="noConversion"/>
  </si>
  <si>
    <t>기준기명</t>
    <phoneticPr fontId="4" type="noConversion"/>
  </si>
  <si>
    <t>명목값</t>
    <phoneticPr fontId="4" type="noConversion"/>
  </si>
  <si>
    <t>사용블록 (도)</t>
    <phoneticPr fontId="4" type="noConversion"/>
  </si>
  <si>
    <t>블록 #1</t>
    <phoneticPr fontId="4" type="noConversion"/>
  </si>
  <si>
    <t>사용블록 교정값 (도)</t>
    <phoneticPr fontId="4" type="noConversion"/>
  </si>
  <si>
    <t>투영면 각도</t>
    <phoneticPr fontId="4" type="noConversion"/>
  </si>
  <si>
    <t>사용블록 불확도 (초)</t>
    <phoneticPr fontId="4" type="noConversion"/>
  </si>
  <si>
    <t>○ 각도 분할 정확도 교정결과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</si>
  <si>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</si>
  <si>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</si>
  <si>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최소범위</t>
    <phoneticPr fontId="4" type="noConversion"/>
  </si>
  <si>
    <t>최대범위</t>
    <phoneticPr fontId="4" type="noConversion"/>
  </si>
  <si>
    <t>최소눈금</t>
    <phoneticPr fontId="4" type="noConversion"/>
  </si>
  <si>
    <t>단위</t>
    <phoneticPr fontId="4" type="noConversion"/>
  </si>
  <si>
    <t>CMC1</t>
    <phoneticPr fontId="4" type="noConversion"/>
  </si>
  <si>
    <t>CMC단위</t>
    <phoneticPr fontId="4" type="noConversion"/>
  </si>
  <si>
    <t>사용?</t>
    <phoneticPr fontId="4" type="noConversion"/>
  </si>
  <si>
    <t>측정투영기 지시값</t>
    <phoneticPr fontId="4" type="noConversion"/>
  </si>
  <si>
    <t>표준편차</t>
    <phoneticPr fontId="4" type="noConversion"/>
  </si>
  <si>
    <t>측정지점</t>
    <phoneticPr fontId="4" type="noConversion"/>
  </si>
  <si>
    <t>각도/90</t>
    <phoneticPr fontId="4" type="noConversion"/>
  </si>
  <si>
    <t>지시값</t>
    <phoneticPr fontId="4" type="noConversion"/>
  </si>
  <si>
    <t>보정값</t>
    <phoneticPr fontId="4" type="noConversion"/>
  </si>
  <si>
    <t>Spec</t>
    <phoneticPr fontId="4" type="noConversion"/>
  </si>
  <si>
    <t>표기용</t>
    <phoneticPr fontId="4" type="noConversion"/>
  </si>
  <si>
    <t>1회</t>
    <phoneticPr fontId="4" type="noConversion"/>
  </si>
  <si>
    <t>2회</t>
    <phoneticPr fontId="4" type="noConversion"/>
  </si>
  <si>
    <r>
      <t>A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</si>
  <si>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S</t>
    <phoneticPr fontId="4" type="noConversion"/>
  </si>
  <si>
    <t>n</t>
    <phoneticPr fontId="4" type="noConversion"/>
  </si>
  <si>
    <r>
      <t>M</t>
    </r>
    <r>
      <rPr>
        <b/>
        <vertAlign val="subscript"/>
        <sz val="9"/>
        <color indexed="9"/>
        <rFont val="맑은 고딕"/>
        <family val="3"/>
        <charset val="129"/>
        <scheme val="major"/>
      </rPr>
      <t>n</t>
    </r>
    <phoneticPr fontId="4" type="noConversion"/>
  </si>
  <si>
    <r>
      <t>ΔA</t>
    </r>
    <r>
      <rPr>
        <b/>
        <vertAlign val="subscript"/>
        <sz val="9"/>
        <color indexed="9"/>
        <rFont val="맑은 고딕"/>
        <family val="3"/>
        <charset val="129"/>
        <scheme val="major"/>
      </rPr>
      <t>n</t>
    </r>
    <phoneticPr fontId="4" type="noConversion"/>
  </si>
  <si>
    <t>Max</t>
    <phoneticPr fontId="4" type="noConversion"/>
  </si>
  <si>
    <t>눈금값</t>
    <phoneticPr fontId="4" type="noConversion"/>
  </si>
  <si>
    <t>Spec</t>
    <phoneticPr fontId="4" type="noConversion"/>
  </si>
  <si>
    <t>측정불확도 (초)</t>
    <phoneticPr fontId="4" type="noConversion"/>
  </si>
  <si>
    <t>´</t>
    <phoneticPr fontId="4" type="noConversion"/>
  </si>
  <si>
    <t>블록1</t>
    <phoneticPr fontId="4" type="noConversion"/>
  </si>
  <si>
    <t>블록2</t>
  </si>
  <si>
    <t>블록3</t>
  </si>
  <si>
    <t>블록4</t>
  </si>
  <si>
    <t>블록5</t>
  </si>
  <si>
    <t>합성</t>
    <phoneticPr fontId="4" type="noConversion"/>
  </si>
  <si>
    <t>3. 불확도 계산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</si>
  <si>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</si>
  <si>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</si>
  <si>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</si>
  <si>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</si>
  <si>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t>직사각형</t>
    <phoneticPr fontId="4" type="noConversion"/>
  </si>
  <si>
    <t>표준불확도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</si>
  <si>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</si>
  <si>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요인 1</t>
    <phoneticPr fontId="4" type="noConversion"/>
  </si>
  <si>
    <t>요인 2</t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</si>
  <si>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</si>
  <si>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</si>
  <si>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</si>
  <si>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</si>
  <si>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</si>
  <si>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</si>
  <si>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</si>
  <si>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A</t>
    <phoneticPr fontId="4" type="noConversion"/>
  </si>
  <si>
    <t>기준기</t>
    <phoneticPr fontId="4" type="noConversion"/>
  </si>
  <si>
    <t>S</t>
    <phoneticPr fontId="4" type="noConversion"/>
  </si>
  <si>
    <t>˚</t>
    <phoneticPr fontId="4" type="noConversion"/>
  </si>
  <si>
    <t>정규</t>
    <phoneticPr fontId="4" type="noConversion"/>
  </si>
  <si>
    <t>∞</t>
    <phoneticPr fontId="4" type="noConversion"/>
  </si>
  <si>
    <t>B</t>
    <phoneticPr fontId="4" type="noConversion"/>
  </si>
  <si>
    <t>지시값</t>
    <phoneticPr fontId="4" type="noConversion"/>
  </si>
  <si>
    <r>
      <t>M</t>
    </r>
    <r>
      <rPr>
        <vertAlign val="subscript"/>
        <sz val="9"/>
        <rFont val="맑은 고딕"/>
        <family val="3"/>
        <charset val="129"/>
        <scheme val="major"/>
      </rPr>
      <t>n</t>
    </r>
    <phoneticPr fontId="4" type="noConversion"/>
  </si>
  <si>
    <t>˚</t>
    <phoneticPr fontId="4" type="noConversion"/>
  </si>
  <si>
    <t>t</t>
    <phoneticPr fontId="4" type="noConversion"/>
  </si>
  <si>
    <t>C</t>
    <phoneticPr fontId="4" type="noConversion"/>
  </si>
  <si>
    <t>분해능</t>
    <phoneticPr fontId="4" type="noConversion"/>
  </si>
  <si>
    <r>
      <t>δ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</si>
  <si>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t>직사각형</t>
    <phoneticPr fontId="4" type="noConversion"/>
  </si>
  <si>
    <t>∞</t>
    <phoneticPr fontId="4" type="noConversion"/>
  </si>
  <si>
    <t>D</t>
    <phoneticPr fontId="4" type="noConversion"/>
  </si>
  <si>
    <t>목측오차</t>
    <phoneticPr fontId="4" type="noConversion"/>
  </si>
  <si>
    <r>
      <t>δ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</si>
  <si>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˚</t>
    <phoneticPr fontId="4" type="noConversion"/>
  </si>
  <si>
    <t>E</t>
    <phoneticPr fontId="4" type="noConversion"/>
  </si>
  <si>
    <t>직각자허용치</t>
    <phoneticPr fontId="4" type="noConversion"/>
  </si>
  <si>
    <r>
      <t>δ</t>
    </r>
    <r>
      <rPr>
        <vertAlign val="subscript"/>
        <sz val="9"/>
        <rFont val="맑은 고딕"/>
        <family val="3"/>
        <charset val="129"/>
        <scheme val="major"/>
      </rPr>
      <t>z</t>
    </r>
    <phoneticPr fontId="4" type="noConversion"/>
  </si>
  <si>
    <t>F</t>
    <phoneticPr fontId="4" type="noConversion"/>
  </si>
  <si>
    <t>합성표준</t>
    <phoneticPr fontId="4" type="noConversion"/>
  </si>
  <si>
    <r>
      <t>ΔA</t>
    </r>
    <r>
      <rPr>
        <vertAlign val="subscript"/>
        <sz val="9"/>
        <rFont val="맑은 고딕"/>
        <family val="3"/>
        <charset val="129"/>
        <scheme val="major"/>
      </rPr>
      <t>n</t>
    </r>
    <phoneticPr fontId="4" type="noConversion"/>
  </si>
  <si>
    <t>※ 직사각형 확률분포가 합성표준불확도에 미치는 영향</t>
    <phoneticPr fontId="4" type="noConversion"/>
  </si>
  <si>
    <t>직사각형
분포 성분</t>
    <phoneticPr fontId="4" type="noConversion"/>
  </si>
  <si>
    <t>잔여 기여량</t>
    <phoneticPr fontId="4" type="noConversion"/>
  </si>
  <si>
    <t>측정불확도</t>
    <phoneticPr fontId="4" type="noConversion"/>
  </si>
  <si>
    <t>선택</t>
    <phoneticPr fontId="4" type="noConversion"/>
  </si>
  <si>
    <t>5% rule</t>
    <phoneticPr fontId="4" type="noConversion"/>
  </si>
  <si>
    <t>Number Format</t>
    <phoneticPr fontId="4" type="noConversion"/>
  </si>
  <si>
    <t>주 기여량</t>
    <phoneticPr fontId="4" type="noConversion"/>
  </si>
  <si>
    <t>계산( ˚ )</t>
    <phoneticPr fontId="4" type="noConversion"/>
  </si>
  <si>
    <t>계산( ´ )</t>
    <phoneticPr fontId="4" type="noConversion"/>
  </si>
  <si>
    <t>불확도( ˚ )</t>
    <phoneticPr fontId="4" type="noConversion"/>
  </si>
  <si>
    <t>불확도( ´ )</t>
    <phoneticPr fontId="4" type="noConversion"/>
  </si>
  <si>
    <t>성적서( ˚ )</t>
    <phoneticPr fontId="4" type="noConversion"/>
  </si>
  <si>
    <t>성적서( ´ )</t>
    <phoneticPr fontId="4" type="noConversion"/>
  </si>
  <si>
    <t>Rawdata</t>
    <phoneticPr fontId="4" type="noConversion"/>
  </si>
  <si>
    <t>확률분포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</si>
  <si>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</si>
  <si>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</si>
  <si>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</si>
  <si>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k</t>
    <phoneticPr fontId="4" type="noConversion"/>
  </si>
  <si>
    <t>CMC</t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</si>
  <si>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</si>
  <si>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</si>
  <si>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</si>
  <si>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자리수</t>
    <phoneticPr fontId="4" type="noConversion"/>
  </si>
  <si>
    <t>Format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</si>
  <si>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</si>
  <si>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</si>
  <si>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</si>
  <si>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</si>
  <si>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</si>
  <si>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</si>
  <si>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</si>
  <si>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</si>
  <si>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</si>
  <si>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</si>
  <si>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● X축 방향 이송 정확도</t>
    <phoneticPr fontId="4" type="noConversion"/>
  </si>
  <si>
    <t>● Y축 방향 이송 정확도</t>
    <phoneticPr fontId="4" type="noConversion"/>
  </si>
  <si>
    <t>● 배율 오차</t>
    <phoneticPr fontId="4" type="noConversion"/>
  </si>
  <si>
    <t>배율</t>
    <phoneticPr fontId="4" type="noConversion"/>
  </si>
  <si>
    <t>● 투영면의 회전 각도</t>
    <phoneticPr fontId="4" type="noConversion"/>
  </si>
  <si>
    <t>● 각도 분할 정확도</t>
    <phoneticPr fontId="4" type="noConversion"/>
  </si>
  <si>
    <t>분해능</t>
    <phoneticPr fontId="4" type="noConversion"/>
  </si>
  <si>
    <t>분해능</t>
    <phoneticPr fontId="4" type="noConversion"/>
  </si>
  <si>
    <t>● 테이블의 이송정확도 교정결과</t>
    <phoneticPr fontId="4" type="noConversion"/>
  </si>
  <si>
    <t>명목배율
(배)</t>
    <phoneticPr fontId="4" type="noConversion"/>
  </si>
  <si>
    <t>배율오차
(%)</t>
    <phoneticPr fontId="4" type="noConversion"/>
  </si>
  <si>
    <t>측정불확도
(%)</t>
    <phoneticPr fontId="4" type="noConversion"/>
  </si>
  <si>
    <t>● 배율 정확도 교정결과</t>
    <phoneticPr fontId="4" type="noConversion"/>
  </si>
  <si>
    <t>눈금값
(도)</t>
    <phoneticPr fontId="4" type="noConversion"/>
  </si>
  <si>
    <t>보정값
(분)</t>
    <phoneticPr fontId="4" type="noConversion"/>
  </si>
  <si>
    <t>측정불확도
(분)</t>
    <phoneticPr fontId="4" type="noConversion"/>
  </si>
  <si>
    <t>● 각도 분할 정확도 교정결과</t>
    <phoneticPr fontId="4" type="noConversion"/>
  </si>
  <si>
    <t>● Magnification accuracy calibration result</t>
    <phoneticPr fontId="4" type="noConversion"/>
  </si>
  <si>
    <t>Nominal Magnification</t>
    <phoneticPr fontId="4" type="noConversion"/>
  </si>
  <si>
    <t>Error
(%)</t>
    <phoneticPr fontId="4" type="noConversion"/>
  </si>
  <si>
    <t>● Angle division accuracy calibration result</t>
    <phoneticPr fontId="4" type="noConversion"/>
  </si>
  <si>
    <t>투영면 반지름</t>
    <phoneticPr fontId="4" type="noConversion"/>
  </si>
  <si>
    <t>● X and Y-Axis Measuring table feed accuracy Calibration results</t>
    <phoneticPr fontId="4" type="noConversion"/>
  </si>
  <si>
    <t>배율 오차</t>
    <phoneticPr fontId="4" type="noConversion"/>
  </si>
  <si>
    <t>○ 배율 오차 교정결과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</si>
  <si>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</si>
  <si>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</si>
  <si>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</si>
  <si>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최소범위</t>
    <phoneticPr fontId="4" type="noConversion"/>
  </si>
  <si>
    <t>최대범위</t>
    <phoneticPr fontId="4" type="noConversion"/>
  </si>
  <si>
    <t>배율</t>
    <phoneticPr fontId="4" type="noConversion"/>
  </si>
  <si>
    <t>최소눈금</t>
    <phoneticPr fontId="4" type="noConversion"/>
  </si>
  <si>
    <t>분해능</t>
    <phoneticPr fontId="4" type="noConversion"/>
  </si>
  <si>
    <t>단위</t>
    <phoneticPr fontId="4" type="noConversion"/>
  </si>
  <si>
    <t>CMC</t>
    <phoneticPr fontId="4" type="noConversion"/>
  </si>
  <si>
    <t>2. 교정결과</t>
    <phoneticPr fontId="4" type="noConversion"/>
  </si>
  <si>
    <t>4. 성적서용</t>
    <phoneticPr fontId="4" type="noConversion"/>
  </si>
  <si>
    <t>사용?</t>
    <phoneticPr fontId="4" type="noConversion"/>
  </si>
  <si>
    <t>측정눈금</t>
    <phoneticPr fontId="4" type="noConversion"/>
  </si>
  <si>
    <t>단위</t>
    <phoneticPr fontId="4" type="noConversion"/>
  </si>
  <si>
    <t>배율</t>
    <phoneticPr fontId="4" type="noConversion"/>
  </si>
  <si>
    <t>명목값</t>
    <phoneticPr fontId="4" type="noConversion"/>
  </si>
  <si>
    <t>투영된 투영상의 눈금 길이 측정값 (mm)</t>
    <phoneticPr fontId="4" type="noConversion"/>
  </si>
  <si>
    <t>표준편차</t>
    <phoneticPr fontId="4" type="noConversion"/>
  </si>
  <si>
    <t>기준값</t>
    <phoneticPr fontId="4" type="noConversion"/>
  </si>
  <si>
    <t>측정값</t>
    <phoneticPr fontId="4" type="noConversion"/>
  </si>
  <si>
    <t>배율오차</t>
    <phoneticPr fontId="4" type="noConversion"/>
  </si>
  <si>
    <t>자리수 맞춤</t>
    <phoneticPr fontId="4" type="noConversion"/>
  </si>
  <si>
    <t>Spec</t>
    <phoneticPr fontId="4" type="noConversion"/>
  </si>
  <si>
    <t>표기용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</si>
  <si>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</si>
  <si>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</si>
  <si>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</si>
  <si>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</si>
  <si>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</si>
  <si>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</si>
  <si>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M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</si>
  <si>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ΔM</t>
    <phoneticPr fontId="4" type="noConversion"/>
  </si>
  <si>
    <t>교정값</t>
    <phoneticPr fontId="4" type="noConversion"/>
  </si>
  <si>
    <t>불확도</t>
    <phoneticPr fontId="4" type="noConversion"/>
  </si>
  <si>
    <t>Min</t>
    <phoneticPr fontId="4" type="noConversion"/>
  </si>
  <si>
    <t>Max</t>
    <phoneticPr fontId="4" type="noConversion"/>
  </si>
  <si>
    <t>명목배율</t>
    <phoneticPr fontId="4" type="noConversion"/>
  </si>
  <si>
    <t>배율오차</t>
    <phoneticPr fontId="4" type="noConversion"/>
  </si>
  <si>
    <t>Pass/Fail</t>
    <phoneticPr fontId="4" type="noConversion"/>
  </si>
  <si>
    <t>mm</t>
    <phoneticPr fontId="4" type="noConversion"/>
  </si>
  <si>
    <t>배</t>
    <phoneticPr fontId="4" type="noConversion"/>
  </si>
  <si>
    <t>%</t>
    <phoneticPr fontId="4" type="noConversion"/>
  </si>
  <si>
    <t>%</t>
    <phoneticPr fontId="4" type="noConversion"/>
  </si>
  <si>
    <t>배</t>
    <phoneticPr fontId="4" type="noConversion"/>
  </si>
  <si>
    <t>3. 불확도 계산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</si>
  <si>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</si>
  <si>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</si>
  <si>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</si>
  <si>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</si>
  <si>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t>직사각형</t>
    <phoneticPr fontId="4" type="noConversion"/>
  </si>
  <si>
    <t>기타</t>
    <phoneticPr fontId="4" type="noConversion"/>
  </si>
  <si>
    <t>표준불확도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</si>
  <si>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</si>
  <si>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</si>
  <si>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</si>
  <si>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</si>
  <si>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표준불확도</t>
    <phoneticPr fontId="4" type="noConversion"/>
  </si>
  <si>
    <t>확률분포</t>
    <phoneticPr fontId="4" type="noConversion"/>
  </si>
  <si>
    <t>요인(값)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</si>
  <si>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</si>
  <si>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</si>
  <si>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</si>
  <si>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확률분포</t>
    <phoneticPr fontId="4" type="noConversion"/>
  </si>
  <si>
    <t>A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</si>
  <si>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</si>
  <si>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</si>
  <si>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mm</t>
    <phoneticPr fontId="4" type="noConversion"/>
  </si>
  <si>
    <t>정규</t>
    <phoneticPr fontId="4" type="noConversion"/>
  </si>
  <si>
    <t>/mm</t>
    <phoneticPr fontId="4" type="noConversion"/>
  </si>
  <si>
    <t>∞</t>
    <phoneticPr fontId="4" type="noConversion"/>
  </si>
  <si>
    <t>B</t>
    <phoneticPr fontId="4" type="noConversion"/>
  </si>
  <si>
    <t>측정값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</si>
  <si>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</si>
  <si>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mm</t>
    <phoneticPr fontId="4" type="noConversion"/>
  </si>
  <si>
    <t>t</t>
    <phoneticPr fontId="4" type="noConversion"/>
  </si>
  <si>
    <t>C</t>
    <phoneticPr fontId="4" type="noConversion"/>
  </si>
  <si>
    <t>분해능</t>
    <phoneticPr fontId="4" type="noConversion"/>
  </si>
  <si>
    <t>직사각형</t>
    <phoneticPr fontId="4" type="noConversion"/>
  </si>
  <si>
    <t>/mm</t>
    <phoneticPr fontId="4" type="noConversion"/>
  </si>
  <si>
    <t>D</t>
    <phoneticPr fontId="4" type="noConversion"/>
  </si>
  <si>
    <t>목측오차</t>
    <phoneticPr fontId="4" type="noConversion"/>
  </si>
  <si>
    <t>E</t>
    <phoneticPr fontId="4" type="noConversion"/>
  </si>
  <si>
    <t>합성표준</t>
    <phoneticPr fontId="4" type="noConversion"/>
  </si>
  <si>
    <t>%</t>
    <phoneticPr fontId="4" type="noConversion"/>
  </si>
  <si>
    <t>※ 직사각형 확률분포가 합성표준불확도에 미치는 영향</t>
    <phoneticPr fontId="4" type="noConversion"/>
  </si>
  <si>
    <t>직사각형
분포 성분</t>
    <phoneticPr fontId="4" type="noConversion"/>
  </si>
  <si>
    <t>잔여 기여량</t>
    <phoneticPr fontId="4" type="noConversion"/>
  </si>
  <si>
    <t>측정불확도</t>
    <phoneticPr fontId="4" type="noConversion"/>
  </si>
  <si>
    <t>선택</t>
    <phoneticPr fontId="4" type="noConversion"/>
  </si>
  <si>
    <t>분해능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</si>
  <si>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</si>
  <si>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</si>
  <si>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</si>
  <si>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주 기여량</t>
    <phoneticPr fontId="4" type="noConversion"/>
  </si>
  <si>
    <t>성적서(HY)</t>
    <phoneticPr fontId="4" type="noConversion"/>
  </si>
  <si>
    <t>Rawdata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</si>
  <si>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</si>
  <si>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</si>
  <si>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</si>
  <si>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</si>
  <si>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</si>
  <si>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</si>
  <si>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자리수</t>
    <phoneticPr fontId="4" type="noConversion"/>
  </si>
  <si>
    <t>Format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</si>
  <si>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</si>
  <si>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</si>
  <si>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</si>
  <si>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</si>
  <si>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</si>
  <si>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</si>
  <si>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</si>
  <si>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</si>
  <si>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</si>
  <si>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</si>
  <si>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mm</t>
    <phoneticPr fontId="4" type="noConversion"/>
  </si>
  <si>
    <t>성적서(%)</t>
    <phoneticPr fontId="4" type="noConversion"/>
  </si>
  <si>
    <t>성적서(배)</t>
    <phoneticPr fontId="4" type="noConversion"/>
  </si>
  <si>
    <t>각도 분할</t>
    <phoneticPr fontId="4" type="noConversion"/>
  </si>
  <si>
    <t>˚</t>
    <phoneticPr fontId="4" type="noConversion"/>
  </si>
  <si>
    <t>도</t>
    <phoneticPr fontId="4" type="noConversion"/>
  </si>
  <si>
    <t>분</t>
    <phoneticPr fontId="4" type="noConversion"/>
  </si>
  <si>
    <t>도분초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</si>
  <si>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</si>
  <si>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</si>
  <si>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</si>
  <si>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t>1회</t>
    <phoneticPr fontId="4" type="noConversion"/>
  </si>
  <si>
    <t>초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</si>
  <si>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</si>
  <si>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</si>
  <si>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</si>
  <si>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t>2회</t>
    <phoneticPr fontId="4" type="noConversion"/>
  </si>
  <si>
    <t>도</t>
    <phoneticPr fontId="4" type="noConversion"/>
  </si>
  <si>
    <t>분</t>
    <phoneticPr fontId="4" type="noConversion"/>
  </si>
  <si>
    <t>초</t>
    <phoneticPr fontId="4" type="noConversion"/>
  </si>
  <si>
    <t>도분초</t>
    <phoneticPr fontId="4" type="noConversion"/>
  </si>
  <si>
    <t>◆ X축 방향 측정불확도 추정보고서 ◆</t>
    <phoneticPr fontId="4" type="noConversion"/>
  </si>
  <si>
    <t>단위</t>
    <phoneticPr fontId="4" type="noConversion"/>
  </si>
  <si>
    <t>환산계수</t>
    <phoneticPr fontId="4" type="noConversion"/>
  </si>
  <si>
    <t>기기명</t>
    <phoneticPr fontId="4" type="noConversion"/>
  </si>
  <si>
    <t>기준기명</t>
    <phoneticPr fontId="4" type="noConversion"/>
  </si>
  <si>
    <t>■ 반복 측정 결과</t>
    <phoneticPr fontId="4" type="noConversion"/>
  </si>
  <si>
    <t>평균값</t>
    <phoneticPr fontId="4" type="noConversion"/>
  </si>
  <si>
    <t>1회</t>
    <phoneticPr fontId="4" type="noConversion"/>
  </si>
  <si>
    <t>3회</t>
    <phoneticPr fontId="4" type="noConversion"/>
  </si>
  <si>
    <t>5회</t>
    <phoneticPr fontId="4" type="noConversion"/>
  </si>
  <si>
    <t>mm</t>
    <phoneticPr fontId="4" type="noConversion"/>
  </si>
  <si>
    <t>■ 수학적 모델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</si>
  <si>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</si>
  <si>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</si>
  <si>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: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</si>
  <si>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</si>
  <si>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</si>
  <si>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</si>
  <si>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δ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</si>
  <si>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</si>
  <si>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</si>
  <si>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</si>
  <si>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</si>
  <si>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</si>
  <si>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</si>
  <si>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</si>
  <si>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</si>
  <si>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</si>
  <si>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</si>
  <si>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</si>
  <si>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</si>
  <si>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</si>
  <si>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</si>
  <si>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</si>
  <si>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A</t>
    <phoneticPr fontId="4" type="noConversion"/>
  </si>
  <si>
    <t>B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</si>
  <si>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</si>
  <si>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</si>
  <si>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</si>
  <si>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t>G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</si>
  <si>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</si>
  <si>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H</t>
    <phoneticPr fontId="4" type="noConversion"/>
  </si>
  <si>
    <t>I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</si>
  <si>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c</t>
    </r>
    <phoneticPr fontId="4" type="noConversion"/>
  </si>
  <si>
    <t>J</t>
    <phoneticPr fontId="4" type="noConversion"/>
  </si>
  <si>
    <r>
      <t xml:space="preserve">※ </t>
    </r>
    <r>
      <rPr>
        <i/>
        <sz val="10"/>
        <rFont val="Times New Roman"/>
        <family val="1"/>
      </rPr>
      <t>l</t>
    </r>
    <r>
      <rPr>
        <vertAlign val="subscript"/>
        <sz val="10"/>
        <rFont val="맑은 고딕"/>
        <family val="3"/>
        <charset val="129"/>
        <scheme val="minor"/>
      </rPr>
      <t>0</t>
    </r>
    <r>
      <rPr>
        <sz val="10"/>
        <rFont val="맑은 고딕"/>
        <family val="3"/>
        <charset val="129"/>
        <scheme val="minor"/>
      </rPr>
      <t>는 측정투영기의 지시값이며, 단위는 mm 이다.</t>
    </r>
    <phoneticPr fontId="4" type="noConversion"/>
  </si>
  <si>
    <t>A1. 추정값 :</t>
    <phoneticPr fontId="4" type="noConversion"/>
  </si>
  <si>
    <t>A2. 표준불확도 :</t>
    <phoneticPr fontId="4" type="noConversion"/>
  </si>
  <si>
    <r>
      <t xml:space="preserve">μm (신뢰수준 약 95 %,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=2) 이므로</t>
    </r>
    <phoneticPr fontId="4" type="noConversion"/>
  </si>
  <si>
    <r>
      <t>(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inor"/>
      </rPr>
      <t>는 표준자의 길이이며, 단위는 mm이다.)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</si>
  <si>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</si>
  <si>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</si>
  <si>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t>nm</t>
    <phoneticPr fontId="4" type="noConversion"/>
  </si>
  <si>
    <t>μm</t>
    <phoneticPr fontId="4" type="noConversion"/>
  </si>
  <si>
    <t>A3. 확률분포 :</t>
    <phoneticPr fontId="4" type="noConversion"/>
  </si>
  <si>
    <t>A4. 감도계수 :</t>
    <phoneticPr fontId="4" type="noConversion"/>
  </si>
  <si>
    <t>|</t>
    <phoneticPr fontId="4" type="noConversion"/>
  </si>
  <si>
    <t>×</t>
    <phoneticPr fontId="4" type="noConversion"/>
  </si>
  <si>
    <t>A6.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</si>
  <si>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</si>
  <si>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</si>
  <si>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</si>
  <si>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</si>
  <si>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B1. 추정값 :</t>
    <phoneticPr fontId="4" type="noConversion"/>
  </si>
  <si>
    <t>B2. 표준불확도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</si>
  <si>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</si>
  <si>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s</t>
    <phoneticPr fontId="4" type="noConversion"/>
  </si>
  <si>
    <t>B3. 확률분포 :</t>
    <phoneticPr fontId="4" type="noConversion"/>
  </si>
  <si>
    <t>B6. 자유도 :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</si>
  <si>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</si>
  <si>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</si>
  <si>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</si>
  <si>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</si>
  <si>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</si>
  <si>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t>C4. 감도계수 :</t>
    <phoneticPr fontId="4" type="noConversion"/>
  </si>
  <si>
    <t>C5. 불확도 기여량 :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</si>
  <si>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</si>
  <si>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</si>
  <si>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t>일치한다고 추정하여 직사각형 확률분포를 적용하여 계산하면</t>
    <phoneticPr fontId="4" type="noConversion"/>
  </si>
  <si>
    <t>D1. 추정값 :</t>
    <phoneticPr fontId="4" type="noConversion"/>
  </si>
  <si>
    <t>D2.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</si>
  <si>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</si>
  <si>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D5. 불확도 기여량 :</t>
    <phoneticPr fontId="4" type="noConversion"/>
  </si>
  <si>
    <t>｜</t>
    <phoneticPr fontId="4" type="noConversion"/>
  </si>
  <si>
    <t>D6.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</si>
  <si>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</si>
  <si>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</si>
  <si>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E1. 추정값 :</t>
    <phoneticPr fontId="4" type="noConversion"/>
  </si>
  <si>
    <t>E3. 확률분포 :</t>
    <phoneticPr fontId="4" type="noConversion"/>
  </si>
  <si>
    <t>E4. 감도계수 :</t>
    <phoneticPr fontId="4" type="noConversion"/>
  </si>
  <si>
    <r>
      <t>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</si>
  <si>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E5. 불확도 기여량 :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</si>
  <si>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</si>
  <si>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F2.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</si>
  <si>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>)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</si>
  <si>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</si>
  <si>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</si>
  <si>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G3. 확률분포 :</t>
    <phoneticPr fontId="4" type="noConversion"/>
  </si>
  <si>
    <t>G4. 감도계수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</si>
  <si>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</si>
  <si>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</si>
  <si>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t>※ 측정투영기의 목측오차는 경험적으로 약 1 μm 이며 반너비를 가지는 직사각형 분포를 적용하여 구한다.</t>
    <phoneticPr fontId="4" type="noConversion"/>
  </si>
  <si>
    <t>H2.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</si>
  <si>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</si>
  <si>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H4. 감도계수 :</t>
    <phoneticPr fontId="4" type="noConversion"/>
  </si>
  <si>
    <t>H5. 불확도 기여량 :</t>
    <phoneticPr fontId="4" type="noConversion"/>
  </si>
  <si>
    <r>
      <t xml:space="preserve">* </t>
    </r>
    <r>
      <rPr>
        <i/>
        <sz val="10"/>
        <rFont val="Times New Roman"/>
        <family val="1"/>
      </rPr>
      <t>θ</t>
    </r>
    <r>
      <rPr>
        <sz val="10"/>
        <rFont val="맑은 고딕"/>
        <family val="3"/>
        <charset val="129"/>
        <scheme val="major"/>
      </rPr>
      <t xml:space="preserve"> = tan</t>
    </r>
    <r>
      <rPr>
        <vertAlign val="superscript"/>
        <sz val="10"/>
        <rFont val="맑은 고딕"/>
        <family val="3"/>
        <charset val="129"/>
        <scheme val="major"/>
      </rPr>
      <t>-1</t>
    </r>
    <r>
      <rPr>
        <sz val="10"/>
        <rFont val="맑은 고딕"/>
        <family val="3"/>
        <charset val="129"/>
        <scheme val="major"/>
      </rPr>
      <t>(0.1 mm/100mm)</t>
    </r>
  </si>
  <si>
    <t>=</t>
  </si>
  <si>
    <t>,</t>
  </si>
  <si>
    <r>
      <t>* 측정길이 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) =</t>
    </r>
  </si>
  <si>
    <t>■ 합성표준불확도 계산</t>
    <phoneticPr fontId="4" type="noConversion"/>
  </si>
  <si>
    <t>+</t>
    <phoneticPr fontId="4" type="noConversion"/>
  </si>
  <si>
    <t>■ 측정불확도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</si>
  <si>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</si>
  <si>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</si>
  <si>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</si>
  <si>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</si>
  <si>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전체의 대부분을 차지하는 경우, 주된 성분에 대한 잔여 성분의 크기가 0.3보다 작은지 점검한다.</t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</si>
  <si>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</si>
  <si>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</si>
  <si>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</si>
  <si>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</si>
  <si>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◆ Y축 방향 측정불확도 추정보고서 ◆</t>
    <phoneticPr fontId="4" type="noConversion"/>
  </si>
  <si>
    <t>명목값</t>
    <phoneticPr fontId="4" type="noConversion"/>
  </si>
  <si>
    <t>표준편차</t>
    <phoneticPr fontId="4" type="noConversion"/>
  </si>
  <si>
    <t>2회</t>
    <phoneticPr fontId="4" type="noConversion"/>
  </si>
  <si>
    <t>4회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</si>
  <si>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</si>
  <si>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</si>
  <si>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</si>
  <si>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F</t>
    <phoneticPr fontId="4" type="noConversion"/>
  </si>
  <si>
    <t>■ 유효자유도</t>
    <phoneticPr fontId="4" type="noConversion"/>
  </si>
  <si>
    <t>ΔM</t>
    <phoneticPr fontId="4" type="noConversion"/>
  </si>
  <si>
    <t>배율 오차</t>
    <phoneticPr fontId="4" type="noConversion"/>
  </si>
  <si>
    <t>투영된 투영상의 눈금 길이 측정값</t>
    <phoneticPr fontId="4" type="noConversion"/>
  </si>
  <si>
    <r>
      <t>M</t>
    </r>
    <r>
      <rPr>
        <vertAlign val="subscript"/>
        <sz val="10"/>
        <rFont val="Times New Roman"/>
        <family val="1"/>
      </rPr>
      <t>0</t>
    </r>
    <phoneticPr fontId="4" type="noConversion"/>
  </si>
  <si>
    <t>투영상 길이 측정에 사용된 표준자의 분해능에 의한 보정값</t>
    <phoneticPr fontId="4" type="noConversion"/>
  </si>
  <si>
    <t>투영상 길이 측정시 목측 오차에 의한 보정값</t>
    <phoneticPr fontId="4" type="noConversion"/>
  </si>
  <si>
    <t>×10</t>
    <phoneticPr fontId="4" type="noConversion"/>
  </si>
  <si>
    <t>■ 표준불확도 성분의 계산</t>
    <phoneticPr fontId="4" type="noConversion"/>
  </si>
  <si>
    <t>2. 투영된 투영상의 눈금길이에 의한 표준불확도,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</si>
  <si>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</si>
  <si>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B5. 불확도 기여도 :</t>
    <phoneticPr fontId="4" type="noConversion"/>
  </si>
  <si>
    <t>3. 투영상 측정길이에 사용된 표준자의 분해능에 의한 표준불확도,</t>
    <phoneticPr fontId="4" type="noConversion"/>
  </si>
  <si>
    <t>d</t>
    <phoneticPr fontId="4" type="noConversion"/>
  </si>
  <si>
    <t>눈금폭 목측오차</t>
  </si>
  <si>
    <t>표준자의 눈금폭</t>
  </si>
  <si>
    <t>×</t>
  </si>
  <si>
    <t>투영면에 새겨진 기준눈금 폭</t>
  </si>
  <si>
    <t>배율에 따른 투영상의 눈금 폭</t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</si>
  <si>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(Δ</t>
    </r>
    <r>
      <rPr>
        <i/>
        <sz val="10"/>
        <rFont val="Times New Roman"/>
        <family val="1"/>
      </rPr>
      <t>M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</si>
  <si>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A</t>
    </r>
    <r>
      <rPr>
        <i/>
        <vertAlign val="subscript"/>
        <sz val="10"/>
        <rFont val="Times New Roman"/>
        <family val="1"/>
      </rPr>
      <t>n</t>
    </r>
    <phoneticPr fontId="4" type="noConversion"/>
  </si>
  <si>
    <t>S</t>
    <phoneticPr fontId="4" type="noConversion"/>
  </si>
  <si>
    <t>n</t>
    <phoneticPr fontId="4" type="noConversion"/>
  </si>
  <si>
    <r>
      <t>M</t>
    </r>
    <r>
      <rPr>
        <i/>
        <vertAlign val="subscript"/>
        <sz val="10"/>
        <rFont val="Times New Roman"/>
        <family val="1"/>
      </rPr>
      <t>n</t>
    </r>
    <phoneticPr fontId="4" type="noConversion"/>
  </si>
  <si>
    <t>n 지점의 측정장치 지시값</t>
    <phoneticPr fontId="4" type="noConversion"/>
  </si>
  <si>
    <t>각도 분할장치 분해능 한계에 의한 보정값</t>
    <phoneticPr fontId="4" type="noConversion"/>
  </si>
  <si>
    <t>목측 오차에 의한 보정값</t>
    <phoneticPr fontId="4" type="noConversion"/>
  </si>
  <si>
    <r>
      <t>δ</t>
    </r>
    <r>
      <rPr>
        <i/>
        <vertAlign val="subscript"/>
        <sz val="10"/>
        <rFont val="Times New Roman"/>
        <family val="1"/>
      </rPr>
      <t>s</t>
    </r>
    <phoneticPr fontId="4" type="noConversion"/>
  </si>
  <si>
    <r>
      <t>δ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</si>
  <si>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</si>
  <si>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r>
      <rPr>
        <sz val="10"/>
        <rFont val="맑은 고딕"/>
        <family val="1"/>
        <scheme val="minor"/>
      </rPr>
      <t>μ</t>
    </r>
    <r>
      <rPr>
        <sz val="10"/>
        <rFont val="맑은 고딕"/>
        <family val="3"/>
        <charset val="129"/>
        <scheme val="minor"/>
      </rPr>
      <t>m</t>
    </r>
    <r>
      <rPr>
        <sz val="10"/>
        <rFont val="맑은 고딕"/>
        <family val="1"/>
        <scheme val="minor"/>
      </rPr>
      <t xml:space="preserve"> </t>
    </r>
    <r>
      <rPr>
        <sz val="10"/>
        <rFont val="맑은 고딕"/>
        <family val="3"/>
        <charset val="129"/>
        <scheme val="minor"/>
      </rPr>
      <t xml:space="preserve">(신뢰수준 약 95 %,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=2) 이고,</t>
    </r>
    <phoneticPr fontId="4" type="noConversion"/>
  </si>
  <si>
    <t>이에 따른 불확도를 각도로 환산하면</t>
    <phoneticPr fontId="4" type="noConversion"/>
  </si>
  <si>
    <r>
      <rPr>
        <i/>
        <sz val="10"/>
        <rFont val="Times New Roman"/>
        <family val="1"/>
      </rPr>
      <t>θ</t>
    </r>
    <r>
      <rPr>
        <sz val="10"/>
        <rFont val="맑은 고딕"/>
        <family val="3"/>
        <charset val="129"/>
        <scheme val="major"/>
      </rPr>
      <t xml:space="preserve"> = tan</t>
    </r>
    <r>
      <rPr>
        <vertAlign val="superscript"/>
        <sz val="10"/>
        <rFont val="맑은 고딕"/>
        <family val="3"/>
        <charset val="129"/>
        <scheme val="major"/>
      </rPr>
      <t>-1</t>
    </r>
    <phoneticPr fontId="4" type="noConversion"/>
  </si>
  <si>
    <t>(</t>
    <phoneticPr fontId="4" type="noConversion"/>
  </si>
  <si>
    <t>/</t>
    <phoneticPr fontId="4" type="noConversion"/>
  </si>
  <si>
    <t>)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</si>
  <si>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</si>
  <si>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t>˚</t>
    <phoneticPr fontId="4" type="noConversion"/>
  </si>
  <si>
    <t>C6. 자유도 :</t>
    <phoneticPr fontId="4" type="noConversion"/>
  </si>
  <si>
    <t>4. 목측오차에 의한 표준불확도,</t>
    <phoneticPr fontId="4" type="noConversion"/>
  </si>
  <si>
    <t>D4. 감도계수 :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</si>
  <si>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(Δ</t>
    </r>
    <r>
      <rPr>
        <i/>
        <sz val="10"/>
        <rFont val="Times New Roman"/>
        <family val="1"/>
      </rPr>
      <t>A</t>
    </r>
    <r>
      <rPr>
        <i/>
        <vertAlign val="subscript"/>
        <sz val="10"/>
        <rFont val="Times New Roman"/>
        <family val="1"/>
      </rPr>
      <t>n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</si>
  <si>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´</t>
    <phoneticPr fontId="4" type="noConversion"/>
  </si>
  <si>
    <t>■ 측정기본정보</t>
    <phoneticPr fontId="4" type="noConversion"/>
  </si>
  <si>
    <t>측정지점</t>
    <phoneticPr fontId="4" type="noConversion"/>
  </si>
  <si>
    <t>측정투영기</t>
    <phoneticPr fontId="4" type="noConversion"/>
  </si>
  <si>
    <t>표준자</t>
    <phoneticPr fontId="4" type="noConversion"/>
  </si>
  <si>
    <t>■ 반복 측정 결과</t>
    <phoneticPr fontId="4" type="noConversion"/>
  </si>
  <si>
    <t>1회</t>
    <phoneticPr fontId="4" type="noConversion"/>
  </si>
  <si>
    <t>2회</t>
    <phoneticPr fontId="4" type="noConversion"/>
  </si>
  <si>
    <t>3회</t>
    <phoneticPr fontId="4" type="noConversion"/>
  </si>
  <si>
    <t>mm</t>
    <phoneticPr fontId="4" type="noConversion"/>
  </si>
  <si>
    <t>■ 수학적 모델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</si>
  <si>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</si>
  <si>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</si>
  <si>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</si>
  <si>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</si>
  <si>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</si>
  <si>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δt</t>
    <phoneticPr fontId="4" type="noConversion"/>
  </si>
  <si>
    <t>:</t>
    <phoneticPr fontId="4" type="noConversion"/>
  </si>
  <si>
    <t>목측오차에 의한 보정값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</si>
  <si>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c</t>
    </r>
    <phoneticPr fontId="4" type="noConversion"/>
  </si>
  <si>
    <t>■ 합성표준불확도 관계식</t>
    <phoneticPr fontId="4" type="noConversion"/>
  </si>
  <si>
    <t>■ 불확도 총괄표</t>
    <phoneticPr fontId="4" type="noConversion"/>
  </si>
  <si>
    <t>입력량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</si>
  <si>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</si>
  <si>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</si>
  <si>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</si>
  <si>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</si>
  <si>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</si>
  <si>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</si>
  <si>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</si>
  <si>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</si>
  <si>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</si>
  <si>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</si>
  <si>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A</t>
    <phoneticPr fontId="4" type="noConversion"/>
  </si>
  <si>
    <t>B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</si>
  <si>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</si>
  <si>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C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</si>
  <si>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</si>
  <si>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</si>
  <si>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D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</si>
  <si>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</si>
  <si>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t>Δα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</si>
  <si>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</si>
  <si>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H</t>
    <phoneticPr fontId="4" type="noConversion"/>
  </si>
  <si>
    <t>I</t>
    <phoneticPr fontId="4" type="noConversion"/>
  </si>
  <si>
    <r>
      <t xml:space="preserve">※ </t>
    </r>
    <r>
      <rPr>
        <i/>
        <sz val="10"/>
        <rFont val="Times New Roman"/>
        <family val="1"/>
      </rPr>
      <t>l</t>
    </r>
    <r>
      <rPr>
        <vertAlign val="subscript"/>
        <sz val="10"/>
        <rFont val="맑은 고딕"/>
        <family val="3"/>
        <charset val="129"/>
        <scheme val="minor"/>
      </rPr>
      <t>0</t>
    </r>
    <r>
      <rPr>
        <sz val="10"/>
        <rFont val="맑은 고딕"/>
        <family val="3"/>
        <charset val="129"/>
        <scheme val="minor"/>
      </rPr>
      <t>는 측정투영기의 지시값이며, 단위는 mm 이다.</t>
    </r>
    <phoneticPr fontId="4" type="noConversion"/>
  </si>
  <si>
    <t>■ 표준불확도 성분의 계산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</si>
  <si>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</si>
  <si>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=</t>
    <phoneticPr fontId="4" type="noConversion"/>
  </si>
  <si>
    <t>μm</t>
    <phoneticPr fontId="4" type="noConversion"/>
  </si>
  <si>
    <t>A5. 불확도 기여도 :</t>
    <phoneticPr fontId="4" type="noConversion"/>
  </si>
  <si>
    <t>×</t>
    <phoneticPr fontId="4" type="noConversion"/>
  </si>
  <si>
    <t>=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</si>
  <si>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</si>
  <si>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</si>
  <si>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</si>
  <si>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B2. 표준불확도 :</t>
    <phoneticPr fontId="4" type="noConversion"/>
  </si>
  <si>
    <t>s</t>
    <phoneticPr fontId="4" type="noConversion"/>
  </si>
  <si>
    <t>=</t>
    <phoneticPr fontId="4" type="noConversion"/>
  </si>
  <si>
    <t>B3. 확률분포 :</t>
    <phoneticPr fontId="4" type="noConversion"/>
  </si>
  <si>
    <t>B4. 감도계수 :</t>
    <phoneticPr fontId="4" type="noConversion"/>
  </si>
  <si>
    <t>|</t>
    <phoneticPr fontId="4" type="noConversion"/>
  </si>
  <si>
    <t>×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</si>
  <si>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</si>
  <si>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</si>
  <si>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</si>
  <si>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</si>
  <si>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</si>
  <si>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C3. 확률분포 :</t>
    <phoneticPr fontId="4" type="noConversion"/>
  </si>
  <si>
    <t>C4. 감도계수 :</t>
    <phoneticPr fontId="4" type="noConversion"/>
  </si>
  <si>
    <r>
      <t>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</si>
  <si>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</si>
  <si>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t>℃</t>
    <phoneticPr fontId="4" type="noConversion"/>
  </si>
  <si>
    <t>D3. 확률분포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</si>
  <si>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</si>
  <si>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</si>
  <si>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t>D5. 불확도 기여량 :</t>
    <phoneticPr fontId="4" type="noConversion"/>
  </si>
  <si>
    <t>｜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</si>
  <si>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μm/℃×</t>
    </r>
    <phoneticPr fontId="4" type="noConversion"/>
  </si>
  <si>
    <t>D6. 자유도 :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</si>
  <si>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sz val="10"/>
        <rFont val="맑은 고딕"/>
        <family val="3"/>
        <charset val="129"/>
      </rPr>
      <t>Δ</t>
    </r>
    <r>
      <rPr>
        <b/>
        <i/>
        <sz val="10"/>
        <rFont val="맑은 고딕"/>
        <family val="3"/>
        <charset val="129"/>
      </rPr>
      <t>α</t>
    </r>
    <r>
      <rPr>
        <b/>
        <sz val="10"/>
        <rFont val="Times New Roman"/>
        <family val="1"/>
      </rPr>
      <t>)</t>
    </r>
    <phoneticPr fontId="4" type="noConversion"/>
  </si>
  <si>
    <t>E2.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</si>
  <si>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</si>
  <si>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</si>
  <si>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</si>
  <si>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t>E6. 자유도 :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</si>
  <si>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</si>
  <si>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여기에 직사각형 확률분포를 적용하여 계산하면</t>
    <phoneticPr fontId="4" type="noConversion"/>
  </si>
  <si>
    <t>F1. 추정값 :</t>
    <phoneticPr fontId="4" type="noConversion"/>
  </si>
  <si>
    <t>℃</t>
    <phoneticPr fontId="4" type="noConversion"/>
  </si>
  <si>
    <t>F3. 확률분포 :</t>
    <phoneticPr fontId="4" type="noConversion"/>
  </si>
  <si>
    <t>F4. 감도계수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</si>
  <si>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</si>
  <si>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</si>
  <si>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t>F5. 불확도 기여량 :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</si>
  <si>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μm/℃×</t>
    </r>
    <phoneticPr fontId="4" type="noConversion"/>
  </si>
  <si>
    <t>F6. 자유도 :</t>
    <phoneticPr fontId="4" type="noConversion"/>
  </si>
  <si>
    <t>G1. 추정값 :</t>
    <phoneticPr fontId="4" type="noConversion"/>
  </si>
  <si>
    <t>G2.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</si>
  <si>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분해능</t>
    </r>
    <r>
      <rPr>
        <sz val="10"/>
        <rFont val="Times New Roman"/>
        <family val="1"/>
      </rPr>
      <t xml:space="preserve"> 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>) =</t>
    </r>
    <phoneticPr fontId="4" type="noConversion"/>
  </si>
  <si>
    <t>μm</t>
    <phoneticPr fontId="4" type="noConversion"/>
  </si>
  <si>
    <t>G5. 불확도 기여량 :</t>
    <phoneticPr fontId="4" type="noConversion"/>
  </si>
  <si>
    <t>｜</t>
    <phoneticPr fontId="4" type="noConversion"/>
  </si>
  <si>
    <t>G6. 자유도 :</t>
    <phoneticPr fontId="4" type="noConversion"/>
  </si>
  <si>
    <t>8. 목측오차에 의한 표준불확도,</t>
    <phoneticPr fontId="4" type="noConversion"/>
  </si>
  <si>
    <t>H1. 추정값 :</t>
    <phoneticPr fontId="4" type="noConversion"/>
  </si>
  <si>
    <t>H3. 확률분포 :</t>
    <phoneticPr fontId="4" type="noConversion"/>
  </si>
  <si>
    <t>|</t>
    <phoneticPr fontId="4" type="noConversion"/>
  </si>
  <si>
    <t>H6.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</si>
  <si>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</si>
  <si>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9. 여현오차에 의한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</si>
  <si>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c</t>
    </r>
    <r>
      <rPr>
        <b/>
        <sz val="10"/>
        <rFont val="Times New Roman"/>
        <family val="1"/>
      </rPr>
      <t>)</t>
    </r>
    <phoneticPr fontId="4" type="noConversion"/>
  </si>
  <si>
    <t>※ 표준자와 십자이동테이블의 이동축이 일치 하지 않을 때 여현오차가 발생한다.</t>
    <phoneticPr fontId="4" type="noConversion"/>
  </si>
  <si>
    <r>
      <t xml:space="preserve">일반적으로 측정길이 100 mm에 대하여 중심 축에 대하여 0.1 mm 미만으로 맞추므로, 이경우 </t>
    </r>
    <r>
      <rPr>
        <i/>
        <sz val="10"/>
        <rFont val="Times New Roman"/>
        <family val="1"/>
      </rPr>
      <t>θ</t>
    </r>
    <r>
      <rPr>
        <sz val="10"/>
        <rFont val="맑은 고딕"/>
        <family val="3"/>
        <charset val="129"/>
        <scheme val="major"/>
      </rPr>
      <t>는 다음과 같다.</t>
    </r>
    <phoneticPr fontId="4" type="noConversion"/>
  </si>
  <si>
    <r>
      <t>* 여현오차 값 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</t>
    </r>
    <r>
      <rPr>
        <sz val="10"/>
        <rFont val="Times New Roman"/>
        <family val="1"/>
      </rPr>
      <t>(1</t>
    </r>
    <r>
      <rPr>
        <i/>
        <sz val="10"/>
        <rFont val="Times New Roman"/>
        <family val="1"/>
      </rPr>
      <t xml:space="preserve"> - cosθ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×l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=</t>
    </r>
    <phoneticPr fontId="4" type="noConversion"/>
  </si>
  <si>
    <t>I1. 추정값 :</t>
    <phoneticPr fontId="4" type="noConversion"/>
  </si>
  <si>
    <t>I2. 표준불확도 :</t>
    <phoneticPr fontId="4" type="noConversion"/>
  </si>
  <si>
    <r>
      <t>※</t>
    </r>
    <r>
      <rPr>
        <sz val="10"/>
        <rFont val="맑은 고딕"/>
        <family val="1"/>
        <scheme val="major"/>
      </rPr>
      <t xml:space="preserve"> </t>
    </r>
    <r>
      <rPr>
        <sz val="10"/>
        <rFont val="맑은 고딕"/>
        <family val="3"/>
        <charset val="129"/>
        <scheme val="major"/>
      </rPr>
      <t>여현오차 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</si>
  <si>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</si>
  <si>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</si>
  <si>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t>I3. 확률분포 :</t>
    <phoneticPr fontId="4" type="noConversion"/>
  </si>
  <si>
    <t>I4. 감도계수 :</t>
    <phoneticPr fontId="4" type="noConversion"/>
  </si>
  <si>
    <t>I5. 불확도 기여량 :</t>
    <phoneticPr fontId="4" type="noConversion"/>
  </si>
  <si>
    <t>I6.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</si>
  <si>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</si>
  <si>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■ 합성표준불확도 계산</t>
    <phoneticPr fontId="4" type="noConversion"/>
  </si>
  <si>
    <t>+</t>
    <phoneticPr fontId="4" type="noConversion"/>
  </si>
  <si>
    <t>μm</t>
    <phoneticPr fontId="4" type="noConversion"/>
  </si>
  <si>
    <t>+</t>
    <phoneticPr fontId="4" type="noConversion"/>
  </si>
  <si>
    <t>+</t>
    <phoneticPr fontId="4" type="noConversion"/>
  </si>
  <si>
    <t>+</t>
    <phoneticPr fontId="4" type="noConversion"/>
  </si>
  <si>
    <t>+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</si>
  <si>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</si>
  <si>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■ 유효자유도</t>
    <phoneticPr fontId="4" type="noConversion"/>
  </si>
  <si>
    <t>■ 측정불확도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</si>
  <si>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</si>
  <si>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</si>
  <si>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</si>
  <si>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</si>
  <si>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</si>
  <si>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■ 측정기본정보</t>
    <phoneticPr fontId="4" type="noConversion"/>
  </si>
  <si>
    <t>단위</t>
    <phoneticPr fontId="4" type="noConversion"/>
  </si>
  <si>
    <t>환산계수</t>
    <phoneticPr fontId="4" type="noConversion"/>
  </si>
  <si>
    <t>기기명</t>
    <phoneticPr fontId="4" type="noConversion"/>
  </si>
  <si>
    <t>기준기명</t>
    <phoneticPr fontId="4" type="noConversion"/>
  </si>
  <si>
    <t>명목값</t>
    <phoneticPr fontId="4" type="noConversion"/>
  </si>
  <si>
    <t>표준편차</t>
    <phoneticPr fontId="4" type="noConversion"/>
  </si>
  <si>
    <t>1회</t>
    <phoneticPr fontId="4" type="noConversion"/>
  </si>
  <si>
    <t>5회</t>
    <phoneticPr fontId="4" type="noConversion"/>
  </si>
  <si>
    <t>mm</t>
    <phoneticPr fontId="4" type="noConversion"/>
  </si>
  <si>
    <t>mm</t>
    <phoneticPr fontId="4" type="noConversion"/>
  </si>
  <si>
    <t>D</t>
    <phoneticPr fontId="4" type="noConversion"/>
  </si>
  <si>
    <t>J</t>
    <phoneticPr fontId="4" type="noConversion"/>
  </si>
  <si>
    <t>+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</si>
  <si>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</si>
  <si>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+</t>
    <phoneticPr fontId="4" type="noConversion"/>
  </si>
  <si>
    <t>μm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</si>
  <si>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</si>
  <si>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+</t>
    <phoneticPr fontId="4" type="noConversion"/>
  </si>
  <si>
    <t>■ 측정불확도</t>
    <phoneticPr fontId="4" type="noConversion"/>
  </si>
  <si>
    <t>◆ 배율 오차 측정불확도 추정보고서 ◆</t>
    <phoneticPr fontId="4" type="noConversion"/>
  </si>
  <si>
    <t>단위</t>
    <phoneticPr fontId="4" type="noConversion"/>
  </si>
  <si>
    <t>기기명</t>
    <phoneticPr fontId="4" type="noConversion"/>
  </si>
  <si>
    <t>측정투영기</t>
    <phoneticPr fontId="4" type="noConversion"/>
  </si>
  <si>
    <t>표준자</t>
    <phoneticPr fontId="4" type="noConversion"/>
  </si>
  <si>
    <t>■ 반복 측정 결과</t>
    <phoneticPr fontId="4" type="noConversion"/>
  </si>
  <si>
    <t>명목배율</t>
    <phoneticPr fontId="4" type="noConversion"/>
  </si>
  <si>
    <t>표준자
눈금값</t>
    <phoneticPr fontId="4" type="noConversion"/>
  </si>
  <si>
    <t>평균값</t>
    <phoneticPr fontId="4" type="noConversion"/>
  </si>
  <si>
    <t>표준편차</t>
    <phoneticPr fontId="4" type="noConversion"/>
  </si>
  <si>
    <t>1회</t>
    <phoneticPr fontId="4" type="noConversion"/>
  </si>
  <si>
    <t>2회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</si>
  <si>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</si>
  <si>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</si>
  <si>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</si>
  <si>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배</t>
    <phoneticPr fontId="4" type="noConversion"/>
  </si>
  <si>
    <t>mm</t>
    <phoneticPr fontId="4" type="noConversion"/>
  </si>
  <si>
    <t>mm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</si>
  <si>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</si>
  <si>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명목배율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</si>
  <si>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</si>
  <si>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</si>
  <si>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</si>
  <si>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추정값</t>
    <phoneticPr fontId="4" type="noConversion"/>
  </si>
  <si>
    <t>×10</t>
    <phoneticPr fontId="4" type="noConversion"/>
  </si>
  <si>
    <t>B</t>
    <phoneticPr fontId="4" type="noConversion"/>
  </si>
  <si>
    <t>×10</t>
    <phoneticPr fontId="4" type="noConversion"/>
  </si>
  <si>
    <t>E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</si>
  <si>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</si>
  <si>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A1. 추정값 :</t>
    <phoneticPr fontId="4" type="noConversion"/>
  </si>
  <si>
    <r>
      <t xml:space="preserve">μm (신뢰수준 약 95 %,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=2) 이므로</t>
    </r>
    <phoneticPr fontId="4" type="noConversion"/>
  </si>
  <si>
    <r>
      <t>(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inor"/>
      </rPr>
      <t>는 표준자의 길이이며, 단위는 mm이다.)</t>
    </r>
    <phoneticPr fontId="4" type="noConversion"/>
  </si>
  <si>
    <t>nm</t>
    <phoneticPr fontId="4" type="noConversion"/>
  </si>
  <si>
    <t>μm</t>
    <phoneticPr fontId="4" type="noConversion"/>
  </si>
  <si>
    <t>A3. 확률분포 :</t>
    <phoneticPr fontId="4" type="noConversion"/>
  </si>
  <si>
    <t>A4. 감도계수 :</t>
    <phoneticPr fontId="4" type="noConversion"/>
  </si>
  <si>
    <t>A5. 불확도 기여도 :</t>
    <phoneticPr fontId="4" type="noConversion"/>
  </si>
  <si>
    <t>A6. 자유도 :</t>
    <phoneticPr fontId="4" type="noConversion"/>
  </si>
  <si>
    <t>=</t>
    <phoneticPr fontId="4" type="noConversion"/>
  </si>
  <si>
    <t>B6. 자유도 :</t>
    <phoneticPr fontId="4" type="noConversion"/>
  </si>
  <si>
    <t>※ 사용한 표준자 분해능의 반범위에 직사각형 확률분포를 적용하여 계산한다.</t>
    <phoneticPr fontId="4" type="noConversion"/>
  </si>
  <si>
    <t>C1. 추정값 :</t>
    <phoneticPr fontId="4" type="noConversion"/>
  </si>
  <si>
    <t>d</t>
    <phoneticPr fontId="4" type="noConversion"/>
  </si>
  <si>
    <t>C3. 확률분포 :</t>
    <phoneticPr fontId="4" type="noConversion"/>
  </si>
  <si>
    <t>4. 투영상 길이 측정시 목측에 의한 표준불확도,</t>
    <phoneticPr fontId="4" type="noConversion"/>
  </si>
  <si>
    <t>※ 표준자의 눈금폭에 관한 목측오차의 반범위를 직사각형 분포로 추정한다.</t>
    <phoneticPr fontId="4" type="noConversion"/>
  </si>
  <si>
    <t>D1. 추정값 :</t>
    <phoneticPr fontId="4" type="noConversion"/>
  </si>
  <si>
    <t>D4. 감도계수 :</t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</si>
  <si>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</si>
  <si>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</si>
  <si>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◆ 각도 분할 정확도(투영면의 회전 각도) 측정불확도 추정보고서 ◆</t>
    <phoneticPr fontId="4" type="noConversion"/>
  </si>
  <si>
    <t>직각자</t>
    <phoneticPr fontId="4" type="noConversion"/>
  </si>
  <si>
    <t>n 지점에서 투영면의 회전 각도 보정값</t>
    <phoneticPr fontId="4" type="noConversion"/>
  </si>
  <si>
    <t>n</t>
    <phoneticPr fontId="4" type="noConversion"/>
  </si>
  <si>
    <t>측정지점의 각도/90˚</t>
    <phoneticPr fontId="4" type="noConversion"/>
  </si>
  <si>
    <r>
      <t>δ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</si>
  <si>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직각자의 허용치에 의한 보정값</t>
    <phoneticPr fontId="4" type="noConversion"/>
  </si>
  <si>
    <t>※ 감도계수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</si>
  <si>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</si>
  <si>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</si>
  <si>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</si>
  <si>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자유도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</si>
  <si>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</si>
  <si>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A</t>
    <phoneticPr fontId="4" type="noConversion"/>
  </si>
  <si>
    <t>S</t>
    <phoneticPr fontId="4" type="noConversion"/>
  </si>
  <si>
    <r>
      <t>δ</t>
    </r>
    <r>
      <rPr>
        <i/>
        <vertAlign val="subscript"/>
        <sz val="10"/>
        <rFont val="Times New Roman"/>
        <family val="1"/>
      </rPr>
      <t>r</t>
    </r>
    <phoneticPr fontId="4" type="noConversion"/>
  </si>
  <si>
    <t>D</t>
    <phoneticPr fontId="4" type="noConversion"/>
  </si>
  <si>
    <t>˚ 이다.</t>
    <phoneticPr fontId="4" type="noConversion"/>
  </si>
  <si>
    <t>A3. 확률분포 :</t>
    <phoneticPr fontId="4" type="noConversion"/>
  </si>
  <si>
    <t>A5. 불확도 기여도 :</t>
    <phoneticPr fontId="4" type="noConversion"/>
  </si>
  <si>
    <t>˚</t>
    <phoneticPr fontId="4" type="noConversion"/>
  </si>
  <si>
    <t>|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</si>
  <si>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</si>
  <si>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2. 측정장치 지시값에 의한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</si>
  <si>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M</t>
    </r>
    <r>
      <rPr>
        <b/>
        <i/>
        <vertAlign val="subscript"/>
        <sz val="10"/>
        <rFont val="Times New Roman"/>
        <family val="1"/>
      </rPr>
      <t>n</t>
    </r>
    <r>
      <rPr>
        <b/>
        <sz val="10"/>
        <rFont val="Times New Roman"/>
        <family val="1"/>
      </rPr>
      <t>)</t>
    </r>
    <phoneticPr fontId="4" type="noConversion"/>
  </si>
  <si>
    <t>B1. 추정값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</si>
  <si>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M</t>
    </r>
    <r>
      <rPr>
        <i/>
        <vertAlign val="subscript"/>
        <sz val="10"/>
        <rFont val="Times New Roman"/>
        <family val="1"/>
      </rPr>
      <t>n</t>
    </r>
    <r>
      <rPr>
        <sz val="10"/>
        <rFont val="Times New Roman"/>
        <family val="1"/>
      </rPr>
      <t>)</t>
    </r>
    <phoneticPr fontId="4" type="noConversion"/>
  </si>
  <si>
    <t>s</t>
    <phoneticPr fontId="4" type="noConversion"/>
  </si>
  <si>
    <t>B3. 확률분포 :</t>
    <phoneticPr fontId="4" type="noConversion"/>
  </si>
  <si>
    <t>B4. 감도계수 :</t>
    <phoneticPr fontId="4" type="noConversion"/>
  </si>
  <si>
    <t>B5. 불확도 기여도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</si>
  <si>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M</t>
    </r>
    <r>
      <rPr>
        <i/>
        <vertAlign val="subscript"/>
        <sz val="10"/>
        <rFont val="Times New Roman"/>
        <family val="1"/>
      </rPr>
      <t>n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</si>
  <si>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3. 각도장치 분해능에 의한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</si>
  <si>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</si>
  <si>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</si>
  <si>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t>C4. 감도계수 :</t>
    <phoneticPr fontId="4" type="noConversion"/>
  </si>
  <si>
    <t>|</t>
    <phoneticPr fontId="4" type="noConversion"/>
  </si>
  <si>
    <t>C6. 자유도 :</t>
    <phoneticPr fontId="4" type="noConversion"/>
  </si>
  <si>
    <t>(</t>
    <phoneticPr fontId="4" type="noConversion"/>
  </si>
  <si>
    <t>※ 눈금폭에 대한 각도의 반범위에 직사각형 분포를 적용하여 계산한다.</t>
    <phoneticPr fontId="4" type="noConversion"/>
  </si>
  <si>
    <t>|</t>
    <phoneticPr fontId="4" type="noConversion"/>
  </si>
  <si>
    <t>D6. 자유도 :</t>
    <phoneticPr fontId="4" type="noConversion"/>
  </si>
  <si>
    <t>5. 직각자의 허용오차에 의한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</si>
  <si>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</si>
  <si>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※ 직각자의 교정높이와 실제 사용지점이 일치하지 않을 때 불확도가 존재한다.</t>
    <phoneticPr fontId="4" type="noConversion"/>
  </si>
  <si>
    <r>
      <rPr>
        <i/>
        <sz val="10"/>
        <rFont val="Times New Roman"/>
        <family val="1"/>
      </rPr>
      <t>θ</t>
    </r>
    <r>
      <rPr>
        <sz val="10"/>
        <rFont val="맑은 고딕"/>
        <family val="3"/>
        <charset val="129"/>
        <scheme val="major"/>
      </rPr>
      <t xml:space="preserve"> = tan</t>
    </r>
    <r>
      <rPr>
        <vertAlign val="superscript"/>
        <sz val="10"/>
        <rFont val="맑은 고딕"/>
        <family val="3"/>
        <charset val="129"/>
        <scheme val="major"/>
      </rPr>
      <t>-1</t>
    </r>
    <phoneticPr fontId="4" type="noConversion"/>
  </si>
  <si>
    <t>(</t>
    <phoneticPr fontId="4" type="noConversion"/>
  </si>
  <si>
    <t>)</t>
    <phoneticPr fontId="4" type="noConversion"/>
  </si>
  <si>
    <t>E2. 표준불확도 :</t>
    <phoneticPr fontId="4" type="noConversion"/>
  </si>
  <si>
    <r>
      <t>※</t>
    </r>
    <r>
      <rPr>
        <sz val="10"/>
        <rFont val="맑은 고딕"/>
        <family val="1"/>
        <scheme val="major"/>
      </rPr>
      <t xml:space="preserve"> 직각도 허용값에 대한 각도를 반너비로 직사각형 분포를 적용하여 계산한다.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</si>
  <si>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</si>
  <si>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t>E3. 확률분포 :</t>
    <phoneticPr fontId="4" type="noConversion"/>
  </si>
  <si>
    <t>E4. 감도계수 :</t>
    <phoneticPr fontId="4" type="noConversion"/>
  </si>
  <si>
    <t>˚</t>
    <phoneticPr fontId="4" type="noConversion"/>
  </si>
  <si>
    <t>■ 합성표준불확도 계산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</si>
  <si>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(Δ</t>
    </r>
    <r>
      <rPr>
        <i/>
        <sz val="10"/>
        <rFont val="Times New Roman"/>
        <family val="1"/>
      </rPr>
      <t>A</t>
    </r>
    <r>
      <rPr>
        <i/>
        <vertAlign val="subscript"/>
        <sz val="10"/>
        <rFont val="Times New Roman"/>
        <family val="1"/>
      </rPr>
      <t>n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</si>
  <si>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=</t>
    <phoneticPr fontId="4" type="noConversion"/>
  </si>
  <si>
    <t>■ 유효자유도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</si>
  <si>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</si>
  <si>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t>전체의 대부분을 차지하는 경우, 주된 성분에 대한 잔여 성분의 크기가 0.3보다 작은지 점검한다.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</si>
  <si>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</si>
  <si>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´</t>
    <phoneticPr fontId="4" type="noConversion"/>
  </si>
  <si>
    <t>◆ 각도 분할 정확도(각도 측정) 측정불확도 추정보고서 ◆</t>
    <phoneticPr fontId="4" type="noConversion"/>
  </si>
  <si>
    <t>■ 측정기본정보</t>
    <phoneticPr fontId="4" type="noConversion"/>
  </si>
  <si>
    <t>각도 게이지 블록</t>
    <phoneticPr fontId="4" type="noConversion"/>
  </si>
  <si>
    <t>명목값</t>
    <phoneticPr fontId="4" type="noConversion"/>
  </si>
  <si>
    <t>평균값</t>
    <phoneticPr fontId="4" type="noConversion"/>
  </si>
  <si>
    <t>n 지점에서 투영면의 회전 각도 보정값</t>
    <phoneticPr fontId="4" type="noConversion"/>
  </si>
  <si>
    <t>:</t>
    <phoneticPr fontId="4" type="noConversion"/>
  </si>
  <si>
    <r>
      <t>δ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</si>
  <si>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직각자의 허용치에 의한 보정값</t>
    <phoneticPr fontId="4" type="noConversion"/>
  </si>
  <si>
    <t>A</t>
    <phoneticPr fontId="4" type="noConversion"/>
  </si>
  <si>
    <t>■ 합성표준불확도 계산</t>
    <phoneticPr fontId="4" type="noConversion"/>
  </si>
  <si>
    <t>=</t>
    <phoneticPr fontId="4" type="noConversion"/>
  </si>
  <si>
    <t>+</t>
    <phoneticPr fontId="4" type="noConversion"/>
  </si>
  <si>
    <t>=</t>
    <phoneticPr fontId="4" type="noConversion"/>
  </si>
  <si>
    <t>■ 측정불확도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</si>
  <si>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</si>
  <si>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</si>
  <si>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</si>
  <si>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</si>
  <si>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</si>
  <si>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</si>
  <si>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</si>
  <si>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</si>
  <si>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t>U+α</t>
    <phoneticPr fontId="4" type="noConversion"/>
  </si>
  <si>
    <t>U&amp;r</t>
    <phoneticPr fontId="4" type="noConversion"/>
  </si>
  <si>
    <t>확률분포별 불확도기여량</t>
    <phoneticPr fontId="4" type="noConversion"/>
  </si>
  <si>
    <t>기타</t>
    <phoneticPr fontId="4" type="noConversion"/>
  </si>
  <si>
    <t>직사각형분포</t>
    <phoneticPr fontId="4" type="noConversion"/>
  </si>
  <si>
    <t>번호</t>
    <phoneticPr fontId="4" type="noConversion"/>
  </si>
  <si>
    <t>크기순</t>
    <phoneticPr fontId="4" type="noConversion"/>
  </si>
  <si>
    <t>CMC초과?</t>
    <phoneticPr fontId="4" type="noConversion"/>
  </si>
  <si>
    <t>불확도표기</t>
    <phoneticPr fontId="4" type="noConversion"/>
  </si>
  <si>
    <t>영향</t>
    <phoneticPr fontId="4" type="noConversion"/>
  </si>
  <si>
    <t>비율</t>
    <phoneticPr fontId="4" type="noConversion"/>
  </si>
  <si>
    <t>계산(%)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</si>
  <si>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</si>
  <si>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E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</si>
  <si>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</si>
  <si>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E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</si>
  <si>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E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</si>
  <si>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</si>
  <si>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E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</si>
  <si>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E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</si>
  <si>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</si>
  <si>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</si>
  <si>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E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</si>
  <si>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E</t>
    </r>
    <r>
      <rPr>
        <sz val="10"/>
        <rFont val="Times New Roman"/>
        <family val="1"/>
      </rPr>
      <t>)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</si>
  <si>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E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</si>
  <si>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E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</si>
  <si>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E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</si>
  <si>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E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</si>
  <si>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E</t>
    </r>
    <r>
      <rPr>
        <sz val="10"/>
        <rFont val="Times New Roman"/>
        <family val="1"/>
      </rPr>
      <t>)</t>
    </r>
    <phoneticPr fontId="4" type="noConversion"/>
  </si>
  <si>
    <t>HY?</t>
    <phoneticPr fontId="4" type="noConversion"/>
  </si>
  <si>
    <t>소수점 자리수</t>
    <phoneticPr fontId="4" type="noConversion"/>
  </si>
  <si>
    <t>5% rule</t>
    <phoneticPr fontId="4" type="noConversion"/>
  </si>
  <si>
    <t>CMC초과?</t>
    <phoneticPr fontId="4" type="noConversion"/>
  </si>
  <si>
    <t>불확도표기</t>
    <phoneticPr fontId="4" type="noConversion"/>
  </si>
  <si>
    <t>불확도수식</t>
    <phoneticPr fontId="4" type="noConversion"/>
  </si>
  <si>
    <t>분해능</t>
    <phoneticPr fontId="4" type="noConversion"/>
  </si>
  <si>
    <t>값</t>
    <phoneticPr fontId="4" type="noConversion"/>
  </si>
  <si>
    <t>수식</t>
    <phoneticPr fontId="4" type="noConversion"/>
  </si>
  <si>
    <t>값</t>
    <phoneticPr fontId="4" type="noConversion"/>
  </si>
  <si>
    <t>%</t>
    <phoneticPr fontId="4" type="noConversion"/>
  </si>
  <si>
    <t>표기용</t>
    <phoneticPr fontId="4" type="noConversion"/>
  </si>
  <si>
    <t>● 각도 분할 정확도 교정결과</t>
    <phoneticPr fontId="4" type="noConversion"/>
  </si>
  <si>
    <t>※ 투영면의 회전 각도 측정결과임.</t>
    <phoneticPr fontId="4" type="noConversion"/>
  </si>
  <si>
    <t>※ This is the result of measuring the rotation angle of the projection surface.</t>
    <phoneticPr fontId="4" type="noConversion"/>
  </si>
  <si>
    <t>● Angle division accuracy calibration result</t>
    <phoneticPr fontId="4" type="noConversion"/>
  </si>
  <si>
    <t>Nominal value
(˚)</t>
    <phoneticPr fontId="4" type="noConversion"/>
  </si>
  <si>
    <t>Correction value
(´)</t>
    <phoneticPr fontId="4" type="noConversion"/>
  </si>
  <si>
    <t>Nominal value
(˚)</t>
    <phoneticPr fontId="4" type="noConversion"/>
  </si>
  <si>
    <t>※     는 측정 투영기의 명목값이며, 단위는 mm 임.</t>
    <phoneticPr fontId="4" type="noConversion"/>
  </si>
  <si>
    <t>※     is the nominal value of the measuring projector, and the unit is mm.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</si>
</sst>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8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0_ "/>
    <numFmt numFmtId="189" formatCode="0.000000_ "/>
    <numFmt numFmtId="190" formatCode="0.00\ &quot;mg&quot;"/>
    <numFmt numFmtId="191" formatCode="0.000\ &quot;kg&quot;"/>
    <numFmt numFmtId="192" formatCode="0.0_ "/>
    <numFmt numFmtId="193" formatCode="0.0\ &quot;kg&quot;"/>
    <numFmt numFmtId="194" formatCode="0.000"/>
    <numFmt numFmtId="195" formatCode="0.00000"/>
    <numFmt numFmtId="196" formatCode="####\-##\-##"/>
    <numFmt numFmtId="197" formatCode="0.000_);[Red]\(0.000\)"/>
    <numFmt numFmtId="198" formatCode="0.0000_);[Red]\(0.0000\)"/>
    <numFmt numFmtId="199" formatCode="0.0000_ "/>
    <numFmt numFmtId="200" formatCode="\√\(0\)"/>
    <numFmt numFmtId="201" formatCode="0.0"/>
    <numFmt numFmtId="202" formatCode="#0.0\ E+00"/>
    <numFmt numFmtId="203" formatCode="&quot;0&quot;.0#\ E+00"/>
    <numFmt numFmtId="204" formatCode="\(0.00\ &quot;μm&quot;\)"/>
    <numFmt numFmtId="205" formatCode="0.00\ &quot;μm&quot;"/>
    <numFmt numFmtId="206" formatCode="0.00\ \℃"/>
    <numFmt numFmtId="207" formatCode="0.000\ &quot;mm&quot;"/>
    <numFmt numFmtId="208" formatCode="0.000\ 00"/>
    <numFmt numFmtId="209" formatCode="#\ ###\ ###"/>
    <numFmt numFmtId="210" formatCode="0.0\ &quot;μm&quot;"/>
    <numFmt numFmtId="211" formatCode="0.000\ &quot;μm&quot;"/>
    <numFmt numFmtId="212" formatCode="_-* #,##0_-;\-* #,##0_-;_-* &quot;-&quot;??_-;_-@_-"/>
    <numFmt numFmtId="213" formatCode="0.000\ \℃"/>
    <numFmt numFmtId="214" formatCode="0.000\ 000\ 00"/>
    <numFmt numFmtId="215" formatCode="0\ &quot;mm&quot;"/>
    <numFmt numFmtId="216" formatCode="0_ "/>
    <numFmt numFmtId="217" formatCode="0.000\ 0"/>
    <numFmt numFmtId="218" formatCode="0.0000"/>
    <numFmt numFmtId="219" formatCode="0.00_ "/>
    <numFmt numFmtId="220" formatCode="0.0E+00"/>
    <numFmt numFmtId="221" formatCode="0.00000_ "/>
    <numFmt numFmtId="222" formatCode="0.00000_);[Red]\(0.00000\)"/>
    <numFmt numFmtId="223" formatCode="0.000\˚"/>
    <numFmt numFmtId="224" formatCode="0.0\ \℃"/>
    <numFmt numFmtId="225" formatCode="0.00\ &quot;℃&quot;"/>
    <numFmt numFmtId="226" formatCode="0\ &quot;μm&quot;"/>
    <numFmt numFmtId="227" formatCode="#\ ##0\ &quot;μm&quot;"/>
    <numFmt numFmtId="228" formatCode="0.000000"/>
    <numFmt numFmtId="229" formatCode="0.000\ %"/>
    <numFmt numFmtId="230" formatCode="0.0000\˚"/>
    <numFmt numFmtId="231" formatCode="0.00000\˚"/>
  </numFmts>
  <fonts count="114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sz val="10"/>
      <name val="바탕"/>
      <family val="1"/>
      <charset val="129"/>
    </font>
    <font>
      <b/>
      <sz val="10"/>
      <name val="맑은 고딕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vertAlign val="subscript"/>
      <sz val="10"/>
      <name val="맑은 고딕"/>
      <family val="3"/>
      <charset val="129"/>
      <scheme val="minor"/>
    </font>
    <font>
      <b/>
      <sz val="9"/>
      <color indexed="8"/>
      <name val="Arial Unicode MS"/>
      <family val="3"/>
      <charset val="129"/>
    </font>
    <font>
      <b/>
      <sz val="9"/>
      <color rgb="FFFF0000"/>
      <name val="맑은 고딕"/>
      <family val="3"/>
      <charset val="129"/>
      <scheme val="major"/>
    </font>
    <font>
      <sz val="9"/>
      <color rgb="FF0070C0"/>
      <name val="Arial Unicode MS"/>
      <family val="3"/>
      <charset val="129"/>
    </font>
    <font>
      <sz val="9"/>
      <color rgb="FFFF0000"/>
      <name val="맑은 고딕"/>
      <family val="3"/>
      <charset val="129"/>
      <scheme val="major"/>
    </font>
    <font>
      <sz val="6"/>
      <name val="맑은 고딕"/>
      <family val="3"/>
      <charset val="129"/>
      <scheme val="major"/>
    </font>
    <font>
      <sz val="10"/>
      <name val="맑은 고딕"/>
      <family val="1"/>
      <scheme val="minor"/>
    </font>
    <font>
      <b/>
      <sz val="9"/>
      <color theme="0" tint="-0.499984740745262"/>
      <name val="맑은 고딕"/>
      <family val="3"/>
      <charset val="129"/>
      <scheme val="major"/>
    </font>
    <font>
      <sz val="9"/>
      <color theme="0" tint="-0.499984740745262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24994659260841701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11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1" applyNumberFormat="0" applyBorder="0" applyAlignment="0" applyProtection="0"/>
    <xf numFmtId="0" fontId="17" fillId="22" borderId="62" applyNumberFormat="0" applyAlignment="0" applyProtection="0">
      <alignment vertical="center"/>
    </xf>
    <xf numFmtId="0" fontId="3" fillId="23" borderId="59" applyNumberFormat="0" applyFont="0" applyAlignment="0" applyProtection="0">
      <alignment vertical="center"/>
    </xf>
    <xf numFmtId="0" fontId="24" fillId="0" borderId="63" applyNumberFormat="0" applyFill="0" applyAlignment="0" applyProtection="0">
      <alignment vertical="center"/>
    </xf>
    <xf numFmtId="0" fontId="25" fillId="7" borderId="62" applyNumberFormat="0" applyAlignment="0" applyProtection="0">
      <alignment vertical="center"/>
    </xf>
    <xf numFmtId="0" fontId="31" fillId="22" borderId="64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6" applyNumberFormat="0" applyBorder="0" applyAlignment="0" applyProtection="0"/>
    <xf numFmtId="0" fontId="17" fillId="22" borderId="67" applyNumberFormat="0" applyAlignment="0" applyProtection="0">
      <alignment vertical="center"/>
    </xf>
    <xf numFmtId="0" fontId="3" fillId="23" borderId="65" applyNumberFormat="0" applyFont="0" applyAlignment="0" applyProtection="0">
      <alignment vertical="center"/>
    </xf>
    <xf numFmtId="0" fontId="24" fillId="0" borderId="68" applyNumberFormat="0" applyFill="0" applyAlignment="0" applyProtection="0">
      <alignment vertical="center"/>
    </xf>
    <xf numFmtId="0" fontId="25" fillId="7" borderId="67" applyNumberFormat="0" applyAlignment="0" applyProtection="0">
      <alignment vertical="center"/>
    </xf>
    <xf numFmtId="0" fontId="31" fillId="22" borderId="6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6" applyNumberFormat="0" applyBorder="0" applyAlignment="0" applyProtection="0"/>
    <xf numFmtId="0" fontId="17" fillId="22" borderId="67" applyNumberFormat="0" applyAlignment="0" applyProtection="0">
      <alignment vertical="center"/>
    </xf>
    <xf numFmtId="0" fontId="3" fillId="23" borderId="65" applyNumberFormat="0" applyFont="0" applyAlignment="0" applyProtection="0">
      <alignment vertical="center"/>
    </xf>
    <xf numFmtId="0" fontId="24" fillId="0" borderId="68" applyNumberFormat="0" applyFill="0" applyAlignment="0" applyProtection="0">
      <alignment vertical="center"/>
    </xf>
    <xf numFmtId="0" fontId="25" fillId="7" borderId="67" applyNumberFormat="0" applyAlignment="0" applyProtection="0">
      <alignment vertical="center"/>
    </xf>
    <xf numFmtId="0" fontId="31" fillId="22" borderId="6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</cellStyleXfs>
  <cellXfs count="716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89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190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8" xfId="79" applyNumberFormat="1" applyFont="1" applyFill="1" applyBorder="1" applyAlignment="1">
      <alignment vertical="center"/>
    </xf>
    <xf numFmtId="0" fontId="48" fillId="0" borderId="38" xfId="79" applyNumberFormat="1" applyFont="1" applyFill="1" applyBorder="1" applyAlignment="1">
      <alignment horizontal="left" vertical="center"/>
    </xf>
    <xf numFmtId="0" fontId="48" fillId="0" borderId="38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7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0" fontId="48" fillId="0" borderId="38" xfId="79" applyNumberFormat="1" applyFont="1" applyFill="1" applyBorder="1" applyAlignment="1">
      <alignment horizontal="center" vertical="center"/>
    </xf>
    <xf numFmtId="0" fontId="50" fillId="0" borderId="38" xfId="80" applyNumberFormat="1" applyFont="1" applyFill="1" applyBorder="1" applyAlignment="1">
      <alignment horizontal="right" vertical="center"/>
    </xf>
    <xf numFmtId="0" fontId="7" fillId="28" borderId="40" xfId="0" applyNumberFormat="1" applyFont="1" applyFill="1" applyBorder="1" applyAlignment="1">
      <alignment horizontal="center" vertical="center"/>
    </xf>
    <xf numFmtId="0" fontId="1" fillId="0" borderId="39" xfId="78" applyNumberFormat="1" applyFont="1" applyFill="1" applyBorder="1" applyAlignment="1">
      <alignment horizontal="center" vertical="center"/>
    </xf>
    <xf numFmtId="49" fontId="1" fillId="0" borderId="39" xfId="78" applyNumberFormat="1" applyFont="1" applyFill="1" applyBorder="1" applyAlignment="1">
      <alignment horizontal="center" vertical="center"/>
    </xf>
    <xf numFmtId="196" fontId="1" fillId="0" borderId="39" xfId="78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1" xfId="79" applyNumberFormat="1" applyFont="1" applyFill="1" applyBorder="1" applyAlignment="1">
      <alignment horizontal="center" vertical="center"/>
    </xf>
    <xf numFmtId="0" fontId="60" fillId="31" borderId="41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6" xfId="0" applyNumberFormat="1" applyFont="1" applyBorder="1" applyAlignment="1">
      <alignment horizontal="center" vertical="center"/>
    </xf>
    <xf numFmtId="0" fontId="53" fillId="26" borderId="46" xfId="0" applyFont="1" applyFill="1" applyBorder="1" applyAlignment="1">
      <alignment horizontal="center" vertical="center" wrapText="1"/>
    </xf>
    <xf numFmtId="0" fontId="55" fillId="0" borderId="46" xfId="0" applyFont="1" applyBorder="1" applyAlignment="1">
      <alignment horizontal="center" vertical="center"/>
    </xf>
    <xf numFmtId="0" fontId="52" fillId="0" borderId="46" xfId="0" applyFont="1" applyBorder="1" applyAlignment="1">
      <alignment horizontal="center" vertical="center"/>
    </xf>
    <xf numFmtId="0" fontId="52" fillId="0" borderId="46" xfId="0" applyNumberFormat="1" applyFont="1" applyBorder="1" applyAlignment="1">
      <alignment horizontal="center" vertical="center"/>
    </xf>
    <xf numFmtId="0" fontId="76" fillId="33" borderId="46" xfId="0" applyFont="1" applyFill="1" applyBorder="1">
      <alignment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0" borderId="0" xfId="0" applyNumberFormat="1" applyFont="1" applyFill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1" fillId="0" borderId="50" xfId="0" applyNumberFormat="1" applyFont="1" applyFill="1" applyBorder="1" applyAlignment="1">
      <alignment horizontal="center" vertical="center"/>
    </xf>
    <xf numFmtId="197" fontId="81" fillId="29" borderId="51" xfId="0" applyNumberFormat="1" applyFont="1" applyFill="1" applyBorder="1" applyAlignment="1">
      <alignment horizontal="center" vertical="center"/>
    </xf>
    <xf numFmtId="197" fontId="81" fillId="0" borderId="53" xfId="0" applyNumberFormat="1" applyFont="1" applyFill="1" applyBorder="1" applyAlignment="1">
      <alignment horizontal="center" vertical="center"/>
    </xf>
    <xf numFmtId="198" fontId="81" fillId="0" borderId="50" xfId="0" applyNumberFormat="1" applyFont="1" applyFill="1" applyBorder="1" applyAlignment="1">
      <alignment horizontal="center" vertical="center"/>
    </xf>
    <xf numFmtId="0" fontId="81" fillId="35" borderId="5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80" fillId="0" borderId="0" xfId="0" applyNumberFormat="1" applyFont="1" applyFill="1" applyAlignment="1">
      <alignment horizontal="left" vertical="center"/>
    </xf>
    <xf numFmtId="199" fontId="81" fillId="0" borderId="52" xfId="0" applyNumberFormat="1" applyFont="1" applyFill="1" applyBorder="1" applyAlignment="1">
      <alignment horizontal="center" vertical="center"/>
    </xf>
    <xf numFmtId="199" fontId="81" fillId="0" borderId="50" xfId="0" applyNumberFormat="1" applyFont="1" applyFill="1" applyBorder="1" applyAlignment="1">
      <alignment horizontal="center" vertical="center"/>
    </xf>
    <xf numFmtId="0" fontId="81" fillId="35" borderId="52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7" xfId="79" applyNumberFormat="1" applyFont="1" applyFill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204" fontId="67" fillId="0" borderId="0" xfId="0" applyNumberFormat="1" applyFont="1" applyBorder="1" applyAlignment="1">
      <alignment vertical="center"/>
    </xf>
    <xf numFmtId="205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206" fontId="67" fillId="0" borderId="0" xfId="0" applyNumberFormat="1" applyFont="1" applyBorder="1" applyAlignment="1">
      <alignment vertical="center"/>
    </xf>
    <xf numFmtId="0" fontId="93" fillId="0" borderId="0" xfId="0" applyFont="1" applyBorder="1" applyAlignment="1">
      <alignment vertical="center"/>
    </xf>
    <xf numFmtId="201" fontId="93" fillId="0" borderId="0" xfId="0" applyNumberFormat="1" applyFont="1" applyBorder="1" applyAlignment="1">
      <alignment vertical="center"/>
    </xf>
    <xf numFmtId="201" fontId="93" fillId="0" borderId="0" xfId="0" applyNumberFormat="1" applyFont="1" applyBorder="1" applyAlignment="1">
      <alignment vertical="center" shrinkToFit="1"/>
    </xf>
    <xf numFmtId="208" fontId="67" fillId="0" borderId="0" xfId="0" applyNumberFormat="1" applyFont="1" applyBorder="1" applyAlignment="1">
      <alignment horizontal="center" vertical="center"/>
    </xf>
    <xf numFmtId="209" fontId="67" fillId="0" borderId="0" xfId="0" applyNumberFormat="1" applyFont="1" applyBorder="1" applyAlignment="1">
      <alignment vertical="center"/>
    </xf>
    <xf numFmtId="211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54" xfId="0" applyNumberFormat="1" applyFont="1" applyBorder="1" applyAlignment="1">
      <alignment vertical="center"/>
    </xf>
    <xf numFmtId="0" fontId="52" fillId="0" borderId="55" xfId="0" applyNumberFormat="1" applyFont="1" applyBorder="1" applyAlignment="1">
      <alignment vertical="center"/>
    </xf>
    <xf numFmtId="0" fontId="94" fillId="0" borderId="0" xfId="0" applyNumberFormat="1" applyFont="1" applyAlignment="1">
      <alignment vertical="center"/>
    </xf>
    <xf numFmtId="0" fontId="52" fillId="0" borderId="55" xfId="0" applyNumberFormat="1" applyFont="1" applyBorder="1" applyAlignment="1">
      <alignment horizontal="left" vertical="center"/>
    </xf>
    <xf numFmtId="0" fontId="81" fillId="32" borderId="60" xfId="0" applyNumberFormat="1" applyFont="1" applyFill="1" applyBorder="1" applyAlignment="1">
      <alignment horizontal="center" vertical="center" wrapText="1"/>
    </xf>
    <xf numFmtId="0" fontId="81" fillId="0" borderId="52" xfId="0" applyNumberFormat="1" applyFont="1" applyFill="1" applyBorder="1" applyAlignment="1">
      <alignment horizontal="center" vertical="center"/>
    </xf>
    <xf numFmtId="0" fontId="52" fillId="0" borderId="46" xfId="0" applyNumberFormat="1" applyFont="1" applyBorder="1" applyAlignment="1">
      <alignment horizontal="center" vertical="center" shrinkToFit="1"/>
    </xf>
    <xf numFmtId="41" fontId="52" fillId="0" borderId="46" xfId="87" applyFont="1" applyBorder="1" applyAlignment="1">
      <alignment horizontal="center" vertical="center"/>
    </xf>
    <xf numFmtId="41" fontId="52" fillId="0" borderId="46" xfId="0" applyNumberFormat="1" applyFont="1" applyBorder="1" applyAlignment="1">
      <alignment horizontal="center" vertical="center"/>
    </xf>
    <xf numFmtId="212" fontId="52" fillId="0" borderId="46" xfId="87" applyNumberFormat="1" applyFont="1" applyBorder="1" applyAlignment="1">
      <alignment horizontal="center" vertical="center"/>
    </xf>
    <xf numFmtId="41" fontId="52" fillId="0" borderId="46" xfId="87" applyNumberFormat="1" applyFont="1" applyBorder="1" applyAlignment="1">
      <alignment horizontal="center" vertical="center"/>
    </xf>
    <xf numFmtId="0" fontId="76" fillId="33" borderId="46" xfId="0" applyFont="1" applyFill="1" applyBorder="1">
      <alignment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8" fillId="0" borderId="41" xfId="79" applyNumberFormat="1" applyFont="1" applyFill="1" applyBorder="1" applyAlignment="1">
      <alignment horizontal="center" vertical="center"/>
    </xf>
    <xf numFmtId="0" fontId="95" fillId="28" borderId="65" xfId="0" applyNumberFormat="1" applyFont="1" applyFill="1" applyBorder="1" applyAlignment="1">
      <alignment horizontal="center" vertical="center"/>
    </xf>
    <xf numFmtId="0" fontId="81" fillId="0" borderId="65" xfId="0" applyNumberFormat="1" applyFont="1" applyFill="1" applyBorder="1" applyAlignment="1">
      <alignment horizontal="center" vertical="center"/>
    </xf>
    <xf numFmtId="0" fontId="97" fillId="0" borderId="65" xfId="0" applyNumberFormat="1" applyFont="1" applyFill="1" applyBorder="1" applyAlignment="1">
      <alignment horizontal="center" vertical="center"/>
    </xf>
    <xf numFmtId="192" fontId="81" fillId="0" borderId="65" xfId="0" applyNumberFormat="1" applyFont="1" applyFill="1" applyBorder="1" applyAlignment="1">
      <alignment horizontal="center" vertical="center"/>
    </xf>
    <xf numFmtId="0" fontId="81" fillId="0" borderId="50" xfId="79" applyNumberFormat="1" applyFont="1" applyFill="1" applyBorder="1" applyAlignment="1">
      <alignment horizontal="center" vertical="center"/>
    </xf>
    <xf numFmtId="0" fontId="52" fillId="0" borderId="0" xfId="0" applyFont="1" applyBorder="1" applyAlignment="1">
      <alignment vertical="center"/>
    </xf>
    <xf numFmtId="0" fontId="59" fillId="27" borderId="48" xfId="81" applyFont="1" applyFill="1" applyBorder="1" applyAlignment="1">
      <alignment horizontal="center" vertical="center"/>
    </xf>
    <xf numFmtId="0" fontId="81" fillId="0" borderId="65" xfId="78" applyNumberFormat="1" applyFont="1" applyFill="1" applyBorder="1" applyAlignment="1">
      <alignment horizontal="center" vertical="center"/>
    </xf>
    <xf numFmtId="0" fontId="5" fillId="28" borderId="60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shrinkToFit="1"/>
    </xf>
    <xf numFmtId="49" fontId="82" fillId="28" borderId="65" xfId="0" applyNumberFormat="1" applyFont="1" applyFill="1" applyBorder="1" applyAlignment="1">
      <alignment horizontal="center" vertical="center"/>
    </xf>
    <xf numFmtId="199" fontId="81" fillId="0" borderId="65" xfId="0" applyNumberFormat="1" applyFont="1" applyFill="1" applyBorder="1" applyAlignment="1">
      <alignment horizontal="center" vertical="center"/>
    </xf>
    <xf numFmtId="0" fontId="81" fillId="32" borderId="65" xfId="0" applyNumberFormat="1" applyFont="1" applyFill="1" applyBorder="1" applyAlignment="1">
      <alignment horizontal="center" vertical="center"/>
    </xf>
    <xf numFmtId="0" fontId="81" fillId="29" borderId="65" xfId="0" applyNumberFormat="1" applyFont="1" applyFill="1" applyBorder="1" applyAlignment="1">
      <alignment horizontal="center" vertical="center"/>
    </xf>
    <xf numFmtId="202" fontId="81" fillId="0" borderId="65" xfId="0" applyNumberFormat="1" applyFont="1" applyFill="1" applyBorder="1" applyAlignment="1">
      <alignment horizontal="center" vertical="center"/>
    </xf>
    <xf numFmtId="0" fontId="81" fillId="34" borderId="65" xfId="0" applyNumberFormat="1" applyFont="1" applyFill="1" applyBorder="1" applyAlignment="1">
      <alignment horizontal="center" vertical="center"/>
    </xf>
    <xf numFmtId="188" fontId="81" fillId="36" borderId="65" xfId="0" applyNumberFormat="1" applyFont="1" applyFill="1" applyBorder="1" applyAlignment="1">
      <alignment horizontal="center" vertical="center"/>
    </xf>
    <xf numFmtId="0" fontId="81" fillId="32" borderId="65" xfId="0" applyNumberFormat="1" applyFont="1" applyFill="1" applyBorder="1" applyAlignment="1">
      <alignment horizontal="center" vertical="center" wrapText="1"/>
    </xf>
    <xf numFmtId="0" fontId="81" fillId="0" borderId="65" xfId="0" applyNumberFormat="1" applyFont="1" applyFill="1" applyBorder="1" applyAlignment="1">
      <alignment horizontal="center" vertical="center" wrapText="1"/>
    </xf>
    <xf numFmtId="0" fontId="81" fillId="0" borderId="65" xfId="0" applyNumberFormat="1" applyFont="1" applyBorder="1" applyAlignment="1">
      <alignment horizontal="center" vertical="center"/>
    </xf>
    <xf numFmtId="201" fontId="81" fillId="0" borderId="65" xfId="0" applyNumberFormat="1" applyFont="1" applyFill="1" applyBorder="1" applyAlignment="1">
      <alignment horizontal="center" vertical="center"/>
    </xf>
    <xf numFmtId="194" fontId="81" fillId="0" borderId="65" xfId="0" applyNumberFormat="1" applyFont="1" applyFill="1" applyBorder="1" applyAlignment="1">
      <alignment horizontal="center" vertical="center"/>
    </xf>
    <xf numFmtId="200" fontId="81" fillId="0" borderId="65" xfId="0" applyNumberFormat="1" applyFont="1" applyFill="1" applyBorder="1" applyAlignment="1">
      <alignment horizontal="center" vertical="center"/>
    </xf>
    <xf numFmtId="203" fontId="81" fillId="0" borderId="65" xfId="0" applyNumberFormat="1" applyFont="1" applyFill="1" applyBorder="1" applyAlignment="1">
      <alignment horizontal="center" vertical="center"/>
    </xf>
    <xf numFmtId="194" fontId="81" fillId="32" borderId="65" xfId="0" applyNumberFormat="1" applyFont="1" applyFill="1" applyBorder="1" applyAlignment="1">
      <alignment horizontal="center" vertical="center"/>
    </xf>
    <xf numFmtId="0" fontId="81" fillId="36" borderId="65" xfId="0" applyNumberFormat="1" applyFont="1" applyFill="1" applyBorder="1" applyAlignment="1">
      <alignment horizontal="center" vertical="center"/>
    </xf>
    <xf numFmtId="0" fontId="81" fillId="0" borderId="65" xfId="0" applyNumberFormat="1" applyFont="1" applyFill="1" applyBorder="1" applyAlignment="1">
      <alignment horizontal="left" vertical="center"/>
    </xf>
    <xf numFmtId="49" fontId="81" fillId="0" borderId="65" xfId="0" applyNumberFormat="1" applyFont="1" applyFill="1" applyBorder="1" applyAlignment="1">
      <alignment horizontal="left" vertical="center"/>
    </xf>
    <xf numFmtId="0" fontId="48" fillId="0" borderId="66" xfId="79" applyNumberFormat="1" applyFont="1" applyFill="1" applyBorder="1" applyAlignment="1">
      <alignment horizontal="center" vertical="center"/>
    </xf>
    <xf numFmtId="194" fontId="81" fillId="29" borderId="65" xfId="0" applyNumberFormat="1" applyFont="1" applyFill="1" applyBorder="1" applyAlignment="1">
      <alignment horizontal="center" vertical="center"/>
    </xf>
    <xf numFmtId="41" fontId="52" fillId="0" borderId="56" xfId="87" applyFont="1" applyBorder="1" applyAlignment="1">
      <alignment horizontal="center" vertical="center" wrapText="1"/>
    </xf>
    <xf numFmtId="41" fontId="52" fillId="0" borderId="71" xfId="87" applyFont="1" applyBorder="1" applyAlignment="1">
      <alignment horizontal="center" vertical="center" wrapText="1"/>
    </xf>
    <xf numFmtId="9" fontId="52" fillId="0" borderId="71" xfId="87" applyNumberFormat="1" applyFont="1" applyBorder="1" applyAlignment="1">
      <alignment horizontal="center" vertical="center" wrapText="1"/>
    </xf>
    <xf numFmtId="0" fontId="65" fillId="0" borderId="0" xfId="0" applyFont="1" applyBorder="1" applyAlignment="1">
      <alignment horizontal="right" vertical="center"/>
    </xf>
    <xf numFmtId="205" fontId="67" fillId="0" borderId="0" xfId="0" applyNumberFormat="1" applyFont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0" fontId="73" fillId="0" borderId="0" xfId="0" applyFont="1" applyBorder="1">
      <alignment vertical="center"/>
    </xf>
    <xf numFmtId="0" fontId="88" fillId="0" borderId="0" xfId="0" applyFont="1" applyBorder="1">
      <alignment vertical="center"/>
    </xf>
    <xf numFmtId="0" fontId="100" fillId="0" borderId="0" xfId="0" applyFont="1" applyBorder="1" applyAlignment="1">
      <alignment vertical="center"/>
    </xf>
    <xf numFmtId="201" fontId="69" fillId="0" borderId="0" xfId="0" applyNumberFormat="1" applyFont="1" applyBorder="1" applyAlignment="1">
      <alignment vertical="center"/>
    </xf>
    <xf numFmtId="189" fontId="82" fillId="28" borderId="65" xfId="0" applyNumberFormat="1" applyFont="1" applyFill="1" applyBorder="1" applyAlignment="1">
      <alignment horizontal="center" vertical="center" wrapText="1"/>
    </xf>
    <xf numFmtId="189" fontId="82" fillId="28" borderId="65" xfId="0" applyNumberFormat="1" applyFont="1" applyFill="1" applyBorder="1" applyAlignment="1">
      <alignment horizontal="center" vertical="center"/>
    </xf>
    <xf numFmtId="0" fontId="82" fillId="28" borderId="65" xfId="0" quotePrefix="1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 wrapText="1"/>
    </xf>
    <xf numFmtId="188" fontId="81" fillId="0" borderId="65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21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vertical="center" shrinkToFit="1"/>
    </xf>
    <xf numFmtId="0" fontId="82" fillId="28" borderId="75" xfId="0" applyNumberFormat="1" applyFont="1" applyFill="1" applyBorder="1" applyAlignment="1">
      <alignment horizontal="center" vertical="center"/>
    </xf>
    <xf numFmtId="197" fontId="81" fillId="0" borderId="65" xfId="0" applyNumberFormat="1" applyFont="1" applyFill="1" applyBorder="1" applyAlignment="1">
      <alignment horizontal="center" vertical="center"/>
    </xf>
    <xf numFmtId="192" fontId="81" fillId="0" borderId="43" xfId="0" applyNumberFormat="1" applyFont="1" applyFill="1" applyBorder="1" applyAlignment="1">
      <alignment vertical="center"/>
    </xf>
    <xf numFmtId="192" fontId="81" fillId="0" borderId="42" xfId="0" applyNumberFormat="1" applyFont="1" applyFill="1" applyBorder="1" applyAlignment="1">
      <alignment vertical="center"/>
    </xf>
    <xf numFmtId="192" fontId="81" fillId="0" borderId="44" xfId="0" applyNumberFormat="1" applyFont="1" applyFill="1" applyBorder="1" applyAlignment="1">
      <alignment vertical="center"/>
    </xf>
    <xf numFmtId="194" fontId="81" fillId="31" borderId="65" xfId="0" applyNumberFormat="1" applyFont="1" applyFill="1" applyBorder="1" applyAlignment="1">
      <alignment horizontal="center" vertical="center"/>
    </xf>
    <xf numFmtId="41" fontId="52" fillId="0" borderId="77" xfId="87" applyFont="1" applyBorder="1" applyAlignment="1">
      <alignment horizontal="center" vertical="center" wrapText="1"/>
    </xf>
    <xf numFmtId="0" fontId="86" fillId="35" borderId="75" xfId="78" applyNumberFormat="1" applyFont="1" applyFill="1" applyBorder="1" applyAlignment="1">
      <alignment horizontal="center" vertical="center"/>
    </xf>
    <xf numFmtId="0" fontId="81" fillId="0" borderId="65" xfId="0" applyNumberFormat="1" applyFont="1" applyFill="1" applyBorder="1" applyAlignment="1">
      <alignment vertical="center"/>
    </xf>
    <xf numFmtId="0" fontId="52" fillId="0" borderId="41" xfId="0" applyNumberFormat="1" applyFont="1" applyBorder="1" applyAlignment="1">
      <alignment vertical="center"/>
    </xf>
    <xf numFmtId="215" fontId="52" fillId="0" borderId="70" xfId="0" applyNumberFormat="1" applyFont="1" applyBorder="1" applyAlignment="1">
      <alignment vertical="center"/>
    </xf>
    <xf numFmtId="1" fontId="52" fillId="0" borderId="0" xfId="0" applyNumberFormat="1" applyFont="1" applyBorder="1" applyAlignment="1">
      <alignment vertical="center"/>
    </xf>
    <xf numFmtId="194" fontId="52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208" fontId="52" fillId="0" borderId="0" xfId="0" applyNumberFormat="1" applyFont="1" applyBorder="1" applyAlignment="1">
      <alignment vertical="center"/>
    </xf>
    <xf numFmtId="0" fontId="48" fillId="0" borderId="70" xfId="79" applyNumberFormat="1" applyFont="1" applyFill="1" applyBorder="1" applyAlignment="1">
      <alignment horizontal="left" vertical="center"/>
    </xf>
    <xf numFmtId="188" fontId="81" fillId="0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1" fillId="31" borderId="65" xfId="0" applyNumberFormat="1" applyFont="1" applyFill="1" applyBorder="1" applyAlignment="1">
      <alignment horizontal="center" vertical="center"/>
    </xf>
    <xf numFmtId="2" fontId="81" fillId="32" borderId="65" xfId="86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 wrapText="1"/>
    </xf>
    <xf numFmtId="49" fontId="60" fillId="0" borderId="0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188" fontId="81" fillId="0" borderId="65" xfId="0" applyNumberFormat="1" applyFont="1" applyFill="1" applyBorder="1" applyAlignment="1">
      <alignment horizontal="center" vertical="center"/>
    </xf>
    <xf numFmtId="216" fontId="103" fillId="37" borderId="38" xfId="113" applyNumberFormat="1" applyFont="1" applyFill="1" applyBorder="1" applyAlignment="1">
      <alignment horizontal="center" vertical="center" wrapText="1"/>
    </xf>
    <xf numFmtId="0" fontId="52" fillId="0" borderId="0" xfId="0" applyNumberFormat="1" applyFont="1" applyBorder="1" applyAlignment="1">
      <alignment horizontal="center" vertical="center"/>
    </xf>
    <xf numFmtId="49" fontId="60" fillId="37" borderId="38" xfId="79" applyNumberFormat="1" applyFont="1" applyFill="1" applyBorder="1" applyAlignment="1">
      <alignment horizontal="center" vertical="center" wrapText="1"/>
    </xf>
    <xf numFmtId="0" fontId="80" fillId="0" borderId="0" xfId="0" applyNumberFormat="1" applyFont="1">
      <alignment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188" fontId="81" fillId="0" borderId="65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7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/>
    </xf>
    <xf numFmtId="0" fontId="104" fillId="35" borderId="50" xfId="0" applyNumberFormat="1" applyFont="1" applyFill="1" applyBorder="1" applyAlignment="1">
      <alignment horizontal="center" vertical="center"/>
    </xf>
    <xf numFmtId="0" fontId="48" fillId="0" borderId="46" xfId="79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105" fillId="0" borderId="0" xfId="79" applyNumberFormat="1" applyFont="1" applyFill="1" applyAlignment="1">
      <alignment horizontal="left" vertical="center"/>
    </xf>
    <xf numFmtId="0" fontId="105" fillId="0" borderId="0" xfId="79" applyNumberFormat="1" applyFont="1" applyFill="1" applyBorder="1" applyAlignment="1">
      <alignment vertical="center"/>
    </xf>
    <xf numFmtId="0" fontId="80" fillId="35" borderId="50" xfId="0" applyNumberFormat="1" applyFont="1" applyFill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105" fillId="0" borderId="0" xfId="79" applyNumberFormat="1" applyFont="1" applyFill="1" applyAlignment="1">
      <alignment horizontal="center" vertical="center"/>
    </xf>
    <xf numFmtId="0" fontId="105" fillId="0" borderId="0" xfId="79" applyNumberFormat="1" applyFont="1" applyFill="1" applyAlignment="1">
      <alignment vertical="center"/>
    </xf>
    <xf numFmtId="0" fontId="82" fillId="28" borderId="65" xfId="0" applyNumberFormat="1" applyFont="1" applyFill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9" fontId="52" fillId="29" borderId="71" xfId="87" applyNumberFormat="1" applyFont="1" applyFill="1" applyBorder="1" applyAlignment="1">
      <alignment horizontal="center" vertical="center" wrapText="1"/>
    </xf>
    <xf numFmtId="218" fontId="81" fillId="0" borderId="65" xfId="78" applyNumberFormat="1" applyFont="1" applyFill="1" applyBorder="1" applyAlignment="1">
      <alignment horizontal="center" vertical="center"/>
    </xf>
    <xf numFmtId="218" fontId="81" fillId="32" borderId="65" xfId="0" applyNumberFormat="1" applyFont="1" applyFill="1" applyBorder="1" applyAlignment="1">
      <alignment horizontal="center" vertical="center"/>
    </xf>
    <xf numFmtId="218" fontId="81" fillId="29" borderId="65" xfId="0" applyNumberFormat="1" applyFont="1" applyFill="1" applyBorder="1" applyAlignment="1">
      <alignment horizontal="center" vertical="center"/>
    </xf>
    <xf numFmtId="199" fontId="81" fillId="36" borderId="65" xfId="0" applyNumberFormat="1" applyFont="1" applyFill="1" applyBorder="1" applyAlignment="1">
      <alignment horizontal="center" vertical="center"/>
    </xf>
    <xf numFmtId="192" fontId="81" fillId="36" borderId="65" xfId="0" applyNumberFormat="1" applyFont="1" applyFill="1" applyBorder="1" applyAlignment="1">
      <alignment horizontal="center" vertical="center"/>
    </xf>
    <xf numFmtId="218" fontId="81" fillId="0" borderId="65" xfId="0" applyNumberFormat="1" applyFont="1" applyFill="1" applyBorder="1" applyAlignment="1">
      <alignment horizontal="center" vertical="center"/>
    </xf>
    <xf numFmtId="198" fontId="81" fillId="0" borderId="65" xfId="0" applyNumberFormat="1" applyFont="1" applyFill="1" applyBorder="1" applyAlignment="1">
      <alignment horizontal="center" vertical="center"/>
    </xf>
    <xf numFmtId="218" fontId="81" fillId="31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75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188" fontId="81" fillId="0" borderId="65" xfId="0" applyNumberFormat="1" applyFont="1" applyFill="1" applyBorder="1" applyAlignment="1">
      <alignment horizontal="center" vertical="center"/>
    </xf>
    <xf numFmtId="189" fontId="82" fillId="28" borderId="7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219" fontId="81" fillId="0" borderId="50" xfId="0" applyNumberFormat="1" applyFont="1" applyFill="1" applyBorder="1" applyAlignment="1">
      <alignment horizontal="center" vertical="center"/>
    </xf>
    <xf numFmtId="0" fontId="55" fillId="0" borderId="66" xfId="0" applyFont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 wrapText="1"/>
    </xf>
    <xf numFmtId="0" fontId="81" fillId="0" borderId="43" xfId="0" applyNumberFormat="1" applyFont="1" applyFill="1" applyBorder="1" applyAlignment="1">
      <alignment horizontal="center" vertical="center"/>
    </xf>
    <xf numFmtId="0" fontId="82" fillId="28" borderId="42" xfId="0" applyNumberFormat="1" applyFont="1" applyFill="1" applyBorder="1" applyAlignment="1">
      <alignment horizontal="center" vertical="center" wrapText="1"/>
    </xf>
    <xf numFmtId="220" fontId="81" fillId="0" borderId="65" xfId="86" applyNumberFormat="1" applyFont="1" applyFill="1" applyBorder="1" applyAlignment="1">
      <alignment horizontal="center" vertical="center"/>
    </xf>
    <xf numFmtId="220" fontId="81" fillId="0" borderId="65" xfId="0" applyNumberFormat="1" applyFont="1" applyFill="1" applyBorder="1" applyAlignment="1">
      <alignment horizontal="center" vertical="center"/>
    </xf>
    <xf numFmtId="220" fontId="81" fillId="29" borderId="65" xfId="0" applyNumberFormat="1" applyFont="1" applyFill="1" applyBorder="1" applyAlignment="1">
      <alignment horizontal="center" vertical="center"/>
    </xf>
    <xf numFmtId="220" fontId="81" fillId="32" borderId="65" xfId="0" applyNumberFormat="1" applyFont="1" applyFill="1" applyBorder="1" applyAlignment="1">
      <alignment horizontal="center" vertical="center"/>
    </xf>
    <xf numFmtId="220" fontId="81" fillId="31" borderId="65" xfId="0" applyNumberFormat="1" applyFont="1" applyFill="1" applyBorder="1" applyAlignment="1">
      <alignment horizontal="center" vertical="center"/>
    </xf>
    <xf numFmtId="195" fontId="81" fillId="29" borderId="51" xfId="0" applyNumberFormat="1" applyFont="1" applyFill="1" applyBorder="1" applyAlignment="1">
      <alignment horizontal="center" vertical="center"/>
    </xf>
    <xf numFmtId="221" fontId="81" fillId="0" borderId="52" xfId="0" applyNumberFormat="1" applyFont="1" applyFill="1" applyBorder="1" applyAlignment="1">
      <alignment horizontal="center" vertical="center"/>
    </xf>
    <xf numFmtId="0" fontId="81" fillId="0" borderId="53" xfId="0" applyNumberFormat="1" applyFont="1" applyFill="1" applyBorder="1" applyAlignment="1">
      <alignment horizontal="center" vertical="center"/>
    </xf>
    <xf numFmtId="221" fontId="81" fillId="0" borderId="65" xfId="0" applyNumberFormat="1" applyFont="1" applyFill="1" applyBorder="1" applyAlignment="1">
      <alignment horizontal="center" vertical="center"/>
    </xf>
    <xf numFmtId="2" fontId="81" fillId="29" borderId="65" xfId="0" applyNumberFormat="1" applyFont="1" applyFill="1" applyBorder="1" applyAlignment="1">
      <alignment horizontal="center" vertical="center"/>
    </xf>
    <xf numFmtId="195" fontId="81" fillId="31" borderId="65" xfId="0" applyNumberFormat="1" applyFont="1" applyFill="1" applyBorder="1" applyAlignment="1">
      <alignment horizontal="center" vertical="center"/>
    </xf>
    <xf numFmtId="195" fontId="81" fillId="36" borderId="65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7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42" xfId="0" applyNumberFormat="1" applyFont="1" applyFill="1" applyBorder="1" applyAlignment="1">
      <alignment horizontal="center" vertical="center" wrapText="1"/>
    </xf>
    <xf numFmtId="188" fontId="81" fillId="0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/>
    </xf>
    <xf numFmtId="2" fontId="81" fillId="0" borderId="65" xfId="78" applyNumberFormat="1" applyFont="1" applyFill="1" applyBorder="1" applyAlignment="1">
      <alignment horizontal="center" vertical="center"/>
    </xf>
    <xf numFmtId="2" fontId="81" fillId="0" borderId="65" xfId="0" applyNumberFormat="1" applyFont="1" applyFill="1" applyBorder="1" applyAlignment="1">
      <alignment horizontal="center" vertical="center"/>
    </xf>
    <xf numFmtId="222" fontId="81" fillId="0" borderId="65" xfId="0" applyNumberFormat="1" applyFont="1" applyFill="1" applyBorder="1" applyAlignment="1">
      <alignment horizontal="center" vertical="center"/>
    </xf>
    <xf numFmtId="195" fontId="81" fillId="29" borderId="65" xfId="0" applyNumberFormat="1" applyFont="1" applyFill="1" applyBorder="1" applyAlignment="1">
      <alignment horizontal="center" vertical="center"/>
    </xf>
    <xf numFmtId="195" fontId="81" fillId="0" borderId="65" xfId="0" applyNumberFormat="1" applyFont="1" applyFill="1" applyBorder="1" applyAlignment="1">
      <alignment horizontal="center" vertical="center"/>
    </xf>
    <xf numFmtId="195" fontId="81" fillId="32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1" fillId="0" borderId="65" xfId="78" applyNumberFormat="1" applyFont="1" applyFill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41" xfId="79" applyNumberFormat="1" applyFont="1" applyFill="1" applyBorder="1" applyAlignment="1">
      <alignment horizontal="right" vertical="center"/>
    </xf>
    <xf numFmtId="0" fontId="48" fillId="0" borderId="41" xfId="79" applyNumberFormat="1" applyFont="1" applyFill="1" applyBorder="1" applyAlignment="1">
      <alignment horizontal="left" vertical="center" indent="2"/>
    </xf>
    <xf numFmtId="0" fontId="48" fillId="0" borderId="54" xfId="79" applyNumberFormat="1" applyFont="1" applyFill="1" applyBorder="1" applyAlignment="1">
      <alignment horizontal="center" vertical="center"/>
    </xf>
    <xf numFmtId="195" fontId="81" fillId="0" borderId="51" xfId="0" applyNumberFormat="1" applyFont="1" applyFill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Border="1" applyAlignment="1">
      <alignment horizontal="center" vertical="center" wrapText="1"/>
    </xf>
    <xf numFmtId="0" fontId="48" fillId="0" borderId="0" xfId="79" applyNumberFormat="1" applyFont="1" applyFill="1" applyAlignment="1">
      <alignment horizontal="right" vertical="center" indent="2"/>
    </xf>
    <xf numFmtId="0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Border="1" applyAlignment="1">
      <alignment horizontal="right" vertical="center"/>
    </xf>
    <xf numFmtId="0" fontId="48" fillId="0" borderId="0" xfId="79" applyNumberFormat="1" applyFont="1" applyFill="1" applyBorder="1" applyAlignment="1">
      <alignment horizontal="left" vertical="center" indent="2"/>
    </xf>
    <xf numFmtId="0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0" fontId="82" fillId="28" borderId="42" xfId="0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 wrapText="1"/>
    </xf>
    <xf numFmtId="0" fontId="82" fillId="28" borderId="7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188" fontId="81" fillId="0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0" fontId="106" fillId="0" borderId="50" xfId="0" applyNumberFormat="1" applyFont="1" applyFill="1" applyBorder="1" applyAlignment="1">
      <alignment horizontal="center" vertical="center"/>
    </xf>
    <xf numFmtId="0" fontId="48" fillId="0" borderId="0" xfId="79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0" fontId="67" fillId="0" borderId="58" xfId="0" applyFont="1" applyBorder="1" applyAlignment="1">
      <alignment horizontal="center" vertical="center"/>
    </xf>
    <xf numFmtId="0" fontId="67" fillId="0" borderId="58" xfId="0" applyNumberFormat="1" applyFont="1" applyBorder="1" applyAlignment="1">
      <alignment vertical="center"/>
    </xf>
    <xf numFmtId="0" fontId="67" fillId="0" borderId="58" xfId="0" applyFont="1" applyBorder="1">
      <alignment vertical="center"/>
    </xf>
    <xf numFmtId="2" fontId="67" fillId="0" borderId="0" xfId="0" applyNumberFormat="1" applyFont="1" applyBorder="1" applyAlignment="1">
      <alignment horizontal="right" vertical="center"/>
    </xf>
    <xf numFmtId="0" fontId="67" fillId="0" borderId="0" xfId="0" applyFont="1" applyBorder="1" applyAlignment="1">
      <alignment horizontal="center" vertical="center"/>
    </xf>
    <xf numFmtId="218" fontId="67" fillId="0" borderId="0" xfId="0" applyNumberFormat="1" applyFont="1" applyBorder="1" applyAlignment="1">
      <alignment horizontal="right" vertical="center"/>
    </xf>
    <xf numFmtId="195" fontId="67" fillId="0" borderId="0" xfId="0" applyNumberFormat="1" applyFont="1" applyBorder="1" applyAlignment="1">
      <alignment horizontal="right" vertical="center"/>
    </xf>
    <xf numFmtId="218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209" fontId="67" fillId="0" borderId="0" xfId="0" applyNumberFormat="1" applyFont="1" applyBorder="1" applyAlignment="1">
      <alignment horizontal="left" vertical="center" shrinkToFit="1"/>
    </xf>
    <xf numFmtId="201" fontId="67" fillId="0" borderId="0" xfId="0" applyNumberFormat="1" applyFont="1" applyBorder="1" applyAlignment="1">
      <alignment horizontal="center" vertical="center"/>
    </xf>
    <xf numFmtId="194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/>
    </xf>
    <xf numFmtId="191" fontId="67" fillId="0" borderId="0" xfId="0" applyNumberFormat="1" applyFont="1" applyBorder="1" applyAlignment="1">
      <alignment vertical="center"/>
    </xf>
    <xf numFmtId="194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70" xfId="0" applyNumberFormat="1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right" vertical="center"/>
    </xf>
    <xf numFmtId="0" fontId="52" fillId="0" borderId="0" xfId="0" applyNumberFormat="1" applyFont="1" applyBorder="1" applyAlignment="1">
      <alignment horizontal="center" vertical="center"/>
    </xf>
    <xf numFmtId="207" fontId="67" fillId="0" borderId="0" xfId="0" applyNumberFormat="1" applyFont="1" applyBorder="1" applyAlignment="1">
      <alignment horizontal="left" vertical="center"/>
    </xf>
    <xf numFmtId="217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188" fontId="67" fillId="0" borderId="0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vertical="center"/>
    </xf>
    <xf numFmtId="193" fontId="67" fillId="0" borderId="70" xfId="0" applyNumberFormat="1" applyFont="1" applyBorder="1" applyAlignment="1">
      <alignment vertical="center"/>
    </xf>
    <xf numFmtId="0" fontId="82" fillId="28" borderId="42" xfId="0" applyNumberFormat="1" applyFont="1" applyFill="1" applyBorder="1" applyAlignment="1">
      <alignment horizontal="center" vertical="center" wrapText="1"/>
    </xf>
    <xf numFmtId="201" fontId="67" fillId="0" borderId="0" xfId="0" applyNumberFormat="1" applyFont="1" applyBorder="1" applyAlignment="1">
      <alignment vertical="center"/>
    </xf>
    <xf numFmtId="224" fontId="67" fillId="0" borderId="0" xfId="0" applyNumberFormat="1" applyFont="1" applyBorder="1" applyAlignment="1">
      <alignment vertical="center"/>
    </xf>
    <xf numFmtId="225" fontId="67" fillId="0" borderId="0" xfId="0" applyNumberFormat="1" applyFont="1" applyBorder="1" applyAlignment="1">
      <alignment vertical="center"/>
    </xf>
    <xf numFmtId="218" fontId="67" fillId="0" borderId="0" xfId="0" applyNumberFormat="1" applyFont="1" applyBorder="1" applyAlignment="1">
      <alignment vertical="center"/>
    </xf>
    <xf numFmtId="0" fontId="67" fillId="0" borderId="0" xfId="0" applyFont="1" applyBorder="1">
      <alignment vertical="center"/>
    </xf>
    <xf numFmtId="2" fontId="67" fillId="0" borderId="0" xfId="0" applyNumberFormat="1" applyFont="1" applyBorder="1" applyAlignment="1">
      <alignment vertical="center"/>
    </xf>
    <xf numFmtId="195" fontId="107" fillId="0" borderId="0" xfId="0" applyNumberFormat="1" applyFont="1" applyBorder="1" applyAlignment="1">
      <alignment horizontal="left" vertical="top"/>
    </xf>
    <xf numFmtId="188" fontId="67" fillId="0" borderId="70" xfId="0" applyNumberFormat="1" applyFont="1" applyBorder="1" applyAlignment="1">
      <alignment vertical="center"/>
    </xf>
    <xf numFmtId="2" fontId="67" fillId="0" borderId="58" xfId="0" applyNumberFormat="1" applyFont="1" applyBorder="1" applyAlignment="1">
      <alignment vertical="center"/>
    </xf>
    <xf numFmtId="195" fontId="107" fillId="0" borderId="58" xfId="0" applyNumberFormat="1" applyFont="1" applyBorder="1" applyAlignment="1">
      <alignment horizontal="left" vertical="top"/>
    </xf>
    <xf numFmtId="188" fontId="67" fillId="0" borderId="0" xfId="0" applyNumberFormat="1" applyFont="1" applyBorder="1" applyAlignment="1">
      <alignment horizontal="center" vertical="center" shrinkToFit="1"/>
    </xf>
    <xf numFmtId="188" fontId="67" fillId="0" borderId="0" xfId="0" applyNumberFormat="1" applyFont="1" applyBorder="1" applyAlignment="1">
      <alignment horizontal="center" vertical="center"/>
    </xf>
    <xf numFmtId="2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right" vertical="center"/>
    </xf>
    <xf numFmtId="215" fontId="67" fillId="0" borderId="0" xfId="0" applyNumberFormat="1" applyFont="1" applyBorder="1" applyAlignment="1">
      <alignment vertical="center"/>
    </xf>
    <xf numFmtId="0" fontId="52" fillId="0" borderId="70" xfId="0" applyNumberFormat="1" applyFont="1" applyBorder="1" applyAlignment="1">
      <alignment vertical="center"/>
    </xf>
    <xf numFmtId="0" fontId="52" fillId="0" borderId="0" xfId="0" applyNumberFormat="1" applyFont="1" applyAlignment="1">
      <alignment vertical="center"/>
    </xf>
    <xf numFmtId="0" fontId="67" fillId="0" borderId="70" xfId="0" applyFont="1" applyBorder="1" applyAlignment="1">
      <alignment vertical="center"/>
    </xf>
    <xf numFmtId="0" fontId="48" fillId="0" borderId="41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Border="1" applyAlignment="1">
      <alignment horizontal="center" vertical="center"/>
    </xf>
    <xf numFmtId="0" fontId="67" fillId="0" borderId="70" xfId="0" applyNumberFormat="1" applyFont="1" applyBorder="1" applyAlignment="1">
      <alignment horizontal="center" vertical="center"/>
    </xf>
    <xf numFmtId="0" fontId="48" fillId="0" borderId="41" xfId="0" applyNumberFormat="1" applyFont="1" applyBorder="1" applyAlignment="1">
      <alignment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109" fillId="28" borderId="65" xfId="0" applyNumberFormat="1" applyFont="1" applyFill="1" applyBorder="1" applyAlignment="1">
      <alignment horizontal="center" vertical="center" wrapText="1"/>
    </xf>
    <xf numFmtId="0" fontId="110" fillId="0" borderId="65" xfId="0" applyNumberFormat="1" applyFont="1" applyFill="1" applyBorder="1" applyAlignment="1">
      <alignment horizontal="center" vertical="center"/>
    </xf>
    <xf numFmtId="188" fontId="81" fillId="0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0" fontId="81" fillId="38" borderId="65" xfId="0" applyNumberFormat="1" applyFont="1" applyFill="1" applyBorder="1" applyAlignment="1">
      <alignment horizontal="center" vertical="center"/>
    </xf>
    <xf numFmtId="0" fontId="111" fillId="28" borderId="65" xfId="0" applyNumberFormat="1" applyFont="1" applyFill="1" applyBorder="1" applyAlignment="1">
      <alignment horizontal="center" vertical="center"/>
    </xf>
    <xf numFmtId="0" fontId="111" fillId="28" borderId="65" xfId="0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0" fontId="81" fillId="39" borderId="65" xfId="0" applyNumberFormat="1" applyFont="1" applyFill="1" applyBorder="1" applyAlignment="1">
      <alignment horizontal="center" vertical="center"/>
    </xf>
    <xf numFmtId="199" fontId="81" fillId="35" borderId="52" xfId="0" applyNumberFormat="1" applyFont="1" applyFill="1" applyBorder="1" applyAlignment="1">
      <alignment horizontal="center" vertical="center"/>
    </xf>
    <xf numFmtId="0" fontId="48" fillId="0" borderId="0" xfId="79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58" xfId="79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48" fillId="0" borderId="70" xfId="0" applyNumberFormat="1" applyFont="1" applyBorder="1" applyAlignment="1">
      <alignment horizontal="right" vertical="center"/>
    </xf>
    <xf numFmtId="0" fontId="48" fillId="0" borderId="0" xfId="79" applyNumberFormat="1" applyFont="1" applyFill="1" applyBorder="1" applyAlignment="1">
      <alignment horizontal="right" vertical="center" indent="2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85" xfId="79" applyNumberFormat="1" applyFont="1" applyFill="1" applyBorder="1" applyAlignment="1">
      <alignment horizontal="center" vertical="center"/>
    </xf>
    <xf numFmtId="0" fontId="48" fillId="0" borderId="47" xfId="79" applyNumberFormat="1" applyFont="1" applyFill="1" applyBorder="1" applyAlignment="1">
      <alignment horizontal="center" vertical="center" wrapText="1"/>
    </xf>
    <xf numFmtId="0" fontId="48" fillId="0" borderId="72" xfId="79" applyNumberFormat="1" applyFont="1" applyFill="1" applyBorder="1" applyAlignment="1">
      <alignment horizontal="center" vertical="center" wrapText="1"/>
    </xf>
    <xf numFmtId="0" fontId="48" fillId="0" borderId="55" xfId="79" applyNumberFormat="1" applyFont="1" applyFill="1" applyBorder="1" applyAlignment="1">
      <alignment horizontal="center" vertical="center"/>
    </xf>
    <xf numFmtId="0" fontId="47" fillId="0" borderId="0" xfId="79" applyNumberFormat="1" applyFont="1" applyAlignment="1">
      <alignment horizontal="center" wrapText="1"/>
    </xf>
    <xf numFmtId="0" fontId="48" fillId="0" borderId="58" xfId="79" applyNumberFormat="1" applyFont="1" applyFill="1" applyBorder="1" applyAlignment="1">
      <alignment horizontal="center" vertical="center"/>
    </xf>
    <xf numFmtId="0" fontId="48" fillId="0" borderId="86" xfId="79" applyNumberFormat="1" applyFont="1" applyFill="1" applyBorder="1" applyAlignment="1">
      <alignment horizontal="center" vertical="center" wrapText="1"/>
    </xf>
    <xf numFmtId="0" fontId="48" fillId="0" borderId="87" xfId="79" applyNumberFormat="1" applyFont="1" applyFill="1" applyBorder="1" applyAlignment="1">
      <alignment horizontal="center" vertical="center" wrapText="1"/>
    </xf>
    <xf numFmtId="0" fontId="48" fillId="0" borderId="41" xfId="79" applyNumberFormat="1" applyFont="1" applyFill="1" applyBorder="1" applyAlignment="1">
      <alignment horizontal="center" vertical="center" wrapText="1"/>
    </xf>
    <xf numFmtId="0" fontId="48" fillId="0" borderId="70" xfId="79" applyNumberFormat="1" applyFont="1" applyFill="1" applyBorder="1" applyAlignment="1">
      <alignment horizontal="center" vertical="center" wrapText="1"/>
    </xf>
    <xf numFmtId="0" fontId="48" fillId="0" borderId="46" xfId="79" applyNumberFormat="1" applyFont="1" applyFill="1" applyBorder="1" applyAlignment="1">
      <alignment horizontal="center" vertical="center" wrapText="1"/>
    </xf>
    <xf numFmtId="0" fontId="48" fillId="0" borderId="46" xfId="79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 wrapText="1"/>
    </xf>
    <xf numFmtId="0" fontId="48" fillId="0" borderId="77" xfId="79" applyNumberFormat="1" applyFont="1" applyFill="1" applyBorder="1" applyAlignment="1">
      <alignment horizontal="center" vertical="center" wrapText="1"/>
    </xf>
    <xf numFmtId="0" fontId="48" fillId="0" borderId="48" xfId="79" applyNumberFormat="1" applyFont="1" applyFill="1" applyBorder="1" applyAlignment="1">
      <alignment horizontal="center" vertical="center" wrapText="1"/>
    </xf>
    <xf numFmtId="0" fontId="48" fillId="0" borderId="18" xfId="79" applyNumberFormat="1" applyFont="1" applyFill="1" applyBorder="1" applyAlignment="1">
      <alignment horizontal="center" vertical="center" wrapText="1"/>
    </xf>
    <xf numFmtId="0" fontId="48" fillId="0" borderId="20" xfId="79" applyNumberFormat="1" applyFont="1" applyFill="1" applyBorder="1" applyAlignment="1">
      <alignment horizontal="center" vertical="center" wrapText="1"/>
    </xf>
    <xf numFmtId="0" fontId="48" fillId="0" borderId="56" xfId="79" applyNumberFormat="1" applyFont="1" applyFill="1" applyBorder="1" applyAlignment="1">
      <alignment horizontal="center" vertical="center"/>
    </xf>
    <xf numFmtId="0" fontId="48" fillId="0" borderId="71" xfId="79" applyNumberFormat="1" applyFont="1" applyFill="1" applyBorder="1" applyAlignment="1">
      <alignment horizontal="center" vertical="center"/>
    </xf>
    <xf numFmtId="0" fontId="48" fillId="0" borderId="77" xfId="79" applyNumberFormat="1" applyFont="1" applyFill="1" applyBorder="1" applyAlignment="1">
      <alignment horizontal="center" vertical="center"/>
    </xf>
    <xf numFmtId="49" fontId="75" fillId="0" borderId="0" xfId="82" applyNumberFormat="1" applyFont="1" applyFill="1" applyBorder="1" applyAlignment="1">
      <alignment horizontal="center" vertical="center" wrapText="1"/>
    </xf>
    <xf numFmtId="0" fontId="48" fillId="0" borderId="73" xfId="79" applyNumberFormat="1" applyFont="1" applyFill="1" applyBorder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38" xfId="79" applyNumberFormat="1" applyFont="1" applyFill="1" applyBorder="1" applyAlignment="1">
      <alignment horizontal="center" vertical="center"/>
    </xf>
    <xf numFmtId="216" fontId="60" fillId="37" borderId="0" xfId="0" applyNumberFormat="1" applyFont="1" applyFill="1" applyBorder="1" applyAlignment="1">
      <alignment horizontal="center" vertical="center" wrapText="1"/>
    </xf>
    <xf numFmtId="216" fontId="60" fillId="37" borderId="38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38" xfId="0" applyNumberFormat="1" applyFont="1" applyFill="1" applyBorder="1" applyAlignment="1">
      <alignment horizontal="center" vertical="center"/>
    </xf>
    <xf numFmtId="216" fontId="48" fillId="37" borderId="0" xfId="0" applyNumberFormat="1" applyFont="1" applyFill="1" applyAlignment="1">
      <alignment horizontal="center" vertical="center"/>
    </xf>
    <xf numFmtId="216" fontId="48" fillId="37" borderId="38" xfId="0" applyNumberFormat="1" applyFont="1" applyFill="1" applyBorder="1" applyAlignment="1">
      <alignment horizontal="center" vertical="center"/>
    </xf>
    <xf numFmtId="216" fontId="60" fillId="37" borderId="0" xfId="0" applyNumberFormat="1" applyFont="1" applyFill="1" applyAlignment="1">
      <alignment horizontal="center" vertical="center"/>
    </xf>
    <xf numFmtId="216" fontId="60" fillId="37" borderId="38" xfId="0" applyNumberFormat="1" applyFont="1" applyFill="1" applyBorder="1" applyAlignment="1">
      <alignment horizontal="center" vertical="center"/>
    </xf>
    <xf numFmtId="216" fontId="103" fillId="37" borderId="0" xfId="113" applyNumberFormat="1" applyFont="1" applyFill="1" applyBorder="1" applyAlignment="1">
      <alignment horizontal="center" vertical="center" wrapText="1"/>
    </xf>
    <xf numFmtId="216" fontId="103" fillId="37" borderId="38" xfId="113" applyNumberFormat="1" applyFont="1" applyFill="1" applyBorder="1" applyAlignment="1">
      <alignment horizontal="center" vertical="center" wrapText="1"/>
    </xf>
    <xf numFmtId="216" fontId="103" fillId="37" borderId="0" xfId="113" applyNumberFormat="1" applyFont="1" applyFill="1" applyBorder="1" applyAlignment="1">
      <alignment horizontal="center" vertical="center"/>
    </xf>
    <xf numFmtId="216" fontId="103" fillId="37" borderId="38" xfId="113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38" xfId="0" applyNumberFormat="1" applyFont="1" applyFill="1" applyBorder="1" applyAlignment="1">
      <alignment horizontal="center" vertical="center"/>
    </xf>
    <xf numFmtId="216" fontId="48" fillId="37" borderId="0" xfId="0" applyNumberFormat="1" applyFont="1" applyFill="1" applyBorder="1" applyAlignment="1">
      <alignment horizontal="center" vertical="center"/>
    </xf>
    <xf numFmtId="216" fontId="60" fillId="37" borderId="0" xfId="0" applyNumberFormat="1" applyFont="1" applyFill="1" applyBorder="1" applyAlignment="1">
      <alignment horizontal="center" vertical="center"/>
    </xf>
    <xf numFmtId="0" fontId="60" fillId="37" borderId="0" xfId="0" applyNumberFormat="1" applyFont="1" applyFill="1" applyAlignment="1">
      <alignment horizontal="center" vertical="center"/>
    </xf>
    <xf numFmtId="0" fontId="48" fillId="0" borderId="57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42" xfId="0" applyNumberFormat="1" applyFont="1" applyFill="1" applyBorder="1" applyAlignment="1">
      <alignment horizontal="center" vertical="center"/>
    </xf>
    <xf numFmtId="0" fontId="7" fillId="28" borderId="43" xfId="0" applyNumberFormat="1" applyFont="1" applyFill="1" applyBorder="1" applyAlignment="1">
      <alignment horizontal="center" vertical="center"/>
    </xf>
    <xf numFmtId="0" fontId="7" fillId="28" borderId="44" xfId="0" applyNumberFormat="1" applyFont="1" applyFill="1" applyBorder="1" applyAlignment="1">
      <alignment horizontal="center" vertical="center"/>
    </xf>
    <xf numFmtId="0" fontId="7" fillId="28" borderId="45" xfId="0" applyNumberFormat="1" applyFont="1" applyFill="1" applyBorder="1" applyAlignment="1">
      <alignment horizontal="center" vertical="center" wrapText="1"/>
    </xf>
    <xf numFmtId="0" fontId="7" fillId="28" borderId="49" xfId="0" applyNumberFormat="1" applyFont="1" applyFill="1" applyBorder="1" applyAlignment="1">
      <alignment horizontal="center" vertical="center" wrapText="1"/>
    </xf>
    <xf numFmtId="196" fontId="1" fillId="0" borderId="42" xfId="78" applyNumberFormat="1" applyFont="1" applyFill="1" applyBorder="1" applyAlignment="1">
      <alignment horizontal="center" vertical="center"/>
    </xf>
    <xf numFmtId="196" fontId="1" fillId="0" borderId="44" xfId="78" applyNumberFormat="1" applyFont="1" applyFill="1" applyBorder="1" applyAlignment="1">
      <alignment horizontal="center" vertical="center"/>
    </xf>
    <xf numFmtId="49" fontId="1" fillId="0" borderId="42" xfId="78" applyNumberFormat="1" applyFont="1" applyFill="1" applyBorder="1" applyAlignment="1">
      <alignment horizontal="center" vertical="center"/>
    </xf>
    <xf numFmtId="49" fontId="1" fillId="0" borderId="44" xfId="78" applyNumberFormat="1" applyFont="1" applyFill="1" applyBorder="1" applyAlignment="1">
      <alignment horizontal="center" vertical="center"/>
    </xf>
    <xf numFmtId="0" fontId="67" fillId="32" borderId="54" xfId="0" applyFont="1" applyFill="1" applyBorder="1" applyAlignment="1">
      <alignment horizontal="center" vertical="center" wrapText="1"/>
    </xf>
    <xf numFmtId="0" fontId="67" fillId="32" borderId="58" xfId="0" applyFont="1" applyFill="1" applyBorder="1" applyAlignment="1">
      <alignment horizontal="center" vertical="center" wrapText="1"/>
    </xf>
    <xf numFmtId="0" fontId="67" fillId="32" borderId="55" xfId="0" applyFont="1" applyFill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2" fontId="67" fillId="0" borderId="0" xfId="0" applyNumberFormat="1" applyFont="1" applyBorder="1" applyAlignment="1">
      <alignment horizontal="right" vertical="center"/>
    </xf>
    <xf numFmtId="218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201" fontId="67" fillId="0" borderId="0" xfId="0" applyNumberFormat="1" applyFont="1" applyBorder="1" applyAlignment="1">
      <alignment horizontal="center" vertical="center"/>
    </xf>
    <xf numFmtId="0" fontId="67" fillId="0" borderId="58" xfId="0" applyFont="1" applyBorder="1" applyAlignment="1">
      <alignment vertical="center"/>
    </xf>
    <xf numFmtId="0" fontId="67" fillId="0" borderId="55" xfId="0" applyFont="1" applyBorder="1" applyAlignment="1">
      <alignment vertical="center"/>
    </xf>
    <xf numFmtId="0" fontId="67" fillId="0" borderId="46" xfId="0" applyFont="1" applyBorder="1" applyAlignment="1">
      <alignment horizontal="center" vertical="center"/>
    </xf>
    <xf numFmtId="0" fontId="65" fillId="0" borderId="54" xfId="0" applyFont="1" applyBorder="1" applyAlignment="1">
      <alignment horizontal="center" vertical="center"/>
    </xf>
    <xf numFmtId="0" fontId="65" fillId="0" borderId="58" xfId="0" applyFont="1" applyBorder="1" applyAlignment="1">
      <alignment horizontal="center" vertical="center"/>
    </xf>
    <xf numFmtId="0" fontId="65" fillId="0" borderId="55" xfId="0" applyFont="1" applyBorder="1" applyAlignment="1">
      <alignment horizontal="center" vertical="center"/>
    </xf>
    <xf numFmtId="0" fontId="67" fillId="0" borderId="54" xfId="0" applyNumberFormat="1" applyFont="1" applyBorder="1" applyAlignment="1">
      <alignment horizontal="right" vertical="center"/>
    </xf>
    <xf numFmtId="0" fontId="67" fillId="0" borderId="58" xfId="0" applyNumberFormat="1" applyFont="1" applyBorder="1" applyAlignment="1">
      <alignment horizontal="right" vertical="center"/>
    </xf>
    <xf numFmtId="0" fontId="67" fillId="0" borderId="58" xfId="0" applyNumberFormat="1" applyFont="1" applyBorder="1" applyAlignment="1">
      <alignment vertical="center"/>
    </xf>
    <xf numFmtId="0" fontId="67" fillId="0" borderId="55" xfId="0" applyNumberFormat="1" applyFont="1" applyBorder="1" applyAlignment="1">
      <alignment vertical="center"/>
    </xf>
    <xf numFmtId="214" fontId="67" fillId="0" borderId="54" xfId="0" applyNumberFormat="1" applyFont="1" applyBorder="1" applyAlignment="1">
      <alignment vertical="center"/>
    </xf>
    <xf numFmtId="214" fontId="67" fillId="0" borderId="58" xfId="0" applyNumberFormat="1" applyFont="1" applyBorder="1" applyAlignment="1">
      <alignment vertical="center"/>
    </xf>
    <xf numFmtId="0" fontId="67" fillId="0" borderId="54" xfId="0" applyFont="1" applyBorder="1" applyAlignment="1">
      <alignment vertical="center"/>
    </xf>
    <xf numFmtId="194" fontId="67" fillId="0" borderId="54" xfId="0" applyNumberFormat="1" applyFont="1" applyBorder="1" applyAlignment="1">
      <alignment vertical="center"/>
    </xf>
    <xf numFmtId="194" fontId="67" fillId="0" borderId="58" xfId="0" applyNumberFormat="1" applyFont="1" applyBorder="1" applyAlignment="1">
      <alignment vertical="center"/>
    </xf>
    <xf numFmtId="0" fontId="67" fillId="0" borderId="58" xfId="0" applyFont="1" applyBorder="1">
      <alignment vertical="center"/>
    </xf>
    <xf numFmtId="0" fontId="67" fillId="0" borderId="55" xfId="0" applyFont="1" applyBorder="1">
      <alignment vertical="center"/>
    </xf>
    <xf numFmtId="0" fontId="67" fillId="0" borderId="54" xfId="0" applyFont="1" applyBorder="1" applyAlignment="1">
      <alignment horizontal="center" vertical="center"/>
    </xf>
    <xf numFmtId="0" fontId="67" fillId="0" borderId="58" xfId="0" applyFont="1" applyBorder="1" applyAlignment="1">
      <alignment horizontal="center" vertical="center"/>
    </xf>
    <xf numFmtId="0" fontId="67" fillId="0" borderId="55" xfId="0" applyFont="1" applyBorder="1" applyAlignment="1">
      <alignment horizontal="center" vertical="center"/>
    </xf>
    <xf numFmtId="0" fontId="67" fillId="0" borderId="54" xfId="0" applyNumberFormat="1" applyFont="1" applyBorder="1" applyAlignment="1">
      <alignment horizontal="center" vertical="center"/>
    </xf>
    <xf numFmtId="0" fontId="67" fillId="0" borderId="58" xfId="0" applyNumberFormat="1" applyFont="1" applyBorder="1" applyAlignment="1">
      <alignment horizontal="center" vertical="center"/>
    </xf>
    <xf numFmtId="0" fontId="67" fillId="0" borderId="55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0" fontId="65" fillId="0" borderId="0" xfId="0" applyFont="1" applyBorder="1" applyAlignment="1">
      <alignment horizontal="center" vertical="center"/>
    </xf>
    <xf numFmtId="0" fontId="67" fillId="32" borderId="47" xfId="0" applyFont="1" applyFill="1" applyBorder="1" applyAlignment="1">
      <alignment horizontal="center" vertical="center" wrapText="1"/>
    </xf>
    <xf numFmtId="0" fontId="67" fillId="32" borderId="41" xfId="0" applyFont="1" applyFill="1" applyBorder="1" applyAlignment="1">
      <alignment horizontal="center" vertical="center" wrapText="1"/>
    </xf>
    <xf numFmtId="0" fontId="67" fillId="32" borderId="48" xfId="0" applyFont="1" applyFill="1" applyBorder="1" applyAlignment="1">
      <alignment horizontal="center" vertical="center" wrapText="1"/>
    </xf>
    <xf numFmtId="0" fontId="67" fillId="32" borderId="72" xfId="0" applyFont="1" applyFill="1" applyBorder="1" applyAlignment="1">
      <alignment horizontal="center" vertical="center" wrapText="1"/>
    </xf>
    <xf numFmtId="0" fontId="67" fillId="32" borderId="70" xfId="0" applyFont="1" applyFill="1" applyBorder="1" applyAlignment="1">
      <alignment horizontal="center" vertical="center" wrapText="1"/>
    </xf>
    <xf numFmtId="0" fontId="67" fillId="32" borderId="73" xfId="0" applyFont="1" applyFill="1" applyBorder="1" applyAlignment="1">
      <alignment horizontal="center" vertical="center" wrapText="1"/>
    </xf>
    <xf numFmtId="0" fontId="52" fillId="32" borderId="46" xfId="0" applyNumberFormat="1" applyFont="1" applyFill="1" applyBorder="1" applyAlignment="1">
      <alignment horizontal="center" vertical="center" shrinkToFit="1"/>
    </xf>
    <xf numFmtId="0" fontId="52" fillId="32" borderId="46" xfId="0" applyNumberFormat="1" applyFont="1" applyFill="1" applyBorder="1" applyAlignment="1">
      <alignment horizontal="center" vertical="center"/>
    </xf>
    <xf numFmtId="0" fontId="67" fillId="0" borderId="46" xfId="0" applyNumberFormat="1" applyFont="1" applyBorder="1" applyAlignment="1">
      <alignment horizontal="center" vertical="center" shrinkToFit="1"/>
    </xf>
    <xf numFmtId="0" fontId="52" fillId="29" borderId="46" xfId="0" applyNumberFormat="1" applyFont="1" applyFill="1" applyBorder="1" applyAlignment="1">
      <alignment horizontal="center" vertical="center"/>
    </xf>
    <xf numFmtId="0" fontId="69" fillId="0" borderId="77" xfId="0" applyFont="1" applyBorder="1" applyAlignment="1">
      <alignment horizontal="center" vertical="center"/>
    </xf>
    <xf numFmtId="0" fontId="67" fillId="0" borderId="56" xfId="0" applyFont="1" applyBorder="1" applyAlignment="1">
      <alignment horizontal="center" vertical="center"/>
    </xf>
    <xf numFmtId="0" fontId="67" fillId="0" borderId="47" xfId="0" applyFont="1" applyBorder="1" applyAlignment="1">
      <alignment horizontal="center" vertical="center"/>
    </xf>
    <xf numFmtId="0" fontId="67" fillId="0" borderId="41" xfId="0" applyFont="1" applyBorder="1" applyAlignment="1">
      <alignment horizontal="center" vertical="center"/>
    </xf>
    <xf numFmtId="0" fontId="67" fillId="0" borderId="48" xfId="0" applyFont="1" applyBorder="1" applyAlignment="1">
      <alignment horizontal="center" vertical="center"/>
    </xf>
    <xf numFmtId="208" fontId="67" fillId="0" borderId="54" xfId="0" applyNumberFormat="1" applyFont="1" applyBorder="1" applyAlignment="1">
      <alignment vertical="center"/>
    </xf>
    <xf numFmtId="208" fontId="67" fillId="0" borderId="58" xfId="0" applyNumberFormat="1" applyFont="1" applyBorder="1" applyAlignment="1">
      <alignment vertical="center"/>
    </xf>
    <xf numFmtId="0" fontId="67" fillId="0" borderId="82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72" xfId="0" applyFont="1" applyBorder="1" applyAlignment="1">
      <alignment horizontal="center" vertical="center"/>
    </xf>
    <xf numFmtId="0" fontId="67" fillId="0" borderId="73" xfId="0" applyFont="1" applyBorder="1" applyAlignment="1">
      <alignment horizontal="center" vertical="center"/>
    </xf>
    <xf numFmtId="0" fontId="69" fillId="0" borderId="72" xfId="0" applyFont="1" applyBorder="1" applyAlignment="1">
      <alignment horizontal="center" vertical="center"/>
    </xf>
    <xf numFmtId="0" fontId="69" fillId="0" borderId="70" xfId="0" applyFont="1" applyBorder="1" applyAlignment="1">
      <alignment horizontal="center" vertical="center"/>
    </xf>
    <xf numFmtId="0" fontId="69" fillId="0" borderId="73" xfId="0" applyFont="1" applyBorder="1" applyAlignment="1">
      <alignment horizontal="center" vertical="center"/>
    </xf>
    <xf numFmtId="2" fontId="67" fillId="0" borderId="54" xfId="0" applyNumberFormat="1" applyFont="1" applyBorder="1" applyAlignment="1">
      <alignment horizontal="right" vertical="center"/>
    </xf>
    <xf numFmtId="2" fontId="67" fillId="0" borderId="58" xfId="0" applyNumberFormat="1" applyFont="1" applyBorder="1" applyAlignment="1">
      <alignment horizontal="right" vertical="center"/>
    </xf>
    <xf numFmtId="0" fontId="65" fillId="0" borderId="72" xfId="0" applyFont="1" applyBorder="1" applyAlignment="1">
      <alignment horizontal="center" vertical="center"/>
    </xf>
    <xf numFmtId="0" fontId="65" fillId="0" borderId="70" xfId="0" applyFont="1" applyBorder="1" applyAlignment="1">
      <alignment horizontal="center" vertical="center"/>
    </xf>
    <xf numFmtId="0" fontId="65" fillId="0" borderId="73" xfId="0" applyFont="1" applyBorder="1" applyAlignment="1">
      <alignment horizontal="center" vertical="center"/>
    </xf>
    <xf numFmtId="195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right" vertical="center"/>
    </xf>
    <xf numFmtId="0" fontId="69" fillId="0" borderId="0" xfId="0" applyFont="1" applyBorder="1" applyAlignment="1">
      <alignment horizontal="center" vertical="center"/>
    </xf>
    <xf numFmtId="0" fontId="52" fillId="0" borderId="70" xfId="0" applyNumberFormat="1" applyFont="1" applyBorder="1" applyAlignment="1">
      <alignment horizontal="right" vertical="center"/>
    </xf>
    <xf numFmtId="215" fontId="52" fillId="0" borderId="70" xfId="0" applyNumberFormat="1" applyFont="1" applyBorder="1" applyAlignment="1">
      <alignment horizontal="right" vertical="center"/>
    </xf>
    <xf numFmtId="216" fontId="52" fillId="0" borderId="0" xfId="0" applyNumberFormat="1" applyFont="1" applyBorder="1" applyAlignment="1">
      <alignment horizontal="center" vertical="center"/>
    </xf>
    <xf numFmtId="2" fontId="52" fillId="0" borderId="0" xfId="0" applyNumberFormat="1" applyFont="1" applyBorder="1" applyAlignment="1">
      <alignment horizontal="right" vertical="center"/>
    </xf>
    <xf numFmtId="217" fontId="52" fillId="0" borderId="0" xfId="0" applyNumberFormat="1" applyFont="1" applyBorder="1" applyAlignment="1">
      <alignment horizontal="center" vertical="center"/>
    </xf>
    <xf numFmtId="0" fontId="52" fillId="0" borderId="41" xfId="0" applyNumberFormat="1" applyFont="1" applyBorder="1" applyAlignment="1">
      <alignment horizontal="center" vertical="center"/>
    </xf>
    <xf numFmtId="188" fontId="67" fillId="0" borderId="0" xfId="0" applyNumberFormat="1" applyFont="1" applyBorder="1" applyAlignment="1">
      <alignment vertical="center"/>
    </xf>
    <xf numFmtId="194" fontId="67" fillId="0" borderId="70" xfId="0" applyNumberFormat="1" applyFont="1" applyBorder="1" applyAlignment="1">
      <alignment vertical="center"/>
    </xf>
    <xf numFmtId="193" fontId="67" fillId="0" borderId="70" xfId="0" applyNumberFormat="1" applyFont="1" applyBorder="1" applyAlignment="1">
      <alignment vertical="center"/>
    </xf>
    <xf numFmtId="194" fontId="67" fillId="0" borderId="0" xfId="0" applyNumberFormat="1" applyFont="1" applyBorder="1" applyAlignment="1">
      <alignment vertical="center"/>
    </xf>
    <xf numFmtId="191" fontId="67" fillId="0" borderId="0" xfId="0" applyNumberFormat="1" applyFont="1" applyBorder="1" applyAlignment="1">
      <alignment vertical="center"/>
    </xf>
    <xf numFmtId="0" fontId="65" fillId="0" borderId="41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right" vertical="center"/>
    </xf>
    <xf numFmtId="0" fontId="67" fillId="0" borderId="70" xfId="0" applyFont="1" applyBorder="1" applyAlignment="1">
      <alignment horizontal="center"/>
    </xf>
    <xf numFmtId="0" fontId="67" fillId="0" borderId="0" xfId="0" applyNumberFormat="1" applyFont="1" applyBorder="1" applyAlignment="1">
      <alignment vertical="center" shrinkToFit="1"/>
    </xf>
    <xf numFmtId="208" fontId="67" fillId="0" borderId="0" xfId="0" applyNumberFormat="1" applyFont="1" applyBorder="1" applyAlignment="1">
      <alignment vertical="center"/>
    </xf>
    <xf numFmtId="185" fontId="67" fillId="0" borderId="0" xfId="0" applyNumberFormat="1" applyFont="1" applyBorder="1" applyAlignment="1">
      <alignment horizontal="left" vertical="center"/>
    </xf>
    <xf numFmtId="0" fontId="67" fillId="0" borderId="70" xfId="0" applyNumberFormat="1" applyFont="1" applyBorder="1" applyAlignment="1">
      <alignment vertical="center"/>
    </xf>
    <xf numFmtId="213" fontId="67" fillId="0" borderId="0" xfId="0" applyNumberFormat="1" applyFont="1" applyBorder="1" applyAlignment="1">
      <alignment horizontal="center" vertical="center"/>
    </xf>
    <xf numFmtId="208" fontId="0" fillId="0" borderId="0" xfId="0" applyNumberFormat="1" applyAlignment="1">
      <alignment vertical="center"/>
    </xf>
    <xf numFmtId="208" fontId="0" fillId="0" borderId="0" xfId="0" applyNumberFormat="1" applyBorder="1" applyAlignment="1">
      <alignment vertical="center"/>
    </xf>
    <xf numFmtId="207" fontId="67" fillId="0" borderId="0" xfId="0" applyNumberFormat="1" applyFont="1" applyBorder="1" applyAlignment="1">
      <alignment horizontal="left" vertical="center"/>
    </xf>
    <xf numFmtId="201" fontId="69" fillId="0" borderId="0" xfId="0" applyNumberFormat="1" applyFont="1" applyBorder="1" applyAlignment="1">
      <alignment horizontal="center" vertical="center"/>
    </xf>
    <xf numFmtId="205" fontId="65" fillId="0" borderId="70" xfId="0" applyNumberFormat="1" applyFont="1" applyBorder="1" applyAlignment="1">
      <alignment horizontal="center" vertical="center"/>
    </xf>
    <xf numFmtId="205" fontId="67" fillId="0" borderId="70" xfId="0" applyNumberFormat="1" applyFont="1" applyBorder="1" applyAlignment="1">
      <alignment horizontal="center" vertical="center"/>
    </xf>
    <xf numFmtId="0" fontId="67" fillId="0" borderId="41" xfId="0" applyNumberFormat="1" applyFont="1" applyBorder="1" applyAlignment="1">
      <alignment horizontal="center" vertical="center"/>
    </xf>
    <xf numFmtId="223" fontId="67" fillId="0" borderId="0" xfId="0" applyNumberFormat="1" applyFont="1" applyBorder="1" applyAlignment="1">
      <alignment horizontal="left" vertical="center"/>
    </xf>
    <xf numFmtId="215" fontId="67" fillId="0" borderId="0" xfId="0" applyNumberFormat="1" applyFont="1" applyBorder="1" applyAlignment="1">
      <alignment horizontal="left" vertical="center"/>
    </xf>
    <xf numFmtId="211" fontId="67" fillId="0" borderId="0" xfId="0" applyNumberFormat="1" applyFont="1" applyBorder="1" applyAlignment="1">
      <alignment horizontal="left" vertical="center"/>
    </xf>
    <xf numFmtId="0" fontId="67" fillId="0" borderId="41" xfId="0" applyFont="1" applyBorder="1" applyAlignment="1">
      <alignment vertical="center"/>
    </xf>
    <xf numFmtId="218" fontId="67" fillId="0" borderId="0" xfId="0" applyNumberFormat="1" applyFont="1" applyBorder="1" applyAlignment="1">
      <alignment horizontal="right" vertical="center"/>
    </xf>
    <xf numFmtId="194" fontId="67" fillId="0" borderId="0" xfId="0" applyNumberFormat="1" applyFont="1" applyBorder="1" applyAlignment="1">
      <alignment horizontal="right" vertical="center"/>
    </xf>
    <xf numFmtId="195" fontId="67" fillId="0" borderId="0" xfId="0" applyNumberFormat="1" applyFont="1" applyBorder="1" applyAlignment="1">
      <alignment horizontal="right" vertical="center"/>
    </xf>
    <xf numFmtId="188" fontId="67" fillId="0" borderId="70" xfId="0" applyNumberFormat="1" applyFont="1" applyBorder="1" applyAlignment="1">
      <alignment horizontal="center" vertical="center"/>
    </xf>
    <xf numFmtId="209" fontId="67" fillId="0" borderId="0" xfId="0" applyNumberFormat="1" applyFont="1" applyBorder="1" applyAlignment="1">
      <alignment horizontal="left" vertical="center" shrinkToFit="1"/>
    </xf>
    <xf numFmtId="188" fontId="67" fillId="0" borderId="70" xfId="0" applyNumberFormat="1" applyFont="1" applyBorder="1" applyAlignment="1">
      <alignment horizontal="center" vertical="center" shrinkToFit="1"/>
    </xf>
    <xf numFmtId="194" fontId="67" fillId="0" borderId="0" xfId="0" applyNumberFormat="1" applyFont="1" applyBorder="1" applyAlignment="1">
      <alignment horizontal="center" vertical="center"/>
    </xf>
    <xf numFmtId="218" fontId="67" fillId="0" borderId="54" xfId="0" applyNumberFormat="1" applyFont="1" applyBorder="1" applyAlignment="1">
      <alignment horizontal="center" vertical="center"/>
    </xf>
    <xf numFmtId="218" fontId="67" fillId="0" borderId="58" xfId="0" applyNumberFormat="1" applyFont="1" applyBorder="1" applyAlignment="1">
      <alignment horizontal="center" vertical="center"/>
    </xf>
    <xf numFmtId="218" fontId="67" fillId="0" borderId="55" xfId="0" applyNumberFormat="1" applyFont="1" applyBorder="1" applyAlignment="1">
      <alignment horizontal="center" vertical="center"/>
    </xf>
    <xf numFmtId="195" fontId="67" fillId="0" borderId="54" xfId="0" applyNumberFormat="1" applyFont="1" applyBorder="1" applyAlignment="1">
      <alignment vertical="center"/>
    </xf>
    <xf numFmtId="195" fontId="67" fillId="0" borderId="58" xfId="0" applyNumberFormat="1" applyFont="1" applyBorder="1" applyAlignment="1">
      <alignment vertical="center"/>
    </xf>
    <xf numFmtId="220" fontId="67" fillId="0" borderId="54" xfId="0" applyNumberFormat="1" applyFont="1" applyBorder="1" applyAlignment="1">
      <alignment horizontal="right" vertical="center"/>
    </xf>
    <xf numFmtId="220" fontId="67" fillId="0" borderId="58" xfId="0" applyNumberFormat="1" applyFont="1" applyBorder="1" applyAlignment="1">
      <alignment horizontal="right" vertical="center"/>
    </xf>
    <xf numFmtId="195" fontId="67" fillId="0" borderId="58" xfId="0" applyNumberFormat="1" applyFont="1" applyBorder="1" applyAlignment="1">
      <alignment horizontal="center" vertical="center"/>
    </xf>
    <xf numFmtId="195" fontId="107" fillId="0" borderId="58" xfId="0" applyNumberFormat="1" applyFont="1" applyBorder="1" applyAlignment="1">
      <alignment vertical="top"/>
    </xf>
    <xf numFmtId="195" fontId="107" fillId="0" borderId="55" xfId="0" applyNumberFormat="1" applyFont="1" applyBorder="1" applyAlignment="1">
      <alignment vertical="top"/>
    </xf>
    <xf numFmtId="194" fontId="67" fillId="0" borderId="54" xfId="0" applyNumberFormat="1" applyFont="1" applyBorder="1" applyAlignment="1">
      <alignment horizontal="right" vertical="center"/>
    </xf>
    <xf numFmtId="194" fontId="67" fillId="0" borderId="58" xfId="0" applyNumberFormat="1" applyFont="1" applyBorder="1" applyAlignment="1">
      <alignment horizontal="right" vertical="center"/>
    </xf>
    <xf numFmtId="218" fontId="67" fillId="0" borderId="0" xfId="0" applyNumberFormat="1" applyFont="1" applyBorder="1" applyAlignment="1">
      <alignment vertical="center"/>
    </xf>
    <xf numFmtId="195" fontId="52" fillId="0" borderId="0" xfId="0" applyNumberFormat="1" applyFont="1" applyBorder="1" applyAlignment="1">
      <alignment vertical="center"/>
    </xf>
    <xf numFmtId="0" fontId="67" fillId="0" borderId="0" xfId="0" applyFont="1" applyBorder="1">
      <alignment vertical="center"/>
    </xf>
    <xf numFmtId="218" fontId="67" fillId="0" borderId="7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 shrinkToFit="1"/>
    </xf>
    <xf numFmtId="0" fontId="67" fillId="0" borderId="70" xfId="0" applyFont="1" applyBorder="1" applyAlignment="1">
      <alignment horizontal="center" vertical="center" shrinkToFit="1"/>
    </xf>
    <xf numFmtId="226" fontId="67" fillId="0" borderId="0" xfId="0" applyNumberFormat="1" applyFont="1" applyBorder="1" applyAlignment="1">
      <alignment horizontal="center" vertical="center" shrinkToFit="1"/>
    </xf>
    <xf numFmtId="226" fontId="67" fillId="0" borderId="70" xfId="0" applyNumberFormat="1" applyFont="1" applyBorder="1" applyAlignment="1">
      <alignment horizontal="center" vertical="center" shrinkToFit="1"/>
    </xf>
    <xf numFmtId="210" fontId="67" fillId="0" borderId="0" xfId="0" applyNumberFormat="1" applyFont="1" applyBorder="1" applyAlignment="1">
      <alignment horizontal="center" vertical="center" shrinkToFit="1"/>
    </xf>
    <xf numFmtId="227" fontId="67" fillId="0" borderId="0" xfId="0" applyNumberFormat="1" applyFont="1" applyBorder="1" applyAlignment="1">
      <alignment horizontal="center" vertical="center" shrinkToFit="1"/>
    </xf>
    <xf numFmtId="2" fontId="67" fillId="0" borderId="0" xfId="0" applyNumberFormat="1" applyFont="1" applyBorder="1" applyAlignment="1">
      <alignment vertical="center"/>
    </xf>
    <xf numFmtId="2" fontId="67" fillId="0" borderId="58" xfId="0" applyNumberFormat="1" applyFont="1" applyBorder="1" applyAlignment="1">
      <alignment vertical="center"/>
    </xf>
    <xf numFmtId="188" fontId="67" fillId="0" borderId="41" xfId="0" applyNumberFormat="1" applyFont="1" applyBorder="1" applyAlignment="1">
      <alignment horizontal="center" vertical="center" shrinkToFit="1"/>
    </xf>
    <xf numFmtId="188" fontId="67" fillId="0" borderId="0" xfId="0" applyNumberFormat="1" applyFont="1" applyBorder="1" applyAlignment="1">
      <alignment horizontal="center" vertical="center" shrinkToFit="1"/>
    </xf>
    <xf numFmtId="195" fontId="67" fillId="0" borderId="0" xfId="0" applyNumberFormat="1" applyFont="1" applyBorder="1" applyAlignment="1">
      <alignment horizontal="center" vertical="center"/>
    </xf>
    <xf numFmtId="228" fontId="67" fillId="0" borderId="0" xfId="0" applyNumberFormat="1" applyFont="1" applyBorder="1" applyAlignment="1">
      <alignment horizontal="center" vertical="center"/>
    </xf>
    <xf numFmtId="229" fontId="67" fillId="0" borderId="0" xfId="86" applyNumberFormat="1" applyFont="1" applyBorder="1" applyAlignment="1">
      <alignment horizontal="center" vertical="center"/>
    </xf>
    <xf numFmtId="218" fontId="67" fillId="0" borderId="54" xfId="0" applyNumberFormat="1" applyFont="1" applyBorder="1" applyAlignment="1">
      <alignment horizontal="right" vertical="center"/>
    </xf>
    <xf numFmtId="218" fontId="67" fillId="0" borderId="58" xfId="0" applyNumberFormat="1" applyFont="1" applyBorder="1" applyAlignment="1">
      <alignment horizontal="right" vertical="center"/>
    </xf>
    <xf numFmtId="218" fontId="67" fillId="0" borderId="54" xfId="0" applyNumberFormat="1" applyFont="1" applyBorder="1" applyAlignment="1">
      <alignment vertical="center"/>
    </xf>
    <xf numFmtId="218" fontId="67" fillId="0" borderId="58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0" fontId="52" fillId="0" borderId="70" xfId="0" applyNumberFormat="1" applyFont="1" applyBorder="1" applyAlignment="1">
      <alignment vertical="center"/>
    </xf>
    <xf numFmtId="218" fontId="52" fillId="0" borderId="0" xfId="0" applyNumberFormat="1" applyFont="1" applyBorder="1" applyAlignment="1">
      <alignment horizontal="right" vertical="center"/>
    </xf>
    <xf numFmtId="0" fontId="52" fillId="0" borderId="0" xfId="0" applyNumberFormat="1" applyFont="1" applyAlignment="1">
      <alignment vertical="center"/>
    </xf>
    <xf numFmtId="230" fontId="67" fillId="0" borderId="0" xfId="0" applyNumberFormat="1" applyFont="1" applyBorder="1" applyAlignment="1">
      <alignment horizontal="right" vertical="center"/>
    </xf>
    <xf numFmtId="199" fontId="67" fillId="0" borderId="70" xfId="0" applyNumberFormat="1" applyFont="1" applyBorder="1" applyAlignment="1">
      <alignment horizontal="center" vertical="center"/>
    </xf>
    <xf numFmtId="199" fontId="67" fillId="0" borderId="70" xfId="0" applyNumberFormat="1" applyFont="1" applyBorder="1" applyAlignment="1">
      <alignment horizontal="center" vertical="center" shrinkToFit="1"/>
    </xf>
    <xf numFmtId="201" fontId="67" fillId="0" borderId="0" xfId="0" applyNumberFormat="1" applyFont="1" applyBorder="1" applyAlignment="1">
      <alignment horizontal="right" vertical="center"/>
    </xf>
    <xf numFmtId="231" fontId="67" fillId="0" borderId="0" xfId="0" applyNumberFormat="1" applyFont="1" applyBorder="1" applyAlignment="1">
      <alignment horizontal="right" vertical="center"/>
    </xf>
    <xf numFmtId="221" fontId="67" fillId="0" borderId="70" xfId="0" applyNumberFormat="1" applyFont="1" applyBorder="1" applyAlignment="1">
      <alignment horizontal="center" vertical="center" shrinkToFit="1"/>
    </xf>
    <xf numFmtId="0" fontId="82" fillId="28" borderId="42" xfId="0" applyNumberFormat="1" applyFont="1" applyFill="1" applyBorder="1" applyAlignment="1">
      <alignment horizontal="center" vertical="center"/>
    </xf>
    <xf numFmtId="0" fontId="82" fillId="28" borderId="43" xfId="0" applyNumberFormat="1" applyFont="1" applyFill="1" applyBorder="1" applyAlignment="1">
      <alignment horizontal="center" vertical="center"/>
    </xf>
    <xf numFmtId="0" fontId="82" fillId="28" borderId="44" xfId="0" applyNumberFormat="1" applyFont="1" applyFill="1" applyBorder="1" applyAlignment="1">
      <alignment horizontal="center" vertical="center"/>
    </xf>
    <xf numFmtId="0" fontId="82" fillId="28" borderId="78" xfId="0" applyNumberFormat="1" applyFont="1" applyFill="1" applyBorder="1" applyAlignment="1">
      <alignment horizontal="center" vertical="center" wrapText="1"/>
    </xf>
    <xf numFmtId="0" fontId="82" fillId="28" borderId="79" xfId="0" applyNumberFormat="1" applyFont="1" applyFill="1" applyBorder="1" applyAlignment="1">
      <alignment horizontal="center" vertical="center" wrapText="1"/>
    </xf>
    <xf numFmtId="0" fontId="82" fillId="28" borderId="81" xfId="0" applyNumberFormat="1" applyFont="1" applyFill="1" applyBorder="1" applyAlignment="1">
      <alignment horizontal="center" vertical="center" wrapText="1"/>
    </xf>
    <xf numFmtId="0" fontId="82" fillId="28" borderId="42" xfId="0" applyNumberFormat="1" applyFont="1" applyFill="1" applyBorder="1" applyAlignment="1">
      <alignment horizontal="center" vertical="center" wrapText="1"/>
    </xf>
    <xf numFmtId="0" fontId="82" fillId="28" borderId="44" xfId="0" applyNumberFormat="1" applyFont="1" applyFill="1" applyBorder="1" applyAlignment="1">
      <alignment horizontal="center" vertical="center" wrapText="1"/>
    </xf>
    <xf numFmtId="0" fontId="82" fillId="28" borderId="43" xfId="0" applyNumberFormat="1" applyFont="1" applyFill="1" applyBorder="1" applyAlignment="1">
      <alignment horizontal="center" vertical="center" wrapText="1"/>
    </xf>
    <xf numFmtId="0" fontId="111" fillId="28" borderId="42" xfId="0" applyNumberFormat="1" applyFont="1" applyFill="1" applyBorder="1" applyAlignment="1">
      <alignment horizontal="center" vertical="center" wrapText="1"/>
    </xf>
    <xf numFmtId="0" fontId="111" fillId="28" borderId="44" xfId="0" applyNumberFormat="1" applyFont="1" applyFill="1" applyBorder="1" applyAlignment="1">
      <alignment horizontal="center" vertical="center" wrapText="1"/>
    </xf>
    <xf numFmtId="41" fontId="52" fillId="0" borderId="56" xfId="87" applyNumberFormat="1" applyFont="1" applyBorder="1" applyAlignment="1">
      <alignment horizontal="center" vertical="center"/>
    </xf>
    <xf numFmtId="41" fontId="52" fillId="0" borderId="71" xfId="87" applyNumberFormat="1" applyFont="1" applyBorder="1" applyAlignment="1">
      <alignment horizontal="center" vertical="center"/>
    </xf>
    <xf numFmtId="41" fontId="52" fillId="0" borderId="77" xfId="87" applyNumberFormat="1" applyFont="1" applyBorder="1" applyAlignment="1">
      <alignment horizontal="center" vertical="center"/>
    </xf>
    <xf numFmtId="0" fontId="52" fillId="0" borderId="56" xfId="0" applyNumberFormat="1" applyFont="1" applyBorder="1" applyAlignment="1">
      <alignment horizontal="center" vertical="center"/>
    </xf>
    <xf numFmtId="0" fontId="52" fillId="0" borderId="71" xfId="0" applyNumberFormat="1" applyFont="1" applyBorder="1" applyAlignment="1">
      <alignment horizontal="center" vertical="center"/>
    </xf>
    <xf numFmtId="0" fontId="52" fillId="0" borderId="77" xfId="0" applyNumberFormat="1" applyFont="1" applyBorder="1" applyAlignment="1">
      <alignment horizontal="center" vertical="center"/>
    </xf>
    <xf numFmtId="41" fontId="52" fillId="0" borderId="56" xfId="87" applyFont="1" applyBorder="1" applyAlignment="1">
      <alignment horizontal="center" vertical="center"/>
    </xf>
    <xf numFmtId="41" fontId="52" fillId="0" borderId="71" xfId="87" applyFont="1" applyBorder="1" applyAlignment="1">
      <alignment horizontal="center" vertical="center"/>
    </xf>
    <xf numFmtId="41" fontId="52" fillId="0" borderId="77" xfId="87" applyFont="1" applyBorder="1" applyAlignment="1">
      <alignment horizontal="center" vertical="center"/>
    </xf>
    <xf numFmtId="212" fontId="52" fillId="0" borderId="56" xfId="87" applyNumberFormat="1" applyFont="1" applyBorder="1" applyAlignment="1">
      <alignment horizontal="center" vertical="center"/>
    </xf>
    <xf numFmtId="212" fontId="52" fillId="0" borderId="71" xfId="87" applyNumberFormat="1" applyFont="1" applyBorder="1" applyAlignment="1">
      <alignment horizontal="center" vertical="center"/>
    </xf>
    <xf numFmtId="212" fontId="52" fillId="0" borderId="77" xfId="87" applyNumberFormat="1" applyFont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0" fontId="82" fillId="28" borderId="76" xfId="0" applyNumberFormat="1" applyFont="1" applyFill="1" applyBorder="1" applyAlignment="1">
      <alignment horizontal="center" vertical="center" wrapText="1"/>
    </xf>
    <xf numFmtId="189" fontId="82" fillId="28" borderId="42" xfId="0" applyNumberFormat="1" applyFont="1" applyFill="1" applyBorder="1" applyAlignment="1">
      <alignment horizontal="center" vertical="center" wrapText="1"/>
    </xf>
    <xf numFmtId="189" fontId="82" fillId="28" borderId="44" xfId="0" applyNumberFormat="1" applyFont="1" applyFill="1" applyBorder="1" applyAlignment="1">
      <alignment horizontal="center" vertical="center" wrapText="1"/>
    </xf>
    <xf numFmtId="0" fontId="82" fillId="28" borderId="74" xfId="0" applyNumberFormat="1" applyFont="1" applyFill="1" applyBorder="1" applyAlignment="1">
      <alignment horizontal="center" vertical="center" wrapText="1"/>
    </xf>
    <xf numFmtId="0" fontId="82" fillId="28" borderId="75" xfId="0" applyNumberFormat="1" applyFont="1" applyFill="1" applyBorder="1" applyAlignment="1">
      <alignment horizontal="center" vertical="center" wrapText="1"/>
    </xf>
    <xf numFmtId="0" fontId="52" fillId="0" borderId="54" xfId="0" applyNumberFormat="1" applyFont="1" applyBorder="1" applyAlignment="1">
      <alignment horizontal="center" vertical="center"/>
    </xf>
    <xf numFmtId="0" fontId="52" fillId="0" borderId="55" xfId="0" applyNumberFormat="1" applyFont="1" applyBorder="1" applyAlignment="1">
      <alignment horizontal="center" vertical="center"/>
    </xf>
    <xf numFmtId="188" fontId="81" fillId="0" borderId="65" xfId="0" applyNumberFormat="1" applyFont="1" applyFill="1" applyBorder="1" applyAlignment="1">
      <alignment horizontal="center" vertical="center"/>
    </xf>
    <xf numFmtId="219" fontId="81" fillId="32" borderId="60" xfId="86" applyNumberFormat="1" applyFont="1" applyFill="1" applyBorder="1" applyAlignment="1">
      <alignment horizontal="center" vertical="center" wrapText="1"/>
    </xf>
    <xf numFmtId="219" fontId="81" fillId="32" borderId="75" xfId="86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75" xfId="0" applyNumberFormat="1" applyFont="1" applyFill="1" applyBorder="1" applyAlignment="1">
      <alignment horizontal="center" vertical="center"/>
    </xf>
    <xf numFmtId="188" fontId="81" fillId="0" borderId="42" xfId="0" applyNumberFormat="1" applyFont="1" applyFill="1" applyBorder="1" applyAlignment="1">
      <alignment horizontal="center" vertical="center"/>
    </xf>
    <xf numFmtId="188" fontId="81" fillId="0" borderId="44" xfId="0" applyNumberFormat="1" applyFont="1" applyFill="1" applyBorder="1" applyAlignment="1">
      <alignment horizontal="center" vertical="center"/>
    </xf>
    <xf numFmtId="189" fontId="82" fillId="28" borderId="60" xfId="0" applyNumberFormat="1" applyFont="1" applyFill="1" applyBorder="1" applyAlignment="1">
      <alignment horizontal="center" vertical="center" wrapText="1"/>
    </xf>
    <xf numFmtId="189" fontId="82" fillId="28" borderId="7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74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/>
    </xf>
    <xf numFmtId="0" fontId="82" fillId="28" borderId="83" xfId="0" applyNumberFormat="1" applyFont="1" applyFill="1" applyBorder="1" applyAlignment="1">
      <alignment horizontal="center" vertical="center" wrapText="1"/>
    </xf>
    <xf numFmtId="0" fontId="82" fillId="28" borderId="84" xfId="0" applyNumberFormat="1" applyFont="1" applyFill="1" applyBorder="1" applyAlignment="1">
      <alignment horizontal="center" vertical="center" wrapText="1"/>
    </xf>
    <xf numFmtId="0" fontId="82" fillId="28" borderId="80" xfId="0" applyNumberFormat="1" applyFont="1" applyFill="1" applyBorder="1" applyAlignment="1">
      <alignment horizontal="center" vertical="center"/>
    </xf>
    <xf numFmtId="0" fontId="82" fillId="28" borderId="80" xfId="0" applyNumberFormat="1" applyFont="1" applyFill="1" applyBorder="1" applyAlignment="1">
      <alignment horizontal="center" vertical="center" wrapText="1"/>
    </xf>
    <xf numFmtId="0" fontId="59" fillId="27" borderId="54" xfId="81" applyFont="1" applyFill="1" applyBorder="1" applyAlignment="1">
      <alignment horizontal="center" vertical="center"/>
    </xf>
    <xf numFmtId="0" fontId="59" fillId="27" borderId="58" xfId="81" applyFont="1" applyFill="1" applyBorder="1" applyAlignment="1">
      <alignment horizontal="center" vertical="center"/>
    </xf>
    <xf numFmtId="0" fontId="59" fillId="27" borderId="55" xfId="81" applyFont="1" applyFill="1" applyBorder="1" applyAlignment="1">
      <alignment horizontal="center" vertical="center"/>
    </xf>
    <xf numFmtId="0" fontId="59" fillId="27" borderId="48" xfId="81" applyFont="1" applyFill="1" applyBorder="1" applyAlignment="1">
      <alignment horizontal="center" vertical="center"/>
    </xf>
    <xf numFmtId="0" fontId="59" fillId="27" borderId="73" xfId="81" applyFont="1" applyFill="1" applyBorder="1" applyAlignment="1">
      <alignment horizontal="center" vertical="center"/>
    </xf>
    <xf numFmtId="0" fontId="59" fillId="27" borderId="56" xfId="81" applyFont="1" applyFill="1" applyBorder="1" applyAlignment="1">
      <alignment horizontal="center" vertical="center"/>
    </xf>
    <xf numFmtId="0" fontId="59" fillId="27" borderId="77" xfId="81" applyFont="1" applyFill="1" applyBorder="1" applyAlignment="1">
      <alignment horizontal="center" vertical="center"/>
    </xf>
    <xf numFmtId="0" fontId="59" fillId="27" borderId="56" xfId="81" applyFont="1" applyFill="1" applyBorder="1" applyAlignment="1">
      <alignment horizontal="center" vertical="center" wrapText="1"/>
    </xf>
    <xf numFmtId="0" fontId="59" fillId="27" borderId="77" xfId="81" applyFont="1" applyFill="1" applyBorder="1" applyAlignment="1">
      <alignment horizontal="center" vertical="center" wrapText="1"/>
    </xf>
  </cellXfs>
  <cellStyles count="11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2 2" xfId="104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2 2" xfId="105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2 2" xfId="106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2 2 2" xfId="112"/>
    <cellStyle name="쉼표 [0] 2 3" xfId="110"/>
    <cellStyle name="쉼표 [0] 3" xfId="95"/>
    <cellStyle name="쉼표 [0] 3 2" xfId="111"/>
    <cellStyle name="쉼표 [0] 4" xfId="103"/>
    <cellStyle name="스타일 1" xfId="56"/>
    <cellStyle name="연결된 셀" xfId="57" builtinId="24" customBuiltin="1"/>
    <cellStyle name="요약" xfId="58" builtinId="25" customBuiltin="1"/>
    <cellStyle name="요약 2" xfId="91"/>
    <cellStyle name="요약 2 2" xfId="107"/>
    <cellStyle name="요약 3" xfId="100"/>
    <cellStyle name="입력" xfId="59" builtinId="20" customBuiltin="1"/>
    <cellStyle name="입력 2" xfId="92"/>
    <cellStyle name="입력 2 2" xfId="108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2 2" xfId="109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1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36</xdr:row>
      <xdr:rowOff>14287</xdr:rowOff>
    </xdr:from>
    <xdr:to>
      <xdr:col>4</xdr:col>
      <xdr:colOff>267929</xdr:colOff>
      <xdr:row>36</xdr:row>
      <xdr:rowOff>186514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590800" y="7281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590800" y="7281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1066800</xdr:colOff>
      <xdr:row>34</xdr:row>
      <xdr:rowOff>171450</xdr:rowOff>
    </xdr:from>
    <xdr:to>
      <xdr:col>6</xdr:col>
      <xdr:colOff>0</xdr:colOff>
      <xdr:row>36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4"/>
            <xdr:cNvSpPr txBox="1"/>
          </xdr:nvSpPr>
          <xdr:spPr>
            <a:xfrm>
              <a:off x="2228850" y="7058025"/>
              <a:ext cx="2286000" cy="21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</m:t>
                  </m:r>
                  <m:r>
                    <m:rPr>
                      <m:sty m:val="p"/>
                    </m:rPr>
                    <a:rPr lang="en-US" altLang="ko-KR" sz="1100" b="0" i="1">
                      <a:latin typeface="Cambria Math" panose="02040503050406030204" pitchFamily="18" charset="0"/>
                    </a:rPr>
                    <m:t>μ</m:t>
                  </m:r>
                </m:oMath>
              </a14:m>
              <a:r>
                <a:rPr lang="en-US" altLang="ko-KR" sz="1100"/>
                <a:t>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4"/>
            <xdr:cNvSpPr txBox="1"/>
          </xdr:nvSpPr>
          <xdr:spPr>
            <a:xfrm>
              <a:off x="2228850" y="7058025"/>
              <a:ext cx="2286000" cy="21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〗^2+(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    μ</a:t>
              </a:r>
              <a:r>
                <a:rPr lang="en-US" altLang="ko-KR" sz="1100"/>
                <a:t>m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9525</xdr:colOff>
      <xdr:row>63</xdr:row>
      <xdr:rowOff>14287</xdr:rowOff>
    </xdr:from>
    <xdr:to>
      <xdr:col>4</xdr:col>
      <xdr:colOff>267929</xdr:colOff>
      <xdr:row>63</xdr:row>
      <xdr:rowOff>186514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590800" y="12425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590800" y="12425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9525</xdr:colOff>
      <xdr:row>90</xdr:row>
      <xdr:rowOff>14287</xdr:rowOff>
    </xdr:from>
    <xdr:to>
      <xdr:col>4</xdr:col>
      <xdr:colOff>267929</xdr:colOff>
      <xdr:row>90</xdr:row>
      <xdr:rowOff>186514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590800" y="17568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590800" y="17568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9525</xdr:colOff>
      <xdr:row>117</xdr:row>
      <xdr:rowOff>14287</xdr:rowOff>
    </xdr:from>
    <xdr:to>
      <xdr:col>4</xdr:col>
      <xdr:colOff>267929</xdr:colOff>
      <xdr:row>117</xdr:row>
      <xdr:rowOff>186514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590800" y="22712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590800" y="22712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193643</xdr:colOff>
      <xdr:row>37</xdr:row>
      <xdr:rowOff>22701</xdr:rowOff>
    </xdr:from>
    <xdr:to>
      <xdr:col>2</xdr:col>
      <xdr:colOff>335477</xdr:colOff>
      <xdr:row>38</xdr:row>
      <xdr:rowOff>4428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1355693" y="7480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1355693" y="7480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𝑙_0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37</xdr:row>
      <xdr:rowOff>14287</xdr:rowOff>
    </xdr:from>
    <xdr:to>
      <xdr:col>5</xdr:col>
      <xdr:colOff>258404</xdr:colOff>
      <xdr:row>37</xdr:row>
      <xdr:rowOff>186514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505200" y="7472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505200" y="7472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3</xdr:col>
      <xdr:colOff>790575</xdr:colOff>
      <xdr:row>35</xdr:row>
      <xdr:rowOff>180975</xdr:rowOff>
    </xdr:from>
    <xdr:to>
      <xdr:col>6</xdr:col>
      <xdr:colOff>229897</xdr:colOff>
      <xdr:row>37</xdr:row>
      <xdr:rowOff>4968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876550" y="7258050"/>
              <a:ext cx="2211097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altLang="ko-KR" sz="1100" b="0" i="1">
                      <a:latin typeface="Cambria Math" panose="02040503050406030204" pitchFamily="18" charset="0"/>
                    </a:rPr>
                    <m:t>   </m:t>
                  </m:r>
                  <m:r>
                    <m:rPr>
                      <m:sty m:val="p"/>
                    </m:rPr>
                    <a:rPr lang="en-US" altLang="ko-KR" sz="1100" b="0" i="1">
                      <a:latin typeface="Cambria Math" panose="02040503050406030204" pitchFamily="18" charset="0"/>
                    </a:rPr>
                    <m:t>μ</m:t>
                  </m:r>
                </m:oMath>
              </a14:m>
              <a:r>
                <a:rPr lang="en-US" altLang="ko-KR" sz="1100"/>
                <a:t>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876550" y="7258050"/>
              <a:ext cx="2211097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〗^2+(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    μ</a:t>
              </a:r>
              <a:r>
                <a:rPr lang="en-US" altLang="ko-KR" sz="1100"/>
                <a:t>m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3</xdr:col>
      <xdr:colOff>581025</xdr:colOff>
      <xdr:row>67</xdr:row>
      <xdr:rowOff>23812</xdr:rowOff>
    </xdr:from>
    <xdr:to>
      <xdr:col>4</xdr:col>
      <xdr:colOff>1229</xdr:colOff>
      <xdr:row>68</xdr:row>
      <xdr:rowOff>5539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667000" y="1319688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667000" y="1319688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3</xdr:col>
      <xdr:colOff>581025</xdr:colOff>
      <xdr:row>98</xdr:row>
      <xdr:rowOff>23812</xdr:rowOff>
    </xdr:from>
    <xdr:to>
      <xdr:col>4</xdr:col>
      <xdr:colOff>1229</xdr:colOff>
      <xdr:row>99</xdr:row>
      <xdr:rowOff>5539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2667000" y="1910238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2667000" y="1910238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3</xdr:col>
      <xdr:colOff>581025</xdr:colOff>
      <xdr:row>128</xdr:row>
      <xdr:rowOff>23812</xdr:rowOff>
    </xdr:from>
    <xdr:to>
      <xdr:col>4</xdr:col>
      <xdr:colOff>1229</xdr:colOff>
      <xdr:row>129</xdr:row>
      <xdr:rowOff>5539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2667000" y="2481738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2667000" y="2481738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2</xdr:col>
      <xdr:colOff>184118</xdr:colOff>
      <xdr:row>39</xdr:row>
      <xdr:rowOff>22701</xdr:rowOff>
    </xdr:from>
    <xdr:to>
      <xdr:col>2</xdr:col>
      <xdr:colOff>325952</xdr:colOff>
      <xdr:row>40</xdr:row>
      <xdr:rowOff>4428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917543" y="7861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917543" y="7861776"/>
              <a:ext cx="141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𝑙_0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33</xdr:row>
      <xdr:rowOff>9525</xdr:rowOff>
    </xdr:from>
    <xdr:to>
      <xdr:col>7</xdr:col>
      <xdr:colOff>267929</xdr:colOff>
      <xdr:row>33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152650" y="11658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152650" y="11658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55</xdr:row>
      <xdr:rowOff>9525</xdr:rowOff>
    </xdr:from>
    <xdr:to>
      <xdr:col>7</xdr:col>
      <xdr:colOff>267929</xdr:colOff>
      <xdr:row>55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504950" y="7562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504950" y="7562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77</xdr:row>
      <xdr:rowOff>9525</xdr:rowOff>
    </xdr:from>
    <xdr:to>
      <xdr:col>7</xdr:col>
      <xdr:colOff>267929</xdr:colOff>
      <xdr:row>77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504950" y="7372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504950" y="73723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99</xdr:row>
      <xdr:rowOff>9525</xdr:rowOff>
    </xdr:from>
    <xdr:to>
      <xdr:col>7</xdr:col>
      <xdr:colOff>267929</xdr:colOff>
      <xdr:row>99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190750" y="15182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190750" y="15182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121</xdr:row>
      <xdr:rowOff>9525</xdr:rowOff>
    </xdr:from>
    <xdr:to>
      <xdr:col>7</xdr:col>
      <xdr:colOff>267929</xdr:colOff>
      <xdr:row>121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552700" y="19373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552700" y="1937385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9526</xdr:colOff>
      <xdr:row>49</xdr:row>
      <xdr:rowOff>4767</xdr:rowOff>
    </xdr:from>
    <xdr:ext cx="6627776" cy="8731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TextBox 183"/>
            <xdr:cNvSpPr txBox="1"/>
          </xdr:nvSpPr>
          <xdr:spPr>
            <a:xfrm>
              <a:off x="314326" y="11834817"/>
              <a:ext cx="6627776" cy="873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184" name="TextBox 183"/>
            <xdr:cNvSpPr txBox="1"/>
          </xdr:nvSpPr>
          <xdr:spPr>
            <a:xfrm>
              <a:off x="314326" y="11834817"/>
              <a:ext cx="6627776" cy="873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)=−1,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)=1,  𝑐_(〖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𝑙〗_𝐸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𝑙〗_𝐸 )=1,  𝑐_(〖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)=1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47</xdr:row>
      <xdr:rowOff>14286</xdr:rowOff>
    </xdr:from>
    <xdr:to>
      <xdr:col>52</xdr:col>
      <xdr:colOff>123825</xdr:colOff>
      <xdr:row>48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Box 2"/>
            <xdr:cNvSpPr txBox="1">
              <a:spLocks/>
            </xdr:cNvSpPr>
          </xdr:nvSpPr>
          <xdr:spPr>
            <a:xfrm>
              <a:off x="161925" y="11368086"/>
              <a:ext cx="7886700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acc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5" name="TextBox 2"/>
            <xdr:cNvSpPr txBox="1">
              <a:spLocks/>
            </xdr:cNvSpPr>
          </xdr:nvSpPr>
          <xdr:spPr>
            <a:xfrm>
              <a:off x="161925" y="11368086"/>
              <a:ext cx="7886700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̅∙𝑙_0 )^2 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𝑙〗_𝐸)+〖𝑢^2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32</xdr:row>
      <xdr:rowOff>80961</xdr:rowOff>
    </xdr:from>
    <xdr:to>
      <xdr:col>38</xdr:col>
      <xdr:colOff>61387</xdr:colOff>
      <xdr:row>33</xdr:row>
      <xdr:rowOff>187290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TextBox 185"/>
            <xdr:cNvSpPr txBox="1">
              <a:spLocks noChangeAspect="1"/>
            </xdr:cNvSpPr>
          </xdr:nvSpPr>
          <xdr:spPr>
            <a:xfrm>
              <a:off x="161925" y="7862886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  <m:r>
                          <a:rPr lang="en-US" altLang="ko-KR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186" name="TextBox 185"/>
            <xdr:cNvSpPr txBox="1">
              <a:spLocks noChangeAspect="1"/>
            </xdr:cNvSpPr>
          </xdr:nvSpPr>
          <xdr:spPr>
            <a:xfrm>
              <a:off x="161925" y="7862886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𝐵_𝑥=𝑙_𝑠−𝑙_𝑥−(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 ̅</a:t>
              </a:r>
              <a:r>
                <a:rPr lang="en-US" altLang="ko-K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𝑙_0+〖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𝑙〗_𝐸+〖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𝑙〗_𝑐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14</xdr:col>
      <xdr:colOff>38100</xdr:colOff>
      <xdr:row>87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7" name="TextBox 5"/>
            <xdr:cNvSpPr txBox="1"/>
          </xdr:nvSpPr>
          <xdr:spPr>
            <a:xfrm>
              <a:off x="2171700" y="208978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7" name="TextBox 5"/>
            <xdr:cNvSpPr txBox="1"/>
          </xdr:nvSpPr>
          <xdr:spPr>
            <a:xfrm>
              <a:off x="2171700" y="208978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87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8" name="TextBox 5"/>
            <xdr:cNvSpPr txBox="1"/>
          </xdr:nvSpPr>
          <xdr:spPr>
            <a:xfrm>
              <a:off x="2867025" y="2089785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8" name="TextBox 5"/>
            <xdr:cNvSpPr txBox="1"/>
          </xdr:nvSpPr>
          <xdr:spPr>
            <a:xfrm>
              <a:off x="2867025" y="2089785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9525</xdr:colOff>
      <xdr:row>94</xdr:row>
      <xdr:rowOff>28575</xdr:rowOff>
    </xdr:from>
    <xdr:ext cx="3223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9" name="TextBox 4"/>
            <xdr:cNvSpPr txBox="1"/>
          </xdr:nvSpPr>
          <xdr:spPr>
            <a:xfrm>
              <a:off x="4124325" y="22574250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9" name="TextBox 4"/>
            <xdr:cNvSpPr txBox="1"/>
          </xdr:nvSpPr>
          <xdr:spPr>
            <a:xfrm>
              <a:off x="4124325" y="22574250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59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0" name="TextBox 4"/>
            <xdr:cNvSpPr txBox="1"/>
          </xdr:nvSpPr>
          <xdr:spPr>
            <a:xfrm>
              <a:off x="704850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0" name="TextBox 4"/>
            <xdr:cNvSpPr txBox="1"/>
          </xdr:nvSpPr>
          <xdr:spPr>
            <a:xfrm>
              <a:off x="704850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28575</xdr:colOff>
      <xdr:row>38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1" name="TextBox 4"/>
            <xdr:cNvSpPr txBox="1"/>
          </xdr:nvSpPr>
          <xdr:spPr>
            <a:xfrm>
              <a:off x="485775" y="92392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1" name="TextBox 4"/>
            <xdr:cNvSpPr txBox="1"/>
          </xdr:nvSpPr>
          <xdr:spPr>
            <a:xfrm>
              <a:off x="485775" y="92392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24</xdr:col>
      <xdr:colOff>57150</xdr:colOff>
      <xdr:row>95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8" name="TextBox 4"/>
            <xdr:cNvSpPr txBox="1"/>
          </xdr:nvSpPr>
          <xdr:spPr>
            <a:xfrm>
              <a:off x="3714750" y="228219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8" name="TextBox 4"/>
            <xdr:cNvSpPr txBox="1"/>
          </xdr:nvSpPr>
          <xdr:spPr>
            <a:xfrm>
              <a:off x="3714750" y="228219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97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9" name="TextBox 4"/>
            <xdr:cNvSpPr txBox="1"/>
          </xdr:nvSpPr>
          <xdr:spPr>
            <a:xfrm>
              <a:off x="3514725" y="2332993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9" name="TextBox 4"/>
            <xdr:cNvSpPr txBox="1"/>
          </xdr:nvSpPr>
          <xdr:spPr>
            <a:xfrm>
              <a:off x="3514725" y="2332993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100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0" name="TextBox 5"/>
            <xdr:cNvSpPr txBox="1"/>
          </xdr:nvSpPr>
          <xdr:spPr>
            <a:xfrm>
              <a:off x="4181474" y="23993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0" name="TextBox 5"/>
            <xdr:cNvSpPr txBox="1"/>
          </xdr:nvSpPr>
          <xdr:spPr>
            <a:xfrm>
              <a:off x="4181474" y="23993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101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1" name="TextBox 4"/>
            <xdr:cNvSpPr txBox="1"/>
          </xdr:nvSpPr>
          <xdr:spPr>
            <a:xfrm>
              <a:off x="1533524" y="2441578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1" name="TextBox 4"/>
            <xdr:cNvSpPr txBox="1"/>
          </xdr:nvSpPr>
          <xdr:spPr>
            <a:xfrm>
              <a:off x="1533524" y="2441578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105</xdr:row>
      <xdr:rowOff>57150</xdr:rowOff>
    </xdr:from>
    <xdr:ext cx="137569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2" name="TextBox 211"/>
            <xdr:cNvSpPr txBox="1"/>
          </xdr:nvSpPr>
          <xdr:spPr>
            <a:xfrm>
              <a:off x="1228725" y="25222200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2" name="TextBox 211"/>
            <xdr:cNvSpPr txBox="1"/>
          </xdr:nvSpPr>
          <xdr:spPr>
            <a:xfrm>
              <a:off x="1228725" y="25222200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108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3" name="TextBox 5"/>
            <xdr:cNvSpPr txBox="1"/>
          </xdr:nvSpPr>
          <xdr:spPr>
            <a:xfrm>
              <a:off x="1076324" y="258889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13" name="TextBox 5"/>
            <xdr:cNvSpPr txBox="1"/>
          </xdr:nvSpPr>
          <xdr:spPr>
            <a:xfrm>
              <a:off x="1076324" y="258889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135</xdr:row>
      <xdr:rowOff>57150</xdr:rowOff>
    </xdr:from>
    <xdr:ext cx="145212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4" name="TextBox 213"/>
            <xdr:cNvSpPr txBox="1"/>
          </xdr:nvSpPr>
          <xdr:spPr>
            <a:xfrm>
              <a:off x="1323975" y="32365950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4" name="TextBox 213"/>
            <xdr:cNvSpPr txBox="1"/>
          </xdr:nvSpPr>
          <xdr:spPr>
            <a:xfrm>
              <a:off x="1323975" y="32365950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121</xdr:row>
      <xdr:rowOff>57150</xdr:rowOff>
    </xdr:from>
    <xdr:ext cx="134601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5" name="TextBox 214"/>
            <xdr:cNvSpPr txBox="1"/>
          </xdr:nvSpPr>
          <xdr:spPr>
            <a:xfrm>
              <a:off x="1228725" y="29032200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5" name="TextBox 214"/>
            <xdr:cNvSpPr txBox="1"/>
          </xdr:nvSpPr>
          <xdr:spPr>
            <a:xfrm>
              <a:off x="1228725" y="29032200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151</xdr:row>
      <xdr:rowOff>57150</xdr:rowOff>
    </xdr:from>
    <xdr:ext cx="144334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6" name="TextBox 215"/>
            <xdr:cNvSpPr txBox="1"/>
          </xdr:nvSpPr>
          <xdr:spPr>
            <a:xfrm>
              <a:off x="1333500" y="36175950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6" name="TextBox 215"/>
            <xdr:cNvSpPr txBox="1"/>
          </xdr:nvSpPr>
          <xdr:spPr>
            <a:xfrm>
              <a:off x="1333500" y="36175950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164</xdr:row>
      <xdr:rowOff>57150</xdr:rowOff>
    </xdr:from>
    <xdr:ext cx="845552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" name="TextBox 216"/>
            <xdr:cNvSpPr txBox="1"/>
          </xdr:nvSpPr>
          <xdr:spPr>
            <a:xfrm>
              <a:off x="1228725" y="39271575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7" name="TextBox 216"/>
            <xdr:cNvSpPr txBox="1"/>
          </xdr:nvSpPr>
          <xdr:spPr>
            <a:xfrm>
              <a:off x="1228725" y="39271575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110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8" name="TextBox 5"/>
            <xdr:cNvSpPr txBox="1"/>
          </xdr:nvSpPr>
          <xdr:spPr>
            <a:xfrm>
              <a:off x="1076324" y="2640330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18" name="TextBox 5"/>
            <xdr:cNvSpPr txBox="1"/>
          </xdr:nvSpPr>
          <xdr:spPr>
            <a:xfrm>
              <a:off x="1076324" y="2640330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133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9" name="TextBox 4"/>
            <xdr:cNvSpPr txBox="1"/>
          </xdr:nvSpPr>
          <xdr:spPr>
            <a:xfrm>
              <a:off x="1533524" y="3184528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9" name="TextBox 4"/>
            <xdr:cNvSpPr txBox="1"/>
          </xdr:nvSpPr>
          <xdr:spPr>
            <a:xfrm>
              <a:off x="1533524" y="3184528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119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0" name="TextBox 5"/>
            <xdr:cNvSpPr txBox="1"/>
          </xdr:nvSpPr>
          <xdr:spPr>
            <a:xfrm>
              <a:off x="2124074" y="285273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0" name="TextBox 5"/>
            <xdr:cNvSpPr txBox="1"/>
          </xdr:nvSpPr>
          <xdr:spPr>
            <a:xfrm>
              <a:off x="2124074" y="285273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138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1" name="TextBox 5"/>
            <xdr:cNvSpPr txBox="1"/>
          </xdr:nvSpPr>
          <xdr:spPr>
            <a:xfrm>
              <a:off x="1076324" y="330327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21" name="TextBox 5"/>
            <xdr:cNvSpPr txBox="1"/>
          </xdr:nvSpPr>
          <xdr:spPr>
            <a:xfrm>
              <a:off x="1076324" y="330327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140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2" name="TextBox 5"/>
            <xdr:cNvSpPr txBox="1"/>
          </xdr:nvSpPr>
          <xdr:spPr>
            <a:xfrm>
              <a:off x="1076325" y="3354705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22" name="TextBox 5"/>
            <xdr:cNvSpPr txBox="1"/>
          </xdr:nvSpPr>
          <xdr:spPr>
            <a:xfrm>
              <a:off x="1076325" y="3354705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133349</xdr:colOff>
      <xdr:row>149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3" name="TextBox 5"/>
            <xdr:cNvSpPr txBox="1"/>
          </xdr:nvSpPr>
          <xdr:spPr>
            <a:xfrm>
              <a:off x="2114549" y="35671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3" name="TextBox 5"/>
            <xdr:cNvSpPr txBox="1"/>
          </xdr:nvSpPr>
          <xdr:spPr>
            <a:xfrm>
              <a:off x="2114549" y="35671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162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4" name="TextBox 5"/>
            <xdr:cNvSpPr txBox="1"/>
          </xdr:nvSpPr>
          <xdr:spPr>
            <a:xfrm>
              <a:off x="2276474" y="38757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4" name="TextBox 5"/>
            <xdr:cNvSpPr txBox="1"/>
          </xdr:nvSpPr>
          <xdr:spPr>
            <a:xfrm>
              <a:off x="2276474" y="38757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162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5" name="TextBox 5"/>
            <xdr:cNvSpPr txBox="1"/>
          </xdr:nvSpPr>
          <xdr:spPr>
            <a:xfrm>
              <a:off x="3047999" y="38757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5" name="TextBox 5"/>
            <xdr:cNvSpPr txBox="1"/>
          </xdr:nvSpPr>
          <xdr:spPr>
            <a:xfrm>
              <a:off x="3047999" y="38757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167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6" name="TextBox 5"/>
            <xdr:cNvSpPr txBox="1"/>
          </xdr:nvSpPr>
          <xdr:spPr>
            <a:xfrm>
              <a:off x="1076325" y="399383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6" name="TextBox 5"/>
            <xdr:cNvSpPr txBox="1"/>
          </xdr:nvSpPr>
          <xdr:spPr>
            <a:xfrm>
              <a:off x="1076325" y="399383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199</xdr:row>
      <xdr:rowOff>9524</xdr:rowOff>
    </xdr:from>
    <xdr:to>
      <xdr:col>39</xdr:col>
      <xdr:colOff>142875</xdr:colOff>
      <xdr:row>200</xdr:row>
      <xdr:rowOff>9524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7" name="TextBox 2"/>
            <xdr:cNvSpPr txBox="1">
              <a:spLocks/>
            </xdr:cNvSpPr>
          </xdr:nvSpPr>
          <xdr:spPr>
            <a:xfrm>
              <a:off x="161925" y="47558324"/>
              <a:ext cx="5924550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Choice>
      <mc:Fallback xmlns="">
        <xdr:sp macro="" textlink="">
          <xdr:nvSpPr>
            <xdr:cNvPr id="227" name="TextBox 2"/>
            <xdr:cNvSpPr txBox="1">
              <a:spLocks/>
            </xdr:cNvSpPr>
          </xdr:nvSpPr>
          <xdr:spPr>
            <a:xfrm>
              <a:off x="161925" y="47558324"/>
              <a:ext cx="5924550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𝑙〗_𝐸)+〖𝑢^2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</a:t>
              </a:r>
              <a:endParaRPr lang="ko-KR" altLang="ko-KR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26</xdr:col>
      <xdr:colOff>142875</xdr:colOff>
      <xdr:row>201</xdr:row>
      <xdr:rowOff>38101</xdr:rowOff>
    </xdr:from>
    <xdr:to>
      <xdr:col>32</xdr:col>
      <xdr:colOff>104775</xdr:colOff>
      <xdr:row>201</xdr:row>
      <xdr:rowOff>237226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8" name="TextBox 2"/>
            <xdr:cNvSpPr txBox="1">
              <a:spLocks/>
            </xdr:cNvSpPr>
          </xdr:nvSpPr>
          <xdr:spPr>
            <a:xfrm>
              <a:off x="4105275" y="480631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8" name="TextBox 2"/>
            <xdr:cNvSpPr txBox="1">
              <a:spLocks/>
            </xdr:cNvSpPr>
          </xdr:nvSpPr>
          <xdr:spPr>
            <a:xfrm>
              <a:off x="4105275" y="480631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208</xdr:row>
      <xdr:rowOff>19050</xdr:rowOff>
    </xdr:from>
    <xdr:to>
      <xdr:col>15</xdr:col>
      <xdr:colOff>123825</xdr:colOff>
      <xdr:row>208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9" name="TextBox 2"/>
            <xdr:cNvSpPr txBox="1">
              <a:spLocks/>
            </xdr:cNvSpPr>
          </xdr:nvSpPr>
          <xdr:spPr>
            <a:xfrm>
              <a:off x="1676400" y="49710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9" name="TextBox 2"/>
            <xdr:cNvSpPr txBox="1">
              <a:spLocks/>
            </xdr:cNvSpPr>
          </xdr:nvSpPr>
          <xdr:spPr>
            <a:xfrm>
              <a:off x="1676400" y="49710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30</xdr:col>
      <xdr:colOff>104775</xdr:colOff>
      <xdr:row>207</xdr:row>
      <xdr:rowOff>28575</xdr:rowOff>
    </xdr:from>
    <xdr:to>
      <xdr:col>35</xdr:col>
      <xdr:colOff>76200</xdr:colOff>
      <xdr:row>208</xdr:row>
      <xdr:rowOff>898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0" name="TextBox 2"/>
            <xdr:cNvSpPr txBox="1">
              <a:spLocks/>
            </xdr:cNvSpPr>
          </xdr:nvSpPr>
          <xdr:spPr>
            <a:xfrm>
              <a:off x="4676775" y="4948237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0" name="TextBox 2"/>
            <xdr:cNvSpPr txBox="1">
              <a:spLocks/>
            </xdr:cNvSpPr>
          </xdr:nvSpPr>
          <xdr:spPr>
            <a:xfrm>
              <a:off x="4676775" y="49482375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15</xdr:col>
      <xdr:colOff>85725</xdr:colOff>
      <xdr:row>208</xdr:row>
      <xdr:rowOff>19050</xdr:rowOff>
    </xdr:from>
    <xdr:to>
      <xdr:col>20</xdr:col>
      <xdr:colOff>57150</xdr:colOff>
      <xdr:row>208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1" name="TextBox 2"/>
            <xdr:cNvSpPr txBox="1">
              <a:spLocks/>
            </xdr:cNvSpPr>
          </xdr:nvSpPr>
          <xdr:spPr>
            <a:xfrm>
              <a:off x="2371725" y="49710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1" name="TextBox 2"/>
            <xdr:cNvSpPr txBox="1">
              <a:spLocks/>
            </xdr:cNvSpPr>
          </xdr:nvSpPr>
          <xdr:spPr>
            <a:xfrm>
              <a:off x="2371725" y="49710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114300</xdr:colOff>
      <xdr:row>208</xdr:row>
      <xdr:rowOff>19050</xdr:rowOff>
    </xdr:from>
    <xdr:to>
      <xdr:col>25</xdr:col>
      <xdr:colOff>85725</xdr:colOff>
      <xdr:row>208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2" name="TextBox 2"/>
            <xdr:cNvSpPr txBox="1">
              <a:spLocks/>
            </xdr:cNvSpPr>
          </xdr:nvSpPr>
          <xdr:spPr>
            <a:xfrm>
              <a:off x="3162300" y="49710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2" name="TextBox 2"/>
            <xdr:cNvSpPr txBox="1">
              <a:spLocks/>
            </xdr:cNvSpPr>
          </xdr:nvSpPr>
          <xdr:spPr>
            <a:xfrm>
              <a:off x="3162300" y="49710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95250</xdr:colOff>
      <xdr:row>208</xdr:row>
      <xdr:rowOff>19050</xdr:rowOff>
    </xdr:from>
    <xdr:to>
      <xdr:col>30</xdr:col>
      <xdr:colOff>66675</xdr:colOff>
      <xdr:row>208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3" name="TextBox 2"/>
            <xdr:cNvSpPr txBox="1">
              <a:spLocks/>
            </xdr:cNvSpPr>
          </xdr:nvSpPr>
          <xdr:spPr>
            <a:xfrm>
              <a:off x="3905250" y="49710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3" name="TextBox 2"/>
            <xdr:cNvSpPr txBox="1">
              <a:spLocks/>
            </xdr:cNvSpPr>
          </xdr:nvSpPr>
          <xdr:spPr>
            <a:xfrm>
              <a:off x="3905250" y="49710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30</xdr:col>
      <xdr:colOff>104775</xdr:colOff>
      <xdr:row>208</xdr:row>
      <xdr:rowOff>19050</xdr:rowOff>
    </xdr:from>
    <xdr:to>
      <xdr:col>35</xdr:col>
      <xdr:colOff>76200</xdr:colOff>
      <xdr:row>208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4" name="TextBox 2"/>
            <xdr:cNvSpPr txBox="1">
              <a:spLocks/>
            </xdr:cNvSpPr>
          </xdr:nvSpPr>
          <xdr:spPr>
            <a:xfrm>
              <a:off x="4676775" y="49710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4" name="TextBox 2"/>
            <xdr:cNvSpPr txBox="1">
              <a:spLocks/>
            </xdr:cNvSpPr>
          </xdr:nvSpPr>
          <xdr:spPr>
            <a:xfrm>
              <a:off x="4676775" y="49710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35</xdr:col>
      <xdr:colOff>95250</xdr:colOff>
      <xdr:row>208</xdr:row>
      <xdr:rowOff>19050</xdr:rowOff>
    </xdr:from>
    <xdr:to>
      <xdr:col>40</xdr:col>
      <xdr:colOff>66675</xdr:colOff>
      <xdr:row>208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5" name="TextBox 2"/>
            <xdr:cNvSpPr txBox="1">
              <a:spLocks/>
            </xdr:cNvSpPr>
          </xdr:nvSpPr>
          <xdr:spPr>
            <a:xfrm>
              <a:off x="5429250" y="49710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5" name="TextBox 2"/>
            <xdr:cNvSpPr txBox="1">
              <a:spLocks/>
            </xdr:cNvSpPr>
          </xdr:nvSpPr>
          <xdr:spPr>
            <a:xfrm>
              <a:off x="5429250" y="49710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40</xdr:col>
      <xdr:colOff>85725</xdr:colOff>
      <xdr:row>208</xdr:row>
      <xdr:rowOff>19050</xdr:rowOff>
    </xdr:from>
    <xdr:to>
      <xdr:col>45</xdr:col>
      <xdr:colOff>57150</xdr:colOff>
      <xdr:row>208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2" name="TextBox 2"/>
            <xdr:cNvSpPr txBox="1">
              <a:spLocks/>
            </xdr:cNvSpPr>
          </xdr:nvSpPr>
          <xdr:spPr>
            <a:xfrm>
              <a:off x="6181725" y="49710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2" name="TextBox 2"/>
            <xdr:cNvSpPr txBox="1">
              <a:spLocks/>
            </xdr:cNvSpPr>
          </xdr:nvSpPr>
          <xdr:spPr>
            <a:xfrm>
              <a:off x="6181725" y="49710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47625</xdr:colOff>
      <xdr:row>207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3" name="TextBox 362"/>
            <xdr:cNvSpPr txBox="1"/>
          </xdr:nvSpPr>
          <xdr:spPr>
            <a:xfrm>
              <a:off x="200025" y="495059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3" name="TextBox 362"/>
            <xdr:cNvSpPr txBox="1"/>
          </xdr:nvSpPr>
          <xdr:spPr>
            <a:xfrm>
              <a:off x="200025" y="495059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124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4" name="TextBox 5"/>
            <xdr:cNvSpPr txBox="1"/>
          </xdr:nvSpPr>
          <xdr:spPr>
            <a:xfrm>
              <a:off x="1076325" y="2969894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64" name="TextBox 5"/>
            <xdr:cNvSpPr txBox="1"/>
          </xdr:nvSpPr>
          <xdr:spPr>
            <a:xfrm>
              <a:off x="1076325" y="2969894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154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5" name="TextBox 5"/>
            <xdr:cNvSpPr txBox="1"/>
          </xdr:nvSpPr>
          <xdr:spPr>
            <a:xfrm>
              <a:off x="1076325" y="368427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5" name="TextBox 5"/>
            <xdr:cNvSpPr txBox="1"/>
          </xdr:nvSpPr>
          <xdr:spPr>
            <a:xfrm>
              <a:off x="1076325" y="368427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56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6" name="TextBox 4"/>
            <xdr:cNvSpPr txBox="1"/>
          </xdr:nvSpPr>
          <xdr:spPr>
            <a:xfrm>
              <a:off x="2162175" y="137255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6" name="TextBox 4"/>
            <xdr:cNvSpPr txBox="1"/>
          </xdr:nvSpPr>
          <xdr:spPr>
            <a:xfrm>
              <a:off x="2162175" y="137255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56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7" name="TextBox 4"/>
            <xdr:cNvSpPr txBox="1"/>
          </xdr:nvSpPr>
          <xdr:spPr>
            <a:xfrm>
              <a:off x="6276975" y="1372552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7" name="TextBox 4"/>
            <xdr:cNvSpPr txBox="1"/>
          </xdr:nvSpPr>
          <xdr:spPr>
            <a:xfrm>
              <a:off x="6276975" y="1372552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66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8" name="TextBox 4"/>
            <xdr:cNvSpPr txBox="1"/>
          </xdr:nvSpPr>
          <xdr:spPr>
            <a:xfrm>
              <a:off x="6276975" y="158781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8" name="TextBox 4"/>
            <xdr:cNvSpPr txBox="1"/>
          </xdr:nvSpPr>
          <xdr:spPr>
            <a:xfrm>
              <a:off x="6276975" y="158781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28575</xdr:colOff>
      <xdr:row>76</xdr:row>
      <xdr:rowOff>57150</xdr:rowOff>
    </xdr:from>
    <xdr:ext cx="74167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9" name="TextBox 4"/>
            <xdr:cNvSpPr txBox="1"/>
          </xdr:nvSpPr>
          <xdr:spPr>
            <a:xfrm>
              <a:off x="1247775" y="18316575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69" name="TextBox 4"/>
            <xdr:cNvSpPr txBox="1"/>
          </xdr:nvSpPr>
          <xdr:spPr>
            <a:xfrm>
              <a:off x="1247775" y="18316575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66675</xdr:colOff>
      <xdr:row>71</xdr:row>
      <xdr:rowOff>0</xdr:rowOff>
    </xdr:from>
    <xdr:ext cx="144584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0" name="TextBox 4"/>
            <xdr:cNvSpPr txBox="1"/>
          </xdr:nvSpPr>
          <xdr:spPr>
            <a:xfrm>
              <a:off x="3571875" y="1706880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0" name="TextBox 4"/>
            <xdr:cNvSpPr txBox="1"/>
          </xdr:nvSpPr>
          <xdr:spPr>
            <a:xfrm>
              <a:off x="3571875" y="1706880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76200</xdr:colOff>
      <xdr:row>72</xdr:row>
      <xdr:rowOff>228600</xdr:rowOff>
    </xdr:from>
    <xdr:ext cx="144584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1" name="TextBox 4"/>
            <xdr:cNvSpPr txBox="1"/>
          </xdr:nvSpPr>
          <xdr:spPr>
            <a:xfrm>
              <a:off x="2209800" y="17535525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1" name="TextBox 4"/>
            <xdr:cNvSpPr txBox="1"/>
          </xdr:nvSpPr>
          <xdr:spPr>
            <a:xfrm>
              <a:off x="2209800" y="17535525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57150</xdr:colOff>
      <xdr:row>73</xdr:row>
      <xdr:rowOff>104775</xdr:rowOff>
    </xdr:from>
    <xdr:ext cx="1538947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2" name="TextBox 4"/>
            <xdr:cNvSpPr txBox="1"/>
          </xdr:nvSpPr>
          <xdr:spPr>
            <a:xfrm>
              <a:off x="4171950" y="17649825"/>
              <a:ext cx="1538947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2" name="TextBox 4"/>
            <xdr:cNvSpPr txBox="1"/>
          </xdr:nvSpPr>
          <xdr:spPr>
            <a:xfrm>
              <a:off x="4171950" y="17649825"/>
              <a:ext cx="1538947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77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3" name="TextBox 4"/>
            <xdr:cNvSpPr txBox="1"/>
          </xdr:nvSpPr>
          <xdr:spPr>
            <a:xfrm>
              <a:off x="2162175" y="1872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3" name="TextBox 4"/>
            <xdr:cNvSpPr txBox="1"/>
          </xdr:nvSpPr>
          <xdr:spPr>
            <a:xfrm>
              <a:off x="2162175" y="1872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28575</xdr:colOff>
      <xdr:row>77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4" name="TextBox 4"/>
            <xdr:cNvSpPr txBox="1"/>
          </xdr:nvSpPr>
          <xdr:spPr>
            <a:xfrm>
              <a:off x="4448175" y="1872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4" name="TextBox 4"/>
            <xdr:cNvSpPr txBox="1"/>
          </xdr:nvSpPr>
          <xdr:spPr>
            <a:xfrm>
              <a:off x="4448175" y="1872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200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5" name="TextBox 2"/>
            <xdr:cNvSpPr txBox="1">
              <a:spLocks/>
            </xdr:cNvSpPr>
          </xdr:nvSpPr>
          <xdr:spPr>
            <a:xfrm>
              <a:off x="752475" y="47825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5" name="TextBox 2"/>
            <xdr:cNvSpPr txBox="1">
              <a:spLocks/>
            </xdr:cNvSpPr>
          </xdr:nvSpPr>
          <xdr:spPr>
            <a:xfrm>
              <a:off x="752475" y="47825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200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6" name="TextBox 2"/>
            <xdr:cNvSpPr txBox="1">
              <a:spLocks/>
            </xdr:cNvSpPr>
          </xdr:nvSpPr>
          <xdr:spPr>
            <a:xfrm>
              <a:off x="1790699" y="478250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6" name="TextBox 2"/>
            <xdr:cNvSpPr txBox="1">
              <a:spLocks/>
            </xdr:cNvSpPr>
          </xdr:nvSpPr>
          <xdr:spPr>
            <a:xfrm>
              <a:off x="1790699" y="4782502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200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7" name="TextBox 2"/>
            <xdr:cNvSpPr txBox="1">
              <a:spLocks/>
            </xdr:cNvSpPr>
          </xdr:nvSpPr>
          <xdr:spPr>
            <a:xfrm>
              <a:off x="3190875" y="47825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7" name="TextBox 2"/>
            <xdr:cNvSpPr txBox="1">
              <a:spLocks/>
            </xdr:cNvSpPr>
          </xdr:nvSpPr>
          <xdr:spPr>
            <a:xfrm>
              <a:off x="3190875" y="47825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142874</xdr:colOff>
      <xdr:row>200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8" name="TextBox 2"/>
            <xdr:cNvSpPr txBox="1">
              <a:spLocks/>
            </xdr:cNvSpPr>
          </xdr:nvSpPr>
          <xdr:spPr>
            <a:xfrm>
              <a:off x="4257674" y="478250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8" name="TextBox 2"/>
            <xdr:cNvSpPr txBox="1">
              <a:spLocks/>
            </xdr:cNvSpPr>
          </xdr:nvSpPr>
          <xdr:spPr>
            <a:xfrm>
              <a:off x="4257674" y="478250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37</xdr:col>
      <xdr:colOff>142874</xdr:colOff>
      <xdr:row>200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9" name="TextBox 2"/>
            <xdr:cNvSpPr txBox="1">
              <a:spLocks/>
            </xdr:cNvSpPr>
          </xdr:nvSpPr>
          <xdr:spPr>
            <a:xfrm>
              <a:off x="5781674" y="478250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9" name="TextBox 2"/>
            <xdr:cNvSpPr txBox="1">
              <a:spLocks/>
            </xdr:cNvSpPr>
          </xdr:nvSpPr>
          <xdr:spPr>
            <a:xfrm>
              <a:off x="5781674" y="4782502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201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0" name="TextBox 2"/>
            <xdr:cNvSpPr txBox="1">
              <a:spLocks/>
            </xdr:cNvSpPr>
          </xdr:nvSpPr>
          <xdr:spPr>
            <a:xfrm>
              <a:off x="1057274" y="480631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0" name="TextBox 2"/>
            <xdr:cNvSpPr txBox="1">
              <a:spLocks/>
            </xdr:cNvSpPr>
          </xdr:nvSpPr>
          <xdr:spPr>
            <a:xfrm>
              <a:off x="1057274" y="480631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201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1" name="TextBox 2"/>
            <xdr:cNvSpPr txBox="1">
              <a:spLocks/>
            </xdr:cNvSpPr>
          </xdr:nvSpPr>
          <xdr:spPr>
            <a:xfrm>
              <a:off x="2581274" y="480631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1" name="TextBox 2"/>
            <xdr:cNvSpPr txBox="1">
              <a:spLocks/>
            </xdr:cNvSpPr>
          </xdr:nvSpPr>
          <xdr:spPr>
            <a:xfrm>
              <a:off x="2581274" y="480631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202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2" name="TextBox 2"/>
            <xdr:cNvSpPr txBox="1">
              <a:spLocks/>
            </xdr:cNvSpPr>
          </xdr:nvSpPr>
          <xdr:spPr>
            <a:xfrm>
              <a:off x="752475" y="483012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2" name="TextBox 2"/>
            <xdr:cNvSpPr txBox="1">
              <a:spLocks/>
            </xdr:cNvSpPr>
          </xdr:nvSpPr>
          <xdr:spPr>
            <a:xfrm>
              <a:off x="752475" y="483012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202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3" name="TextBox 2"/>
            <xdr:cNvSpPr txBox="1">
              <a:spLocks/>
            </xdr:cNvSpPr>
          </xdr:nvSpPr>
          <xdr:spPr>
            <a:xfrm>
              <a:off x="1790699" y="483012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3" name="TextBox 2"/>
            <xdr:cNvSpPr txBox="1">
              <a:spLocks/>
            </xdr:cNvSpPr>
          </xdr:nvSpPr>
          <xdr:spPr>
            <a:xfrm>
              <a:off x="1790699" y="48301276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203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4" name="TextBox 4"/>
            <xdr:cNvSpPr txBox="1"/>
          </xdr:nvSpPr>
          <xdr:spPr>
            <a:xfrm>
              <a:off x="790575" y="487299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4" name="TextBox 4"/>
            <xdr:cNvSpPr txBox="1"/>
          </xdr:nvSpPr>
          <xdr:spPr>
            <a:xfrm>
              <a:off x="790575" y="4872990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221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5" name="TextBox 4"/>
            <xdr:cNvSpPr txBox="1"/>
          </xdr:nvSpPr>
          <xdr:spPr>
            <a:xfrm>
              <a:off x="1847850" y="5301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5" name="TextBox 4"/>
            <xdr:cNvSpPr txBox="1"/>
          </xdr:nvSpPr>
          <xdr:spPr>
            <a:xfrm>
              <a:off x="1847850" y="5301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221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6" name="TextBox 4"/>
            <xdr:cNvSpPr txBox="1"/>
          </xdr:nvSpPr>
          <xdr:spPr>
            <a:xfrm>
              <a:off x="3981450" y="5301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6" name="TextBox 4"/>
            <xdr:cNvSpPr txBox="1"/>
          </xdr:nvSpPr>
          <xdr:spPr>
            <a:xfrm>
              <a:off x="3981450" y="530161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221</xdr:row>
      <xdr:rowOff>228600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7" name="TextBox 4"/>
            <xdr:cNvSpPr txBox="1"/>
          </xdr:nvSpPr>
          <xdr:spPr>
            <a:xfrm>
              <a:off x="6115050" y="53016150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7" name="TextBox 4"/>
            <xdr:cNvSpPr txBox="1"/>
          </xdr:nvSpPr>
          <xdr:spPr>
            <a:xfrm>
              <a:off x="6115050" y="53016150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264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8" name="TextBox 4"/>
            <xdr:cNvSpPr txBox="1"/>
          </xdr:nvSpPr>
          <xdr:spPr>
            <a:xfrm>
              <a:off x="704850" y="632174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8" name="TextBox 4"/>
            <xdr:cNvSpPr txBox="1"/>
          </xdr:nvSpPr>
          <xdr:spPr>
            <a:xfrm>
              <a:off x="704850" y="632174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275</xdr:row>
      <xdr:rowOff>9525</xdr:rowOff>
    </xdr:from>
    <xdr:ext cx="5953125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9" name="TextBox 2"/>
            <xdr:cNvSpPr txBox="1">
              <a:spLocks/>
            </xdr:cNvSpPr>
          </xdr:nvSpPr>
          <xdr:spPr>
            <a:xfrm>
              <a:off x="161925" y="65817750"/>
              <a:ext cx="595312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89" name="TextBox 2"/>
            <xdr:cNvSpPr txBox="1">
              <a:spLocks/>
            </xdr:cNvSpPr>
          </xdr:nvSpPr>
          <xdr:spPr>
            <a:xfrm>
              <a:off x="161925" y="65817750"/>
              <a:ext cx="595312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𝑙〗_𝐸)+〖𝑢^2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142875</xdr:colOff>
      <xdr:row>277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0" name="TextBox 2"/>
            <xdr:cNvSpPr txBox="1">
              <a:spLocks/>
            </xdr:cNvSpPr>
          </xdr:nvSpPr>
          <xdr:spPr>
            <a:xfrm>
              <a:off x="4105275" y="663225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0" name="TextBox 2"/>
            <xdr:cNvSpPr txBox="1">
              <a:spLocks/>
            </xdr:cNvSpPr>
          </xdr:nvSpPr>
          <xdr:spPr>
            <a:xfrm>
              <a:off x="4105275" y="663225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284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1" name="TextBox 2"/>
            <xdr:cNvSpPr txBox="1">
              <a:spLocks/>
            </xdr:cNvSpPr>
          </xdr:nvSpPr>
          <xdr:spPr>
            <a:xfrm>
              <a:off x="1676400" y="679704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1" name="TextBox 2"/>
            <xdr:cNvSpPr txBox="1">
              <a:spLocks/>
            </xdr:cNvSpPr>
          </xdr:nvSpPr>
          <xdr:spPr>
            <a:xfrm>
              <a:off x="1676400" y="679704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104775</xdr:colOff>
      <xdr:row>283</xdr:row>
      <xdr:rowOff>28575</xdr:rowOff>
    </xdr:from>
    <xdr:ext cx="733425" cy="2104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2" name="TextBox 2"/>
            <xdr:cNvSpPr txBox="1">
              <a:spLocks/>
            </xdr:cNvSpPr>
          </xdr:nvSpPr>
          <xdr:spPr>
            <a:xfrm>
              <a:off x="4676775" y="6774180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2" name="TextBox 2"/>
            <xdr:cNvSpPr txBox="1">
              <a:spLocks/>
            </xdr:cNvSpPr>
          </xdr:nvSpPr>
          <xdr:spPr>
            <a:xfrm>
              <a:off x="4676775" y="6774180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85725</xdr:colOff>
      <xdr:row>284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3" name="TextBox 2"/>
            <xdr:cNvSpPr txBox="1">
              <a:spLocks/>
            </xdr:cNvSpPr>
          </xdr:nvSpPr>
          <xdr:spPr>
            <a:xfrm>
              <a:off x="2371725" y="679704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3" name="TextBox 2"/>
            <xdr:cNvSpPr txBox="1">
              <a:spLocks/>
            </xdr:cNvSpPr>
          </xdr:nvSpPr>
          <xdr:spPr>
            <a:xfrm>
              <a:off x="2371725" y="679704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114300</xdr:colOff>
      <xdr:row>284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4" name="TextBox 2"/>
            <xdr:cNvSpPr txBox="1">
              <a:spLocks/>
            </xdr:cNvSpPr>
          </xdr:nvSpPr>
          <xdr:spPr>
            <a:xfrm>
              <a:off x="3162300" y="679704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4" name="TextBox 2"/>
            <xdr:cNvSpPr txBox="1">
              <a:spLocks/>
            </xdr:cNvSpPr>
          </xdr:nvSpPr>
          <xdr:spPr>
            <a:xfrm>
              <a:off x="3162300" y="679704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95250</xdr:colOff>
      <xdr:row>284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5" name="TextBox 2"/>
            <xdr:cNvSpPr txBox="1">
              <a:spLocks/>
            </xdr:cNvSpPr>
          </xdr:nvSpPr>
          <xdr:spPr>
            <a:xfrm>
              <a:off x="3905250" y="679704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5" name="TextBox 2"/>
            <xdr:cNvSpPr txBox="1">
              <a:spLocks/>
            </xdr:cNvSpPr>
          </xdr:nvSpPr>
          <xdr:spPr>
            <a:xfrm>
              <a:off x="3905250" y="679704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104775</xdr:colOff>
      <xdr:row>284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6" name="TextBox 2"/>
            <xdr:cNvSpPr txBox="1">
              <a:spLocks/>
            </xdr:cNvSpPr>
          </xdr:nvSpPr>
          <xdr:spPr>
            <a:xfrm>
              <a:off x="4676775" y="679704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6" name="TextBox 2"/>
            <xdr:cNvSpPr txBox="1">
              <a:spLocks/>
            </xdr:cNvSpPr>
          </xdr:nvSpPr>
          <xdr:spPr>
            <a:xfrm>
              <a:off x="4676775" y="679704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35</xdr:col>
      <xdr:colOff>95250</xdr:colOff>
      <xdr:row>284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7" name="TextBox 2"/>
            <xdr:cNvSpPr txBox="1">
              <a:spLocks/>
            </xdr:cNvSpPr>
          </xdr:nvSpPr>
          <xdr:spPr>
            <a:xfrm>
              <a:off x="5429250" y="679704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7" name="TextBox 2"/>
            <xdr:cNvSpPr txBox="1">
              <a:spLocks/>
            </xdr:cNvSpPr>
          </xdr:nvSpPr>
          <xdr:spPr>
            <a:xfrm>
              <a:off x="5429250" y="679704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85725</xdr:colOff>
      <xdr:row>284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8" name="TextBox 2"/>
            <xdr:cNvSpPr txBox="1">
              <a:spLocks/>
            </xdr:cNvSpPr>
          </xdr:nvSpPr>
          <xdr:spPr>
            <a:xfrm>
              <a:off x="6181725" y="679704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8" name="TextBox 2"/>
            <xdr:cNvSpPr txBox="1">
              <a:spLocks/>
            </xdr:cNvSpPr>
          </xdr:nvSpPr>
          <xdr:spPr>
            <a:xfrm>
              <a:off x="6181725" y="679704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283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9" name="TextBox 398"/>
            <xdr:cNvSpPr txBox="1"/>
          </xdr:nvSpPr>
          <xdr:spPr>
            <a:xfrm>
              <a:off x="200025" y="677653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99" name="TextBox 398"/>
            <xdr:cNvSpPr txBox="1"/>
          </xdr:nvSpPr>
          <xdr:spPr>
            <a:xfrm>
              <a:off x="200025" y="677653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28575</xdr:colOff>
      <xdr:row>261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0" name="TextBox 4"/>
            <xdr:cNvSpPr txBox="1"/>
          </xdr:nvSpPr>
          <xdr:spPr>
            <a:xfrm>
              <a:off x="2162175" y="627030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0" name="TextBox 4"/>
            <xdr:cNvSpPr txBox="1"/>
          </xdr:nvSpPr>
          <xdr:spPr>
            <a:xfrm>
              <a:off x="2162175" y="6270307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261</xdr:row>
      <xdr:rowOff>228600</xdr:rowOff>
    </xdr:from>
    <xdr:ext cx="161925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1" name="TextBox 4"/>
            <xdr:cNvSpPr txBox="1"/>
          </xdr:nvSpPr>
          <xdr:spPr>
            <a:xfrm>
              <a:off x="6276975" y="6270307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1" name="TextBox 4"/>
            <xdr:cNvSpPr txBox="1"/>
          </xdr:nvSpPr>
          <xdr:spPr>
            <a:xfrm>
              <a:off x="6276975" y="62703075"/>
              <a:ext cx="161925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28575</xdr:colOff>
      <xdr:row>271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2" name="TextBox 4"/>
            <xdr:cNvSpPr txBox="1"/>
          </xdr:nvSpPr>
          <xdr:spPr>
            <a:xfrm>
              <a:off x="6276975" y="648557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2" name="TextBox 4"/>
            <xdr:cNvSpPr txBox="1"/>
          </xdr:nvSpPr>
          <xdr:spPr>
            <a:xfrm>
              <a:off x="6276975" y="648557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276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3" name="TextBox 2"/>
            <xdr:cNvSpPr txBox="1">
              <a:spLocks/>
            </xdr:cNvSpPr>
          </xdr:nvSpPr>
          <xdr:spPr>
            <a:xfrm>
              <a:off x="752475" y="660844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3" name="TextBox 2"/>
            <xdr:cNvSpPr txBox="1">
              <a:spLocks/>
            </xdr:cNvSpPr>
          </xdr:nvSpPr>
          <xdr:spPr>
            <a:xfrm>
              <a:off x="752475" y="660844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276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4" name="TextBox 2"/>
            <xdr:cNvSpPr txBox="1">
              <a:spLocks/>
            </xdr:cNvSpPr>
          </xdr:nvSpPr>
          <xdr:spPr>
            <a:xfrm>
              <a:off x="1790699" y="660844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4" name="TextBox 2"/>
            <xdr:cNvSpPr txBox="1">
              <a:spLocks/>
            </xdr:cNvSpPr>
          </xdr:nvSpPr>
          <xdr:spPr>
            <a:xfrm>
              <a:off x="1790699" y="6608445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276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5" name="TextBox 2"/>
            <xdr:cNvSpPr txBox="1">
              <a:spLocks/>
            </xdr:cNvSpPr>
          </xdr:nvSpPr>
          <xdr:spPr>
            <a:xfrm>
              <a:off x="3190875" y="660844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5" name="TextBox 2"/>
            <xdr:cNvSpPr txBox="1">
              <a:spLocks/>
            </xdr:cNvSpPr>
          </xdr:nvSpPr>
          <xdr:spPr>
            <a:xfrm>
              <a:off x="3190875" y="660844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142874</xdr:colOff>
      <xdr:row>276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6" name="TextBox 2"/>
            <xdr:cNvSpPr txBox="1">
              <a:spLocks/>
            </xdr:cNvSpPr>
          </xdr:nvSpPr>
          <xdr:spPr>
            <a:xfrm>
              <a:off x="4257674" y="660844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6" name="TextBox 2"/>
            <xdr:cNvSpPr txBox="1">
              <a:spLocks/>
            </xdr:cNvSpPr>
          </xdr:nvSpPr>
          <xdr:spPr>
            <a:xfrm>
              <a:off x="4257674" y="660844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37</xdr:col>
      <xdr:colOff>142874</xdr:colOff>
      <xdr:row>276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7" name="TextBox 2"/>
            <xdr:cNvSpPr txBox="1">
              <a:spLocks/>
            </xdr:cNvSpPr>
          </xdr:nvSpPr>
          <xdr:spPr>
            <a:xfrm>
              <a:off x="5781674" y="660844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7" name="TextBox 2"/>
            <xdr:cNvSpPr txBox="1">
              <a:spLocks/>
            </xdr:cNvSpPr>
          </xdr:nvSpPr>
          <xdr:spPr>
            <a:xfrm>
              <a:off x="5781674" y="66084450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142874</xdr:colOff>
      <xdr:row>277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8" name="TextBox 2"/>
            <xdr:cNvSpPr txBox="1">
              <a:spLocks/>
            </xdr:cNvSpPr>
          </xdr:nvSpPr>
          <xdr:spPr>
            <a:xfrm>
              <a:off x="1057274" y="663225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8" name="TextBox 2"/>
            <xdr:cNvSpPr txBox="1">
              <a:spLocks/>
            </xdr:cNvSpPr>
          </xdr:nvSpPr>
          <xdr:spPr>
            <a:xfrm>
              <a:off x="1057274" y="663225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142874</xdr:colOff>
      <xdr:row>277</xdr:row>
      <xdr:rowOff>38100</xdr:rowOff>
    </xdr:from>
    <xdr:ext cx="1228726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9" name="TextBox 2"/>
            <xdr:cNvSpPr txBox="1">
              <a:spLocks/>
            </xdr:cNvSpPr>
          </xdr:nvSpPr>
          <xdr:spPr>
            <a:xfrm>
              <a:off x="2581274" y="663225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09" name="TextBox 2"/>
            <xdr:cNvSpPr txBox="1">
              <a:spLocks/>
            </xdr:cNvSpPr>
          </xdr:nvSpPr>
          <xdr:spPr>
            <a:xfrm>
              <a:off x="2581274" y="66322575"/>
              <a:ext cx="1228726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278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0" name="TextBox 2"/>
            <xdr:cNvSpPr txBox="1">
              <a:spLocks/>
            </xdr:cNvSpPr>
          </xdr:nvSpPr>
          <xdr:spPr>
            <a:xfrm>
              <a:off x="752475" y="665607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0" name="TextBox 2"/>
            <xdr:cNvSpPr txBox="1">
              <a:spLocks/>
            </xdr:cNvSpPr>
          </xdr:nvSpPr>
          <xdr:spPr>
            <a:xfrm>
              <a:off x="752475" y="6656070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114299</xdr:colOff>
      <xdr:row>278</xdr:row>
      <xdr:rowOff>38101</xdr:rowOff>
    </xdr:from>
    <xdr:ext cx="115252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1" name="TextBox 2"/>
            <xdr:cNvSpPr txBox="1">
              <a:spLocks/>
            </xdr:cNvSpPr>
          </xdr:nvSpPr>
          <xdr:spPr>
            <a:xfrm>
              <a:off x="1790699" y="665607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1" name="TextBox 2"/>
            <xdr:cNvSpPr txBox="1">
              <a:spLocks/>
            </xdr:cNvSpPr>
          </xdr:nvSpPr>
          <xdr:spPr>
            <a:xfrm>
              <a:off x="1790699" y="66560701"/>
              <a:ext cx="115252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279</xdr:row>
      <xdr:rowOff>228600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2" name="TextBox 4"/>
            <xdr:cNvSpPr txBox="1"/>
          </xdr:nvSpPr>
          <xdr:spPr>
            <a:xfrm>
              <a:off x="790575" y="669893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2" name="TextBox 4"/>
            <xdr:cNvSpPr txBox="1"/>
          </xdr:nvSpPr>
          <xdr:spPr>
            <a:xfrm>
              <a:off x="790575" y="66989325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288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3" name="TextBox 4"/>
            <xdr:cNvSpPr txBox="1"/>
          </xdr:nvSpPr>
          <xdr:spPr>
            <a:xfrm>
              <a:off x="1847850" y="68903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3" name="TextBox 4"/>
            <xdr:cNvSpPr txBox="1"/>
          </xdr:nvSpPr>
          <xdr:spPr>
            <a:xfrm>
              <a:off x="1847850" y="68903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19050</xdr:colOff>
      <xdr:row>288</xdr:row>
      <xdr:rowOff>0</xdr:rowOff>
    </xdr:from>
    <xdr:ext cx="1663084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4" name="TextBox 4"/>
            <xdr:cNvSpPr txBox="1"/>
          </xdr:nvSpPr>
          <xdr:spPr>
            <a:xfrm>
              <a:off x="3981450" y="68903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4" name="TextBox 4"/>
            <xdr:cNvSpPr txBox="1"/>
          </xdr:nvSpPr>
          <xdr:spPr>
            <a:xfrm>
              <a:off x="3981450" y="68903850"/>
              <a:ext cx="1663084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40</xdr:col>
      <xdr:colOff>19050</xdr:colOff>
      <xdr:row>288</xdr:row>
      <xdr:rowOff>0</xdr:rowOff>
    </xdr:from>
    <xdr:ext cx="147687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5" name="TextBox 4"/>
            <xdr:cNvSpPr txBox="1"/>
          </xdr:nvSpPr>
          <xdr:spPr>
            <a:xfrm>
              <a:off x="6115050" y="68903850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 + 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5" name="TextBox 4"/>
            <xdr:cNvSpPr txBox="1"/>
          </xdr:nvSpPr>
          <xdr:spPr>
            <a:xfrm>
              <a:off x="6115050" y="68903850"/>
              <a:ext cx="147687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〗^2  + (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176</xdr:row>
      <xdr:rowOff>57150</xdr:rowOff>
    </xdr:from>
    <xdr:ext cx="867032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6" name="TextBox 415"/>
            <xdr:cNvSpPr txBox="1"/>
          </xdr:nvSpPr>
          <xdr:spPr>
            <a:xfrm>
              <a:off x="1228725" y="42129075"/>
              <a:ext cx="86703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6" name="TextBox 415"/>
            <xdr:cNvSpPr txBox="1"/>
          </xdr:nvSpPr>
          <xdr:spPr>
            <a:xfrm>
              <a:off x="1228725" y="42129075"/>
              <a:ext cx="86703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𝑙〗_𝐸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𝑙〗_𝐸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152399</xdr:colOff>
      <xdr:row>174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7" name="TextBox 5"/>
            <xdr:cNvSpPr txBox="1"/>
          </xdr:nvSpPr>
          <xdr:spPr>
            <a:xfrm>
              <a:off x="2285999" y="416147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7" name="TextBox 5"/>
            <xdr:cNvSpPr txBox="1"/>
          </xdr:nvSpPr>
          <xdr:spPr>
            <a:xfrm>
              <a:off x="2285999" y="416147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179</xdr:row>
      <xdr:rowOff>9525</xdr:rowOff>
    </xdr:from>
    <xdr:ext cx="2266950" cy="466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8" name="TextBox 5"/>
            <xdr:cNvSpPr txBox="1"/>
          </xdr:nvSpPr>
          <xdr:spPr>
            <a:xfrm>
              <a:off x="1076325" y="42795825"/>
              <a:ext cx="2266950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8" name="TextBox 5"/>
            <xdr:cNvSpPr txBox="1"/>
          </xdr:nvSpPr>
          <xdr:spPr>
            <a:xfrm>
              <a:off x="1076325" y="42795825"/>
              <a:ext cx="2266950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𝑙〗_𝐸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192</xdr:row>
      <xdr:rowOff>57150</xdr:rowOff>
    </xdr:from>
    <xdr:ext cx="84035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9" name="TextBox 418"/>
            <xdr:cNvSpPr txBox="1"/>
          </xdr:nvSpPr>
          <xdr:spPr>
            <a:xfrm>
              <a:off x="1228725" y="45939075"/>
              <a:ext cx="84035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19" name="TextBox 418"/>
            <xdr:cNvSpPr txBox="1"/>
          </xdr:nvSpPr>
          <xdr:spPr>
            <a:xfrm>
              <a:off x="1228725" y="45939075"/>
              <a:ext cx="84035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66674</xdr:colOff>
      <xdr:row>190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0" name="TextBox 5"/>
            <xdr:cNvSpPr txBox="1"/>
          </xdr:nvSpPr>
          <xdr:spPr>
            <a:xfrm>
              <a:off x="2352674" y="454247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0" name="TextBox 5"/>
            <xdr:cNvSpPr txBox="1"/>
          </xdr:nvSpPr>
          <xdr:spPr>
            <a:xfrm>
              <a:off x="2352674" y="454247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195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1" name="TextBox 5"/>
            <xdr:cNvSpPr txBox="1"/>
          </xdr:nvSpPr>
          <xdr:spPr>
            <a:xfrm>
              <a:off x="1076325" y="466058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1" name="TextBox 5"/>
            <xdr:cNvSpPr txBox="1"/>
          </xdr:nvSpPr>
          <xdr:spPr>
            <a:xfrm>
              <a:off x="1076325" y="466058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𝑙_𝑐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34</xdr:col>
      <xdr:colOff>142875</xdr:colOff>
      <xdr:row>201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2" name="TextBox 2"/>
            <xdr:cNvSpPr txBox="1">
              <a:spLocks/>
            </xdr:cNvSpPr>
          </xdr:nvSpPr>
          <xdr:spPr>
            <a:xfrm>
              <a:off x="5324475" y="480631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2" name="TextBox 2"/>
            <xdr:cNvSpPr txBox="1">
              <a:spLocks/>
            </xdr:cNvSpPr>
          </xdr:nvSpPr>
          <xdr:spPr>
            <a:xfrm>
              <a:off x="5324475" y="480631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42</xdr:col>
      <xdr:colOff>142875</xdr:colOff>
      <xdr:row>201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3" name="TextBox 2"/>
            <xdr:cNvSpPr txBox="1">
              <a:spLocks/>
            </xdr:cNvSpPr>
          </xdr:nvSpPr>
          <xdr:spPr>
            <a:xfrm>
              <a:off x="6543675" y="480631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3" name="TextBox 2"/>
            <xdr:cNvSpPr txBox="1">
              <a:spLocks/>
            </xdr:cNvSpPr>
          </xdr:nvSpPr>
          <xdr:spPr>
            <a:xfrm>
              <a:off x="6543675" y="480631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45</xdr:col>
      <xdr:colOff>85725</xdr:colOff>
      <xdr:row>208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4" name="TextBox 2"/>
            <xdr:cNvSpPr txBox="1">
              <a:spLocks/>
            </xdr:cNvSpPr>
          </xdr:nvSpPr>
          <xdr:spPr>
            <a:xfrm>
              <a:off x="6943725" y="49710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4" name="TextBox 2"/>
            <xdr:cNvSpPr txBox="1">
              <a:spLocks/>
            </xdr:cNvSpPr>
          </xdr:nvSpPr>
          <xdr:spPr>
            <a:xfrm>
              <a:off x="6943725" y="49710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50</xdr:col>
      <xdr:colOff>85725</xdr:colOff>
      <xdr:row>208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5" name="TextBox 2"/>
            <xdr:cNvSpPr txBox="1">
              <a:spLocks/>
            </xdr:cNvSpPr>
          </xdr:nvSpPr>
          <xdr:spPr>
            <a:xfrm>
              <a:off x="7705725" y="49710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5" name="TextBox 2"/>
            <xdr:cNvSpPr txBox="1">
              <a:spLocks/>
            </xdr:cNvSpPr>
          </xdr:nvSpPr>
          <xdr:spPr>
            <a:xfrm>
              <a:off x="7705725" y="497109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34</xdr:col>
      <xdr:colOff>142875</xdr:colOff>
      <xdr:row>277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6" name="TextBox 2"/>
            <xdr:cNvSpPr txBox="1">
              <a:spLocks/>
            </xdr:cNvSpPr>
          </xdr:nvSpPr>
          <xdr:spPr>
            <a:xfrm>
              <a:off x="5324475" y="663225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6" name="TextBox 2"/>
            <xdr:cNvSpPr txBox="1">
              <a:spLocks/>
            </xdr:cNvSpPr>
          </xdr:nvSpPr>
          <xdr:spPr>
            <a:xfrm>
              <a:off x="5324475" y="663225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42</xdr:col>
      <xdr:colOff>142875</xdr:colOff>
      <xdr:row>277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7" name="TextBox 2"/>
            <xdr:cNvSpPr txBox="1">
              <a:spLocks/>
            </xdr:cNvSpPr>
          </xdr:nvSpPr>
          <xdr:spPr>
            <a:xfrm>
              <a:off x="6543675" y="663225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7" name="TextBox 2"/>
            <xdr:cNvSpPr txBox="1">
              <a:spLocks/>
            </xdr:cNvSpPr>
          </xdr:nvSpPr>
          <xdr:spPr>
            <a:xfrm>
              <a:off x="6543675" y="6632257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45</xdr:col>
      <xdr:colOff>85725</xdr:colOff>
      <xdr:row>284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8" name="TextBox 2"/>
            <xdr:cNvSpPr txBox="1">
              <a:spLocks/>
            </xdr:cNvSpPr>
          </xdr:nvSpPr>
          <xdr:spPr>
            <a:xfrm>
              <a:off x="6943725" y="679704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8" name="TextBox 2"/>
            <xdr:cNvSpPr txBox="1">
              <a:spLocks/>
            </xdr:cNvSpPr>
          </xdr:nvSpPr>
          <xdr:spPr>
            <a:xfrm>
              <a:off x="6943725" y="679704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50</xdr:col>
      <xdr:colOff>85725</xdr:colOff>
      <xdr:row>284</xdr:row>
      <xdr:rowOff>19050</xdr:rowOff>
    </xdr:from>
    <xdr:ext cx="733425" cy="209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9" name="TextBox 2"/>
            <xdr:cNvSpPr txBox="1">
              <a:spLocks/>
            </xdr:cNvSpPr>
          </xdr:nvSpPr>
          <xdr:spPr>
            <a:xfrm>
              <a:off x="7705725" y="679704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29" name="TextBox 2"/>
            <xdr:cNvSpPr txBox="1">
              <a:spLocks/>
            </xdr:cNvSpPr>
          </xdr:nvSpPr>
          <xdr:spPr>
            <a:xfrm>
              <a:off x="7705725" y="679704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9526</xdr:colOff>
      <xdr:row>339</xdr:row>
      <xdr:rowOff>52392</xdr:rowOff>
    </xdr:from>
    <xdr:ext cx="8220074" cy="4238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0" name="TextBox 429"/>
            <xdr:cNvSpPr txBox="1"/>
          </xdr:nvSpPr>
          <xdr:spPr>
            <a:xfrm>
              <a:off x="314326" y="81262542"/>
              <a:ext cx="8220074" cy="4238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ko-KR" altLang="en-US" sz="1100" b="0" i="1">
                                    <a:latin typeface="Cambria Math" panose="02040503050406030204" pitchFamily="18" charset="0"/>
                                  </a:rPr>
                                  <m:t>𝛿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ko-KR" altLang="en-US" sz="1100" b="0" i="1">
                                    <a:latin typeface="Cambria Math" panose="02040503050406030204" pitchFamily="18" charset="0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num>
                          <m:den>
                            <m:sSubSup>
                              <m:sSub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100,  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×100,  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×100,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×100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0" name="TextBox 429"/>
            <xdr:cNvSpPr txBox="1"/>
          </xdr:nvSpPr>
          <xdr:spPr>
            <a:xfrm>
              <a:off x="314326" y="81262542"/>
              <a:ext cx="8220074" cy="4238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ko-KR" altLang="en-US" sz="1100" i="0">
                  <a:latin typeface="Cambria Math" panose="02040503050406030204" pitchFamily="18" charset="0"/>
                </a:rPr>
                <a:t>𝜕∆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𝑀/(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)=(−(𝑙_𝑥+〖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𝑙〗_𝑥+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_𝑥)/(𝑙_𝑠^2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∙𝑀_0 ))×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)=1/(𝑙_𝑠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∙𝑀_0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×100,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𝑙〗_𝑥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)=1/(𝑙_𝑠∙𝑀_0 )×100,  𝑐_(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)=1/(𝑙_𝑠∙𝑀_0 )×100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337</xdr:row>
      <xdr:rowOff>14286</xdr:rowOff>
    </xdr:from>
    <xdr:ext cx="7886700" cy="2333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1" name="TextBox 2"/>
            <xdr:cNvSpPr txBox="1">
              <a:spLocks/>
            </xdr:cNvSpPr>
          </xdr:nvSpPr>
          <xdr:spPr>
            <a:xfrm>
              <a:off x="161925" y="80748186"/>
              <a:ext cx="7886700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𝑀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1" name="TextBox 2"/>
            <xdr:cNvSpPr txBox="1">
              <a:spLocks/>
            </xdr:cNvSpPr>
          </xdr:nvSpPr>
          <xdr:spPr>
            <a:xfrm>
              <a:off x="161925" y="80748186"/>
              <a:ext cx="7886700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∆𝑀)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𝑙〗_𝑥)+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325</xdr:row>
      <xdr:rowOff>109536</xdr:rowOff>
    </xdr:from>
    <xdr:ext cx="5690662" cy="7667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2" name="TextBox 431"/>
            <xdr:cNvSpPr txBox="1">
              <a:spLocks noChangeAspect="1"/>
            </xdr:cNvSpPr>
          </xdr:nvSpPr>
          <xdr:spPr>
            <a:xfrm>
              <a:off x="161925" y="77985936"/>
              <a:ext cx="5690662" cy="7667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20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(%)=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ko-KR" altLang="en-US" sz="2000" b="0" i="1">
                                    <a:latin typeface="Cambria Math" panose="02040503050406030204" pitchFamily="18" charset="0"/>
                                  </a:rPr>
                                  <m:t>𝛿</m:t>
                                </m:r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ko-KR" altLang="en-US" sz="2000" b="0" i="1">
                                    <a:latin typeface="Cambria Math" panose="02040503050406030204" pitchFamily="18" charset="0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  <m:r>
                              <a:rPr lang="en-US" altLang="ko-KR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432" name="TextBox 431"/>
            <xdr:cNvSpPr txBox="1">
              <a:spLocks noChangeAspect="1"/>
            </xdr:cNvSpPr>
          </xdr:nvSpPr>
          <xdr:spPr>
            <a:xfrm>
              <a:off x="161925" y="77985936"/>
              <a:ext cx="5690662" cy="7667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∆𝑀(%)=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((𝑙_𝑥+〖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𝑙〗_𝑥+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_𝑥)/(𝑙_𝑠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∙𝑀_0 )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−1)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14</xdr:col>
      <xdr:colOff>38100</xdr:colOff>
      <xdr:row>371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3" name="TextBox 5"/>
            <xdr:cNvSpPr txBox="1"/>
          </xdr:nvSpPr>
          <xdr:spPr>
            <a:xfrm>
              <a:off x="2171700" y="8884920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3" name="TextBox 5"/>
            <xdr:cNvSpPr txBox="1"/>
          </xdr:nvSpPr>
          <xdr:spPr>
            <a:xfrm>
              <a:off x="2171700" y="8884920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371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4" name="TextBox 5"/>
            <xdr:cNvSpPr txBox="1"/>
          </xdr:nvSpPr>
          <xdr:spPr>
            <a:xfrm>
              <a:off x="2867025" y="8884920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4" name="TextBox 5"/>
            <xdr:cNvSpPr txBox="1"/>
          </xdr:nvSpPr>
          <xdr:spPr>
            <a:xfrm>
              <a:off x="2867025" y="8884920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383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5" name="TextBox 5"/>
            <xdr:cNvSpPr txBox="1"/>
          </xdr:nvSpPr>
          <xdr:spPr>
            <a:xfrm>
              <a:off x="2276474" y="917067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5" name="TextBox 5"/>
            <xdr:cNvSpPr txBox="1"/>
          </xdr:nvSpPr>
          <xdr:spPr>
            <a:xfrm>
              <a:off x="2276474" y="917067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383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6" name="TextBox 5"/>
            <xdr:cNvSpPr txBox="1"/>
          </xdr:nvSpPr>
          <xdr:spPr>
            <a:xfrm>
              <a:off x="3047999" y="917067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6" name="TextBox 5"/>
            <xdr:cNvSpPr txBox="1"/>
          </xdr:nvSpPr>
          <xdr:spPr>
            <a:xfrm>
              <a:off x="3047999" y="917067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388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7" name="TextBox 5"/>
            <xdr:cNvSpPr txBox="1"/>
          </xdr:nvSpPr>
          <xdr:spPr>
            <a:xfrm>
              <a:off x="1076325" y="928878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7" name="TextBox 5"/>
            <xdr:cNvSpPr txBox="1"/>
          </xdr:nvSpPr>
          <xdr:spPr>
            <a:xfrm>
              <a:off x="1076325" y="928878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413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8" name="TextBox 437"/>
            <xdr:cNvSpPr txBox="1"/>
          </xdr:nvSpPr>
          <xdr:spPr>
            <a:xfrm>
              <a:off x="200025" y="988835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8" name="TextBox 437"/>
            <xdr:cNvSpPr txBox="1"/>
          </xdr:nvSpPr>
          <xdr:spPr>
            <a:xfrm>
              <a:off x="200025" y="988835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66675</xdr:colOff>
      <xdr:row>355</xdr:row>
      <xdr:rowOff>0</xdr:rowOff>
    </xdr:from>
    <xdr:ext cx="144584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9" name="TextBox 4"/>
            <xdr:cNvSpPr txBox="1"/>
          </xdr:nvSpPr>
          <xdr:spPr>
            <a:xfrm>
              <a:off x="3571875" y="8502015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9" name="TextBox 4"/>
            <xdr:cNvSpPr txBox="1"/>
          </xdr:nvSpPr>
          <xdr:spPr>
            <a:xfrm>
              <a:off x="3571875" y="85020150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76200</xdr:colOff>
      <xdr:row>356</xdr:row>
      <xdr:rowOff>228600</xdr:rowOff>
    </xdr:from>
    <xdr:ext cx="144584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0" name="TextBox 4"/>
            <xdr:cNvSpPr txBox="1"/>
          </xdr:nvSpPr>
          <xdr:spPr>
            <a:xfrm>
              <a:off x="2209800" y="85486875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0" name="TextBox 4"/>
            <xdr:cNvSpPr txBox="1"/>
          </xdr:nvSpPr>
          <xdr:spPr>
            <a:xfrm>
              <a:off x="2209800" y="85486875"/>
              <a:ext cx="144584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57150</xdr:colOff>
      <xdr:row>357</xdr:row>
      <xdr:rowOff>104775</xdr:rowOff>
    </xdr:from>
    <xdr:ext cx="1538947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1" name="TextBox 4"/>
            <xdr:cNvSpPr txBox="1"/>
          </xdr:nvSpPr>
          <xdr:spPr>
            <a:xfrm>
              <a:off x="4171950" y="85601175"/>
              <a:ext cx="1538947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 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1" name="TextBox 4"/>
            <xdr:cNvSpPr txBox="1"/>
          </xdr:nvSpPr>
          <xdr:spPr>
            <a:xfrm>
              <a:off x="4171950" y="85601175"/>
              <a:ext cx="1538947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57149</xdr:colOff>
      <xdr:row>397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2" name="TextBox 5"/>
            <xdr:cNvSpPr txBox="1"/>
          </xdr:nvSpPr>
          <xdr:spPr>
            <a:xfrm>
              <a:off x="2343149" y="950404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/>
                <a:t>2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3</m:t>
                      </m:r>
                    </m:e>
                  </m:ra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2" name="TextBox 5"/>
            <xdr:cNvSpPr txBox="1"/>
          </xdr:nvSpPr>
          <xdr:spPr>
            <a:xfrm>
              <a:off x="2343149" y="950404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/>
                <a:t>2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402</xdr:row>
      <xdr:rowOff>9525</xdr:rowOff>
    </xdr:from>
    <xdr:ext cx="2266950" cy="466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3" name="TextBox 5"/>
            <xdr:cNvSpPr txBox="1"/>
          </xdr:nvSpPr>
          <xdr:spPr>
            <a:xfrm>
              <a:off x="1076325" y="96221550"/>
              <a:ext cx="2266950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3" name="TextBox 5"/>
            <xdr:cNvSpPr txBox="1"/>
          </xdr:nvSpPr>
          <xdr:spPr>
            <a:xfrm>
              <a:off x="1076325" y="96221550"/>
              <a:ext cx="2266950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𝑙〗_𝐸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9526</xdr:colOff>
      <xdr:row>360</xdr:row>
      <xdr:rowOff>52392</xdr:rowOff>
    </xdr:from>
    <xdr:ext cx="2447924" cy="4238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4" name="TextBox 443"/>
            <xdr:cNvSpPr txBox="1"/>
          </xdr:nvSpPr>
          <xdr:spPr>
            <a:xfrm>
              <a:off x="1228726" y="86263167"/>
              <a:ext cx="2447924" cy="4238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ko-KR" altLang="en-US" sz="1100" b="0" i="1">
                                    <a:latin typeface="Cambria Math" panose="02040503050406030204" pitchFamily="18" charset="0"/>
                                  </a:rPr>
                                  <m:t>𝛿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ko-KR" altLang="en-US" sz="1100" b="0" i="1">
                                    <a:latin typeface="Cambria Math" panose="02040503050406030204" pitchFamily="18" charset="0"/>
                                  </a:rPr>
                                  <m:t>𝛿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</m:num>
                          <m:den>
                            <m:sSubSup>
                              <m:sSub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100=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4" name="TextBox 443"/>
            <xdr:cNvSpPr txBox="1"/>
          </xdr:nvSpPr>
          <xdr:spPr>
            <a:xfrm>
              <a:off x="1228726" y="86263167"/>
              <a:ext cx="2447924" cy="4238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ko-KR" altLang="en-US" sz="1100" i="0">
                  <a:latin typeface="Cambria Math" panose="02040503050406030204" pitchFamily="18" charset="0"/>
                </a:rPr>
                <a:t>𝜕∆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𝑀/(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)=(−(𝑙_𝑥+〖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𝑙〗_𝑥+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_𝑥)/(𝑙_𝑠^2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∙𝑀_0 ))×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9526</xdr:colOff>
      <xdr:row>373</xdr:row>
      <xdr:rowOff>61917</xdr:rowOff>
    </xdr:from>
    <xdr:ext cx="1790699" cy="4238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5" name="TextBox 444"/>
            <xdr:cNvSpPr txBox="1"/>
          </xdr:nvSpPr>
          <xdr:spPr>
            <a:xfrm>
              <a:off x="1228726" y="89368317"/>
              <a:ext cx="1790699" cy="4238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×100=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5" name="TextBox 444"/>
            <xdr:cNvSpPr txBox="1"/>
          </xdr:nvSpPr>
          <xdr:spPr>
            <a:xfrm>
              <a:off x="1228726" y="89368317"/>
              <a:ext cx="1790699" cy="4238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)=1/(𝑙_𝑠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∙𝑀_0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×100=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89</xdr:row>
      <xdr:rowOff>57150</xdr:rowOff>
    </xdr:from>
    <xdr:ext cx="77752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6" name="TextBox 4"/>
            <xdr:cNvSpPr txBox="1"/>
          </xdr:nvSpPr>
          <xdr:spPr>
            <a:xfrm>
              <a:off x="1228725" y="21412200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6" name="TextBox 4"/>
            <xdr:cNvSpPr txBox="1"/>
          </xdr:nvSpPr>
          <xdr:spPr>
            <a:xfrm>
              <a:off x="1228725" y="21412200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9526</xdr:colOff>
      <xdr:row>385</xdr:row>
      <xdr:rowOff>61917</xdr:rowOff>
    </xdr:from>
    <xdr:ext cx="1800224" cy="4238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7" name="TextBox 446"/>
            <xdr:cNvSpPr txBox="1"/>
          </xdr:nvSpPr>
          <xdr:spPr>
            <a:xfrm>
              <a:off x="1228726" y="92225817"/>
              <a:ext cx="1800224" cy="4238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×100=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7" name="TextBox 446"/>
            <xdr:cNvSpPr txBox="1"/>
          </xdr:nvSpPr>
          <xdr:spPr>
            <a:xfrm>
              <a:off x="1228726" y="92225817"/>
              <a:ext cx="1800224" cy="4238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𝑙〗_𝑥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)=1/(𝑙_𝑠∙𝑀_0 )×100=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9526</xdr:colOff>
      <xdr:row>399</xdr:row>
      <xdr:rowOff>61917</xdr:rowOff>
    </xdr:from>
    <xdr:ext cx="1733549" cy="4238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8" name="TextBox 447"/>
            <xdr:cNvSpPr txBox="1"/>
          </xdr:nvSpPr>
          <xdr:spPr>
            <a:xfrm>
              <a:off x="1228726" y="95559567"/>
              <a:ext cx="1733549" cy="4238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×100=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8" name="TextBox 447"/>
            <xdr:cNvSpPr txBox="1"/>
          </xdr:nvSpPr>
          <xdr:spPr>
            <a:xfrm>
              <a:off x="1228726" y="95559567"/>
              <a:ext cx="1733549" cy="4238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𝑙〗_𝐸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𝑙〗_𝐸 )=1/(𝑙_𝑠∙𝑀_0 )×100=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406</xdr:row>
      <xdr:rowOff>0</xdr:rowOff>
    </xdr:from>
    <xdr:ext cx="3962400" cy="2333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9" name="TextBox 2"/>
            <xdr:cNvSpPr txBox="1">
              <a:spLocks/>
            </xdr:cNvSpPr>
          </xdr:nvSpPr>
          <xdr:spPr>
            <a:xfrm>
              <a:off x="161925" y="97164525"/>
              <a:ext cx="3962400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𝑀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9" name="TextBox 2"/>
            <xdr:cNvSpPr txBox="1">
              <a:spLocks/>
            </xdr:cNvSpPr>
          </xdr:nvSpPr>
          <xdr:spPr>
            <a:xfrm>
              <a:off x="161925" y="97164525"/>
              <a:ext cx="3962400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∆𝑀)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𝑙〗_𝑥)+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𝑙〗_𝐸)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9524</xdr:colOff>
      <xdr:row>407</xdr:row>
      <xdr:rowOff>38101</xdr:rowOff>
    </xdr:from>
    <xdr:ext cx="90487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0" name="TextBox 2"/>
            <xdr:cNvSpPr txBox="1">
              <a:spLocks/>
            </xdr:cNvSpPr>
          </xdr:nvSpPr>
          <xdr:spPr>
            <a:xfrm>
              <a:off x="771524" y="97440751"/>
              <a:ext cx="90487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0" name="TextBox 2"/>
            <xdr:cNvSpPr txBox="1">
              <a:spLocks/>
            </xdr:cNvSpPr>
          </xdr:nvSpPr>
          <xdr:spPr>
            <a:xfrm>
              <a:off x="771524" y="97440751"/>
              <a:ext cx="90487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9524</xdr:colOff>
      <xdr:row>407</xdr:row>
      <xdr:rowOff>38101</xdr:rowOff>
    </xdr:from>
    <xdr:ext cx="90487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1" name="TextBox 2"/>
            <xdr:cNvSpPr txBox="1">
              <a:spLocks/>
            </xdr:cNvSpPr>
          </xdr:nvSpPr>
          <xdr:spPr>
            <a:xfrm>
              <a:off x="1990724" y="97440751"/>
              <a:ext cx="90487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1" name="TextBox 2"/>
            <xdr:cNvSpPr txBox="1">
              <a:spLocks/>
            </xdr:cNvSpPr>
          </xdr:nvSpPr>
          <xdr:spPr>
            <a:xfrm>
              <a:off x="1990724" y="97440751"/>
              <a:ext cx="90487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9524</xdr:colOff>
      <xdr:row>407</xdr:row>
      <xdr:rowOff>38101</xdr:rowOff>
    </xdr:from>
    <xdr:ext cx="90487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2" name="TextBox 2"/>
            <xdr:cNvSpPr txBox="1">
              <a:spLocks/>
            </xdr:cNvSpPr>
          </xdr:nvSpPr>
          <xdr:spPr>
            <a:xfrm>
              <a:off x="3209924" y="97440751"/>
              <a:ext cx="90487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2" name="TextBox 2"/>
            <xdr:cNvSpPr txBox="1">
              <a:spLocks/>
            </xdr:cNvSpPr>
          </xdr:nvSpPr>
          <xdr:spPr>
            <a:xfrm>
              <a:off x="3209924" y="97440751"/>
              <a:ext cx="90487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9524</xdr:colOff>
      <xdr:row>407</xdr:row>
      <xdr:rowOff>38101</xdr:rowOff>
    </xdr:from>
    <xdr:ext cx="90487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3" name="TextBox 2"/>
            <xdr:cNvSpPr txBox="1">
              <a:spLocks/>
            </xdr:cNvSpPr>
          </xdr:nvSpPr>
          <xdr:spPr>
            <a:xfrm>
              <a:off x="4429124" y="97440751"/>
              <a:ext cx="90487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3" name="TextBox 2"/>
            <xdr:cNvSpPr txBox="1">
              <a:spLocks/>
            </xdr:cNvSpPr>
          </xdr:nvSpPr>
          <xdr:spPr>
            <a:xfrm>
              <a:off x="4429124" y="97440751"/>
              <a:ext cx="90487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9524</xdr:colOff>
      <xdr:row>408</xdr:row>
      <xdr:rowOff>38101</xdr:rowOff>
    </xdr:from>
    <xdr:ext cx="90487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4" name="TextBox 2"/>
            <xdr:cNvSpPr txBox="1">
              <a:spLocks/>
            </xdr:cNvSpPr>
          </xdr:nvSpPr>
          <xdr:spPr>
            <a:xfrm>
              <a:off x="771524" y="97678876"/>
              <a:ext cx="90487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4" name="TextBox 2"/>
            <xdr:cNvSpPr txBox="1">
              <a:spLocks/>
            </xdr:cNvSpPr>
          </xdr:nvSpPr>
          <xdr:spPr>
            <a:xfrm>
              <a:off x="771524" y="97678876"/>
              <a:ext cx="90487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9524</xdr:colOff>
      <xdr:row>414</xdr:row>
      <xdr:rowOff>38101</xdr:rowOff>
    </xdr:from>
    <xdr:ext cx="90487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5" name="TextBox 2"/>
            <xdr:cNvSpPr txBox="1">
              <a:spLocks/>
            </xdr:cNvSpPr>
          </xdr:nvSpPr>
          <xdr:spPr>
            <a:xfrm>
              <a:off x="1685924" y="99107626"/>
              <a:ext cx="90487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5" name="TextBox 2"/>
            <xdr:cNvSpPr txBox="1">
              <a:spLocks/>
            </xdr:cNvSpPr>
          </xdr:nvSpPr>
          <xdr:spPr>
            <a:xfrm>
              <a:off x="1685924" y="99107626"/>
              <a:ext cx="90487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9524</xdr:colOff>
      <xdr:row>414</xdr:row>
      <xdr:rowOff>38101</xdr:rowOff>
    </xdr:from>
    <xdr:ext cx="90487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6" name="TextBox 2"/>
            <xdr:cNvSpPr txBox="1">
              <a:spLocks/>
            </xdr:cNvSpPr>
          </xdr:nvSpPr>
          <xdr:spPr>
            <a:xfrm>
              <a:off x="2752724" y="99107626"/>
              <a:ext cx="90487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6" name="TextBox 2"/>
            <xdr:cNvSpPr txBox="1">
              <a:spLocks/>
            </xdr:cNvSpPr>
          </xdr:nvSpPr>
          <xdr:spPr>
            <a:xfrm>
              <a:off x="2752724" y="99107626"/>
              <a:ext cx="90487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9524</xdr:colOff>
      <xdr:row>414</xdr:row>
      <xdr:rowOff>38101</xdr:rowOff>
    </xdr:from>
    <xdr:ext cx="90487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7" name="TextBox 2"/>
            <xdr:cNvSpPr txBox="1">
              <a:spLocks/>
            </xdr:cNvSpPr>
          </xdr:nvSpPr>
          <xdr:spPr>
            <a:xfrm>
              <a:off x="3819524" y="99107626"/>
              <a:ext cx="90487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7" name="TextBox 2"/>
            <xdr:cNvSpPr txBox="1">
              <a:spLocks/>
            </xdr:cNvSpPr>
          </xdr:nvSpPr>
          <xdr:spPr>
            <a:xfrm>
              <a:off x="3819524" y="99107626"/>
              <a:ext cx="90487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9524</xdr:colOff>
      <xdr:row>414</xdr:row>
      <xdr:rowOff>38101</xdr:rowOff>
    </xdr:from>
    <xdr:ext cx="90487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8" name="TextBox 2"/>
            <xdr:cNvSpPr txBox="1">
              <a:spLocks/>
            </xdr:cNvSpPr>
          </xdr:nvSpPr>
          <xdr:spPr>
            <a:xfrm>
              <a:off x="4886324" y="99107626"/>
              <a:ext cx="90487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8" name="TextBox 2"/>
            <xdr:cNvSpPr txBox="1">
              <a:spLocks/>
            </xdr:cNvSpPr>
          </xdr:nvSpPr>
          <xdr:spPr>
            <a:xfrm>
              <a:off x="4886324" y="99107626"/>
              <a:ext cx="90487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9524</xdr:colOff>
      <xdr:row>413</xdr:row>
      <xdr:rowOff>38101</xdr:rowOff>
    </xdr:from>
    <xdr:ext cx="904876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9" name="TextBox 2"/>
            <xdr:cNvSpPr txBox="1">
              <a:spLocks/>
            </xdr:cNvSpPr>
          </xdr:nvSpPr>
          <xdr:spPr>
            <a:xfrm>
              <a:off x="3209924" y="98869501"/>
              <a:ext cx="90487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59" name="TextBox 2"/>
            <xdr:cNvSpPr txBox="1">
              <a:spLocks/>
            </xdr:cNvSpPr>
          </xdr:nvSpPr>
          <xdr:spPr>
            <a:xfrm>
              <a:off x="3209924" y="98869501"/>
              <a:ext cx="904876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9526</xdr:colOff>
      <xdr:row>463</xdr:row>
      <xdr:rowOff>61917</xdr:rowOff>
    </xdr:from>
    <xdr:ext cx="6183809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0" name="TextBox 459"/>
            <xdr:cNvSpPr txBox="1"/>
          </xdr:nvSpPr>
          <xdr:spPr>
            <a:xfrm>
              <a:off x="314326" y="110961492"/>
              <a:ext cx="6183809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60" name="TextBox 459"/>
            <xdr:cNvSpPr txBox="1"/>
          </xdr:nvSpPr>
          <xdr:spPr>
            <a:xfrm>
              <a:off x="314326" y="110961492"/>
              <a:ext cx="6183809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𝑐_𝑆=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𝐴〗_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𝑛)/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𝑆=1,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𝑐_(𝑀_𝑛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𝐴〗_𝑛)/(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𝑀_𝑛 )=−1,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𝐴〗_𝑛)/(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 )=1,   𝑐_(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𝐴〗_𝑛)/(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)=1,  𝑐_(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_𝑠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𝐴〗_𝑛)/(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461</xdr:row>
      <xdr:rowOff>14286</xdr:rowOff>
    </xdr:from>
    <xdr:ext cx="7886700" cy="2333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1" name="TextBox 2"/>
            <xdr:cNvSpPr txBox="1">
              <a:spLocks/>
            </xdr:cNvSpPr>
          </xdr:nvSpPr>
          <xdr:spPr>
            <a:xfrm>
              <a:off x="161925" y="110437611"/>
              <a:ext cx="7886700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61" name="TextBox 2"/>
            <xdr:cNvSpPr txBox="1">
              <a:spLocks/>
            </xdr:cNvSpPr>
          </xdr:nvSpPr>
          <xdr:spPr>
            <a:xfrm>
              <a:off x="161925" y="110437611"/>
              <a:ext cx="7886700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〗_𝑛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(𝑆)+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𝑀_𝑛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〗_𝑟)+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〗_𝑥)+〖𝑢^2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〗_𝑠)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450</xdr:row>
      <xdr:rowOff>80961</xdr:rowOff>
    </xdr:from>
    <xdr:ext cx="5690662" cy="344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2" name="TextBox 461"/>
            <xdr:cNvSpPr txBox="1">
              <a:spLocks noChangeAspect="1"/>
            </xdr:cNvSpPr>
          </xdr:nvSpPr>
          <xdr:spPr>
            <a:xfrm>
              <a:off x="161925" y="1078849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+90˚×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462" name="TextBox 461"/>
            <xdr:cNvSpPr txBox="1">
              <a:spLocks noChangeAspect="1"/>
            </xdr:cNvSpPr>
          </xdr:nvSpPr>
          <xdr:spPr>
            <a:xfrm>
              <a:off x="161925" y="1078849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i="0">
                  <a:latin typeface="Cambria Math" panose="02040503050406030204" pitchFamily="18" charset="0"/>
                </a:rPr>
                <a:t>〖</a:t>
              </a:r>
              <a:r>
                <a:rPr lang="en-US" altLang="ko-K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𝐴〗_𝑛=𝑆+90˚×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(𝑛−1)−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𝑀_𝑛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_𝑟+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_𝑥+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_𝑠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14</xdr:col>
      <xdr:colOff>38100</xdr:colOff>
      <xdr:row>496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3" name="TextBox 5"/>
            <xdr:cNvSpPr txBox="1"/>
          </xdr:nvSpPr>
          <xdr:spPr>
            <a:xfrm>
              <a:off x="2171700" y="1187767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63" name="TextBox 5"/>
            <xdr:cNvSpPr txBox="1"/>
          </xdr:nvSpPr>
          <xdr:spPr>
            <a:xfrm>
              <a:off x="2171700" y="1187767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0</xdr:colOff>
      <xdr:row>496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4" name="TextBox 5"/>
            <xdr:cNvSpPr txBox="1"/>
          </xdr:nvSpPr>
          <xdr:spPr>
            <a:xfrm>
              <a:off x="2743200" y="11877675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64" name="TextBox 5"/>
            <xdr:cNvSpPr txBox="1"/>
          </xdr:nvSpPr>
          <xdr:spPr>
            <a:xfrm>
              <a:off x="2743200" y="11877675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508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5" name="TextBox 5"/>
            <xdr:cNvSpPr txBox="1"/>
          </xdr:nvSpPr>
          <xdr:spPr>
            <a:xfrm>
              <a:off x="2276474" y="1216342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65" name="TextBox 5"/>
            <xdr:cNvSpPr txBox="1"/>
          </xdr:nvSpPr>
          <xdr:spPr>
            <a:xfrm>
              <a:off x="2276474" y="1216342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508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6" name="TextBox 5"/>
            <xdr:cNvSpPr txBox="1"/>
          </xdr:nvSpPr>
          <xdr:spPr>
            <a:xfrm>
              <a:off x="3047999" y="1216342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66" name="TextBox 5"/>
            <xdr:cNvSpPr txBox="1"/>
          </xdr:nvSpPr>
          <xdr:spPr>
            <a:xfrm>
              <a:off x="3047999" y="1216342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513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7" name="TextBox 5"/>
            <xdr:cNvSpPr txBox="1"/>
          </xdr:nvSpPr>
          <xdr:spPr>
            <a:xfrm>
              <a:off x="1076325" y="12281535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67" name="TextBox 5"/>
            <xdr:cNvSpPr txBox="1"/>
          </xdr:nvSpPr>
          <xdr:spPr>
            <a:xfrm>
              <a:off x="1076325" y="12281535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100011</xdr:colOff>
      <xdr:row>554</xdr:row>
      <xdr:rowOff>28575</xdr:rowOff>
    </xdr:from>
    <xdr:ext cx="728663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8" name="TextBox 2"/>
            <xdr:cNvSpPr txBox="1">
              <a:spLocks/>
            </xdr:cNvSpPr>
          </xdr:nvSpPr>
          <xdr:spPr>
            <a:xfrm>
              <a:off x="3148011" y="132597525"/>
              <a:ext cx="728663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68" name="TextBox 2"/>
            <xdr:cNvSpPr txBox="1">
              <a:spLocks/>
            </xdr:cNvSpPr>
          </xdr:nvSpPr>
          <xdr:spPr>
            <a:xfrm>
              <a:off x="3148011" y="132597525"/>
              <a:ext cx="728663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554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9" name="TextBox 468"/>
            <xdr:cNvSpPr txBox="1"/>
          </xdr:nvSpPr>
          <xdr:spPr>
            <a:xfrm>
              <a:off x="200025" y="1326210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69" name="TextBox 468"/>
            <xdr:cNvSpPr txBox="1"/>
          </xdr:nvSpPr>
          <xdr:spPr>
            <a:xfrm>
              <a:off x="200025" y="1326210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37943</xdr:colOff>
      <xdr:row>548</xdr:row>
      <xdr:rowOff>38101</xdr:rowOff>
    </xdr:from>
    <xdr:ext cx="724215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0" name="TextBox 2"/>
            <xdr:cNvSpPr txBox="1">
              <a:spLocks/>
            </xdr:cNvSpPr>
          </xdr:nvSpPr>
          <xdr:spPr>
            <a:xfrm>
              <a:off x="799943" y="131178301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0" name="TextBox 2"/>
            <xdr:cNvSpPr txBox="1">
              <a:spLocks/>
            </xdr:cNvSpPr>
          </xdr:nvSpPr>
          <xdr:spPr>
            <a:xfrm>
              <a:off x="799943" y="131178301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152399</xdr:colOff>
      <xdr:row>523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1" name="TextBox 5"/>
            <xdr:cNvSpPr txBox="1"/>
          </xdr:nvSpPr>
          <xdr:spPr>
            <a:xfrm>
              <a:off x="2285999" y="125206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1" name="TextBox 5"/>
            <xdr:cNvSpPr txBox="1"/>
          </xdr:nvSpPr>
          <xdr:spPr>
            <a:xfrm>
              <a:off x="2285999" y="125206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528</xdr:row>
      <xdr:rowOff>9525</xdr:rowOff>
    </xdr:from>
    <xdr:ext cx="2266950" cy="466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2" name="TextBox 5"/>
            <xdr:cNvSpPr txBox="1"/>
          </xdr:nvSpPr>
          <xdr:spPr>
            <a:xfrm>
              <a:off x="1076325" y="126387225"/>
              <a:ext cx="2266950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2" name="TextBox 5"/>
            <xdr:cNvSpPr txBox="1"/>
          </xdr:nvSpPr>
          <xdr:spPr>
            <a:xfrm>
              <a:off x="1076325" y="126387225"/>
              <a:ext cx="2266950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538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3" name="TextBox 5"/>
            <xdr:cNvSpPr txBox="1"/>
          </xdr:nvSpPr>
          <xdr:spPr>
            <a:xfrm>
              <a:off x="2276474" y="1287780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3" name="TextBox 5"/>
            <xdr:cNvSpPr txBox="1"/>
          </xdr:nvSpPr>
          <xdr:spPr>
            <a:xfrm>
              <a:off x="2276474" y="1287780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543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4" name="TextBox 5"/>
            <xdr:cNvSpPr txBox="1"/>
          </xdr:nvSpPr>
          <xdr:spPr>
            <a:xfrm>
              <a:off x="1076325" y="1299591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4" name="TextBox 5"/>
            <xdr:cNvSpPr txBox="1"/>
          </xdr:nvSpPr>
          <xdr:spPr>
            <a:xfrm>
              <a:off x="1076325" y="1299591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9526</xdr:colOff>
      <xdr:row>510</xdr:row>
      <xdr:rowOff>52392</xdr:rowOff>
    </xdr:from>
    <xdr:ext cx="871136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5" name="TextBox 474"/>
            <xdr:cNvSpPr txBox="1"/>
          </xdr:nvSpPr>
          <xdr:spPr>
            <a:xfrm>
              <a:off x="1228726" y="122143842"/>
              <a:ext cx="871136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5" name="TextBox 474"/>
            <xdr:cNvSpPr txBox="1"/>
          </xdr:nvSpPr>
          <xdr:spPr>
            <a:xfrm>
              <a:off x="1228726" y="122143842"/>
              <a:ext cx="871136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𝐴〗_𝑛)/(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9526</xdr:colOff>
      <xdr:row>485</xdr:row>
      <xdr:rowOff>52392</xdr:rowOff>
    </xdr:from>
    <xdr:ext cx="812338" cy="3220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6" name="TextBox 475"/>
            <xdr:cNvSpPr txBox="1"/>
          </xdr:nvSpPr>
          <xdr:spPr>
            <a:xfrm>
              <a:off x="1228726" y="116190717"/>
              <a:ext cx="812338" cy="322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6" name="TextBox 475"/>
            <xdr:cNvSpPr txBox="1"/>
          </xdr:nvSpPr>
          <xdr:spPr>
            <a:xfrm>
              <a:off x="1228726" y="116190717"/>
              <a:ext cx="812338" cy="322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𝑐_𝑆=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𝐴〗_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𝑛)/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𝑆=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9526</xdr:colOff>
      <xdr:row>498</xdr:row>
      <xdr:rowOff>52392</xdr:rowOff>
    </xdr:from>
    <xdr:ext cx="906530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7" name="TextBox 476"/>
            <xdr:cNvSpPr txBox="1"/>
          </xdr:nvSpPr>
          <xdr:spPr>
            <a:xfrm>
              <a:off x="1228726" y="119286342"/>
              <a:ext cx="90653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7" name="TextBox 476"/>
            <xdr:cNvSpPr txBox="1"/>
          </xdr:nvSpPr>
          <xdr:spPr>
            <a:xfrm>
              <a:off x="1228726" y="119286342"/>
              <a:ext cx="90653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𝑐_(𝑀_𝑛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𝐴〗_𝑛)/(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𝑀_𝑛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9526</xdr:colOff>
      <xdr:row>540</xdr:row>
      <xdr:rowOff>52392</xdr:rowOff>
    </xdr:from>
    <xdr:ext cx="864980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8" name="TextBox 477"/>
            <xdr:cNvSpPr txBox="1"/>
          </xdr:nvSpPr>
          <xdr:spPr>
            <a:xfrm>
              <a:off x="1228726" y="129287592"/>
              <a:ext cx="86498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8" name="TextBox 477"/>
            <xdr:cNvSpPr txBox="1"/>
          </xdr:nvSpPr>
          <xdr:spPr>
            <a:xfrm>
              <a:off x="1228726" y="129287592"/>
              <a:ext cx="86498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_𝑠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𝐴〗_𝑛)/(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9526</xdr:colOff>
      <xdr:row>525</xdr:row>
      <xdr:rowOff>52392</xdr:rowOff>
    </xdr:from>
    <xdr:ext cx="876715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9" name="TextBox 478"/>
            <xdr:cNvSpPr txBox="1"/>
          </xdr:nvSpPr>
          <xdr:spPr>
            <a:xfrm>
              <a:off x="1228726" y="125715717"/>
              <a:ext cx="876715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9" name="TextBox 478"/>
            <xdr:cNvSpPr txBox="1"/>
          </xdr:nvSpPr>
          <xdr:spPr>
            <a:xfrm>
              <a:off x="1228726" y="125715717"/>
              <a:ext cx="876715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𝐴〗_𝑛)/(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547</xdr:row>
      <xdr:rowOff>38100</xdr:rowOff>
    </xdr:from>
    <xdr:ext cx="3505200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0" name="TextBox 2"/>
            <xdr:cNvSpPr txBox="1">
              <a:spLocks/>
            </xdr:cNvSpPr>
          </xdr:nvSpPr>
          <xdr:spPr>
            <a:xfrm>
              <a:off x="161925" y="130940175"/>
              <a:ext cx="35052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80" name="TextBox 2"/>
            <xdr:cNvSpPr txBox="1">
              <a:spLocks/>
            </xdr:cNvSpPr>
          </xdr:nvSpPr>
          <xdr:spPr>
            <a:xfrm>
              <a:off x="161925" y="130940175"/>
              <a:ext cx="35052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〗_𝑛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(𝑆)+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𝑀_𝑛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〗_𝑟)+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〗_𝑥)+〖𝑢^2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〗_𝑠)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37943</xdr:colOff>
      <xdr:row>548</xdr:row>
      <xdr:rowOff>38101</xdr:rowOff>
    </xdr:from>
    <xdr:ext cx="724215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1" name="TextBox 2"/>
            <xdr:cNvSpPr txBox="1">
              <a:spLocks/>
            </xdr:cNvSpPr>
          </xdr:nvSpPr>
          <xdr:spPr>
            <a:xfrm>
              <a:off x="1714343" y="131178301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81" name="TextBox 2"/>
            <xdr:cNvSpPr txBox="1">
              <a:spLocks/>
            </xdr:cNvSpPr>
          </xdr:nvSpPr>
          <xdr:spPr>
            <a:xfrm>
              <a:off x="1714343" y="131178301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37943</xdr:colOff>
      <xdr:row>548</xdr:row>
      <xdr:rowOff>38101</xdr:rowOff>
    </xdr:from>
    <xdr:ext cx="724215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2" name="TextBox 2"/>
            <xdr:cNvSpPr txBox="1">
              <a:spLocks/>
            </xdr:cNvSpPr>
          </xdr:nvSpPr>
          <xdr:spPr>
            <a:xfrm>
              <a:off x="2628743" y="131178301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82" name="TextBox 2"/>
            <xdr:cNvSpPr txBox="1">
              <a:spLocks/>
            </xdr:cNvSpPr>
          </xdr:nvSpPr>
          <xdr:spPr>
            <a:xfrm>
              <a:off x="2628743" y="131178301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37943</xdr:colOff>
      <xdr:row>548</xdr:row>
      <xdr:rowOff>38101</xdr:rowOff>
    </xdr:from>
    <xdr:ext cx="724215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3" name="TextBox 2"/>
            <xdr:cNvSpPr txBox="1">
              <a:spLocks/>
            </xdr:cNvSpPr>
          </xdr:nvSpPr>
          <xdr:spPr>
            <a:xfrm>
              <a:off x="3543143" y="131178301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83" name="TextBox 2"/>
            <xdr:cNvSpPr txBox="1">
              <a:spLocks/>
            </xdr:cNvSpPr>
          </xdr:nvSpPr>
          <xdr:spPr>
            <a:xfrm>
              <a:off x="3543143" y="131178301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37943</xdr:colOff>
      <xdr:row>548</xdr:row>
      <xdr:rowOff>38101</xdr:rowOff>
    </xdr:from>
    <xdr:ext cx="724215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4" name="TextBox 2"/>
            <xdr:cNvSpPr txBox="1">
              <a:spLocks/>
            </xdr:cNvSpPr>
          </xdr:nvSpPr>
          <xdr:spPr>
            <a:xfrm>
              <a:off x="4457543" y="131178301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84" name="TextBox 2"/>
            <xdr:cNvSpPr txBox="1">
              <a:spLocks/>
            </xdr:cNvSpPr>
          </xdr:nvSpPr>
          <xdr:spPr>
            <a:xfrm>
              <a:off x="4457543" y="131178301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37943</xdr:colOff>
      <xdr:row>549</xdr:row>
      <xdr:rowOff>38101</xdr:rowOff>
    </xdr:from>
    <xdr:ext cx="724215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5" name="TextBox 2"/>
            <xdr:cNvSpPr txBox="1">
              <a:spLocks/>
            </xdr:cNvSpPr>
          </xdr:nvSpPr>
          <xdr:spPr>
            <a:xfrm>
              <a:off x="799943" y="131416426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85" name="TextBox 2"/>
            <xdr:cNvSpPr txBox="1">
              <a:spLocks/>
            </xdr:cNvSpPr>
          </xdr:nvSpPr>
          <xdr:spPr>
            <a:xfrm>
              <a:off x="799943" y="131416426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14287</xdr:colOff>
      <xdr:row>555</xdr:row>
      <xdr:rowOff>28575</xdr:rowOff>
    </xdr:from>
    <xdr:ext cx="623888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6" name="TextBox 2"/>
            <xdr:cNvSpPr txBox="1">
              <a:spLocks/>
            </xdr:cNvSpPr>
          </xdr:nvSpPr>
          <xdr:spPr>
            <a:xfrm>
              <a:off x="1690687" y="132835650"/>
              <a:ext cx="62388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86" name="TextBox 2"/>
            <xdr:cNvSpPr txBox="1">
              <a:spLocks/>
            </xdr:cNvSpPr>
          </xdr:nvSpPr>
          <xdr:spPr>
            <a:xfrm>
              <a:off x="1690687" y="132835650"/>
              <a:ext cx="62388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4762</xdr:colOff>
      <xdr:row>555</xdr:row>
      <xdr:rowOff>28575</xdr:rowOff>
    </xdr:from>
    <xdr:ext cx="623888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7" name="TextBox 2"/>
            <xdr:cNvSpPr txBox="1">
              <a:spLocks/>
            </xdr:cNvSpPr>
          </xdr:nvSpPr>
          <xdr:spPr>
            <a:xfrm>
              <a:off x="2443162" y="132835650"/>
              <a:ext cx="62388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87" name="TextBox 2"/>
            <xdr:cNvSpPr txBox="1">
              <a:spLocks/>
            </xdr:cNvSpPr>
          </xdr:nvSpPr>
          <xdr:spPr>
            <a:xfrm>
              <a:off x="2443162" y="132835650"/>
              <a:ext cx="62388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4762</xdr:colOff>
      <xdr:row>555</xdr:row>
      <xdr:rowOff>28575</xdr:rowOff>
    </xdr:from>
    <xdr:ext cx="623888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8" name="TextBox 2"/>
            <xdr:cNvSpPr txBox="1">
              <a:spLocks/>
            </xdr:cNvSpPr>
          </xdr:nvSpPr>
          <xdr:spPr>
            <a:xfrm>
              <a:off x="3205162" y="132835650"/>
              <a:ext cx="62388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88" name="TextBox 2"/>
            <xdr:cNvSpPr txBox="1">
              <a:spLocks/>
            </xdr:cNvSpPr>
          </xdr:nvSpPr>
          <xdr:spPr>
            <a:xfrm>
              <a:off x="3205162" y="132835650"/>
              <a:ext cx="62388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4762</xdr:colOff>
      <xdr:row>555</xdr:row>
      <xdr:rowOff>28575</xdr:rowOff>
    </xdr:from>
    <xdr:ext cx="623888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9" name="TextBox 2"/>
            <xdr:cNvSpPr txBox="1">
              <a:spLocks/>
            </xdr:cNvSpPr>
          </xdr:nvSpPr>
          <xdr:spPr>
            <a:xfrm>
              <a:off x="3967162" y="132835650"/>
              <a:ext cx="62388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89" name="TextBox 2"/>
            <xdr:cNvSpPr txBox="1">
              <a:spLocks/>
            </xdr:cNvSpPr>
          </xdr:nvSpPr>
          <xdr:spPr>
            <a:xfrm>
              <a:off x="3967162" y="132835650"/>
              <a:ext cx="62388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31</xdr:col>
      <xdr:colOff>4762</xdr:colOff>
      <xdr:row>555</xdr:row>
      <xdr:rowOff>28575</xdr:rowOff>
    </xdr:from>
    <xdr:ext cx="623888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0" name="TextBox 2"/>
            <xdr:cNvSpPr txBox="1">
              <a:spLocks/>
            </xdr:cNvSpPr>
          </xdr:nvSpPr>
          <xdr:spPr>
            <a:xfrm>
              <a:off x="4729162" y="132835650"/>
              <a:ext cx="62388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90" name="TextBox 2"/>
            <xdr:cNvSpPr txBox="1">
              <a:spLocks/>
            </xdr:cNvSpPr>
          </xdr:nvSpPr>
          <xdr:spPr>
            <a:xfrm>
              <a:off x="4729162" y="132835650"/>
              <a:ext cx="62388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9526</xdr:colOff>
      <xdr:row>619</xdr:row>
      <xdr:rowOff>61917</xdr:rowOff>
    </xdr:from>
    <xdr:ext cx="6183809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1" name="TextBox 490"/>
            <xdr:cNvSpPr txBox="1"/>
          </xdr:nvSpPr>
          <xdr:spPr>
            <a:xfrm>
              <a:off x="314326" y="148270917"/>
              <a:ext cx="6183809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91" name="TextBox 490"/>
            <xdr:cNvSpPr txBox="1"/>
          </xdr:nvSpPr>
          <xdr:spPr>
            <a:xfrm>
              <a:off x="314326" y="148270917"/>
              <a:ext cx="6183809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𝑐_𝑆=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𝐴〗_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𝑛)/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𝑆=1,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𝑐_(𝑀_𝑛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𝐴〗_𝑛)/(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𝑀_𝑛 )=−1,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𝐴〗_𝑛)/(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 )=1,   𝑐_(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𝐴〗_𝑛)/(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)=1,  𝑐_(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_𝑠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𝐴〗_𝑛)/(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617</xdr:row>
      <xdr:rowOff>14286</xdr:rowOff>
    </xdr:from>
    <xdr:ext cx="7886700" cy="2333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2" name="TextBox 2"/>
            <xdr:cNvSpPr txBox="1">
              <a:spLocks/>
            </xdr:cNvSpPr>
          </xdr:nvSpPr>
          <xdr:spPr>
            <a:xfrm>
              <a:off x="161925" y="147747036"/>
              <a:ext cx="7886700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92" name="TextBox 2"/>
            <xdr:cNvSpPr txBox="1">
              <a:spLocks/>
            </xdr:cNvSpPr>
          </xdr:nvSpPr>
          <xdr:spPr>
            <a:xfrm>
              <a:off x="161925" y="147747036"/>
              <a:ext cx="7886700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〗_𝑛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(𝑆)+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𝑀_𝑛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〗_𝑟)+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〗_𝑥)+〖𝑢^2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〗_𝑠)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606</xdr:row>
      <xdr:rowOff>80961</xdr:rowOff>
    </xdr:from>
    <xdr:ext cx="3190875" cy="3444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3" name="TextBox 492"/>
            <xdr:cNvSpPr txBox="1">
              <a:spLocks noChangeAspect="1"/>
            </xdr:cNvSpPr>
          </xdr:nvSpPr>
          <xdr:spPr>
            <a:xfrm>
              <a:off x="161925" y="145194336"/>
              <a:ext cx="3190875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493" name="TextBox 492"/>
            <xdr:cNvSpPr txBox="1">
              <a:spLocks noChangeAspect="1"/>
            </xdr:cNvSpPr>
          </xdr:nvSpPr>
          <xdr:spPr>
            <a:xfrm>
              <a:off x="161925" y="145194336"/>
              <a:ext cx="3190875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i="0">
                  <a:latin typeface="Cambria Math" panose="02040503050406030204" pitchFamily="18" charset="0"/>
                </a:rPr>
                <a:t>〖</a:t>
              </a:r>
              <a:r>
                <a:rPr lang="en-US" altLang="ko-K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𝐴〗_𝑛=𝑆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𝑀_𝑛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_𝑟+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_𝑥+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_𝑠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20</xdr:col>
      <xdr:colOff>100011</xdr:colOff>
      <xdr:row>641</xdr:row>
      <xdr:rowOff>28575</xdr:rowOff>
    </xdr:from>
    <xdr:ext cx="728663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4" name="TextBox 2"/>
            <xdr:cNvSpPr txBox="1">
              <a:spLocks/>
            </xdr:cNvSpPr>
          </xdr:nvSpPr>
          <xdr:spPr>
            <a:xfrm>
              <a:off x="3148011" y="153476325"/>
              <a:ext cx="728663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94" name="TextBox 2"/>
            <xdr:cNvSpPr txBox="1">
              <a:spLocks/>
            </xdr:cNvSpPr>
          </xdr:nvSpPr>
          <xdr:spPr>
            <a:xfrm>
              <a:off x="3148011" y="153476325"/>
              <a:ext cx="728663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641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5" name="TextBox 494"/>
            <xdr:cNvSpPr txBox="1"/>
          </xdr:nvSpPr>
          <xdr:spPr>
            <a:xfrm>
              <a:off x="200025" y="1534998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95" name="TextBox 494"/>
            <xdr:cNvSpPr txBox="1"/>
          </xdr:nvSpPr>
          <xdr:spPr>
            <a:xfrm>
              <a:off x="200025" y="15349985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18893</xdr:colOff>
      <xdr:row>635</xdr:row>
      <xdr:rowOff>38101</xdr:rowOff>
    </xdr:from>
    <xdr:ext cx="724215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6" name="TextBox 2"/>
            <xdr:cNvSpPr txBox="1">
              <a:spLocks/>
            </xdr:cNvSpPr>
          </xdr:nvSpPr>
          <xdr:spPr>
            <a:xfrm>
              <a:off x="780893" y="152057101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96" name="TextBox 2"/>
            <xdr:cNvSpPr txBox="1">
              <a:spLocks/>
            </xdr:cNvSpPr>
          </xdr:nvSpPr>
          <xdr:spPr>
            <a:xfrm>
              <a:off x="780893" y="152057101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634</xdr:row>
      <xdr:rowOff>38100</xdr:rowOff>
    </xdr:from>
    <xdr:ext cx="3505200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7" name="TextBox 2"/>
            <xdr:cNvSpPr txBox="1">
              <a:spLocks/>
            </xdr:cNvSpPr>
          </xdr:nvSpPr>
          <xdr:spPr>
            <a:xfrm>
              <a:off x="161925" y="151818975"/>
              <a:ext cx="35052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97" name="TextBox 2"/>
            <xdr:cNvSpPr txBox="1">
              <a:spLocks/>
            </xdr:cNvSpPr>
          </xdr:nvSpPr>
          <xdr:spPr>
            <a:xfrm>
              <a:off x="161925" y="151818975"/>
              <a:ext cx="35052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〗_𝑛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(𝑆)+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𝑀_𝑛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〗_𝑟)+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〗_𝑥)+〖𝑢^2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〗_𝑠)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37943</xdr:colOff>
      <xdr:row>635</xdr:row>
      <xdr:rowOff>38101</xdr:rowOff>
    </xdr:from>
    <xdr:ext cx="724215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8" name="TextBox 2"/>
            <xdr:cNvSpPr txBox="1">
              <a:spLocks/>
            </xdr:cNvSpPr>
          </xdr:nvSpPr>
          <xdr:spPr>
            <a:xfrm>
              <a:off x="1714343" y="152057101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98" name="TextBox 2"/>
            <xdr:cNvSpPr txBox="1">
              <a:spLocks/>
            </xdr:cNvSpPr>
          </xdr:nvSpPr>
          <xdr:spPr>
            <a:xfrm>
              <a:off x="1714343" y="152057101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28418</xdr:colOff>
      <xdr:row>635</xdr:row>
      <xdr:rowOff>38101</xdr:rowOff>
    </xdr:from>
    <xdr:ext cx="724215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9" name="TextBox 2"/>
            <xdr:cNvSpPr txBox="1">
              <a:spLocks/>
            </xdr:cNvSpPr>
          </xdr:nvSpPr>
          <xdr:spPr>
            <a:xfrm>
              <a:off x="2619218" y="152057101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99" name="TextBox 2"/>
            <xdr:cNvSpPr txBox="1">
              <a:spLocks/>
            </xdr:cNvSpPr>
          </xdr:nvSpPr>
          <xdr:spPr>
            <a:xfrm>
              <a:off x="2619218" y="152057101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37943</xdr:colOff>
      <xdr:row>635</xdr:row>
      <xdr:rowOff>38101</xdr:rowOff>
    </xdr:from>
    <xdr:ext cx="724215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0" name="TextBox 2"/>
            <xdr:cNvSpPr txBox="1">
              <a:spLocks/>
            </xdr:cNvSpPr>
          </xdr:nvSpPr>
          <xdr:spPr>
            <a:xfrm>
              <a:off x="3543143" y="152057101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00" name="TextBox 2"/>
            <xdr:cNvSpPr txBox="1">
              <a:spLocks/>
            </xdr:cNvSpPr>
          </xdr:nvSpPr>
          <xdr:spPr>
            <a:xfrm>
              <a:off x="3543143" y="152057101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37943</xdr:colOff>
      <xdr:row>635</xdr:row>
      <xdr:rowOff>38101</xdr:rowOff>
    </xdr:from>
    <xdr:ext cx="724215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1" name="TextBox 2"/>
            <xdr:cNvSpPr txBox="1">
              <a:spLocks/>
            </xdr:cNvSpPr>
          </xdr:nvSpPr>
          <xdr:spPr>
            <a:xfrm>
              <a:off x="4457543" y="152057101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01" name="TextBox 2"/>
            <xdr:cNvSpPr txBox="1">
              <a:spLocks/>
            </xdr:cNvSpPr>
          </xdr:nvSpPr>
          <xdr:spPr>
            <a:xfrm>
              <a:off x="4457543" y="152057101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37943</xdr:colOff>
      <xdr:row>636</xdr:row>
      <xdr:rowOff>38101</xdr:rowOff>
    </xdr:from>
    <xdr:ext cx="724215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2" name="TextBox 2"/>
            <xdr:cNvSpPr txBox="1">
              <a:spLocks/>
            </xdr:cNvSpPr>
          </xdr:nvSpPr>
          <xdr:spPr>
            <a:xfrm>
              <a:off x="799943" y="152295226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02" name="TextBox 2"/>
            <xdr:cNvSpPr txBox="1">
              <a:spLocks/>
            </xdr:cNvSpPr>
          </xdr:nvSpPr>
          <xdr:spPr>
            <a:xfrm>
              <a:off x="799943" y="152295226"/>
              <a:ext cx="724215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147637</xdr:colOff>
      <xdr:row>642</xdr:row>
      <xdr:rowOff>28575</xdr:rowOff>
    </xdr:from>
    <xdr:ext cx="623888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3" name="TextBox 2"/>
            <xdr:cNvSpPr txBox="1">
              <a:spLocks/>
            </xdr:cNvSpPr>
          </xdr:nvSpPr>
          <xdr:spPr>
            <a:xfrm>
              <a:off x="1671637" y="153714450"/>
              <a:ext cx="62388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03" name="TextBox 2"/>
            <xdr:cNvSpPr txBox="1">
              <a:spLocks/>
            </xdr:cNvSpPr>
          </xdr:nvSpPr>
          <xdr:spPr>
            <a:xfrm>
              <a:off x="1671637" y="153714450"/>
              <a:ext cx="62388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4762</xdr:colOff>
      <xdr:row>642</xdr:row>
      <xdr:rowOff>28575</xdr:rowOff>
    </xdr:from>
    <xdr:ext cx="623888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4" name="TextBox 2"/>
            <xdr:cNvSpPr txBox="1">
              <a:spLocks/>
            </xdr:cNvSpPr>
          </xdr:nvSpPr>
          <xdr:spPr>
            <a:xfrm>
              <a:off x="2443162" y="153714450"/>
              <a:ext cx="62388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04" name="TextBox 2"/>
            <xdr:cNvSpPr txBox="1">
              <a:spLocks/>
            </xdr:cNvSpPr>
          </xdr:nvSpPr>
          <xdr:spPr>
            <a:xfrm>
              <a:off x="2443162" y="153714450"/>
              <a:ext cx="62388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138112</xdr:colOff>
      <xdr:row>642</xdr:row>
      <xdr:rowOff>28575</xdr:rowOff>
    </xdr:from>
    <xdr:ext cx="623888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5" name="TextBox 2"/>
            <xdr:cNvSpPr txBox="1">
              <a:spLocks/>
            </xdr:cNvSpPr>
          </xdr:nvSpPr>
          <xdr:spPr>
            <a:xfrm>
              <a:off x="3186112" y="153714450"/>
              <a:ext cx="62388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05" name="TextBox 2"/>
            <xdr:cNvSpPr txBox="1">
              <a:spLocks/>
            </xdr:cNvSpPr>
          </xdr:nvSpPr>
          <xdr:spPr>
            <a:xfrm>
              <a:off x="3186112" y="153714450"/>
              <a:ext cx="62388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4762</xdr:colOff>
      <xdr:row>642</xdr:row>
      <xdr:rowOff>28575</xdr:rowOff>
    </xdr:from>
    <xdr:ext cx="623888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6" name="TextBox 2"/>
            <xdr:cNvSpPr txBox="1">
              <a:spLocks/>
            </xdr:cNvSpPr>
          </xdr:nvSpPr>
          <xdr:spPr>
            <a:xfrm>
              <a:off x="3967162" y="153714450"/>
              <a:ext cx="62388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06" name="TextBox 2"/>
            <xdr:cNvSpPr txBox="1">
              <a:spLocks/>
            </xdr:cNvSpPr>
          </xdr:nvSpPr>
          <xdr:spPr>
            <a:xfrm>
              <a:off x="3967162" y="153714450"/>
              <a:ext cx="62388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31</xdr:col>
      <xdr:colOff>4762</xdr:colOff>
      <xdr:row>642</xdr:row>
      <xdr:rowOff>28575</xdr:rowOff>
    </xdr:from>
    <xdr:ext cx="623888" cy="209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7" name="TextBox 2"/>
            <xdr:cNvSpPr txBox="1">
              <a:spLocks/>
            </xdr:cNvSpPr>
          </xdr:nvSpPr>
          <xdr:spPr>
            <a:xfrm>
              <a:off x="4729162" y="153714450"/>
              <a:ext cx="62388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07" name="TextBox 2"/>
            <xdr:cNvSpPr txBox="1">
              <a:spLocks/>
            </xdr:cNvSpPr>
          </xdr:nvSpPr>
          <xdr:spPr>
            <a:xfrm>
              <a:off x="4729162" y="153714450"/>
              <a:ext cx="623888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451" t="s">
        <v>0</v>
      </c>
      <c r="B1" s="452"/>
      <c r="C1" s="452"/>
      <c r="D1" s="452"/>
      <c r="E1" s="452"/>
      <c r="F1" s="452"/>
      <c r="G1" s="452"/>
      <c r="H1" s="453"/>
      <c r="I1" s="454"/>
      <c r="J1" s="455"/>
    </row>
    <row r="2" spans="1:13" ht="12.95" customHeight="1">
      <c r="A2" s="431" t="s">
        <v>1</v>
      </c>
      <c r="B2" s="431"/>
      <c r="C2" s="431"/>
      <c r="D2" s="431"/>
      <c r="E2" s="431"/>
      <c r="F2" s="431"/>
      <c r="G2" s="431"/>
      <c r="H2" s="431"/>
      <c r="I2" s="431"/>
      <c r="J2" s="431"/>
    </row>
    <row r="3" spans="1:13" ht="12.95" customHeight="1">
      <c r="A3" s="432" t="s">
        <v>2</v>
      </c>
      <c r="B3" s="433"/>
      <c r="C3" s="456"/>
      <c r="D3" s="456"/>
      <c r="E3" s="456"/>
      <c r="F3" s="433" t="s">
        <v>3</v>
      </c>
      <c r="G3" s="433"/>
      <c r="H3" s="447"/>
      <c r="I3" s="446"/>
      <c r="J3" s="446"/>
    </row>
    <row r="4" spans="1:13" ht="12.95" customHeight="1">
      <c r="A4" s="433" t="s">
        <v>4</v>
      </c>
      <c r="B4" s="433"/>
      <c r="C4" s="457"/>
      <c r="D4" s="433"/>
      <c r="E4" s="433"/>
      <c r="F4" s="433" t="s">
        <v>5</v>
      </c>
      <c r="G4" s="433"/>
      <c r="H4" s="433"/>
      <c r="I4" s="446"/>
      <c r="J4" s="446"/>
    </row>
    <row r="5" spans="1:13" ht="12.95" customHeight="1">
      <c r="A5" s="433" t="s">
        <v>6</v>
      </c>
      <c r="B5" s="433"/>
      <c r="C5" s="433"/>
      <c r="D5" s="446"/>
      <c r="E5" s="446"/>
      <c r="F5" s="432" t="s">
        <v>7</v>
      </c>
      <c r="G5" s="433"/>
      <c r="H5" s="434"/>
      <c r="I5" s="435"/>
      <c r="J5" s="435"/>
    </row>
    <row r="6" spans="1:13" ht="12.95" customHeight="1">
      <c r="A6" s="433" t="s">
        <v>8</v>
      </c>
      <c r="B6" s="433"/>
      <c r="C6" s="433"/>
      <c r="D6" s="446"/>
      <c r="E6" s="446"/>
      <c r="F6" s="432" t="s">
        <v>9</v>
      </c>
      <c r="G6" s="433"/>
      <c r="H6" s="434"/>
      <c r="I6" s="435"/>
      <c r="J6" s="435"/>
    </row>
    <row r="7" spans="1:13" ht="12.95" customHeight="1">
      <c r="A7" s="433" t="s">
        <v>10</v>
      </c>
      <c r="B7" s="433"/>
      <c r="C7" s="449"/>
      <c r="D7" s="446"/>
      <c r="E7" s="446"/>
      <c r="F7" s="432" t="s">
        <v>11</v>
      </c>
      <c r="G7" s="433"/>
      <c r="H7" s="433"/>
      <c r="I7" s="446"/>
      <c r="J7" s="446"/>
    </row>
    <row r="8" spans="1:13" ht="12.95" customHeight="1">
      <c r="A8" s="433" t="s">
        <v>12</v>
      </c>
      <c r="B8" s="433"/>
      <c r="C8" s="447"/>
      <c r="D8" s="448"/>
      <c r="E8" s="448"/>
      <c r="F8" s="432" t="s">
        <v>13</v>
      </c>
      <c r="G8" s="433"/>
      <c r="H8" s="433"/>
      <c r="I8" s="446"/>
      <c r="J8" s="446"/>
    </row>
    <row r="9" spans="1:13" ht="12.95" customHeight="1">
      <c r="A9" s="432" t="s">
        <v>35</v>
      </c>
      <c r="B9" s="433"/>
      <c r="C9" s="434"/>
      <c r="D9" s="435"/>
      <c r="E9" s="435"/>
      <c r="F9" s="450" t="s">
        <v>14</v>
      </c>
      <c r="G9" s="450"/>
      <c r="H9" s="434"/>
      <c r="I9" s="435"/>
      <c r="J9" s="435"/>
    </row>
    <row r="10" spans="1:13" ht="23.25" customHeight="1">
      <c r="A10" s="433" t="s">
        <v>15</v>
      </c>
      <c r="B10" s="433"/>
      <c r="C10" s="434"/>
      <c r="D10" s="435"/>
      <c r="E10" s="435"/>
      <c r="F10" s="433" t="s">
        <v>16</v>
      </c>
      <c r="G10" s="433"/>
      <c r="H10" s="34"/>
      <c r="I10" s="438" t="s">
        <v>17</v>
      </c>
      <c r="J10" s="439"/>
      <c r="K10" s="4"/>
    </row>
    <row r="11" spans="1:13" ht="12.95" customHeight="1">
      <c r="A11" s="431" t="s">
        <v>18</v>
      </c>
      <c r="B11" s="431"/>
      <c r="C11" s="431"/>
      <c r="D11" s="431"/>
      <c r="E11" s="431"/>
      <c r="F11" s="431"/>
      <c r="G11" s="431"/>
      <c r="H11" s="431"/>
      <c r="I11" s="431"/>
      <c r="J11" s="431"/>
      <c r="K11" s="5"/>
    </row>
    <row r="12" spans="1:13" ht="17.25" customHeight="1">
      <c r="A12" s="3" t="s">
        <v>19</v>
      </c>
      <c r="B12" s="83"/>
      <c r="C12" s="6" t="s">
        <v>20</v>
      </c>
      <c r="D12" s="84"/>
      <c r="E12" s="6" t="s">
        <v>21</v>
      </c>
      <c r="F12" s="85"/>
      <c r="G12" s="440" t="s">
        <v>22</v>
      </c>
      <c r="H12" s="436"/>
      <c r="I12" s="442" t="s">
        <v>23</v>
      </c>
      <c r="J12" s="443"/>
      <c r="K12" s="4"/>
      <c r="L12" s="7"/>
      <c r="M12" s="7"/>
    </row>
    <row r="13" spans="1:13" ht="17.25" customHeight="1">
      <c r="A13" s="8" t="s">
        <v>24</v>
      </c>
      <c r="B13" s="83"/>
      <c r="C13" s="8" t="s">
        <v>25</v>
      </c>
      <c r="D13" s="84"/>
      <c r="E13" s="6" t="s">
        <v>26</v>
      </c>
      <c r="F13" s="85"/>
      <c r="G13" s="441"/>
      <c r="H13" s="437"/>
      <c r="I13" s="444"/>
      <c r="J13" s="445"/>
      <c r="K13" s="5"/>
    </row>
    <row r="14" spans="1:13" ht="12.95" customHeight="1">
      <c r="A14" s="431" t="s">
        <v>27</v>
      </c>
      <c r="B14" s="431"/>
      <c r="C14" s="431"/>
      <c r="D14" s="431"/>
      <c r="E14" s="431"/>
      <c r="F14" s="431"/>
      <c r="G14" s="431"/>
      <c r="H14" s="431"/>
      <c r="I14" s="431"/>
      <c r="J14" s="431"/>
      <c r="K14" s="5"/>
    </row>
    <row r="15" spans="1:13" ht="39" customHeight="1">
      <c r="A15" s="428"/>
      <c r="B15" s="429"/>
      <c r="C15" s="429"/>
      <c r="D15" s="429"/>
      <c r="E15" s="429"/>
      <c r="F15" s="429"/>
      <c r="G15" s="429"/>
      <c r="H15" s="429"/>
      <c r="I15" s="429"/>
      <c r="J15" s="430"/>
    </row>
    <row r="16" spans="1:13" ht="12.95" customHeight="1">
      <c r="A16" s="431" t="s">
        <v>28</v>
      </c>
      <c r="B16" s="431"/>
      <c r="C16" s="431"/>
      <c r="D16" s="431"/>
      <c r="E16" s="431"/>
      <c r="F16" s="431"/>
      <c r="G16" s="431"/>
      <c r="H16" s="431"/>
      <c r="I16" s="431"/>
      <c r="J16" s="431"/>
    </row>
    <row r="17" spans="1:12" ht="12.95" customHeight="1">
      <c r="A17" s="3" t="s">
        <v>29</v>
      </c>
      <c r="B17" s="432" t="s">
        <v>30</v>
      </c>
      <c r="C17" s="433"/>
      <c r="D17" s="433"/>
      <c r="E17" s="433"/>
      <c r="F17" s="432" t="s">
        <v>31</v>
      </c>
      <c r="G17" s="433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426"/>
      <c r="C18" s="427"/>
      <c r="D18" s="427"/>
      <c r="E18" s="427"/>
      <c r="F18" s="426"/>
      <c r="G18" s="427"/>
      <c r="H18" s="40"/>
      <c r="I18" s="18"/>
      <c r="J18" s="82"/>
      <c r="L18" s="5"/>
    </row>
    <row r="19" spans="1:12" ht="12.95" customHeight="1">
      <c r="A19" s="35"/>
      <c r="B19" s="426"/>
      <c r="C19" s="427"/>
      <c r="D19" s="427"/>
      <c r="E19" s="427"/>
      <c r="F19" s="426"/>
      <c r="G19" s="427"/>
      <c r="H19" s="21"/>
      <c r="I19" s="21"/>
      <c r="J19" s="82"/>
      <c r="L19" s="5"/>
    </row>
    <row r="20" spans="1:12" ht="12.95" customHeight="1">
      <c r="A20" s="35"/>
      <c r="B20" s="426"/>
      <c r="C20" s="427"/>
      <c r="D20" s="427"/>
      <c r="E20" s="427"/>
      <c r="F20" s="426"/>
      <c r="G20" s="427"/>
      <c r="H20" s="32"/>
      <c r="I20" s="32"/>
      <c r="J20" s="82"/>
      <c r="L20" s="5"/>
    </row>
    <row r="21" spans="1:12" ht="12.95" customHeight="1">
      <c r="A21" s="35"/>
      <c r="B21" s="426"/>
      <c r="C21" s="427"/>
      <c r="D21" s="427"/>
      <c r="E21" s="427"/>
      <c r="F21" s="426"/>
      <c r="G21" s="427"/>
      <c r="H21" s="32"/>
      <c r="I21" s="9"/>
      <c r="J21" s="82"/>
      <c r="L21" s="5"/>
    </row>
    <row r="22" spans="1:12" ht="12.95" customHeight="1">
      <c r="A22" s="35"/>
      <c r="B22" s="426"/>
      <c r="C22" s="427"/>
      <c r="D22" s="427"/>
      <c r="E22" s="427"/>
      <c r="F22" s="426"/>
      <c r="G22" s="427"/>
      <c r="H22" s="20"/>
      <c r="I22" s="11"/>
      <c r="J22" s="82"/>
      <c r="L22" s="5"/>
    </row>
    <row r="23" spans="1:12" ht="12.95" customHeight="1">
      <c r="A23" s="35"/>
      <c r="B23" s="426"/>
      <c r="C23" s="427"/>
      <c r="D23" s="427"/>
      <c r="E23" s="427"/>
      <c r="F23" s="426"/>
      <c r="G23" s="427"/>
      <c r="H23" s="11"/>
      <c r="I23" s="9"/>
      <c r="J23" s="82"/>
      <c r="L23" s="5"/>
    </row>
    <row r="24" spans="1:12" ht="12.95" customHeight="1">
      <c r="A24" s="35"/>
      <c r="B24" s="426"/>
      <c r="C24" s="427"/>
      <c r="D24" s="427"/>
      <c r="E24" s="427"/>
      <c r="F24" s="426"/>
      <c r="G24" s="427"/>
      <c r="H24" s="16"/>
      <c r="I24" s="9"/>
      <c r="J24" s="82"/>
      <c r="L24" s="5"/>
    </row>
    <row r="25" spans="1:12" ht="12.95" customHeight="1">
      <c r="A25" s="35"/>
      <c r="B25" s="426"/>
      <c r="C25" s="427"/>
      <c r="D25" s="427"/>
      <c r="E25" s="427"/>
      <c r="F25" s="426"/>
      <c r="G25" s="427"/>
      <c r="H25" s="16"/>
      <c r="I25" s="9"/>
      <c r="J25" s="82"/>
      <c r="L25" s="5"/>
    </row>
    <row r="26" spans="1:12" ht="12.95" customHeight="1">
      <c r="A26" s="35"/>
      <c r="B26" s="426"/>
      <c r="C26" s="427"/>
      <c r="D26" s="427"/>
      <c r="E26" s="427"/>
      <c r="F26" s="426"/>
      <c r="G26" s="427"/>
      <c r="H26" s="16"/>
      <c r="I26" s="9"/>
      <c r="J26" s="82"/>
      <c r="L26" s="5"/>
    </row>
    <row r="27" spans="1:12" ht="12.95" customHeight="1">
      <c r="A27" s="35"/>
      <c r="B27" s="426"/>
      <c r="C27" s="427"/>
      <c r="D27" s="427"/>
      <c r="E27" s="427"/>
      <c r="F27" s="426"/>
      <c r="G27" s="427"/>
      <c r="H27" s="9"/>
      <c r="I27" s="9"/>
      <c r="J27" s="82"/>
    </row>
    <row r="28" spans="1:12" ht="12.95" customHeight="1">
      <c r="A28" s="35"/>
      <c r="B28" s="426"/>
      <c r="C28" s="427"/>
      <c r="D28" s="427"/>
      <c r="E28" s="427"/>
      <c r="F28" s="426"/>
      <c r="G28" s="427"/>
      <c r="H28" s="9"/>
      <c r="I28" s="9"/>
      <c r="J28" s="82"/>
    </row>
    <row r="29" spans="1:12" ht="12.95" customHeight="1">
      <c r="A29" s="35"/>
      <c r="B29" s="426"/>
      <c r="C29" s="427"/>
      <c r="D29" s="427"/>
      <c r="E29" s="427"/>
      <c r="F29" s="426"/>
      <c r="G29" s="427"/>
      <c r="H29" s="9"/>
      <c r="I29" s="9"/>
      <c r="J29" s="82"/>
    </row>
    <row r="30" spans="1:12" ht="12.95" customHeight="1">
      <c r="A30" s="35"/>
      <c r="B30" s="426"/>
      <c r="C30" s="427"/>
      <c r="D30" s="427"/>
      <c r="E30" s="427"/>
      <c r="F30" s="426"/>
      <c r="G30" s="427"/>
      <c r="H30" s="9"/>
      <c r="I30" s="9"/>
      <c r="J30" s="82"/>
    </row>
    <row r="31" spans="1:12" ht="12.95" customHeight="1">
      <c r="A31" s="35"/>
      <c r="B31" s="426"/>
      <c r="C31" s="427"/>
      <c r="D31" s="427"/>
      <c r="E31" s="427"/>
      <c r="F31" s="426"/>
      <c r="G31" s="427"/>
      <c r="H31" s="9"/>
      <c r="I31" s="9"/>
      <c r="J31" s="82"/>
    </row>
    <row r="32" spans="1:12" ht="12.95" customHeight="1">
      <c r="A32" s="35"/>
      <c r="B32" s="426"/>
      <c r="C32" s="427"/>
      <c r="D32" s="427"/>
      <c r="E32" s="427"/>
      <c r="F32" s="426"/>
      <c r="G32" s="427"/>
      <c r="H32" s="9"/>
      <c r="I32" s="9"/>
      <c r="J32" s="82"/>
    </row>
    <row r="33" spans="1:10" ht="12.95" customHeight="1">
      <c r="A33" s="35"/>
      <c r="B33" s="426"/>
      <c r="C33" s="427"/>
      <c r="D33" s="427"/>
      <c r="E33" s="427"/>
      <c r="F33" s="426"/>
      <c r="G33" s="427"/>
      <c r="H33" s="9"/>
      <c r="I33" s="9"/>
      <c r="J33" s="82"/>
    </row>
    <row r="34" spans="1:10" ht="12.95" customHeight="1">
      <c r="A34" s="35"/>
      <c r="B34" s="426"/>
      <c r="C34" s="427"/>
      <c r="D34" s="427"/>
      <c r="E34" s="427"/>
      <c r="F34" s="426"/>
      <c r="G34" s="427"/>
      <c r="H34" s="9"/>
      <c r="I34" s="9"/>
      <c r="J34" s="82"/>
    </row>
    <row r="35" spans="1:10" ht="12.95" customHeight="1">
      <c r="A35" s="35"/>
      <c r="B35" s="426"/>
      <c r="C35" s="427"/>
      <c r="D35" s="427"/>
      <c r="E35" s="427"/>
      <c r="F35" s="426"/>
      <c r="G35" s="427"/>
      <c r="H35" s="9"/>
      <c r="I35" s="9"/>
      <c r="J35" s="82"/>
    </row>
    <row r="36" spans="1:10" ht="12.95" customHeight="1">
      <c r="A36" s="35"/>
      <c r="B36" s="426"/>
      <c r="C36" s="427"/>
      <c r="D36" s="427"/>
      <c r="E36" s="427"/>
      <c r="F36" s="426"/>
      <c r="G36" s="427"/>
      <c r="H36" s="9"/>
      <c r="I36" s="9"/>
      <c r="J36" s="82"/>
    </row>
    <row r="37" spans="1:10" ht="12.95" customHeight="1">
      <c r="A37" s="35"/>
      <c r="B37" s="426"/>
      <c r="C37" s="427"/>
      <c r="D37" s="427"/>
      <c r="E37" s="427"/>
      <c r="F37" s="426"/>
      <c r="G37" s="427"/>
      <c r="H37" s="9"/>
      <c r="I37" s="9"/>
      <c r="J37" s="82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412" t="s">
        <v>37</v>
      </c>
      <c r="B39" s="412"/>
      <c r="C39" s="412"/>
      <c r="D39" s="412"/>
      <c r="E39" s="412"/>
      <c r="F39" s="413" t="s">
        <v>38</v>
      </c>
      <c r="G39" s="416"/>
      <c r="H39" s="417"/>
      <c r="I39" s="417"/>
      <c r="J39" s="418"/>
    </row>
    <row r="40" spans="1:10" ht="12.95" customHeight="1">
      <c r="A40" s="412" t="s">
        <v>39</v>
      </c>
      <c r="B40" s="412"/>
      <c r="C40" s="412"/>
      <c r="D40" s="412"/>
      <c r="E40" s="412"/>
      <c r="F40" s="414"/>
      <c r="G40" s="419"/>
      <c r="H40" s="420"/>
      <c r="I40" s="420"/>
      <c r="J40" s="421"/>
    </row>
    <row r="41" spans="1:10" ht="12.95" customHeight="1">
      <c r="A41" s="412" t="s">
        <v>40</v>
      </c>
      <c r="B41" s="412"/>
      <c r="C41" s="412"/>
      <c r="D41" s="412"/>
      <c r="E41" s="412"/>
      <c r="F41" s="414"/>
      <c r="G41" s="419"/>
      <c r="H41" s="420"/>
      <c r="I41" s="420"/>
      <c r="J41" s="421"/>
    </row>
    <row r="42" spans="1:10" ht="12.95" customHeight="1">
      <c r="A42" s="412" t="s">
        <v>41</v>
      </c>
      <c r="B42" s="412"/>
      <c r="C42" s="425" t="s">
        <v>42</v>
      </c>
      <c r="D42" s="425"/>
      <c r="E42" s="425"/>
      <c r="F42" s="415"/>
      <c r="G42" s="422"/>
      <c r="H42" s="423"/>
      <c r="I42" s="423"/>
      <c r="J42" s="424"/>
    </row>
    <row r="43" spans="1:10" ht="12.95" customHeight="1">
      <c r="A43" s="411" t="s">
        <v>52</v>
      </c>
      <c r="B43" s="411"/>
      <c r="C43" s="411" t="str">
        <f ca="1">Calcu!T4</f>
        <v/>
      </c>
      <c r="D43" s="411"/>
      <c r="E43" s="411"/>
    </row>
    <row r="46" spans="1:10" ht="12.95" customHeight="1">
      <c r="B46" s="1" t="s">
        <v>125</v>
      </c>
    </row>
    <row r="47" spans="1:10" ht="12.95" customHeight="1">
      <c r="B47" s="1" t="s">
        <v>126</v>
      </c>
    </row>
    <row r="48" spans="1:10" ht="12.95" customHeight="1">
      <c r="A48" s="1">
        <f>Calcu!R300</f>
        <v>0</v>
      </c>
      <c r="B48" s="1" t="s">
        <v>141</v>
      </c>
    </row>
    <row r="49" spans="1:2" ht="12.95" customHeight="1">
      <c r="A49" s="109"/>
    </row>
    <row r="50" spans="1:2" ht="12.95" customHeight="1">
      <c r="A50" s="1" t="str">
        <f>Calcu!U4</f>
        <v/>
      </c>
      <c r="B50" s="1" t="s">
        <v>142</v>
      </c>
    </row>
    <row r="52" spans="1:2" ht="12.95" customHeight="1">
      <c r="B52" s="1" t="s">
        <v>1258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1" bestFit="1" customWidth="1"/>
    <col min="2" max="2" width="6.6640625" style="91" bestFit="1" customWidth="1"/>
    <col min="3" max="3" width="8.88671875" style="91"/>
    <col min="4" max="4" width="6.6640625" style="91" bestFit="1" customWidth="1"/>
    <col min="5" max="13" width="1.77734375" style="91" customWidth="1"/>
    <col min="14" max="15" width="6" style="91" bestFit="1" customWidth="1"/>
    <col min="16" max="16" width="7.5546875" style="91" bestFit="1" customWidth="1"/>
    <col min="17" max="17" width="4" style="91" bestFit="1" customWidth="1"/>
    <col min="18" max="18" width="5.33203125" style="91" bestFit="1" customWidth="1"/>
    <col min="19" max="19" width="4" style="91" bestFit="1" customWidth="1"/>
    <col min="20" max="21" width="6.5546875" style="91" bestFit="1" customWidth="1"/>
    <col min="22" max="22" width="8.44140625" style="91" bestFit="1" customWidth="1"/>
    <col min="23" max="23" width="6.6640625" style="91" bestFit="1" customWidth="1"/>
    <col min="24" max="24" width="5.33203125" style="91" bestFit="1" customWidth="1"/>
    <col min="25" max="25" width="8.33203125" style="91" bestFit="1" customWidth="1"/>
    <col min="26" max="27" width="4" style="91" bestFit="1" customWidth="1"/>
    <col min="28" max="34" width="1.77734375" style="91" customWidth="1"/>
    <col min="35" max="35" width="7.5546875" style="91" bestFit="1" customWidth="1"/>
    <col min="36" max="16384" width="8.88671875" style="91"/>
  </cols>
  <sheetData>
    <row r="1" spans="1:36">
      <c r="A1" s="115" t="s">
        <v>95</v>
      </c>
      <c r="B1" s="115" t="s">
        <v>66</v>
      </c>
      <c r="C1" s="115" t="s">
        <v>67</v>
      </c>
      <c r="D1" s="115" t="s">
        <v>96</v>
      </c>
      <c r="E1" s="115"/>
      <c r="F1" s="115"/>
      <c r="G1" s="115"/>
      <c r="H1" s="115"/>
      <c r="I1" s="115"/>
      <c r="J1" s="115"/>
      <c r="K1" s="115"/>
      <c r="L1" s="115"/>
      <c r="M1" s="115"/>
      <c r="N1" s="115" t="s">
        <v>97</v>
      </c>
      <c r="O1" s="115" t="s">
        <v>98</v>
      </c>
      <c r="P1" s="115" t="s">
        <v>68</v>
      </c>
      <c r="Q1" s="115" t="s">
        <v>99</v>
      </c>
      <c r="R1" s="115" t="s">
        <v>70</v>
      </c>
      <c r="S1" s="115" t="s">
        <v>69</v>
      </c>
      <c r="T1" s="115" t="s">
        <v>71</v>
      </c>
      <c r="U1" s="115" t="s">
        <v>100</v>
      </c>
      <c r="V1" s="115" t="s">
        <v>72</v>
      </c>
      <c r="W1" s="115" t="s">
        <v>73</v>
      </c>
      <c r="X1" s="115" t="s">
        <v>101</v>
      </c>
      <c r="Y1" s="115" t="s">
        <v>102</v>
      </c>
      <c r="Z1" s="115" t="s">
        <v>103</v>
      </c>
      <c r="AA1" s="115" t="s">
        <v>104</v>
      </c>
      <c r="AB1" s="115"/>
      <c r="AC1" s="115"/>
      <c r="AD1" s="115"/>
      <c r="AE1" s="115"/>
      <c r="AF1" s="115"/>
      <c r="AG1" s="115"/>
      <c r="AH1" s="115"/>
      <c r="AI1" s="115" t="s">
        <v>105</v>
      </c>
      <c r="AJ1" s="161" t="s">
        <v>124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47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17" s="12" customFormat="1" ht="33" customHeight="1">
      <c r="A1" s="15" t="s">
        <v>89</v>
      </c>
    </row>
    <row r="2" spans="1:17" s="12" customFormat="1" ht="17.100000000000001" customHeight="1">
      <c r="A2" s="17" t="s">
        <v>43</v>
      </c>
      <c r="C2" s="92" t="s">
        <v>63</v>
      </c>
      <c r="F2" s="92" t="s">
        <v>75</v>
      </c>
      <c r="J2" s="17" t="s">
        <v>44</v>
      </c>
      <c r="M2" s="17" t="s">
        <v>45</v>
      </c>
    </row>
    <row r="3" spans="1:17" s="12" customFormat="1" ht="13.5">
      <c r="A3" s="14" t="s">
        <v>90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76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64</v>
      </c>
      <c r="N3" s="41" t="s">
        <v>65</v>
      </c>
      <c r="O3" s="111" t="s">
        <v>91</v>
      </c>
      <c r="P3" s="111" t="s">
        <v>92</v>
      </c>
      <c r="Q3" s="41" t="s">
        <v>93</v>
      </c>
    </row>
    <row r="4" spans="1:17" s="12" customFormat="1" ht="17.100000000000001" customHeight="1">
      <c r="A4" s="110"/>
      <c r="B4" s="23"/>
      <c r="C4" s="23"/>
      <c r="D4" s="55"/>
      <c r="E4" s="42"/>
      <c r="F4" s="23"/>
      <c r="G4" s="23"/>
      <c r="H4" s="93"/>
      <c r="I4" s="42"/>
      <c r="J4" s="23"/>
      <c r="K4" s="23"/>
      <c r="L4" s="23"/>
      <c r="M4" s="23"/>
      <c r="N4" s="23"/>
      <c r="O4" s="112"/>
      <c r="P4" s="112"/>
      <c r="Q4" s="23"/>
    </row>
    <row r="5" spans="1:17" s="12" customFormat="1" ht="17.100000000000001" customHeight="1">
      <c r="A5" s="110"/>
      <c r="B5" s="23"/>
      <c r="C5" s="23"/>
      <c r="D5" s="55"/>
      <c r="E5" s="42"/>
      <c r="F5" s="23"/>
      <c r="G5" s="23"/>
      <c r="H5" s="93"/>
      <c r="I5" s="42"/>
      <c r="J5" s="23"/>
      <c r="K5" s="24"/>
      <c r="L5" s="24"/>
      <c r="M5" s="24"/>
      <c r="N5" s="24"/>
      <c r="O5" s="113"/>
      <c r="P5" s="113"/>
      <c r="Q5" s="24"/>
    </row>
    <row r="6" spans="1:17" s="12" customFormat="1" ht="17.100000000000001" customHeight="1">
      <c r="A6" s="110"/>
      <c r="B6" s="23"/>
      <c r="C6" s="23"/>
      <c r="D6" s="55"/>
      <c r="E6" s="42"/>
      <c r="F6" s="23"/>
      <c r="G6" s="23"/>
      <c r="H6" s="93"/>
      <c r="I6" s="42"/>
      <c r="J6" s="23"/>
      <c r="K6" s="24"/>
      <c r="L6" s="24"/>
      <c r="M6" s="24"/>
      <c r="N6" s="24"/>
      <c r="O6" s="113"/>
      <c r="P6" s="113"/>
      <c r="Q6" s="24"/>
    </row>
    <row r="7" spans="1:17" s="12" customFormat="1" ht="17.100000000000001" customHeight="1">
      <c r="A7" s="110"/>
      <c r="B7" s="23"/>
      <c r="C7" s="23"/>
      <c r="D7" s="55"/>
      <c r="E7" s="42"/>
      <c r="F7" s="23"/>
      <c r="G7" s="23"/>
      <c r="H7" s="93"/>
      <c r="I7" s="42"/>
      <c r="J7" s="23"/>
      <c r="K7" s="24"/>
      <c r="L7" s="24"/>
      <c r="M7" s="24"/>
      <c r="N7" s="24"/>
      <c r="O7" s="113"/>
      <c r="P7" s="113"/>
      <c r="Q7" s="24"/>
    </row>
    <row r="8" spans="1:17" s="12" customFormat="1" ht="17.100000000000001" customHeight="1">
      <c r="A8" s="110"/>
      <c r="B8" s="23"/>
      <c r="C8" s="23"/>
      <c r="D8" s="55"/>
      <c r="E8" s="42"/>
      <c r="F8" s="23"/>
      <c r="G8" s="23"/>
      <c r="H8" s="93"/>
      <c r="I8" s="42"/>
      <c r="J8" s="23"/>
      <c r="K8" s="24"/>
      <c r="L8" s="24"/>
      <c r="M8" s="24"/>
      <c r="N8" s="24"/>
      <c r="O8" s="113"/>
      <c r="P8" s="113"/>
      <c r="Q8" s="24"/>
    </row>
    <row r="9" spans="1:17" s="12" customFormat="1" ht="17.100000000000001" customHeight="1">
      <c r="A9" s="110"/>
      <c r="B9" s="23"/>
      <c r="C9" s="23"/>
      <c r="D9" s="55"/>
      <c r="E9" s="42"/>
      <c r="F9" s="23"/>
      <c r="G9" s="23"/>
      <c r="H9" s="93"/>
      <c r="I9" s="42"/>
      <c r="J9" s="23"/>
      <c r="K9" s="24"/>
      <c r="L9" s="24"/>
      <c r="M9" s="24"/>
      <c r="N9" s="24"/>
      <c r="O9" s="113"/>
      <c r="P9" s="113"/>
      <c r="Q9" s="24"/>
    </row>
    <row r="10" spans="1:17" s="12" customFormat="1" ht="17.100000000000001" customHeight="1">
      <c r="A10" s="110"/>
      <c r="B10" s="23"/>
      <c r="C10" s="23"/>
      <c r="D10" s="55"/>
      <c r="E10" s="42"/>
      <c r="F10" s="23"/>
      <c r="G10" s="23"/>
      <c r="H10" s="93"/>
      <c r="I10" s="42"/>
      <c r="J10" s="23"/>
      <c r="K10" s="24"/>
      <c r="L10" s="24"/>
      <c r="M10" s="24"/>
      <c r="N10" s="24"/>
      <c r="O10" s="113"/>
      <c r="P10" s="113"/>
      <c r="Q10" s="24"/>
    </row>
    <row r="11" spans="1:17" s="12" customFormat="1" ht="17.100000000000001" customHeight="1">
      <c r="A11" s="110"/>
      <c r="B11" s="23"/>
      <c r="C11" s="23"/>
      <c r="D11" s="55"/>
      <c r="E11" s="42"/>
      <c r="F11" s="23"/>
      <c r="G11" s="23"/>
      <c r="H11" s="93"/>
      <c r="I11" s="42"/>
      <c r="J11" s="23"/>
      <c r="K11" s="24"/>
      <c r="L11" s="24"/>
      <c r="M11" s="24"/>
      <c r="N11" s="24"/>
      <c r="O11" s="113"/>
      <c r="P11" s="113"/>
      <c r="Q11" s="24"/>
    </row>
    <row r="12" spans="1:17" s="12" customFormat="1" ht="17.100000000000001" customHeight="1">
      <c r="A12" s="110"/>
      <c r="B12" s="23"/>
      <c r="C12" s="23"/>
      <c r="D12" s="55"/>
      <c r="E12" s="42"/>
      <c r="F12" s="23"/>
      <c r="G12" s="23"/>
      <c r="H12" s="93"/>
      <c r="I12" s="42"/>
      <c r="J12" s="23"/>
      <c r="K12" s="24"/>
      <c r="L12" s="24"/>
      <c r="M12" s="24"/>
      <c r="N12" s="24"/>
      <c r="O12" s="113"/>
      <c r="P12" s="113"/>
      <c r="Q12" s="24"/>
    </row>
    <row r="13" spans="1:17" s="12" customFormat="1" ht="17.100000000000001" customHeight="1">
      <c r="A13" s="110"/>
      <c r="B13" s="23"/>
      <c r="C13" s="23"/>
      <c r="D13" s="55"/>
      <c r="E13" s="42"/>
      <c r="F13" s="23"/>
      <c r="G13" s="23"/>
      <c r="H13" s="93"/>
      <c r="I13" s="42"/>
      <c r="J13" s="23"/>
      <c r="K13" s="24"/>
      <c r="L13" s="24"/>
      <c r="M13" s="24"/>
      <c r="N13" s="24"/>
      <c r="O13" s="113"/>
      <c r="P13" s="113"/>
      <c r="Q13" s="24"/>
    </row>
    <row r="14" spans="1:17" s="12" customFormat="1" ht="17.100000000000001" customHeight="1">
      <c r="A14" s="110"/>
      <c r="B14" s="23"/>
      <c r="C14" s="23"/>
      <c r="D14" s="55"/>
      <c r="E14" s="42"/>
      <c r="F14" s="23"/>
      <c r="G14" s="23"/>
      <c r="H14" s="93"/>
      <c r="I14" s="42"/>
      <c r="J14" s="23"/>
      <c r="K14" s="24"/>
      <c r="L14" s="24"/>
      <c r="M14" s="24"/>
      <c r="N14" s="24"/>
      <c r="O14" s="113"/>
      <c r="P14" s="113"/>
      <c r="Q14" s="24"/>
    </row>
    <row r="15" spans="1:17" s="12" customFormat="1" ht="17.100000000000001" customHeight="1">
      <c r="A15" s="110"/>
      <c r="B15" s="23"/>
      <c r="C15" s="23"/>
      <c r="D15" s="55"/>
      <c r="E15" s="42"/>
      <c r="F15" s="23"/>
      <c r="G15" s="23"/>
      <c r="H15" s="93"/>
      <c r="I15" s="42"/>
      <c r="J15" s="24"/>
      <c r="K15" s="24"/>
      <c r="L15" s="24"/>
      <c r="M15" s="24"/>
      <c r="N15" s="24"/>
      <c r="O15" s="113"/>
      <c r="P15" s="113"/>
      <c r="Q15" s="24"/>
    </row>
    <row r="16" spans="1:17" s="12" customFormat="1" ht="17.100000000000001" customHeight="1">
      <c r="A16" s="110"/>
      <c r="B16" s="23"/>
      <c r="C16" s="23"/>
      <c r="D16" s="55"/>
      <c r="E16" s="42"/>
      <c r="F16" s="23"/>
      <c r="G16" s="23"/>
      <c r="H16" s="93"/>
      <c r="I16" s="42"/>
      <c r="J16" s="24"/>
      <c r="K16" s="24"/>
      <c r="L16" s="24"/>
      <c r="M16" s="24"/>
      <c r="N16" s="24"/>
      <c r="O16" s="113"/>
      <c r="P16" s="113"/>
      <c r="Q16" s="24"/>
    </row>
    <row r="17" spans="1:17" s="12" customFormat="1" ht="17.100000000000001" customHeight="1">
      <c r="A17" s="110"/>
      <c r="B17" s="23"/>
      <c r="C17" s="23"/>
      <c r="D17" s="55"/>
      <c r="E17" s="42"/>
      <c r="F17" s="23"/>
      <c r="G17" s="23"/>
      <c r="H17" s="93"/>
      <c r="I17" s="42"/>
      <c r="J17" s="24"/>
      <c r="K17" s="24"/>
      <c r="L17" s="24"/>
      <c r="M17" s="24"/>
      <c r="N17" s="24"/>
      <c r="O17" s="113"/>
      <c r="P17" s="113"/>
      <c r="Q17" s="24"/>
    </row>
    <row r="18" spans="1:17" s="12" customFormat="1" ht="17.100000000000001" customHeight="1">
      <c r="A18" s="110"/>
      <c r="B18" s="23"/>
      <c r="C18" s="23"/>
      <c r="D18" s="55"/>
      <c r="E18" s="42"/>
      <c r="F18" s="23"/>
      <c r="G18" s="23"/>
      <c r="H18" s="93"/>
      <c r="I18" s="42"/>
      <c r="J18" s="24"/>
      <c r="K18" s="24"/>
      <c r="L18" s="24"/>
      <c r="M18" s="24"/>
      <c r="N18" s="24"/>
      <c r="O18" s="113"/>
      <c r="P18" s="113"/>
      <c r="Q18" s="24"/>
    </row>
    <row r="19" spans="1:17" s="12" customFormat="1" ht="17.100000000000001" customHeight="1">
      <c r="A19" s="110"/>
      <c r="B19" s="112"/>
      <c r="C19" s="112"/>
      <c r="D19" s="112"/>
      <c r="E19" s="112"/>
      <c r="F19" s="112"/>
      <c r="G19" s="112"/>
      <c r="H19" s="112"/>
      <c r="I19" s="112"/>
      <c r="J19" s="113"/>
      <c r="K19" s="113"/>
      <c r="L19" s="113"/>
      <c r="M19" s="113"/>
      <c r="N19" s="113"/>
      <c r="O19" s="113"/>
      <c r="P19" s="113"/>
      <c r="Q19" s="113"/>
    </row>
    <row r="20" spans="1:17" s="12" customFormat="1" ht="17.100000000000001" customHeight="1">
      <c r="A20" s="110"/>
      <c r="B20" s="112"/>
      <c r="C20" s="112"/>
      <c r="D20" s="112"/>
      <c r="E20" s="112"/>
      <c r="F20" s="112"/>
      <c r="G20" s="112"/>
      <c r="H20" s="112"/>
      <c r="I20" s="112"/>
      <c r="J20" s="113"/>
      <c r="K20" s="113"/>
      <c r="L20" s="113"/>
      <c r="M20" s="113"/>
      <c r="N20" s="113"/>
      <c r="O20" s="113"/>
      <c r="P20" s="113"/>
      <c r="Q20" s="113"/>
    </row>
    <row r="21" spans="1:17" s="12" customFormat="1" ht="17.100000000000001" customHeight="1">
      <c r="A21" s="110"/>
      <c r="B21" s="112"/>
      <c r="C21" s="112"/>
      <c r="D21" s="112"/>
      <c r="E21" s="112"/>
      <c r="F21" s="112"/>
      <c r="G21" s="112"/>
      <c r="H21" s="112"/>
      <c r="I21" s="112"/>
      <c r="J21" s="113"/>
      <c r="K21" s="113"/>
      <c r="L21" s="113"/>
      <c r="M21" s="113"/>
      <c r="N21" s="113"/>
      <c r="O21" s="113"/>
      <c r="P21" s="113"/>
      <c r="Q21" s="113"/>
    </row>
    <row r="22" spans="1:17" s="12" customFormat="1" ht="17.100000000000001" customHeight="1">
      <c r="A22" s="110"/>
      <c r="B22" s="112"/>
      <c r="C22" s="112"/>
      <c r="D22" s="112"/>
      <c r="E22" s="112"/>
      <c r="F22" s="112"/>
      <c r="G22" s="112"/>
      <c r="H22" s="112"/>
      <c r="I22" s="112"/>
      <c r="J22" s="113"/>
      <c r="K22" s="113"/>
      <c r="L22" s="113"/>
      <c r="M22" s="113"/>
      <c r="N22" s="113"/>
      <c r="O22" s="113"/>
      <c r="P22" s="113"/>
      <c r="Q22" s="113"/>
    </row>
    <row r="23" spans="1:17" s="12" customFormat="1" ht="17.100000000000001" customHeight="1">
      <c r="A23" s="110"/>
      <c r="B23" s="112"/>
      <c r="C23" s="112"/>
      <c r="D23" s="112"/>
      <c r="E23" s="112"/>
      <c r="F23" s="112"/>
      <c r="G23" s="112"/>
      <c r="H23" s="112"/>
      <c r="I23" s="112"/>
      <c r="J23" s="113"/>
      <c r="K23" s="113"/>
      <c r="L23" s="113"/>
      <c r="M23" s="113"/>
      <c r="N23" s="113"/>
      <c r="O23" s="113"/>
      <c r="P23" s="113"/>
      <c r="Q23" s="113"/>
    </row>
    <row r="24" spans="1:17" s="12" customFormat="1" ht="17.100000000000001" customHeight="1"/>
    <row r="25" spans="1:17" s="12" customFormat="1" ht="17.100000000000001" customHeight="1">
      <c r="A25" s="17" t="s">
        <v>94</v>
      </c>
    </row>
    <row r="26" spans="1:17" s="19" customFormat="1" ht="18" customHeight="1">
      <c r="A26" s="170" t="s">
        <v>129</v>
      </c>
      <c r="B26" s="170" t="s">
        <v>130</v>
      </c>
      <c r="C26" s="170" t="s">
        <v>131</v>
      </c>
      <c r="D26" s="170" t="s">
        <v>132</v>
      </c>
      <c r="E26" s="170" t="s">
        <v>131</v>
      </c>
      <c r="F26" s="170" t="s">
        <v>332</v>
      </c>
      <c r="G26" s="170" t="s">
        <v>333</v>
      </c>
      <c r="H26" s="170" t="s">
        <v>305</v>
      </c>
      <c r="I26" s="170" t="s">
        <v>306</v>
      </c>
      <c r="J26" s="170" t="s">
        <v>307</v>
      </c>
      <c r="K26" s="170" t="s">
        <v>308</v>
      </c>
    </row>
    <row r="27" spans="1:17" ht="17.100000000000001" customHeight="1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</row>
    <row r="28" spans="1:17" ht="17.100000000000001" customHeight="1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</row>
    <row r="29" spans="1:17" ht="17.100000000000001" customHeight="1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</row>
    <row r="30" spans="1:17" ht="17.100000000000001" customHeight="1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</row>
    <row r="31" spans="1:17" ht="17.100000000000001" customHeight="1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</row>
    <row r="32" spans="1:17" ht="17.100000000000001" customHeight="1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</row>
    <row r="33" spans="1:36" ht="17.100000000000001" customHeight="1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</row>
    <row r="34" spans="1:36" ht="17.100000000000001" customHeight="1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</row>
    <row r="35" spans="1:36" ht="17.100000000000001" customHeight="1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</row>
    <row r="36" spans="1:36" ht="17.100000000000001" customHeight="1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</row>
    <row r="37" spans="1:36" ht="17.100000000000001" customHeight="1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</row>
    <row r="38" spans="1:36" ht="17.100000000000001" customHeight="1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</row>
    <row r="39" spans="1:36" ht="17.100000000000001" customHeight="1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</row>
    <row r="40" spans="1:36" ht="17.100000000000001" customHeight="1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</row>
    <row r="41" spans="1:36" ht="17.100000000000001" customHeight="1">
      <c r="A41" s="114"/>
      <c r="B41" s="114"/>
      <c r="C41" s="114"/>
      <c r="D41" s="114"/>
      <c r="E41" s="114"/>
      <c r="F41" s="114"/>
      <c r="G41" s="114"/>
      <c r="H41" s="114"/>
      <c r="I41" s="114"/>
      <c r="J41" s="114"/>
      <c r="K41" s="114"/>
    </row>
    <row r="42" spans="1:36" ht="17.100000000000001" customHeight="1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</row>
    <row r="43" spans="1:36" ht="17.100000000000001" customHeight="1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</row>
    <row r="44" spans="1:36" ht="17.100000000000001" customHeight="1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</row>
    <row r="45" spans="1:36" ht="17.100000000000001" customHeight="1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</row>
    <row r="46" spans="1:36" ht="17.100000000000001" customHeight="1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</row>
    <row r="47" spans="1:36" ht="17.100000000000001" customHeight="1">
      <c r="AE47" s="12"/>
      <c r="AF47" s="12"/>
      <c r="AG47" s="12"/>
      <c r="AH47" s="12"/>
      <c r="AI47" s="12"/>
      <c r="AJ4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7"/>
  <sheetViews>
    <sheetView zoomScaleNormal="100" workbookViewId="0"/>
  </sheetViews>
  <sheetFormatPr defaultColWidth="9" defaultRowHeight="17.100000000000001" customHeight="1"/>
  <cols>
    <col min="1" max="36" width="10.44140625" style="239" customWidth="1"/>
    <col min="37" max="16384" width="9" style="239"/>
  </cols>
  <sheetData>
    <row r="1" spans="1:17" s="12" customFormat="1" ht="33" customHeight="1">
      <c r="A1" s="15" t="s">
        <v>89</v>
      </c>
    </row>
    <row r="2" spans="1:17" s="12" customFormat="1" ht="17.100000000000001" customHeight="1">
      <c r="A2" s="17" t="s">
        <v>43</v>
      </c>
      <c r="C2" s="92" t="s">
        <v>63</v>
      </c>
      <c r="F2" s="92" t="s">
        <v>75</v>
      </c>
      <c r="J2" s="17" t="s">
        <v>44</v>
      </c>
      <c r="M2" s="17" t="s">
        <v>45</v>
      </c>
    </row>
    <row r="3" spans="1:17" s="12" customFormat="1" ht="13.5">
      <c r="A3" s="14" t="s">
        <v>90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76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64</v>
      </c>
      <c r="N3" s="41" t="s">
        <v>65</v>
      </c>
      <c r="O3" s="111" t="s">
        <v>91</v>
      </c>
      <c r="P3" s="111" t="s">
        <v>92</v>
      </c>
      <c r="Q3" s="41" t="s">
        <v>93</v>
      </c>
    </row>
    <row r="4" spans="1:17" s="12" customFormat="1" ht="17.100000000000001" customHeight="1">
      <c r="A4" s="110"/>
      <c r="B4" s="23"/>
      <c r="C4" s="23"/>
      <c r="D4" s="55"/>
      <c r="E4" s="42"/>
      <c r="F4" s="23"/>
      <c r="G4" s="23"/>
      <c r="H4" s="93"/>
      <c r="I4" s="42"/>
      <c r="J4" s="23"/>
      <c r="K4" s="23"/>
      <c r="L4" s="23"/>
      <c r="M4" s="23"/>
      <c r="N4" s="23"/>
      <c r="O4" s="112"/>
      <c r="P4" s="112"/>
      <c r="Q4" s="23"/>
    </row>
    <row r="5" spans="1:17" s="12" customFormat="1" ht="17.100000000000001" customHeight="1">
      <c r="A5" s="110"/>
      <c r="B5" s="23"/>
      <c r="C5" s="23"/>
      <c r="D5" s="55"/>
      <c r="E5" s="42"/>
      <c r="F5" s="23"/>
      <c r="G5" s="23"/>
      <c r="H5" s="93"/>
      <c r="I5" s="42"/>
      <c r="J5" s="23"/>
      <c r="K5" s="24"/>
      <c r="L5" s="24"/>
      <c r="M5" s="24"/>
      <c r="N5" s="24"/>
      <c r="O5" s="113"/>
      <c r="P5" s="113"/>
      <c r="Q5" s="24"/>
    </row>
    <row r="6" spans="1:17" s="12" customFormat="1" ht="17.100000000000001" customHeight="1">
      <c r="A6" s="110"/>
      <c r="B6" s="23"/>
      <c r="C6" s="23"/>
      <c r="D6" s="55"/>
      <c r="E6" s="42"/>
      <c r="F6" s="23"/>
      <c r="G6" s="23"/>
      <c r="H6" s="93"/>
      <c r="I6" s="42"/>
      <c r="J6" s="23"/>
      <c r="K6" s="24"/>
      <c r="L6" s="24"/>
      <c r="M6" s="24"/>
      <c r="N6" s="24"/>
      <c r="O6" s="113"/>
      <c r="P6" s="113"/>
      <c r="Q6" s="24"/>
    </row>
    <row r="7" spans="1:17" s="12" customFormat="1" ht="17.100000000000001" customHeight="1">
      <c r="A7" s="110"/>
      <c r="B7" s="23"/>
      <c r="C7" s="23"/>
      <c r="D7" s="55"/>
      <c r="E7" s="42"/>
      <c r="F7" s="23"/>
      <c r="G7" s="23"/>
      <c r="H7" s="93"/>
      <c r="I7" s="42"/>
      <c r="J7" s="23"/>
      <c r="K7" s="24"/>
      <c r="L7" s="24"/>
      <c r="M7" s="24"/>
      <c r="N7" s="24"/>
      <c r="O7" s="113"/>
      <c r="P7" s="113"/>
      <c r="Q7" s="24"/>
    </row>
    <row r="8" spans="1:17" s="12" customFormat="1" ht="17.100000000000001" customHeight="1">
      <c r="A8" s="110"/>
      <c r="B8" s="23"/>
      <c r="C8" s="23"/>
      <c r="D8" s="55"/>
      <c r="E8" s="42"/>
      <c r="F8" s="23"/>
      <c r="G8" s="23"/>
      <c r="H8" s="93"/>
      <c r="I8" s="42"/>
      <c r="J8" s="23"/>
      <c r="K8" s="24"/>
      <c r="L8" s="24"/>
      <c r="M8" s="24"/>
      <c r="N8" s="24"/>
      <c r="O8" s="113"/>
      <c r="P8" s="113"/>
      <c r="Q8" s="24"/>
    </row>
    <row r="9" spans="1:17" s="12" customFormat="1" ht="17.100000000000001" customHeight="1">
      <c r="A9" s="110"/>
      <c r="B9" s="23"/>
      <c r="C9" s="23"/>
      <c r="D9" s="55"/>
      <c r="E9" s="42"/>
      <c r="F9" s="23"/>
      <c r="G9" s="23"/>
      <c r="H9" s="93"/>
      <c r="I9" s="42"/>
      <c r="J9" s="23"/>
      <c r="K9" s="24"/>
      <c r="L9" s="24"/>
      <c r="M9" s="24"/>
      <c r="N9" s="24"/>
      <c r="O9" s="113"/>
      <c r="P9" s="113"/>
      <c r="Q9" s="24"/>
    </row>
    <row r="10" spans="1:17" s="12" customFormat="1" ht="17.100000000000001" customHeight="1">
      <c r="A10" s="110"/>
      <c r="B10" s="23"/>
      <c r="C10" s="23"/>
      <c r="D10" s="55"/>
      <c r="E10" s="42"/>
      <c r="F10" s="23"/>
      <c r="G10" s="23"/>
      <c r="H10" s="93"/>
      <c r="I10" s="42"/>
      <c r="J10" s="23"/>
      <c r="K10" s="24"/>
      <c r="L10" s="24"/>
      <c r="M10" s="24"/>
      <c r="N10" s="24"/>
      <c r="O10" s="113"/>
      <c r="P10" s="113"/>
      <c r="Q10" s="24"/>
    </row>
    <row r="11" spans="1:17" s="12" customFormat="1" ht="17.100000000000001" customHeight="1">
      <c r="A11" s="110"/>
      <c r="B11" s="23"/>
      <c r="C11" s="23"/>
      <c r="D11" s="55"/>
      <c r="E11" s="42"/>
      <c r="F11" s="23"/>
      <c r="G11" s="23"/>
      <c r="H11" s="93"/>
      <c r="I11" s="42"/>
      <c r="J11" s="23"/>
      <c r="K11" s="24"/>
      <c r="L11" s="24"/>
      <c r="M11" s="24"/>
      <c r="N11" s="24"/>
      <c r="O11" s="113"/>
      <c r="P11" s="113"/>
      <c r="Q11" s="24"/>
    </row>
    <row r="12" spans="1:17" s="12" customFormat="1" ht="17.100000000000001" customHeight="1">
      <c r="A12" s="110"/>
      <c r="B12" s="23"/>
      <c r="C12" s="23"/>
      <c r="D12" s="55"/>
      <c r="E12" s="42"/>
      <c r="F12" s="23"/>
      <c r="G12" s="23"/>
      <c r="H12" s="93"/>
      <c r="I12" s="42"/>
      <c r="J12" s="23"/>
      <c r="K12" s="24"/>
      <c r="L12" s="24"/>
      <c r="M12" s="24"/>
      <c r="N12" s="24"/>
      <c r="O12" s="113"/>
      <c r="P12" s="113"/>
      <c r="Q12" s="24"/>
    </row>
    <row r="13" spans="1:17" s="12" customFormat="1" ht="17.100000000000001" customHeight="1">
      <c r="A13" s="110"/>
      <c r="B13" s="23"/>
      <c r="C13" s="23"/>
      <c r="D13" s="55"/>
      <c r="E13" s="42"/>
      <c r="F13" s="23"/>
      <c r="G13" s="23"/>
      <c r="H13" s="93"/>
      <c r="I13" s="42"/>
      <c r="J13" s="23"/>
      <c r="K13" s="24"/>
      <c r="L13" s="24"/>
      <c r="M13" s="24"/>
      <c r="N13" s="24"/>
      <c r="O13" s="113"/>
      <c r="P13" s="113"/>
      <c r="Q13" s="24"/>
    </row>
    <row r="14" spans="1:17" s="12" customFormat="1" ht="17.100000000000001" customHeight="1">
      <c r="A14" s="110"/>
      <c r="B14" s="23"/>
      <c r="C14" s="23"/>
      <c r="D14" s="55"/>
      <c r="E14" s="42"/>
      <c r="F14" s="23"/>
      <c r="G14" s="23"/>
      <c r="H14" s="93"/>
      <c r="I14" s="42"/>
      <c r="J14" s="23"/>
      <c r="K14" s="24"/>
      <c r="L14" s="24"/>
      <c r="M14" s="24"/>
      <c r="N14" s="24"/>
      <c r="O14" s="113"/>
      <c r="P14" s="113"/>
      <c r="Q14" s="24"/>
    </row>
    <row r="15" spans="1:17" s="12" customFormat="1" ht="17.100000000000001" customHeight="1">
      <c r="A15" s="110"/>
      <c r="B15" s="23"/>
      <c r="C15" s="23"/>
      <c r="D15" s="55"/>
      <c r="E15" s="42"/>
      <c r="F15" s="23"/>
      <c r="G15" s="23"/>
      <c r="H15" s="93"/>
      <c r="I15" s="42"/>
      <c r="J15" s="24"/>
      <c r="K15" s="24"/>
      <c r="L15" s="24"/>
      <c r="M15" s="24"/>
      <c r="N15" s="24"/>
      <c r="O15" s="113"/>
      <c r="P15" s="113"/>
      <c r="Q15" s="24"/>
    </row>
    <row r="16" spans="1:17" s="12" customFormat="1" ht="17.100000000000001" customHeight="1">
      <c r="A16" s="110"/>
      <c r="B16" s="23"/>
      <c r="C16" s="23"/>
      <c r="D16" s="55"/>
      <c r="E16" s="42"/>
      <c r="F16" s="23"/>
      <c r="G16" s="23"/>
      <c r="H16" s="93"/>
      <c r="I16" s="42"/>
      <c r="J16" s="24"/>
      <c r="K16" s="24"/>
      <c r="L16" s="24"/>
      <c r="M16" s="24"/>
      <c r="N16" s="24"/>
      <c r="O16" s="113"/>
      <c r="P16" s="113"/>
      <c r="Q16" s="24"/>
    </row>
    <row r="17" spans="1:17" s="12" customFormat="1" ht="17.100000000000001" customHeight="1">
      <c r="A17" s="110"/>
      <c r="B17" s="23"/>
      <c r="C17" s="23"/>
      <c r="D17" s="55"/>
      <c r="E17" s="42"/>
      <c r="F17" s="23"/>
      <c r="G17" s="23"/>
      <c r="H17" s="93"/>
      <c r="I17" s="42"/>
      <c r="J17" s="24"/>
      <c r="K17" s="24"/>
      <c r="L17" s="24"/>
      <c r="M17" s="24"/>
      <c r="N17" s="24"/>
      <c r="O17" s="113"/>
      <c r="P17" s="113"/>
      <c r="Q17" s="24"/>
    </row>
    <row r="18" spans="1:17" s="12" customFormat="1" ht="17.100000000000001" customHeight="1">
      <c r="A18" s="110"/>
      <c r="B18" s="23"/>
      <c r="C18" s="23"/>
      <c r="D18" s="55"/>
      <c r="E18" s="42"/>
      <c r="F18" s="23"/>
      <c r="G18" s="23"/>
      <c r="H18" s="93"/>
      <c r="I18" s="42"/>
      <c r="J18" s="24"/>
      <c r="K18" s="24"/>
      <c r="L18" s="24"/>
      <c r="M18" s="24"/>
      <c r="N18" s="24"/>
      <c r="O18" s="113"/>
      <c r="P18" s="113"/>
      <c r="Q18" s="24"/>
    </row>
    <row r="19" spans="1:17" s="12" customFormat="1" ht="17.100000000000001" customHeight="1">
      <c r="A19" s="110"/>
      <c r="B19" s="112"/>
      <c r="C19" s="112"/>
      <c r="D19" s="112"/>
      <c r="E19" s="112"/>
      <c r="F19" s="112"/>
      <c r="G19" s="112"/>
      <c r="H19" s="112"/>
      <c r="I19" s="112"/>
      <c r="J19" s="113"/>
      <c r="K19" s="113"/>
      <c r="L19" s="113"/>
      <c r="M19" s="113"/>
      <c r="N19" s="113"/>
      <c r="O19" s="113"/>
      <c r="P19" s="113"/>
      <c r="Q19" s="113"/>
    </row>
    <row r="20" spans="1:17" s="12" customFormat="1" ht="17.100000000000001" customHeight="1">
      <c r="A20" s="110"/>
      <c r="B20" s="112"/>
      <c r="C20" s="112"/>
      <c r="D20" s="112"/>
      <c r="E20" s="112"/>
      <c r="F20" s="112"/>
      <c r="G20" s="112"/>
      <c r="H20" s="112"/>
      <c r="I20" s="112"/>
      <c r="J20" s="113"/>
      <c r="K20" s="113"/>
      <c r="L20" s="113"/>
      <c r="M20" s="113"/>
      <c r="N20" s="113"/>
      <c r="O20" s="113"/>
      <c r="P20" s="113"/>
      <c r="Q20" s="113"/>
    </row>
    <row r="21" spans="1:17" s="12" customFormat="1" ht="17.100000000000001" customHeight="1">
      <c r="A21" s="110"/>
      <c r="B21" s="112"/>
      <c r="C21" s="112"/>
      <c r="D21" s="112"/>
      <c r="E21" s="112"/>
      <c r="F21" s="112"/>
      <c r="G21" s="112"/>
      <c r="H21" s="112"/>
      <c r="I21" s="112"/>
      <c r="J21" s="113"/>
      <c r="K21" s="113"/>
      <c r="L21" s="113"/>
      <c r="M21" s="113"/>
      <c r="N21" s="113"/>
      <c r="O21" s="113"/>
      <c r="P21" s="113"/>
      <c r="Q21" s="113"/>
    </row>
    <row r="22" spans="1:17" s="12" customFormat="1" ht="17.100000000000001" customHeight="1">
      <c r="A22" s="110"/>
      <c r="B22" s="112"/>
      <c r="C22" s="112"/>
      <c r="D22" s="112"/>
      <c r="E22" s="112"/>
      <c r="F22" s="112"/>
      <c r="G22" s="112"/>
      <c r="H22" s="112"/>
      <c r="I22" s="112"/>
      <c r="J22" s="113"/>
      <c r="K22" s="113"/>
      <c r="L22" s="113"/>
      <c r="M22" s="113"/>
      <c r="N22" s="113"/>
      <c r="O22" s="113"/>
      <c r="P22" s="113"/>
      <c r="Q22" s="113"/>
    </row>
    <row r="23" spans="1:17" s="12" customFormat="1" ht="17.100000000000001" customHeight="1">
      <c r="A23" s="110"/>
      <c r="B23" s="112"/>
      <c r="C23" s="112"/>
      <c r="D23" s="112"/>
      <c r="E23" s="112"/>
      <c r="F23" s="112"/>
      <c r="G23" s="112"/>
      <c r="H23" s="112"/>
      <c r="I23" s="112"/>
      <c r="J23" s="113"/>
      <c r="K23" s="113"/>
      <c r="L23" s="113"/>
      <c r="M23" s="113"/>
      <c r="N23" s="113"/>
      <c r="O23" s="113"/>
      <c r="P23" s="113"/>
      <c r="Q23" s="113"/>
    </row>
    <row r="24" spans="1:17" s="12" customFormat="1" ht="17.100000000000001" customHeight="1"/>
    <row r="25" spans="1:17" s="12" customFormat="1" ht="17.100000000000001" customHeight="1">
      <c r="A25" s="17" t="s">
        <v>94</v>
      </c>
    </row>
    <row r="26" spans="1:17" s="19" customFormat="1" ht="18" customHeight="1">
      <c r="A26" s="170" t="s">
        <v>129</v>
      </c>
      <c r="B26" s="170" t="s">
        <v>130</v>
      </c>
      <c r="C26" s="170" t="s">
        <v>131</v>
      </c>
      <c r="D26" s="170" t="s">
        <v>132</v>
      </c>
      <c r="E26" s="170" t="s">
        <v>131</v>
      </c>
      <c r="F26" s="170" t="s">
        <v>332</v>
      </c>
      <c r="G26" s="170" t="s">
        <v>333</v>
      </c>
      <c r="H26" s="170" t="s">
        <v>305</v>
      </c>
      <c r="I26" s="170" t="s">
        <v>309</v>
      </c>
      <c r="J26" s="170" t="s">
        <v>310</v>
      </c>
      <c r="K26" s="170" t="s">
        <v>308</v>
      </c>
    </row>
    <row r="27" spans="1:17" ht="17.100000000000001" customHeight="1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</row>
    <row r="28" spans="1:17" ht="17.100000000000001" customHeight="1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</row>
    <row r="29" spans="1:17" ht="17.100000000000001" customHeight="1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</row>
    <row r="30" spans="1:17" ht="17.100000000000001" customHeight="1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</row>
    <row r="31" spans="1:17" ht="17.100000000000001" customHeight="1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</row>
    <row r="32" spans="1:17" ht="17.100000000000001" customHeight="1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</row>
    <row r="33" spans="1:36" ht="17.100000000000001" customHeight="1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</row>
    <row r="34" spans="1:36" ht="17.100000000000001" customHeight="1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</row>
    <row r="35" spans="1:36" ht="17.100000000000001" customHeight="1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</row>
    <row r="36" spans="1:36" ht="17.100000000000001" customHeight="1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</row>
    <row r="37" spans="1:36" ht="17.100000000000001" customHeight="1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</row>
    <row r="38" spans="1:36" ht="17.100000000000001" customHeight="1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</row>
    <row r="39" spans="1:36" ht="17.100000000000001" customHeight="1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</row>
    <row r="40" spans="1:36" ht="17.100000000000001" customHeight="1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</row>
    <row r="41" spans="1:36" ht="17.100000000000001" customHeight="1">
      <c r="A41" s="114"/>
      <c r="B41" s="114"/>
      <c r="C41" s="114"/>
      <c r="D41" s="114"/>
      <c r="E41" s="114"/>
      <c r="F41" s="114"/>
      <c r="G41" s="114"/>
      <c r="H41" s="114"/>
      <c r="I41" s="114"/>
      <c r="J41" s="114"/>
      <c r="K41" s="114"/>
    </row>
    <row r="42" spans="1:36" ht="17.100000000000001" customHeight="1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</row>
    <row r="43" spans="1:36" ht="17.100000000000001" customHeight="1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</row>
    <row r="44" spans="1:36" ht="17.100000000000001" customHeight="1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</row>
    <row r="45" spans="1:36" ht="17.100000000000001" customHeight="1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</row>
    <row r="46" spans="1:36" ht="17.100000000000001" customHeight="1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</row>
    <row r="47" spans="1:36" ht="17.100000000000001" customHeight="1">
      <c r="AE47" s="12"/>
      <c r="AF47" s="12"/>
      <c r="AG47" s="12"/>
      <c r="AH47" s="12"/>
      <c r="AI47" s="12"/>
      <c r="AJ4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J47"/>
  <sheetViews>
    <sheetView zoomScaleNormal="100" workbookViewId="0"/>
  </sheetViews>
  <sheetFormatPr defaultColWidth="9" defaultRowHeight="17.100000000000001" customHeight="1"/>
  <cols>
    <col min="1" max="36" width="10.44140625" style="258" customWidth="1"/>
    <col min="37" max="16384" width="9" style="258"/>
  </cols>
  <sheetData>
    <row r="1" spans="1:21" s="12" customFormat="1" ht="33" customHeight="1">
      <c r="A1" s="15" t="s">
        <v>335</v>
      </c>
    </row>
    <row r="2" spans="1:21" s="12" customFormat="1" ht="17.100000000000001" customHeight="1">
      <c r="A2" s="17" t="s">
        <v>43</v>
      </c>
      <c r="G2" s="92" t="s">
        <v>63</v>
      </c>
      <c r="J2" s="92" t="s">
        <v>75</v>
      </c>
      <c r="N2" s="17" t="s">
        <v>44</v>
      </c>
      <c r="Q2" s="17" t="s">
        <v>45</v>
      </c>
    </row>
    <row r="3" spans="1:21" s="12" customFormat="1" ht="13.5">
      <c r="A3" s="14" t="s">
        <v>468</v>
      </c>
      <c r="B3" s="14" t="s">
        <v>469</v>
      </c>
      <c r="C3" s="14" t="s">
        <v>470</v>
      </c>
      <c r="D3" s="14" t="s">
        <v>471</v>
      </c>
      <c r="E3" s="14" t="s">
        <v>472</v>
      </c>
      <c r="F3" s="14" t="s">
        <v>473</v>
      </c>
      <c r="G3" s="14" t="s">
        <v>55</v>
      </c>
      <c r="H3" s="14" t="s">
        <v>56</v>
      </c>
      <c r="I3" s="14" t="s">
        <v>51</v>
      </c>
      <c r="J3" s="13" t="s">
        <v>46</v>
      </c>
      <c r="K3" s="14" t="s">
        <v>62</v>
      </c>
      <c r="L3" s="14" t="s">
        <v>76</v>
      </c>
      <c r="M3" s="14" t="s">
        <v>47</v>
      </c>
      <c r="N3" s="14" t="s">
        <v>48</v>
      </c>
      <c r="O3" s="41" t="s">
        <v>49</v>
      </c>
      <c r="P3" s="41" t="s">
        <v>50</v>
      </c>
      <c r="Q3" s="41" t="s">
        <v>64</v>
      </c>
      <c r="R3" s="41" t="s">
        <v>65</v>
      </c>
      <c r="S3" s="111" t="s">
        <v>91</v>
      </c>
      <c r="T3" s="111" t="s">
        <v>92</v>
      </c>
      <c r="U3" s="41" t="s">
        <v>93</v>
      </c>
    </row>
    <row r="4" spans="1:21" s="12" customFormat="1" ht="17.100000000000001" customHeight="1">
      <c r="A4" s="110"/>
      <c r="B4" s="23"/>
      <c r="C4" s="275"/>
      <c r="D4" s="275"/>
      <c r="E4" s="275"/>
      <c r="F4" s="275"/>
      <c r="G4" s="23"/>
      <c r="H4" s="55"/>
      <c r="I4" s="42"/>
      <c r="J4" s="23"/>
      <c r="K4" s="23"/>
      <c r="L4" s="93"/>
      <c r="M4" s="42"/>
      <c r="N4" s="23"/>
      <c r="O4" s="23"/>
      <c r="P4" s="23"/>
      <c r="Q4" s="23"/>
      <c r="R4" s="23"/>
      <c r="S4" s="112"/>
      <c r="T4" s="112"/>
      <c r="U4" s="23"/>
    </row>
    <row r="5" spans="1:21" s="12" customFormat="1" ht="17.100000000000001" customHeight="1">
      <c r="A5" s="110"/>
      <c r="B5" s="23"/>
      <c r="C5" s="275"/>
      <c r="D5" s="275"/>
      <c r="E5" s="275"/>
      <c r="F5" s="275"/>
      <c r="G5" s="23"/>
      <c r="H5" s="55"/>
      <c r="I5" s="42"/>
      <c r="J5" s="23"/>
      <c r="K5" s="23"/>
      <c r="L5" s="93"/>
      <c r="M5" s="42"/>
      <c r="N5" s="23"/>
      <c r="O5" s="24"/>
      <c r="P5" s="24"/>
      <c r="Q5" s="24"/>
      <c r="R5" s="24"/>
      <c r="S5" s="113"/>
      <c r="T5" s="113"/>
      <c r="U5" s="24"/>
    </row>
    <row r="6" spans="1:21" s="12" customFormat="1" ht="17.100000000000001" customHeight="1">
      <c r="A6" s="110"/>
      <c r="B6" s="23"/>
      <c r="C6" s="275"/>
      <c r="D6" s="275"/>
      <c r="E6" s="275"/>
      <c r="F6" s="275"/>
      <c r="G6" s="23"/>
      <c r="H6" s="55"/>
      <c r="I6" s="42"/>
      <c r="J6" s="23"/>
      <c r="K6" s="23"/>
      <c r="L6" s="93"/>
      <c r="M6" s="42"/>
      <c r="N6" s="23"/>
      <c r="O6" s="24"/>
      <c r="P6" s="24"/>
      <c r="Q6" s="24"/>
      <c r="R6" s="24"/>
      <c r="S6" s="113"/>
      <c r="T6" s="113"/>
      <c r="U6" s="24"/>
    </row>
    <row r="7" spans="1:21" s="12" customFormat="1" ht="17.100000000000001" customHeight="1">
      <c r="A7" s="110"/>
      <c r="B7" s="23"/>
      <c r="C7" s="275"/>
      <c r="D7" s="275"/>
      <c r="E7" s="275"/>
      <c r="F7" s="275"/>
      <c r="G7" s="23"/>
      <c r="H7" s="55"/>
      <c r="I7" s="42"/>
      <c r="J7" s="23"/>
      <c r="K7" s="23"/>
      <c r="L7" s="93"/>
      <c r="M7" s="42"/>
      <c r="N7" s="23"/>
      <c r="O7" s="24"/>
      <c r="P7" s="24"/>
      <c r="Q7" s="24"/>
      <c r="R7" s="24"/>
      <c r="S7" s="113"/>
      <c r="T7" s="113"/>
      <c r="U7" s="24"/>
    </row>
    <row r="8" spans="1:21" s="12" customFormat="1" ht="17.100000000000001" customHeight="1">
      <c r="A8" s="110"/>
      <c r="B8" s="23"/>
      <c r="C8" s="275"/>
      <c r="D8" s="275"/>
      <c r="E8" s="275"/>
      <c r="F8" s="275"/>
      <c r="G8" s="23"/>
      <c r="H8" s="55"/>
      <c r="I8" s="42"/>
      <c r="J8" s="23"/>
      <c r="K8" s="23"/>
      <c r="L8" s="93"/>
      <c r="M8" s="42"/>
      <c r="N8" s="23"/>
      <c r="O8" s="24"/>
      <c r="P8" s="24"/>
      <c r="Q8" s="24"/>
      <c r="R8" s="24"/>
      <c r="S8" s="113"/>
      <c r="T8" s="113"/>
      <c r="U8" s="24"/>
    </row>
    <row r="9" spans="1:21" s="12" customFormat="1" ht="17.100000000000001" customHeight="1">
      <c r="A9" s="110"/>
      <c r="B9" s="23"/>
      <c r="C9" s="275"/>
      <c r="D9" s="275"/>
      <c r="E9" s="275"/>
      <c r="F9" s="275"/>
      <c r="G9" s="23"/>
      <c r="H9" s="55"/>
      <c r="I9" s="42"/>
      <c r="J9" s="23"/>
      <c r="K9" s="23"/>
      <c r="L9" s="93"/>
      <c r="M9" s="42"/>
      <c r="N9" s="23"/>
      <c r="O9" s="24"/>
      <c r="P9" s="24"/>
      <c r="Q9" s="24"/>
      <c r="R9" s="24"/>
      <c r="S9" s="113"/>
      <c r="T9" s="113"/>
      <c r="U9" s="24"/>
    </row>
    <row r="10" spans="1:21" s="12" customFormat="1" ht="17.100000000000001" customHeight="1">
      <c r="A10" s="110"/>
      <c r="B10" s="23"/>
      <c r="C10" s="275"/>
      <c r="D10" s="275"/>
      <c r="E10" s="275"/>
      <c r="F10" s="275"/>
      <c r="G10" s="23"/>
      <c r="H10" s="55"/>
      <c r="I10" s="42"/>
      <c r="J10" s="23"/>
      <c r="K10" s="23"/>
      <c r="L10" s="93"/>
      <c r="M10" s="42"/>
      <c r="N10" s="23"/>
      <c r="O10" s="24"/>
      <c r="P10" s="24"/>
      <c r="Q10" s="24"/>
      <c r="R10" s="24"/>
      <c r="S10" s="113"/>
      <c r="T10" s="113"/>
      <c r="U10" s="24"/>
    </row>
    <row r="11" spans="1:21" s="12" customFormat="1" ht="17.100000000000001" customHeight="1">
      <c r="A11" s="110"/>
      <c r="B11" s="23"/>
      <c r="C11" s="275"/>
      <c r="D11" s="275"/>
      <c r="E11" s="275"/>
      <c r="F11" s="275"/>
      <c r="G11" s="23"/>
      <c r="H11" s="55"/>
      <c r="I11" s="42"/>
      <c r="J11" s="23"/>
      <c r="K11" s="23"/>
      <c r="L11" s="93"/>
      <c r="M11" s="42"/>
      <c r="N11" s="23"/>
      <c r="O11" s="24"/>
      <c r="P11" s="24"/>
      <c r="Q11" s="24"/>
      <c r="R11" s="24"/>
      <c r="S11" s="113"/>
      <c r="T11" s="113"/>
      <c r="U11" s="24"/>
    </row>
    <row r="12" spans="1:21" s="12" customFormat="1" ht="17.100000000000001" customHeight="1">
      <c r="A12" s="110"/>
      <c r="B12" s="23"/>
      <c r="C12" s="275"/>
      <c r="D12" s="275"/>
      <c r="E12" s="275"/>
      <c r="F12" s="275"/>
      <c r="G12" s="23"/>
      <c r="H12" s="55"/>
      <c r="I12" s="42"/>
      <c r="J12" s="23"/>
      <c r="K12" s="23"/>
      <c r="L12" s="93"/>
      <c r="M12" s="42"/>
      <c r="N12" s="23"/>
      <c r="O12" s="24"/>
      <c r="P12" s="24"/>
      <c r="Q12" s="24"/>
      <c r="R12" s="24"/>
      <c r="S12" s="113"/>
      <c r="T12" s="113"/>
      <c r="U12" s="24"/>
    </row>
    <row r="13" spans="1:21" s="12" customFormat="1" ht="17.100000000000001" customHeight="1">
      <c r="A13" s="110"/>
      <c r="B13" s="23"/>
      <c r="C13" s="275"/>
      <c r="D13" s="275"/>
      <c r="E13" s="275"/>
      <c r="F13" s="275"/>
      <c r="G13" s="23"/>
      <c r="H13" s="55"/>
      <c r="I13" s="42"/>
      <c r="J13" s="23"/>
      <c r="K13" s="23"/>
      <c r="L13" s="93"/>
      <c r="M13" s="42"/>
      <c r="N13" s="23"/>
      <c r="O13" s="24"/>
      <c r="P13" s="24"/>
      <c r="Q13" s="24"/>
      <c r="R13" s="24"/>
      <c r="S13" s="113"/>
      <c r="T13" s="113"/>
      <c r="U13" s="24"/>
    </row>
    <row r="14" spans="1:21" s="12" customFormat="1" ht="17.100000000000001" customHeight="1">
      <c r="A14" s="110"/>
      <c r="B14" s="23"/>
      <c r="C14" s="275"/>
      <c r="D14" s="275"/>
      <c r="E14" s="275"/>
      <c r="F14" s="275"/>
      <c r="G14" s="23"/>
      <c r="H14" s="55"/>
      <c r="I14" s="42"/>
      <c r="J14" s="23"/>
      <c r="K14" s="23"/>
      <c r="L14" s="93"/>
      <c r="M14" s="42"/>
      <c r="N14" s="23"/>
      <c r="O14" s="24"/>
      <c r="P14" s="24"/>
      <c r="Q14" s="24"/>
      <c r="R14" s="24"/>
      <c r="S14" s="113"/>
      <c r="T14" s="113"/>
      <c r="U14" s="24"/>
    </row>
    <row r="15" spans="1:21" s="12" customFormat="1" ht="17.100000000000001" customHeight="1">
      <c r="A15" s="110"/>
      <c r="B15" s="23"/>
      <c r="C15" s="275"/>
      <c r="D15" s="275"/>
      <c r="E15" s="275"/>
      <c r="F15" s="275"/>
      <c r="G15" s="23"/>
      <c r="H15" s="55"/>
      <c r="I15" s="42"/>
      <c r="J15" s="23"/>
      <c r="K15" s="23"/>
      <c r="L15" s="93"/>
      <c r="M15" s="42"/>
      <c r="N15" s="24"/>
      <c r="O15" s="24"/>
      <c r="P15" s="24"/>
      <c r="Q15" s="24"/>
      <c r="R15" s="24"/>
      <c r="S15" s="113"/>
      <c r="T15" s="113"/>
      <c r="U15" s="24"/>
    </row>
    <row r="16" spans="1:21" s="12" customFormat="1" ht="17.100000000000001" customHeight="1">
      <c r="A16" s="110"/>
      <c r="B16" s="23"/>
      <c r="C16" s="275"/>
      <c r="D16" s="275"/>
      <c r="E16" s="275"/>
      <c r="F16" s="275"/>
      <c r="G16" s="23"/>
      <c r="H16" s="55"/>
      <c r="I16" s="42"/>
      <c r="J16" s="23"/>
      <c r="K16" s="23"/>
      <c r="L16" s="93"/>
      <c r="M16" s="42"/>
      <c r="N16" s="24"/>
      <c r="O16" s="24"/>
      <c r="P16" s="24"/>
      <c r="Q16" s="24"/>
      <c r="R16" s="24"/>
      <c r="S16" s="113"/>
      <c r="T16" s="113"/>
      <c r="U16" s="24"/>
    </row>
    <row r="17" spans="1:21" s="12" customFormat="1" ht="17.100000000000001" customHeight="1">
      <c r="A17" s="110"/>
      <c r="B17" s="23"/>
      <c r="C17" s="275"/>
      <c r="D17" s="275"/>
      <c r="E17" s="275"/>
      <c r="F17" s="275"/>
      <c r="G17" s="23"/>
      <c r="H17" s="55"/>
      <c r="I17" s="42"/>
      <c r="J17" s="23"/>
      <c r="K17" s="23"/>
      <c r="L17" s="93"/>
      <c r="M17" s="42"/>
      <c r="N17" s="24"/>
      <c r="O17" s="24"/>
      <c r="P17" s="24"/>
      <c r="Q17" s="24"/>
      <c r="R17" s="24"/>
      <c r="S17" s="113"/>
      <c r="T17" s="113"/>
      <c r="U17" s="24"/>
    </row>
    <row r="18" spans="1:21" s="12" customFormat="1" ht="17.100000000000001" customHeight="1">
      <c r="A18" s="110"/>
      <c r="B18" s="23"/>
      <c r="C18" s="275"/>
      <c r="D18" s="275"/>
      <c r="E18" s="275"/>
      <c r="F18" s="275"/>
      <c r="G18" s="23"/>
      <c r="H18" s="55"/>
      <c r="I18" s="42"/>
      <c r="J18" s="23"/>
      <c r="K18" s="23"/>
      <c r="L18" s="93"/>
      <c r="M18" s="42"/>
      <c r="N18" s="24"/>
      <c r="O18" s="24"/>
      <c r="P18" s="24"/>
      <c r="Q18" s="24"/>
      <c r="R18" s="24"/>
      <c r="S18" s="113"/>
      <c r="T18" s="113"/>
      <c r="U18" s="24"/>
    </row>
    <row r="19" spans="1:21" s="12" customFormat="1" ht="17.100000000000001" customHeight="1">
      <c r="A19" s="110"/>
      <c r="B19" s="112"/>
      <c r="C19" s="275"/>
      <c r="D19" s="275"/>
      <c r="E19" s="275"/>
      <c r="F19" s="275"/>
      <c r="G19" s="112"/>
      <c r="H19" s="112"/>
      <c r="I19" s="112"/>
      <c r="J19" s="112"/>
      <c r="K19" s="112"/>
      <c r="L19" s="112"/>
      <c r="M19" s="112"/>
      <c r="N19" s="113"/>
      <c r="O19" s="113"/>
      <c r="P19" s="113"/>
      <c r="Q19" s="113"/>
      <c r="R19" s="113"/>
      <c r="S19" s="113"/>
      <c r="T19" s="113"/>
      <c r="U19" s="113"/>
    </row>
    <row r="20" spans="1:21" s="12" customFormat="1" ht="17.100000000000001" customHeight="1">
      <c r="A20" s="110"/>
      <c r="B20" s="112"/>
      <c r="C20" s="275"/>
      <c r="D20" s="275"/>
      <c r="E20" s="275"/>
      <c r="F20" s="275"/>
      <c r="G20" s="112"/>
      <c r="H20" s="112"/>
      <c r="I20" s="112"/>
      <c r="J20" s="112"/>
      <c r="K20" s="112"/>
      <c r="L20" s="112"/>
      <c r="M20" s="112"/>
      <c r="N20" s="113"/>
      <c r="O20" s="113"/>
      <c r="P20" s="113"/>
      <c r="Q20" s="113"/>
      <c r="R20" s="113"/>
      <c r="S20" s="113"/>
      <c r="T20" s="113"/>
      <c r="U20" s="113"/>
    </row>
    <row r="21" spans="1:21" s="12" customFormat="1" ht="17.100000000000001" customHeight="1">
      <c r="A21" s="110"/>
      <c r="B21" s="112"/>
      <c r="C21" s="275"/>
      <c r="D21" s="275"/>
      <c r="E21" s="275"/>
      <c r="F21" s="275"/>
      <c r="G21" s="112"/>
      <c r="H21" s="112"/>
      <c r="I21" s="112"/>
      <c r="J21" s="112"/>
      <c r="K21" s="112"/>
      <c r="L21" s="112"/>
      <c r="M21" s="112"/>
      <c r="N21" s="113"/>
      <c r="O21" s="113"/>
      <c r="P21" s="113"/>
      <c r="Q21" s="113"/>
      <c r="R21" s="113"/>
      <c r="S21" s="113"/>
      <c r="T21" s="113"/>
      <c r="U21" s="113"/>
    </row>
    <row r="22" spans="1:21" s="12" customFormat="1" ht="17.100000000000001" customHeight="1">
      <c r="A22" s="110"/>
      <c r="B22" s="112"/>
      <c r="C22" s="275"/>
      <c r="D22" s="275"/>
      <c r="E22" s="275"/>
      <c r="F22" s="275"/>
      <c r="G22" s="112"/>
      <c r="H22" s="112"/>
      <c r="I22" s="112"/>
      <c r="J22" s="112"/>
      <c r="K22" s="112"/>
      <c r="L22" s="112"/>
      <c r="M22" s="112"/>
      <c r="N22" s="113"/>
      <c r="O22" s="113"/>
      <c r="P22" s="113"/>
      <c r="Q22" s="113"/>
      <c r="R22" s="113"/>
      <c r="S22" s="113"/>
      <c r="T22" s="113"/>
      <c r="U22" s="113"/>
    </row>
    <row r="23" spans="1:21" s="12" customFormat="1" ht="17.100000000000001" customHeight="1">
      <c r="A23" s="110"/>
      <c r="B23" s="112"/>
      <c r="C23" s="275"/>
      <c r="D23" s="275"/>
      <c r="E23" s="275"/>
      <c r="F23" s="275"/>
      <c r="G23" s="112"/>
      <c r="H23" s="112"/>
      <c r="I23" s="112"/>
      <c r="J23" s="112"/>
      <c r="K23" s="112"/>
      <c r="L23" s="112"/>
      <c r="M23" s="112"/>
      <c r="N23" s="113"/>
      <c r="O23" s="113"/>
      <c r="P23" s="113"/>
      <c r="Q23" s="113"/>
      <c r="R23" s="113"/>
      <c r="S23" s="113"/>
      <c r="T23" s="113"/>
      <c r="U23" s="113"/>
    </row>
    <row r="24" spans="1:21" s="12" customFormat="1" ht="17.100000000000001" customHeight="1"/>
    <row r="25" spans="1:21" s="12" customFormat="1" ht="17.100000000000001" customHeight="1">
      <c r="A25" s="17" t="s">
        <v>94</v>
      </c>
    </row>
    <row r="26" spans="1:21" s="19" customFormat="1" ht="18" customHeight="1">
      <c r="A26" s="170" t="s">
        <v>129</v>
      </c>
      <c r="B26" s="170" t="s">
        <v>130</v>
      </c>
      <c r="C26" s="170" t="s">
        <v>131</v>
      </c>
      <c r="D26" s="170" t="s">
        <v>132</v>
      </c>
      <c r="E26" s="170" t="s">
        <v>474</v>
      </c>
      <c r="F26" s="170" t="s">
        <v>475</v>
      </c>
      <c r="G26" s="170" t="s">
        <v>476</v>
      </c>
      <c r="H26" s="170" t="s">
        <v>477</v>
      </c>
      <c r="I26" s="170" t="s">
        <v>478</v>
      </c>
      <c r="J26" s="170" t="s">
        <v>479</v>
      </c>
      <c r="K26" s="170" t="s">
        <v>480</v>
      </c>
    </row>
    <row r="27" spans="1:21" ht="17.100000000000001" customHeight="1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</row>
    <row r="28" spans="1:21" ht="17.100000000000001" customHeight="1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</row>
    <row r="29" spans="1:21" ht="17.100000000000001" customHeight="1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</row>
    <row r="30" spans="1:21" ht="17.100000000000001" customHeight="1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</row>
    <row r="31" spans="1:21" ht="17.100000000000001" customHeight="1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</row>
    <row r="32" spans="1:21" ht="17.100000000000001" customHeight="1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</row>
    <row r="33" spans="1:36" ht="17.100000000000001" customHeight="1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</row>
    <row r="34" spans="1:36" ht="17.100000000000001" customHeight="1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</row>
    <row r="35" spans="1:36" ht="17.100000000000001" customHeight="1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</row>
    <row r="36" spans="1:36" ht="17.100000000000001" customHeight="1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</row>
    <row r="37" spans="1:36" ht="17.100000000000001" customHeight="1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</row>
    <row r="38" spans="1:36" ht="17.100000000000001" customHeight="1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</row>
    <row r="39" spans="1:36" ht="17.100000000000001" customHeight="1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</row>
    <row r="40" spans="1:36" ht="17.100000000000001" customHeight="1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</row>
    <row r="41" spans="1:36" ht="17.100000000000001" customHeight="1">
      <c r="A41" s="114"/>
      <c r="B41" s="114"/>
      <c r="C41" s="114"/>
      <c r="D41" s="114"/>
      <c r="E41" s="114"/>
      <c r="F41" s="114"/>
      <c r="G41" s="114"/>
      <c r="H41" s="114"/>
      <c r="I41" s="114"/>
      <c r="J41" s="114"/>
      <c r="K41" s="114"/>
    </row>
    <row r="42" spans="1:36" ht="17.100000000000001" customHeight="1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</row>
    <row r="43" spans="1:36" ht="17.100000000000001" customHeight="1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</row>
    <row r="44" spans="1:36" ht="17.100000000000001" customHeight="1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</row>
    <row r="45" spans="1:36" ht="17.100000000000001" customHeight="1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</row>
    <row r="46" spans="1:36" ht="17.100000000000001" customHeight="1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</row>
    <row r="47" spans="1:36" ht="17.100000000000001" customHeight="1">
      <c r="AE47" s="12"/>
      <c r="AF47" s="12"/>
      <c r="AG47" s="12"/>
      <c r="AH47" s="12"/>
      <c r="AI47" s="12"/>
      <c r="AJ4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J47"/>
  <sheetViews>
    <sheetView zoomScaleNormal="100" workbookViewId="0"/>
  </sheetViews>
  <sheetFormatPr defaultColWidth="9" defaultRowHeight="17.100000000000001" customHeight="1"/>
  <cols>
    <col min="1" max="36" width="10.44140625" style="239" customWidth="1"/>
    <col min="37" max="16384" width="9" style="239"/>
  </cols>
  <sheetData>
    <row r="1" spans="1:17" s="12" customFormat="1" ht="33" customHeight="1">
      <c r="A1" s="15" t="s">
        <v>334</v>
      </c>
    </row>
    <row r="2" spans="1:17" s="12" customFormat="1" ht="17.100000000000001" customHeight="1">
      <c r="A2" s="17" t="s">
        <v>43</v>
      </c>
      <c r="C2" s="92" t="s">
        <v>63</v>
      </c>
      <c r="F2" s="92" t="s">
        <v>75</v>
      </c>
      <c r="J2" s="17" t="s">
        <v>44</v>
      </c>
      <c r="M2" s="17" t="s">
        <v>45</v>
      </c>
    </row>
    <row r="3" spans="1:17" s="12" customFormat="1" ht="13.5">
      <c r="A3" s="14" t="s">
        <v>90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76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64</v>
      </c>
      <c r="N3" s="41" t="s">
        <v>65</v>
      </c>
      <c r="O3" s="111" t="s">
        <v>91</v>
      </c>
      <c r="P3" s="111" t="s">
        <v>92</v>
      </c>
      <c r="Q3" s="41" t="s">
        <v>93</v>
      </c>
    </row>
    <row r="4" spans="1:17" s="12" customFormat="1" ht="17.100000000000001" customHeight="1">
      <c r="A4" s="110"/>
      <c r="B4" s="23"/>
      <c r="C4" s="23"/>
      <c r="D4" s="55"/>
      <c r="E4" s="42"/>
      <c r="F4" s="23"/>
      <c r="G4" s="23"/>
      <c r="H4" s="93"/>
      <c r="I4" s="42"/>
      <c r="J4" s="23"/>
      <c r="K4" s="23"/>
      <c r="L4" s="23"/>
      <c r="M4" s="23"/>
      <c r="N4" s="23"/>
      <c r="O4" s="112"/>
      <c r="P4" s="112"/>
      <c r="Q4" s="23"/>
    </row>
    <row r="5" spans="1:17" s="12" customFormat="1" ht="17.100000000000001" customHeight="1">
      <c r="A5" s="110"/>
      <c r="B5" s="23"/>
      <c r="C5" s="23"/>
      <c r="D5" s="55"/>
      <c r="E5" s="42"/>
      <c r="F5" s="23"/>
      <c r="G5" s="23"/>
      <c r="H5" s="93"/>
      <c r="I5" s="42"/>
      <c r="J5" s="23"/>
      <c r="K5" s="24"/>
      <c r="L5" s="24"/>
      <c r="M5" s="24"/>
      <c r="N5" s="24"/>
      <c r="O5" s="113"/>
      <c r="P5" s="113"/>
      <c r="Q5" s="24"/>
    </row>
    <row r="6" spans="1:17" s="12" customFormat="1" ht="17.100000000000001" customHeight="1">
      <c r="A6" s="110"/>
      <c r="B6" s="23"/>
      <c r="C6" s="23"/>
      <c r="D6" s="55"/>
      <c r="E6" s="42"/>
      <c r="F6" s="23"/>
      <c r="G6" s="23"/>
      <c r="H6" s="93"/>
      <c r="I6" s="42"/>
      <c r="J6" s="23"/>
      <c r="K6" s="24"/>
      <c r="L6" s="24"/>
      <c r="M6" s="24"/>
      <c r="N6" s="24"/>
      <c r="O6" s="113"/>
      <c r="P6" s="113"/>
      <c r="Q6" s="24"/>
    </row>
    <row r="7" spans="1:17" s="12" customFormat="1" ht="17.100000000000001" customHeight="1">
      <c r="A7" s="110"/>
      <c r="B7" s="23"/>
      <c r="C7" s="23"/>
      <c r="D7" s="55"/>
      <c r="E7" s="42"/>
      <c r="F7" s="23"/>
      <c r="G7" s="23"/>
      <c r="H7" s="93"/>
      <c r="I7" s="42"/>
      <c r="J7" s="23"/>
      <c r="K7" s="24"/>
      <c r="L7" s="24"/>
      <c r="M7" s="24"/>
      <c r="N7" s="24"/>
      <c r="O7" s="113"/>
      <c r="P7" s="113"/>
      <c r="Q7" s="24"/>
    </row>
    <row r="8" spans="1:17" s="12" customFormat="1" ht="17.100000000000001" customHeight="1">
      <c r="A8" s="110"/>
      <c r="B8" s="23"/>
      <c r="C8" s="23"/>
      <c r="D8" s="55"/>
      <c r="E8" s="42"/>
      <c r="F8" s="23"/>
      <c r="G8" s="23"/>
      <c r="H8" s="93"/>
      <c r="I8" s="42"/>
      <c r="J8" s="23"/>
      <c r="K8" s="24"/>
      <c r="L8" s="24"/>
      <c r="M8" s="24"/>
      <c r="N8" s="24"/>
      <c r="O8" s="113"/>
      <c r="P8" s="113"/>
      <c r="Q8" s="24"/>
    </row>
    <row r="9" spans="1:17" s="12" customFormat="1" ht="17.100000000000001" customHeight="1">
      <c r="A9" s="110"/>
      <c r="B9" s="23"/>
      <c r="C9" s="23"/>
      <c r="D9" s="55"/>
      <c r="E9" s="42"/>
      <c r="F9" s="23"/>
      <c r="G9" s="23"/>
      <c r="H9" s="93"/>
      <c r="I9" s="42"/>
      <c r="J9" s="23"/>
      <c r="K9" s="24"/>
      <c r="L9" s="24"/>
      <c r="M9" s="24"/>
      <c r="N9" s="24"/>
      <c r="O9" s="113"/>
      <c r="P9" s="113"/>
      <c r="Q9" s="24"/>
    </row>
    <row r="10" spans="1:17" s="12" customFormat="1" ht="17.100000000000001" customHeight="1">
      <c r="A10" s="110"/>
      <c r="B10" s="23"/>
      <c r="C10" s="23"/>
      <c r="D10" s="55"/>
      <c r="E10" s="42"/>
      <c r="F10" s="23"/>
      <c r="G10" s="23"/>
      <c r="H10" s="93"/>
      <c r="I10" s="42"/>
      <c r="J10" s="23"/>
      <c r="K10" s="24"/>
      <c r="L10" s="24"/>
      <c r="M10" s="24"/>
      <c r="N10" s="24"/>
      <c r="O10" s="113"/>
      <c r="P10" s="113"/>
      <c r="Q10" s="24"/>
    </row>
    <row r="11" spans="1:17" s="12" customFormat="1" ht="17.100000000000001" customHeight="1">
      <c r="A11" s="110"/>
      <c r="B11" s="23"/>
      <c r="C11" s="23"/>
      <c r="D11" s="55"/>
      <c r="E11" s="42"/>
      <c r="F11" s="23"/>
      <c r="G11" s="23"/>
      <c r="H11" s="93"/>
      <c r="I11" s="42"/>
      <c r="J11" s="23"/>
      <c r="K11" s="24"/>
      <c r="L11" s="24"/>
      <c r="M11" s="24"/>
      <c r="N11" s="24"/>
      <c r="O11" s="113"/>
      <c r="P11" s="113"/>
      <c r="Q11" s="24"/>
    </row>
    <row r="12" spans="1:17" s="12" customFormat="1" ht="17.100000000000001" customHeight="1">
      <c r="A12" s="110"/>
      <c r="B12" s="23"/>
      <c r="C12" s="23"/>
      <c r="D12" s="55"/>
      <c r="E12" s="42"/>
      <c r="F12" s="23"/>
      <c r="G12" s="23"/>
      <c r="H12" s="93"/>
      <c r="I12" s="42"/>
      <c r="J12" s="23"/>
      <c r="K12" s="24"/>
      <c r="L12" s="24"/>
      <c r="M12" s="24"/>
      <c r="N12" s="24"/>
      <c r="O12" s="113"/>
      <c r="P12" s="113"/>
      <c r="Q12" s="24"/>
    </row>
    <row r="13" spans="1:17" s="12" customFormat="1" ht="17.100000000000001" customHeight="1">
      <c r="A13" s="110"/>
      <c r="B13" s="23"/>
      <c r="C13" s="23"/>
      <c r="D13" s="55"/>
      <c r="E13" s="42"/>
      <c r="F13" s="23"/>
      <c r="G13" s="23"/>
      <c r="H13" s="93"/>
      <c r="I13" s="42"/>
      <c r="J13" s="23"/>
      <c r="K13" s="24"/>
      <c r="L13" s="24"/>
      <c r="M13" s="24"/>
      <c r="N13" s="24"/>
      <c r="O13" s="113"/>
      <c r="P13" s="113"/>
      <c r="Q13" s="24"/>
    </row>
    <row r="14" spans="1:17" s="12" customFormat="1" ht="17.100000000000001" customHeight="1">
      <c r="A14" s="110"/>
      <c r="B14" s="23"/>
      <c r="C14" s="23"/>
      <c r="D14" s="55"/>
      <c r="E14" s="42"/>
      <c r="F14" s="23"/>
      <c r="G14" s="23"/>
      <c r="H14" s="93"/>
      <c r="I14" s="42"/>
      <c r="J14" s="23"/>
      <c r="K14" s="24"/>
      <c r="L14" s="24"/>
      <c r="M14" s="24"/>
      <c r="N14" s="24"/>
      <c r="O14" s="113"/>
      <c r="P14" s="113"/>
      <c r="Q14" s="24"/>
    </row>
    <row r="15" spans="1:17" s="12" customFormat="1" ht="17.100000000000001" customHeight="1">
      <c r="A15" s="110"/>
      <c r="B15" s="23"/>
      <c r="C15" s="23"/>
      <c r="D15" s="55"/>
      <c r="E15" s="42"/>
      <c r="F15" s="23"/>
      <c r="G15" s="23"/>
      <c r="H15" s="93"/>
      <c r="I15" s="42"/>
      <c r="J15" s="24"/>
      <c r="K15" s="24"/>
      <c r="L15" s="24"/>
      <c r="M15" s="24"/>
      <c r="N15" s="24"/>
      <c r="O15" s="113"/>
      <c r="P15" s="113"/>
      <c r="Q15" s="24"/>
    </row>
    <row r="16" spans="1:17" s="12" customFormat="1" ht="17.100000000000001" customHeight="1">
      <c r="A16" s="110"/>
      <c r="B16" s="23"/>
      <c r="C16" s="23"/>
      <c r="D16" s="55"/>
      <c r="E16" s="42"/>
      <c r="F16" s="23"/>
      <c r="G16" s="23"/>
      <c r="H16" s="93"/>
      <c r="I16" s="42"/>
      <c r="J16" s="24"/>
      <c r="K16" s="24"/>
      <c r="L16" s="24"/>
      <c r="M16" s="24"/>
      <c r="N16" s="24"/>
      <c r="O16" s="113"/>
      <c r="P16" s="113"/>
      <c r="Q16" s="24"/>
    </row>
    <row r="17" spans="1:17" s="12" customFormat="1" ht="17.100000000000001" customHeight="1">
      <c r="A17" s="110"/>
      <c r="B17" s="23"/>
      <c r="C17" s="23"/>
      <c r="D17" s="55"/>
      <c r="E17" s="42"/>
      <c r="F17" s="23"/>
      <c r="G17" s="23"/>
      <c r="H17" s="93"/>
      <c r="I17" s="42"/>
      <c r="J17" s="24"/>
      <c r="K17" s="24"/>
      <c r="L17" s="24"/>
      <c r="M17" s="24"/>
      <c r="N17" s="24"/>
      <c r="O17" s="113"/>
      <c r="P17" s="113"/>
      <c r="Q17" s="24"/>
    </row>
    <row r="18" spans="1:17" s="12" customFormat="1" ht="17.100000000000001" customHeight="1">
      <c r="A18" s="110"/>
      <c r="B18" s="23"/>
      <c r="C18" s="23"/>
      <c r="D18" s="55"/>
      <c r="E18" s="42"/>
      <c r="F18" s="23"/>
      <c r="G18" s="23"/>
      <c r="H18" s="93"/>
      <c r="I18" s="42"/>
      <c r="J18" s="24"/>
      <c r="K18" s="24"/>
      <c r="L18" s="24"/>
      <c r="M18" s="24"/>
      <c r="N18" s="24"/>
      <c r="O18" s="113"/>
      <c r="P18" s="113"/>
      <c r="Q18" s="24"/>
    </row>
    <row r="19" spans="1:17" s="12" customFormat="1" ht="17.100000000000001" customHeight="1">
      <c r="A19" s="110"/>
      <c r="B19" s="112"/>
      <c r="C19" s="112"/>
      <c r="D19" s="112"/>
      <c r="E19" s="112"/>
      <c r="F19" s="112"/>
      <c r="G19" s="112"/>
      <c r="H19" s="112"/>
      <c r="I19" s="112"/>
      <c r="J19" s="113"/>
      <c r="K19" s="113"/>
      <c r="L19" s="113"/>
      <c r="M19" s="113"/>
      <c r="N19" s="113"/>
      <c r="O19" s="113"/>
      <c r="P19" s="113"/>
      <c r="Q19" s="113"/>
    </row>
    <row r="20" spans="1:17" s="12" customFormat="1" ht="17.100000000000001" customHeight="1">
      <c r="A20" s="110"/>
      <c r="B20" s="112"/>
      <c r="C20" s="112"/>
      <c r="D20" s="112"/>
      <c r="E20" s="112"/>
      <c r="F20" s="112"/>
      <c r="G20" s="112"/>
      <c r="H20" s="112"/>
      <c r="I20" s="112"/>
      <c r="J20" s="113"/>
      <c r="K20" s="113"/>
      <c r="L20" s="113"/>
      <c r="M20" s="113"/>
      <c r="N20" s="113"/>
      <c r="O20" s="113"/>
      <c r="P20" s="113"/>
      <c r="Q20" s="113"/>
    </row>
    <row r="21" spans="1:17" s="12" customFormat="1" ht="17.100000000000001" customHeight="1">
      <c r="A21" s="110"/>
      <c r="B21" s="112"/>
      <c r="C21" s="112"/>
      <c r="D21" s="112"/>
      <c r="E21" s="112"/>
      <c r="F21" s="112"/>
      <c r="G21" s="112"/>
      <c r="H21" s="112"/>
      <c r="I21" s="112"/>
      <c r="J21" s="113"/>
      <c r="K21" s="113"/>
      <c r="L21" s="113"/>
      <c r="M21" s="113"/>
      <c r="N21" s="113"/>
      <c r="O21" s="113"/>
      <c r="P21" s="113"/>
      <c r="Q21" s="113"/>
    </row>
    <row r="22" spans="1:17" s="12" customFormat="1" ht="17.100000000000001" customHeight="1">
      <c r="A22" s="110"/>
      <c r="B22" s="112"/>
      <c r="C22" s="112"/>
      <c r="D22" s="112"/>
      <c r="E22" s="112"/>
      <c r="F22" s="112"/>
      <c r="G22" s="112"/>
      <c r="H22" s="112"/>
      <c r="I22" s="112"/>
      <c r="J22" s="113"/>
      <c r="K22" s="113"/>
      <c r="L22" s="113"/>
      <c r="M22" s="113"/>
      <c r="N22" s="113"/>
      <c r="O22" s="113"/>
      <c r="P22" s="113"/>
      <c r="Q22" s="113"/>
    </row>
    <row r="23" spans="1:17" s="12" customFormat="1" ht="17.100000000000001" customHeight="1">
      <c r="A23" s="110"/>
      <c r="B23" s="112"/>
      <c r="C23" s="112"/>
      <c r="D23" s="112"/>
      <c r="E23" s="112"/>
      <c r="F23" s="112"/>
      <c r="G23" s="112"/>
      <c r="H23" s="112"/>
      <c r="I23" s="112"/>
      <c r="J23" s="113"/>
      <c r="K23" s="113"/>
      <c r="L23" s="113"/>
      <c r="M23" s="113"/>
      <c r="N23" s="113"/>
      <c r="O23" s="113"/>
      <c r="P23" s="113"/>
      <c r="Q23" s="113"/>
    </row>
    <row r="24" spans="1:17" s="12" customFormat="1" ht="17.100000000000001" customHeight="1"/>
    <row r="25" spans="1:17" s="12" customFormat="1" ht="17.100000000000001" customHeight="1">
      <c r="A25" s="17" t="s">
        <v>94</v>
      </c>
    </row>
    <row r="26" spans="1:17" s="19" customFormat="1" ht="18" customHeight="1">
      <c r="A26" s="170" t="s">
        <v>129</v>
      </c>
      <c r="B26" s="170" t="s">
        <v>130</v>
      </c>
      <c r="C26" s="170" t="s">
        <v>131</v>
      </c>
      <c r="D26" s="170" t="s">
        <v>132</v>
      </c>
      <c r="E26" s="170" t="s">
        <v>356</v>
      </c>
      <c r="F26" s="170" t="s">
        <v>357</v>
      </c>
      <c r="G26" s="170" t="s">
        <v>358</v>
      </c>
      <c r="H26" s="170" t="s">
        <v>359</v>
      </c>
      <c r="I26" s="170" t="s">
        <v>360</v>
      </c>
      <c r="J26" s="170" t="s">
        <v>361</v>
      </c>
      <c r="K26" s="170" t="s">
        <v>363</v>
      </c>
    </row>
    <row r="27" spans="1:17" ht="17.100000000000001" customHeight="1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</row>
    <row r="28" spans="1:17" ht="17.100000000000001" customHeight="1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</row>
    <row r="29" spans="1:17" ht="17.100000000000001" customHeight="1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</row>
    <row r="30" spans="1:17" ht="17.100000000000001" customHeight="1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</row>
    <row r="31" spans="1:17" ht="17.100000000000001" customHeight="1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</row>
    <row r="32" spans="1:17" ht="17.100000000000001" customHeight="1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</row>
    <row r="33" spans="1:36" ht="17.100000000000001" customHeight="1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</row>
    <row r="34" spans="1:36" ht="17.100000000000001" customHeight="1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</row>
    <row r="35" spans="1:36" ht="17.100000000000001" customHeight="1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</row>
    <row r="36" spans="1:36" ht="17.100000000000001" customHeight="1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</row>
    <row r="37" spans="1:36" ht="17.100000000000001" customHeight="1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</row>
    <row r="38" spans="1:36" ht="17.100000000000001" customHeight="1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</row>
    <row r="39" spans="1:36" ht="17.100000000000001" customHeight="1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</row>
    <row r="40" spans="1:36" ht="17.100000000000001" customHeight="1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</row>
    <row r="41" spans="1:36" ht="17.100000000000001" customHeight="1">
      <c r="A41" s="114"/>
      <c r="B41" s="114"/>
      <c r="C41" s="114"/>
      <c r="D41" s="114"/>
      <c r="E41" s="114"/>
      <c r="F41" s="114"/>
      <c r="G41" s="114"/>
      <c r="H41" s="114"/>
      <c r="I41" s="114"/>
      <c r="J41" s="114"/>
      <c r="K41" s="114"/>
    </row>
    <row r="42" spans="1:36" ht="17.100000000000001" customHeight="1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</row>
    <row r="43" spans="1:36" ht="17.100000000000001" customHeight="1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</row>
    <row r="44" spans="1:36" ht="17.100000000000001" customHeight="1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</row>
    <row r="45" spans="1:36" ht="17.100000000000001" customHeight="1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</row>
    <row r="46" spans="1:36" ht="17.100000000000001" customHeight="1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</row>
    <row r="47" spans="1:36" ht="17.100000000000001" customHeight="1">
      <c r="AE47" s="12"/>
      <c r="AF47" s="12"/>
      <c r="AG47" s="12"/>
      <c r="AH47" s="12"/>
      <c r="AI47" s="12"/>
      <c r="AJ4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J48"/>
  <sheetViews>
    <sheetView zoomScaleNormal="100" workbookViewId="0"/>
  </sheetViews>
  <sheetFormatPr defaultColWidth="9" defaultRowHeight="17.100000000000001" customHeight="1"/>
  <cols>
    <col min="1" max="36" width="10.44140625" style="258" customWidth="1"/>
    <col min="37" max="16384" width="9" style="258"/>
  </cols>
  <sheetData>
    <row r="1" spans="1:17" s="12" customFormat="1" ht="33" customHeight="1">
      <c r="A1" s="15" t="s">
        <v>334</v>
      </c>
    </row>
    <row r="2" spans="1:17" s="12" customFormat="1" ht="17.100000000000001" customHeight="1">
      <c r="A2" s="17" t="s">
        <v>43</v>
      </c>
      <c r="C2" s="92" t="s">
        <v>63</v>
      </c>
      <c r="F2" s="92" t="s">
        <v>75</v>
      </c>
      <c r="J2" s="17" t="s">
        <v>44</v>
      </c>
      <c r="M2" s="17" t="s">
        <v>45</v>
      </c>
    </row>
    <row r="3" spans="1:17" s="12" customFormat="1" ht="13.5">
      <c r="A3" s="14" t="s">
        <v>90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76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64</v>
      </c>
      <c r="N3" s="41" t="s">
        <v>65</v>
      </c>
      <c r="O3" s="111" t="s">
        <v>91</v>
      </c>
      <c r="P3" s="111" t="s">
        <v>92</v>
      </c>
      <c r="Q3" s="41" t="s">
        <v>93</v>
      </c>
    </row>
    <row r="4" spans="1:17" s="12" customFormat="1" ht="17.100000000000001" customHeight="1">
      <c r="A4" s="110"/>
      <c r="B4" s="23"/>
      <c r="C4" s="23"/>
      <c r="D4" s="55"/>
      <c r="E4" s="42"/>
      <c r="F4" s="23"/>
      <c r="G4" s="23"/>
      <c r="H4" s="93"/>
      <c r="I4" s="42"/>
      <c r="J4" s="23"/>
      <c r="K4" s="23"/>
      <c r="L4" s="23"/>
      <c r="M4" s="23"/>
      <c r="N4" s="23"/>
      <c r="O4" s="112"/>
      <c r="P4" s="112"/>
      <c r="Q4" s="23"/>
    </row>
    <row r="5" spans="1:17" s="12" customFormat="1" ht="17.100000000000001" customHeight="1">
      <c r="A5" s="110"/>
      <c r="B5" s="23"/>
      <c r="C5" s="23"/>
      <c r="D5" s="55"/>
      <c r="E5" s="42"/>
      <c r="F5" s="23"/>
      <c r="G5" s="23"/>
      <c r="H5" s="93"/>
      <c r="I5" s="42"/>
      <c r="J5" s="23"/>
      <c r="K5" s="24"/>
      <c r="L5" s="24"/>
      <c r="M5" s="24"/>
      <c r="N5" s="24"/>
      <c r="O5" s="113"/>
      <c r="P5" s="113"/>
      <c r="Q5" s="24"/>
    </row>
    <row r="6" spans="1:17" s="12" customFormat="1" ht="17.100000000000001" customHeight="1">
      <c r="A6" s="110"/>
      <c r="B6" s="23"/>
      <c r="C6" s="23"/>
      <c r="D6" s="55"/>
      <c r="E6" s="42"/>
      <c r="F6" s="23"/>
      <c r="G6" s="23"/>
      <c r="H6" s="93"/>
      <c r="I6" s="42"/>
      <c r="J6" s="23"/>
      <c r="K6" s="24"/>
      <c r="L6" s="24"/>
      <c r="M6" s="24"/>
      <c r="N6" s="24"/>
      <c r="O6" s="113"/>
      <c r="P6" s="113"/>
      <c r="Q6" s="24"/>
    </row>
    <row r="7" spans="1:17" s="12" customFormat="1" ht="17.100000000000001" customHeight="1">
      <c r="A7" s="110"/>
      <c r="B7" s="23"/>
      <c r="C7" s="23"/>
      <c r="D7" s="55"/>
      <c r="E7" s="42"/>
      <c r="F7" s="23"/>
      <c r="G7" s="23"/>
      <c r="H7" s="93"/>
      <c r="I7" s="42"/>
      <c r="J7" s="23"/>
      <c r="K7" s="24"/>
      <c r="L7" s="24"/>
      <c r="M7" s="24"/>
      <c r="N7" s="24"/>
      <c r="O7" s="113"/>
      <c r="P7" s="113"/>
      <c r="Q7" s="24"/>
    </row>
    <row r="8" spans="1:17" s="12" customFormat="1" ht="17.100000000000001" customHeight="1">
      <c r="A8" s="110"/>
      <c r="B8" s="23"/>
      <c r="C8" s="23"/>
      <c r="D8" s="55"/>
      <c r="E8" s="42"/>
      <c r="F8" s="23"/>
      <c r="G8" s="23"/>
      <c r="H8" s="93"/>
      <c r="I8" s="42"/>
      <c r="J8" s="23"/>
      <c r="K8" s="24"/>
      <c r="L8" s="24"/>
      <c r="M8" s="24"/>
      <c r="N8" s="24"/>
      <c r="O8" s="113"/>
      <c r="P8" s="113"/>
      <c r="Q8" s="24"/>
    </row>
    <row r="9" spans="1:17" s="12" customFormat="1" ht="17.100000000000001" customHeight="1">
      <c r="A9" s="110"/>
      <c r="B9" s="23"/>
      <c r="C9" s="23"/>
      <c r="D9" s="55"/>
      <c r="E9" s="42"/>
      <c r="F9" s="23"/>
      <c r="G9" s="23"/>
      <c r="H9" s="93"/>
      <c r="I9" s="42"/>
      <c r="J9" s="23"/>
      <c r="K9" s="24"/>
      <c r="L9" s="24"/>
      <c r="M9" s="24"/>
      <c r="N9" s="24"/>
      <c r="O9" s="113"/>
      <c r="P9" s="113"/>
      <c r="Q9" s="24"/>
    </row>
    <row r="10" spans="1:17" s="12" customFormat="1" ht="17.100000000000001" customHeight="1">
      <c r="A10" s="110"/>
      <c r="B10" s="23"/>
      <c r="C10" s="23"/>
      <c r="D10" s="55"/>
      <c r="E10" s="42"/>
      <c r="F10" s="23"/>
      <c r="G10" s="23"/>
      <c r="H10" s="93"/>
      <c r="I10" s="42"/>
      <c r="J10" s="23"/>
      <c r="K10" s="24"/>
      <c r="L10" s="24"/>
      <c r="M10" s="24"/>
      <c r="N10" s="24"/>
      <c r="O10" s="113"/>
      <c r="P10" s="113"/>
      <c r="Q10" s="24"/>
    </row>
    <row r="11" spans="1:17" s="12" customFormat="1" ht="17.100000000000001" customHeight="1">
      <c r="A11" s="110"/>
      <c r="B11" s="23"/>
      <c r="C11" s="23"/>
      <c r="D11" s="55"/>
      <c r="E11" s="42"/>
      <c r="F11" s="23"/>
      <c r="G11" s="23"/>
      <c r="H11" s="93"/>
      <c r="I11" s="42"/>
      <c r="J11" s="23"/>
      <c r="K11" s="24"/>
      <c r="L11" s="24"/>
      <c r="M11" s="24"/>
      <c r="N11" s="24"/>
      <c r="O11" s="113"/>
      <c r="P11" s="113"/>
      <c r="Q11" s="24"/>
    </row>
    <row r="12" spans="1:17" s="12" customFormat="1" ht="17.100000000000001" customHeight="1">
      <c r="A12" s="110"/>
      <c r="B12" s="23"/>
      <c r="C12" s="23"/>
      <c r="D12" s="55"/>
      <c r="E12" s="42"/>
      <c r="F12" s="23"/>
      <c r="G12" s="23"/>
      <c r="H12" s="93"/>
      <c r="I12" s="42"/>
      <c r="J12" s="23"/>
      <c r="K12" s="24"/>
      <c r="L12" s="24"/>
      <c r="M12" s="24"/>
      <c r="N12" s="24"/>
      <c r="O12" s="113"/>
      <c r="P12" s="113"/>
      <c r="Q12" s="24"/>
    </row>
    <row r="13" spans="1:17" s="12" customFormat="1" ht="17.100000000000001" customHeight="1">
      <c r="A13" s="110"/>
      <c r="B13" s="23"/>
      <c r="C13" s="23"/>
      <c r="D13" s="55"/>
      <c r="E13" s="42"/>
      <c r="F13" s="23"/>
      <c r="G13" s="23"/>
      <c r="H13" s="93"/>
      <c r="I13" s="42"/>
      <c r="J13" s="23"/>
      <c r="K13" s="24"/>
      <c r="L13" s="24"/>
      <c r="M13" s="24"/>
      <c r="N13" s="24"/>
      <c r="O13" s="113"/>
      <c r="P13" s="113"/>
      <c r="Q13" s="24"/>
    </row>
    <row r="14" spans="1:17" s="12" customFormat="1" ht="17.100000000000001" customHeight="1">
      <c r="A14" s="110"/>
      <c r="B14" s="23"/>
      <c r="C14" s="23"/>
      <c r="D14" s="55"/>
      <c r="E14" s="42"/>
      <c r="F14" s="23"/>
      <c r="G14" s="23"/>
      <c r="H14" s="93"/>
      <c r="I14" s="42"/>
      <c r="J14" s="23"/>
      <c r="K14" s="24"/>
      <c r="L14" s="24"/>
      <c r="M14" s="24"/>
      <c r="N14" s="24"/>
      <c r="O14" s="113"/>
      <c r="P14" s="113"/>
      <c r="Q14" s="24"/>
    </row>
    <row r="15" spans="1:17" s="12" customFormat="1" ht="17.100000000000001" customHeight="1">
      <c r="A15" s="110"/>
      <c r="B15" s="23"/>
      <c r="C15" s="23"/>
      <c r="D15" s="55"/>
      <c r="E15" s="42"/>
      <c r="F15" s="23"/>
      <c r="G15" s="23"/>
      <c r="H15" s="93"/>
      <c r="I15" s="42"/>
      <c r="J15" s="24"/>
      <c r="K15" s="24"/>
      <c r="L15" s="24"/>
      <c r="M15" s="24"/>
      <c r="N15" s="24"/>
      <c r="O15" s="113"/>
      <c r="P15" s="113"/>
      <c r="Q15" s="24"/>
    </row>
    <row r="16" spans="1:17" s="12" customFormat="1" ht="17.100000000000001" customHeight="1">
      <c r="A16" s="110"/>
      <c r="B16" s="23"/>
      <c r="C16" s="23"/>
      <c r="D16" s="55"/>
      <c r="E16" s="42"/>
      <c r="F16" s="23"/>
      <c r="G16" s="23"/>
      <c r="H16" s="93"/>
      <c r="I16" s="42"/>
      <c r="J16" s="24"/>
      <c r="K16" s="24"/>
      <c r="L16" s="24"/>
      <c r="M16" s="24"/>
      <c r="N16" s="24"/>
      <c r="O16" s="113"/>
      <c r="P16" s="113"/>
      <c r="Q16" s="24"/>
    </row>
    <row r="17" spans="1:17" s="12" customFormat="1" ht="17.100000000000001" customHeight="1">
      <c r="A17" s="110"/>
      <c r="B17" s="23"/>
      <c r="C17" s="23"/>
      <c r="D17" s="55"/>
      <c r="E17" s="42"/>
      <c r="F17" s="23"/>
      <c r="G17" s="23"/>
      <c r="H17" s="93"/>
      <c r="I17" s="42"/>
      <c r="J17" s="24"/>
      <c r="K17" s="24"/>
      <c r="L17" s="24"/>
      <c r="M17" s="24"/>
      <c r="N17" s="24"/>
      <c r="O17" s="113"/>
      <c r="P17" s="113"/>
      <c r="Q17" s="24"/>
    </row>
    <row r="18" spans="1:17" s="12" customFormat="1" ht="17.100000000000001" customHeight="1">
      <c r="A18" s="110"/>
      <c r="B18" s="23"/>
      <c r="C18" s="23"/>
      <c r="D18" s="55"/>
      <c r="E18" s="42"/>
      <c r="F18" s="23"/>
      <c r="G18" s="23"/>
      <c r="H18" s="93"/>
      <c r="I18" s="42"/>
      <c r="J18" s="24"/>
      <c r="K18" s="24"/>
      <c r="L18" s="24"/>
      <c r="M18" s="24"/>
      <c r="N18" s="24"/>
      <c r="O18" s="113"/>
      <c r="P18" s="113"/>
      <c r="Q18" s="24"/>
    </row>
    <row r="19" spans="1:17" s="12" customFormat="1" ht="17.100000000000001" customHeight="1">
      <c r="A19" s="110"/>
      <c r="B19" s="112"/>
      <c r="C19" s="112"/>
      <c r="D19" s="112"/>
      <c r="E19" s="112"/>
      <c r="F19" s="112"/>
      <c r="G19" s="112"/>
      <c r="H19" s="112"/>
      <c r="I19" s="112"/>
      <c r="J19" s="113"/>
      <c r="K19" s="113"/>
      <c r="L19" s="113"/>
      <c r="M19" s="113"/>
      <c r="N19" s="113"/>
      <c r="O19" s="113"/>
      <c r="P19" s="113"/>
      <c r="Q19" s="113"/>
    </row>
    <row r="20" spans="1:17" s="12" customFormat="1" ht="17.100000000000001" customHeight="1">
      <c r="A20" s="110"/>
      <c r="B20" s="112"/>
      <c r="C20" s="112"/>
      <c r="D20" s="112"/>
      <c r="E20" s="112"/>
      <c r="F20" s="112"/>
      <c r="G20" s="112"/>
      <c r="H20" s="112"/>
      <c r="I20" s="112"/>
      <c r="J20" s="113"/>
      <c r="K20" s="113"/>
      <c r="L20" s="113"/>
      <c r="M20" s="113"/>
      <c r="N20" s="113"/>
      <c r="O20" s="113"/>
      <c r="P20" s="113"/>
      <c r="Q20" s="113"/>
    </row>
    <row r="21" spans="1:17" s="12" customFormat="1" ht="17.100000000000001" customHeight="1">
      <c r="A21" s="110"/>
      <c r="B21" s="112"/>
      <c r="C21" s="112"/>
      <c r="D21" s="112"/>
      <c r="E21" s="112"/>
      <c r="F21" s="112"/>
      <c r="G21" s="112"/>
      <c r="H21" s="112"/>
      <c r="I21" s="112"/>
      <c r="J21" s="113"/>
      <c r="K21" s="113"/>
      <c r="L21" s="113"/>
      <c r="M21" s="113"/>
      <c r="N21" s="113"/>
      <c r="O21" s="113"/>
      <c r="P21" s="113"/>
      <c r="Q21" s="113"/>
    </row>
    <row r="22" spans="1:17" s="12" customFormat="1" ht="17.100000000000001" customHeight="1">
      <c r="A22" s="110"/>
      <c r="B22" s="112"/>
      <c r="C22" s="112"/>
      <c r="D22" s="112"/>
      <c r="E22" s="112"/>
      <c r="F22" s="112"/>
      <c r="G22" s="112"/>
      <c r="H22" s="112"/>
      <c r="I22" s="112"/>
      <c r="J22" s="113"/>
      <c r="K22" s="113"/>
      <c r="L22" s="113"/>
      <c r="M22" s="113"/>
      <c r="N22" s="113"/>
      <c r="O22" s="113"/>
      <c r="P22" s="113"/>
      <c r="Q22" s="113"/>
    </row>
    <row r="23" spans="1:17" s="12" customFormat="1" ht="17.100000000000001" customHeight="1">
      <c r="A23" s="110"/>
      <c r="B23" s="112"/>
      <c r="C23" s="112"/>
      <c r="D23" s="112"/>
      <c r="E23" s="112"/>
      <c r="F23" s="112"/>
      <c r="G23" s="112"/>
      <c r="H23" s="112"/>
      <c r="I23" s="112"/>
      <c r="J23" s="113"/>
      <c r="K23" s="113"/>
      <c r="L23" s="113"/>
      <c r="M23" s="113"/>
      <c r="N23" s="113"/>
      <c r="O23" s="113"/>
      <c r="P23" s="113"/>
      <c r="Q23" s="113"/>
    </row>
    <row r="24" spans="1:17" s="12" customFormat="1" ht="17.100000000000001" customHeight="1"/>
    <row r="25" spans="1:17" s="12" customFormat="1" ht="17.100000000000001" customHeight="1">
      <c r="A25" s="17" t="s">
        <v>94</v>
      </c>
    </row>
    <row r="26" spans="1:17" s="12" customFormat="1" ht="17.100000000000001" customHeight="1">
      <c r="A26" s="710" t="s">
        <v>511</v>
      </c>
      <c r="B26" s="712" t="s">
        <v>512</v>
      </c>
      <c r="C26" s="712" t="s">
        <v>494</v>
      </c>
      <c r="D26" s="714" t="s">
        <v>654</v>
      </c>
      <c r="E26" s="714" t="s">
        <v>515</v>
      </c>
      <c r="F26" s="712" t="s">
        <v>516</v>
      </c>
      <c r="G26" s="707" t="s">
        <v>513</v>
      </c>
      <c r="H26" s="708"/>
      <c r="I26" s="708"/>
      <c r="J26" s="708"/>
      <c r="K26" s="709"/>
      <c r="L26" s="707" t="s">
        <v>517</v>
      </c>
      <c r="M26" s="708"/>
      <c r="N26" s="708"/>
      <c r="O26" s="708"/>
      <c r="P26" s="709"/>
    </row>
    <row r="27" spans="1:17" s="19" customFormat="1" ht="18" customHeight="1">
      <c r="A27" s="711"/>
      <c r="B27" s="713"/>
      <c r="C27" s="713"/>
      <c r="D27" s="715"/>
      <c r="E27" s="715"/>
      <c r="F27" s="713"/>
      <c r="G27" s="170" t="s">
        <v>514</v>
      </c>
      <c r="H27" s="170" t="s">
        <v>133</v>
      </c>
      <c r="I27" s="170" t="s">
        <v>134</v>
      </c>
      <c r="J27" s="170" t="s">
        <v>135</v>
      </c>
      <c r="K27" s="170" t="s">
        <v>136</v>
      </c>
      <c r="L27" s="170" t="s">
        <v>514</v>
      </c>
      <c r="M27" s="170" t="s">
        <v>133</v>
      </c>
      <c r="N27" s="170" t="s">
        <v>134</v>
      </c>
      <c r="O27" s="170" t="s">
        <v>135</v>
      </c>
      <c r="P27" s="170" t="s">
        <v>136</v>
      </c>
    </row>
    <row r="28" spans="1:17" ht="17.100000000000001" customHeight="1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</row>
    <row r="29" spans="1:17" ht="17.100000000000001" customHeight="1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</row>
    <row r="30" spans="1:17" ht="17.100000000000001" customHeight="1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</row>
    <row r="31" spans="1:17" ht="17.100000000000001" customHeight="1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</row>
    <row r="32" spans="1:17" ht="17.100000000000001" customHeight="1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</row>
    <row r="33" spans="1:36" ht="17.100000000000001" customHeight="1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</row>
    <row r="34" spans="1:36" ht="17.100000000000001" customHeight="1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</row>
    <row r="35" spans="1:36" ht="17.100000000000001" customHeight="1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</row>
    <row r="36" spans="1:36" ht="17.100000000000001" customHeight="1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</row>
    <row r="37" spans="1:36" ht="17.100000000000001" customHeight="1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</row>
    <row r="38" spans="1:36" ht="17.100000000000001" customHeight="1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</row>
    <row r="39" spans="1:36" ht="17.100000000000001" customHeight="1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</row>
    <row r="40" spans="1:36" ht="17.100000000000001" customHeight="1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</row>
    <row r="41" spans="1:36" ht="17.100000000000001" customHeight="1">
      <c r="A41" s="114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</row>
    <row r="42" spans="1:36" ht="17.100000000000001" customHeight="1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</row>
    <row r="43" spans="1:36" ht="17.100000000000001" customHeight="1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</row>
    <row r="44" spans="1:36" ht="17.100000000000001" customHeight="1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</row>
    <row r="45" spans="1:36" ht="17.100000000000001" customHeight="1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</row>
    <row r="46" spans="1:36" ht="17.100000000000001" customHeight="1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</row>
    <row r="47" spans="1:36" ht="17.100000000000001" customHeight="1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</row>
    <row r="48" spans="1:36" ht="17.100000000000001" customHeight="1">
      <c r="AE48" s="12"/>
      <c r="AF48" s="12"/>
      <c r="AG48" s="12"/>
      <c r="AH48" s="12"/>
      <c r="AI48" s="12"/>
      <c r="AJ48" s="12"/>
    </row>
  </sheetData>
  <mergeCells count="8">
    <mergeCell ref="G26:K26"/>
    <mergeCell ref="L26:P26"/>
    <mergeCell ref="A26:A27"/>
    <mergeCell ref="B26:B27"/>
    <mergeCell ref="C26:C27"/>
    <mergeCell ref="D26:D27"/>
    <mergeCell ref="E26:E27"/>
    <mergeCell ref="F26:F27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19"/>
  <sheetViews>
    <sheetView showGridLines="0" showWhiteSpace="0" zoomScaleNormal="100" zoomScaleSheetLayoutView="100" workbookViewId="0">
      <selection sqref="A1:I2"/>
    </sheetView>
  </sheetViews>
  <sheetFormatPr defaultColWidth="10.77734375" defaultRowHeight="15" customHeight="1"/>
  <cols>
    <col min="1" max="2" width="6.77734375" style="37" customWidth="1"/>
    <col min="3" max="3" width="12.77734375" style="37" customWidth="1"/>
    <col min="4" max="4" width="3.77734375" style="37" customWidth="1"/>
    <col min="5" max="5" width="9.77734375" style="37" customWidth="1"/>
    <col min="6" max="7" width="12.77734375" style="37" customWidth="1"/>
    <col min="8" max="9" width="6.77734375" style="37" customWidth="1"/>
    <col min="10" max="16384" width="10.77734375" style="37"/>
  </cols>
  <sheetData>
    <row r="1" spans="1:9" s="47" customFormat="1" ht="33" customHeight="1">
      <c r="A1" s="463" t="s">
        <v>34</v>
      </c>
      <c r="B1" s="463"/>
      <c r="C1" s="463"/>
      <c r="D1" s="463"/>
      <c r="E1" s="463"/>
      <c r="F1" s="463"/>
      <c r="G1" s="463"/>
      <c r="H1" s="463"/>
      <c r="I1" s="463"/>
    </row>
    <row r="2" spans="1:9" s="47" customFormat="1" ht="33" customHeight="1">
      <c r="A2" s="463"/>
      <c r="B2" s="463"/>
      <c r="C2" s="463"/>
      <c r="D2" s="463"/>
      <c r="E2" s="463"/>
      <c r="F2" s="463"/>
      <c r="G2" s="463"/>
      <c r="H2" s="463"/>
      <c r="I2" s="463"/>
    </row>
    <row r="3" spans="1:9" s="47" customFormat="1" ht="12.75" customHeight="1">
      <c r="A3" s="48" t="s">
        <v>80</v>
      </c>
      <c r="B3" s="48"/>
      <c r="C3" s="22"/>
      <c r="D3" s="22"/>
      <c r="E3" s="22"/>
      <c r="F3" s="22"/>
      <c r="G3" s="22"/>
      <c r="H3" s="22"/>
      <c r="I3" s="22"/>
    </row>
    <row r="4" spans="1:9" s="49" customFormat="1" ht="13.5" customHeight="1">
      <c r="A4" s="86" t="str">
        <f>" 교   정   번   호(Calibration No) : "&amp;기본정보!H3</f>
        <v xml:space="preserve"> 교   정   번   호(Calibration No) : </v>
      </c>
      <c r="B4" s="86"/>
      <c r="C4" s="87"/>
      <c r="D4" s="87"/>
      <c r="E4" s="87"/>
      <c r="F4" s="87"/>
      <c r="G4" s="96"/>
      <c r="H4" s="88"/>
      <c r="I4" s="95"/>
    </row>
    <row r="5" spans="1:9" s="36" customFormat="1" ht="15" customHeight="1"/>
    <row r="6" spans="1:9" ht="15" customHeight="1">
      <c r="C6" s="54" t="str">
        <f>"○ 품명 : "&amp;기본정보!C$5</f>
        <v xml:space="preserve">○ 품명 : </v>
      </c>
    </row>
    <row r="7" spans="1:9" ht="15" customHeight="1">
      <c r="C7" s="54" t="str">
        <f>"○ 제작회사 : "&amp;기본정보!C$6</f>
        <v xml:space="preserve">○ 제작회사 : </v>
      </c>
    </row>
    <row r="8" spans="1:9" ht="15" customHeight="1">
      <c r="C8" s="54" t="str">
        <f>"○ 형식 : "&amp;기본정보!C$7</f>
        <v xml:space="preserve">○ 형식 : </v>
      </c>
    </row>
    <row r="9" spans="1:9" ht="15" customHeight="1">
      <c r="C9" s="54" t="str">
        <f>"○ 기기번호 : "&amp;기본정보!C$8</f>
        <v xml:space="preserve">○ 기기번호 : </v>
      </c>
    </row>
    <row r="10" spans="1:9" ht="15" customHeight="1">
      <c r="C10" s="54"/>
    </row>
    <row r="11" spans="1:9" ht="15" customHeight="1">
      <c r="A11" s="255" t="str">
        <f>IF(OR(Calcu!B10,Calcu!B72)=TRUE,"","삭제")</f>
        <v>삭제</v>
      </c>
      <c r="C11" s="38" t="s">
        <v>641</v>
      </c>
      <c r="G11" s="407" t="str">
        <f ca="1">"○ 최소눈금 : "&amp;Calcu!N4&amp;" mm"</f>
        <v>○ 최소눈금 : 0 mm</v>
      </c>
    </row>
    <row r="12" spans="1:9" ht="15" customHeight="1">
      <c r="A12" s="256" t="str">
        <f>A11</f>
        <v>삭제</v>
      </c>
      <c r="B12" s="44"/>
      <c r="C12" s="458" t="s">
        <v>314</v>
      </c>
      <c r="D12" s="464"/>
      <c r="E12" s="459"/>
      <c r="F12" s="464" t="s">
        <v>315</v>
      </c>
      <c r="G12" s="462"/>
    </row>
    <row r="13" spans="1:9" ht="15" customHeight="1">
      <c r="A13" s="256" t="str">
        <f>A12</f>
        <v>삭제</v>
      </c>
      <c r="B13" s="44"/>
      <c r="C13" s="460" t="s">
        <v>127</v>
      </c>
      <c r="D13" s="460" t="s">
        <v>138</v>
      </c>
      <c r="E13" s="465"/>
      <c r="F13" s="467" t="s">
        <v>127</v>
      </c>
      <c r="G13" s="469" t="s">
        <v>138</v>
      </c>
    </row>
    <row r="14" spans="1:9" ht="15" customHeight="1">
      <c r="A14" s="256" t="str">
        <f>A13</f>
        <v>삭제</v>
      </c>
      <c r="B14" s="43"/>
      <c r="C14" s="461"/>
      <c r="D14" s="461"/>
      <c r="E14" s="466"/>
      <c r="F14" s="468"/>
      <c r="G14" s="470"/>
    </row>
    <row r="15" spans="1:9" ht="15" customHeight="1">
      <c r="A15" s="44" t="str">
        <f>IF(OR(Calcu!B10,Calcu!B72)=TRUE,"","삭제")</f>
        <v>삭제</v>
      </c>
      <c r="B15" s="43"/>
      <c r="C15" s="404" t="e">
        <f ca="1">Calcu!AA10</f>
        <v>#N/A</v>
      </c>
      <c r="D15" s="458" t="e">
        <f ca="1">Calcu!AB10</f>
        <v>#N/A</v>
      </c>
      <c r="E15" s="459"/>
      <c r="F15" s="405" t="e">
        <f ca="1">Calcu!AA72</f>
        <v>#N/A</v>
      </c>
      <c r="G15" s="249" t="e">
        <f ca="1">Calcu!AB72</f>
        <v>#N/A</v>
      </c>
    </row>
    <row r="16" spans="1:9" ht="15" customHeight="1">
      <c r="A16" s="44" t="str">
        <f>IF(OR(Calcu!B11,Calcu!B73)=TRUE,"","삭제")</f>
        <v>삭제</v>
      </c>
      <c r="B16" s="43"/>
      <c r="C16" s="404" t="e">
        <f ca="1">Calcu!AA11</f>
        <v>#N/A</v>
      </c>
      <c r="D16" s="458" t="e">
        <f ca="1">Calcu!AB11</f>
        <v>#N/A</v>
      </c>
      <c r="E16" s="459"/>
      <c r="F16" s="405" t="e">
        <f ca="1">Calcu!AA73</f>
        <v>#N/A</v>
      </c>
      <c r="G16" s="249" t="e">
        <f ca="1">Calcu!AB73</f>
        <v>#N/A</v>
      </c>
    </row>
    <row r="17" spans="1:7" ht="15" customHeight="1">
      <c r="A17" s="44" t="str">
        <f>IF(OR(Calcu!B12,Calcu!B74)=TRUE,"","삭제")</f>
        <v>삭제</v>
      </c>
      <c r="B17" s="43"/>
      <c r="C17" s="404" t="e">
        <f ca="1">Calcu!AA12</f>
        <v>#N/A</v>
      </c>
      <c r="D17" s="458" t="e">
        <f ca="1">Calcu!AB12</f>
        <v>#N/A</v>
      </c>
      <c r="E17" s="459"/>
      <c r="F17" s="405" t="e">
        <f ca="1">Calcu!AA74</f>
        <v>#N/A</v>
      </c>
      <c r="G17" s="249" t="e">
        <f ca="1">Calcu!AB74</f>
        <v>#N/A</v>
      </c>
    </row>
    <row r="18" spans="1:7" ht="15" customHeight="1">
      <c r="A18" s="44" t="str">
        <f>IF(OR(Calcu!B13,Calcu!B75)=TRUE,"","삭제")</f>
        <v>삭제</v>
      </c>
      <c r="B18" s="43"/>
      <c r="C18" s="404" t="e">
        <f ca="1">Calcu!AA13</f>
        <v>#N/A</v>
      </c>
      <c r="D18" s="458" t="e">
        <f ca="1">Calcu!AB13</f>
        <v>#N/A</v>
      </c>
      <c r="E18" s="459"/>
      <c r="F18" s="405" t="e">
        <f ca="1">Calcu!AA75</f>
        <v>#N/A</v>
      </c>
      <c r="G18" s="249" t="e">
        <f ca="1">Calcu!AB75</f>
        <v>#N/A</v>
      </c>
    </row>
    <row r="19" spans="1:7" ht="15" customHeight="1">
      <c r="A19" s="44" t="str">
        <f>IF(OR(Calcu!B14,Calcu!B76)=TRUE,"","삭제")</f>
        <v>삭제</v>
      </c>
      <c r="B19" s="43"/>
      <c r="C19" s="404" t="e">
        <f ca="1">Calcu!AA14</f>
        <v>#N/A</v>
      </c>
      <c r="D19" s="458" t="e">
        <f ca="1">Calcu!AB14</f>
        <v>#N/A</v>
      </c>
      <c r="E19" s="459"/>
      <c r="F19" s="405" t="e">
        <f ca="1">Calcu!AA76</f>
        <v>#N/A</v>
      </c>
      <c r="G19" s="249" t="e">
        <f ca="1">Calcu!AB76</f>
        <v>#N/A</v>
      </c>
    </row>
    <row r="20" spans="1:7" ht="15" customHeight="1">
      <c r="A20" s="44" t="str">
        <f>IF(OR(Calcu!B15,Calcu!B77)=TRUE,"","삭제")</f>
        <v>삭제</v>
      </c>
      <c r="B20" s="43"/>
      <c r="C20" s="404" t="e">
        <f ca="1">Calcu!AA15</f>
        <v>#N/A</v>
      </c>
      <c r="D20" s="458" t="e">
        <f ca="1">Calcu!AB15</f>
        <v>#N/A</v>
      </c>
      <c r="E20" s="459"/>
      <c r="F20" s="405" t="e">
        <f ca="1">Calcu!AA77</f>
        <v>#N/A</v>
      </c>
      <c r="G20" s="249" t="e">
        <f ca="1">Calcu!AB77</f>
        <v>#N/A</v>
      </c>
    </row>
    <row r="21" spans="1:7" ht="15" customHeight="1">
      <c r="A21" s="44" t="str">
        <f>IF(OR(Calcu!B16,Calcu!B78)=TRUE,"","삭제")</f>
        <v>삭제</v>
      </c>
      <c r="B21" s="43"/>
      <c r="C21" s="404" t="e">
        <f ca="1">Calcu!AA16</f>
        <v>#N/A</v>
      </c>
      <c r="D21" s="458" t="e">
        <f ca="1">Calcu!AB16</f>
        <v>#N/A</v>
      </c>
      <c r="E21" s="459"/>
      <c r="F21" s="405" t="e">
        <f ca="1">Calcu!AA78</f>
        <v>#N/A</v>
      </c>
      <c r="G21" s="249" t="e">
        <f ca="1">Calcu!AB78</f>
        <v>#N/A</v>
      </c>
    </row>
    <row r="22" spans="1:7" ht="15" customHeight="1">
      <c r="A22" s="44" t="str">
        <f>IF(OR(Calcu!B17,Calcu!B79)=TRUE,"","삭제")</f>
        <v>삭제</v>
      </c>
      <c r="B22" s="43"/>
      <c r="C22" s="404" t="e">
        <f ca="1">Calcu!AA17</f>
        <v>#N/A</v>
      </c>
      <c r="D22" s="458" t="e">
        <f ca="1">Calcu!AB17</f>
        <v>#N/A</v>
      </c>
      <c r="E22" s="459"/>
      <c r="F22" s="405" t="e">
        <f ca="1">Calcu!AA79</f>
        <v>#N/A</v>
      </c>
      <c r="G22" s="249" t="e">
        <f ca="1">Calcu!AB79</f>
        <v>#N/A</v>
      </c>
    </row>
    <row r="23" spans="1:7" ht="15" customHeight="1">
      <c r="A23" s="44" t="str">
        <f>IF(OR(Calcu!B18,Calcu!B80)=TRUE,"","삭제")</f>
        <v>삭제</v>
      </c>
      <c r="B23" s="43"/>
      <c r="C23" s="404" t="e">
        <f ca="1">Calcu!AA18</f>
        <v>#N/A</v>
      </c>
      <c r="D23" s="458" t="e">
        <f ca="1">Calcu!AB18</f>
        <v>#N/A</v>
      </c>
      <c r="E23" s="459"/>
      <c r="F23" s="405" t="e">
        <f ca="1">Calcu!AA80</f>
        <v>#N/A</v>
      </c>
      <c r="G23" s="249" t="e">
        <f ca="1">Calcu!AB80</f>
        <v>#N/A</v>
      </c>
    </row>
    <row r="24" spans="1:7" ht="15" customHeight="1">
      <c r="A24" s="44" t="str">
        <f>IF(OR(Calcu!B19,Calcu!B81)=TRUE,"","삭제")</f>
        <v>삭제</v>
      </c>
      <c r="B24" s="43"/>
      <c r="C24" s="404" t="e">
        <f ca="1">Calcu!AA19</f>
        <v>#N/A</v>
      </c>
      <c r="D24" s="458" t="e">
        <f ca="1">Calcu!AB19</f>
        <v>#N/A</v>
      </c>
      <c r="E24" s="459"/>
      <c r="F24" s="405" t="e">
        <f ca="1">Calcu!AA81</f>
        <v>#N/A</v>
      </c>
      <c r="G24" s="249" t="e">
        <f ca="1">Calcu!AB81</f>
        <v>#N/A</v>
      </c>
    </row>
    <row r="25" spans="1:7" ht="15" customHeight="1">
      <c r="A25" s="44" t="str">
        <f>IF(OR(Calcu!B20,Calcu!B82)=TRUE,"","삭제")</f>
        <v>삭제</v>
      </c>
      <c r="B25" s="43"/>
      <c r="C25" s="404" t="e">
        <f ca="1">Calcu!AA20</f>
        <v>#N/A</v>
      </c>
      <c r="D25" s="458" t="e">
        <f ca="1">Calcu!AB20</f>
        <v>#N/A</v>
      </c>
      <c r="E25" s="459"/>
      <c r="F25" s="405" t="e">
        <f ca="1">Calcu!AA82</f>
        <v>#N/A</v>
      </c>
      <c r="G25" s="249" t="e">
        <f ca="1">Calcu!AB82</f>
        <v>#N/A</v>
      </c>
    </row>
    <row r="26" spans="1:7" ht="15" customHeight="1">
      <c r="A26" s="44" t="str">
        <f>IF(OR(Calcu!B21,Calcu!B83)=TRUE,"","삭제")</f>
        <v>삭제</v>
      </c>
      <c r="B26" s="43"/>
      <c r="C26" s="404" t="e">
        <f ca="1">Calcu!AA21</f>
        <v>#N/A</v>
      </c>
      <c r="D26" s="458" t="e">
        <f ca="1">Calcu!AB21</f>
        <v>#N/A</v>
      </c>
      <c r="E26" s="459"/>
      <c r="F26" s="405" t="e">
        <f ca="1">Calcu!AA83</f>
        <v>#N/A</v>
      </c>
      <c r="G26" s="249" t="e">
        <f ca="1">Calcu!AB83</f>
        <v>#N/A</v>
      </c>
    </row>
    <row r="27" spans="1:7" ht="15" customHeight="1">
      <c r="A27" s="44" t="str">
        <f>IF(OR(Calcu!B22,Calcu!B84)=TRUE,"","삭제")</f>
        <v>삭제</v>
      </c>
      <c r="B27" s="43"/>
      <c r="C27" s="404" t="e">
        <f ca="1">Calcu!AA22</f>
        <v>#N/A</v>
      </c>
      <c r="D27" s="458" t="e">
        <f ca="1">Calcu!AB22</f>
        <v>#N/A</v>
      </c>
      <c r="E27" s="459"/>
      <c r="F27" s="405" t="e">
        <f ca="1">Calcu!AA84</f>
        <v>#N/A</v>
      </c>
      <c r="G27" s="249" t="e">
        <f ca="1">Calcu!AB84</f>
        <v>#N/A</v>
      </c>
    </row>
    <row r="28" spans="1:7" ht="15" customHeight="1">
      <c r="A28" s="44" t="str">
        <f>IF(OR(Calcu!B23,Calcu!B85)=TRUE,"","삭제")</f>
        <v>삭제</v>
      </c>
      <c r="B28" s="43"/>
      <c r="C28" s="404" t="e">
        <f ca="1">Calcu!AA23</f>
        <v>#N/A</v>
      </c>
      <c r="D28" s="458" t="e">
        <f ca="1">Calcu!AB23</f>
        <v>#N/A</v>
      </c>
      <c r="E28" s="459"/>
      <c r="F28" s="405" t="e">
        <f ca="1">Calcu!AA85</f>
        <v>#N/A</v>
      </c>
      <c r="G28" s="249" t="e">
        <f ca="1">Calcu!AB85</f>
        <v>#N/A</v>
      </c>
    </row>
    <row r="29" spans="1:7" ht="15" customHeight="1">
      <c r="A29" s="44" t="str">
        <f>IF(OR(Calcu!B24,Calcu!B86)=TRUE,"","삭제")</f>
        <v>삭제</v>
      </c>
      <c r="B29" s="43"/>
      <c r="C29" s="404" t="e">
        <f ca="1">Calcu!AA24</f>
        <v>#N/A</v>
      </c>
      <c r="D29" s="458" t="e">
        <f ca="1">Calcu!AB24</f>
        <v>#N/A</v>
      </c>
      <c r="E29" s="459"/>
      <c r="F29" s="405" t="e">
        <f ca="1">Calcu!AA86</f>
        <v>#N/A</v>
      </c>
      <c r="G29" s="249" t="e">
        <f ca="1">Calcu!AB86</f>
        <v>#N/A</v>
      </c>
    </row>
    <row r="30" spans="1:7" ht="15" customHeight="1">
      <c r="A30" s="44" t="str">
        <f>IF(OR(Calcu!B25,Calcu!B87)=TRUE,"","삭제")</f>
        <v>삭제</v>
      </c>
      <c r="B30" s="43"/>
      <c r="C30" s="404" t="e">
        <f ca="1">Calcu!AA25</f>
        <v>#N/A</v>
      </c>
      <c r="D30" s="458" t="e">
        <f ca="1">Calcu!AB25</f>
        <v>#N/A</v>
      </c>
      <c r="E30" s="459"/>
      <c r="F30" s="405" t="e">
        <f ca="1">Calcu!AA87</f>
        <v>#N/A</v>
      </c>
      <c r="G30" s="249" t="e">
        <f ca="1">Calcu!AB87</f>
        <v>#N/A</v>
      </c>
    </row>
    <row r="31" spans="1:7" ht="15" customHeight="1">
      <c r="A31" s="44" t="str">
        <f>IF(OR(Calcu!B26,Calcu!B88)=TRUE,"","삭제")</f>
        <v>삭제</v>
      </c>
      <c r="B31" s="43"/>
      <c r="C31" s="404" t="e">
        <f ca="1">Calcu!AA26</f>
        <v>#N/A</v>
      </c>
      <c r="D31" s="458" t="e">
        <f ca="1">Calcu!AB26</f>
        <v>#N/A</v>
      </c>
      <c r="E31" s="459"/>
      <c r="F31" s="405" t="e">
        <f ca="1">Calcu!AA88</f>
        <v>#N/A</v>
      </c>
      <c r="G31" s="249" t="e">
        <f ca="1">Calcu!AB88</f>
        <v>#N/A</v>
      </c>
    </row>
    <row r="32" spans="1:7" ht="15" customHeight="1">
      <c r="A32" s="44" t="str">
        <f>IF(OR(Calcu!B27,Calcu!B89)=TRUE,"","삭제")</f>
        <v>삭제</v>
      </c>
      <c r="B32" s="43"/>
      <c r="C32" s="404" t="e">
        <f ca="1">Calcu!AA27</f>
        <v>#N/A</v>
      </c>
      <c r="D32" s="458" t="e">
        <f ca="1">Calcu!AB27</f>
        <v>#N/A</v>
      </c>
      <c r="E32" s="459"/>
      <c r="F32" s="405" t="e">
        <f ca="1">Calcu!AA89</f>
        <v>#N/A</v>
      </c>
      <c r="G32" s="249" t="e">
        <f ca="1">Calcu!AB89</f>
        <v>#N/A</v>
      </c>
    </row>
    <row r="33" spans="1:7" ht="15" customHeight="1">
      <c r="A33" s="44" t="str">
        <f>IF(OR(Calcu!B28,Calcu!B90)=TRUE,"","삭제")</f>
        <v>삭제</v>
      </c>
      <c r="B33" s="43"/>
      <c r="C33" s="404" t="e">
        <f ca="1">Calcu!AA28</f>
        <v>#N/A</v>
      </c>
      <c r="D33" s="458" t="e">
        <f ca="1">Calcu!AB28</f>
        <v>#N/A</v>
      </c>
      <c r="E33" s="459"/>
      <c r="F33" s="405" t="e">
        <f ca="1">Calcu!AA90</f>
        <v>#N/A</v>
      </c>
      <c r="G33" s="249" t="e">
        <f ca="1">Calcu!AB90</f>
        <v>#N/A</v>
      </c>
    </row>
    <row r="34" spans="1:7" ht="15" customHeight="1">
      <c r="A34" s="44" t="str">
        <f>IF(OR(Calcu!B29,Calcu!B91)=TRUE,"","삭제")</f>
        <v>삭제</v>
      </c>
      <c r="B34" s="43"/>
      <c r="C34" s="404" t="e">
        <f ca="1">Calcu!AA29</f>
        <v>#N/A</v>
      </c>
      <c r="D34" s="458" t="e">
        <f ca="1">Calcu!AB29</f>
        <v>#N/A</v>
      </c>
      <c r="E34" s="459"/>
      <c r="F34" s="405" t="e">
        <f ca="1">Calcu!AA91</f>
        <v>#N/A</v>
      </c>
      <c r="G34" s="249" t="e">
        <f ca="1">Calcu!AB91</f>
        <v>#N/A</v>
      </c>
    </row>
    <row r="35" spans="1:7" ht="15" customHeight="1">
      <c r="A35" s="256" t="str">
        <f>A11</f>
        <v>삭제</v>
      </c>
      <c r="D35" s="385"/>
      <c r="E35" s="385"/>
      <c r="F35" s="385"/>
      <c r="G35" s="385"/>
    </row>
    <row r="36" spans="1:7" ht="15" customHeight="1">
      <c r="A36" s="256" t="str">
        <f>A11</f>
        <v>삭제</v>
      </c>
      <c r="C36" s="38" t="s">
        <v>281</v>
      </c>
      <c r="D36" s="53" t="e">
        <f ca="1">Calcu!Y115</f>
        <v>#N/A</v>
      </c>
      <c r="E36" s="199" t="e">
        <f ca="1">Calcu!Z115</f>
        <v>#N/A</v>
      </c>
    </row>
    <row r="37" spans="1:7" ht="15" customHeight="1">
      <c r="A37" s="256" t="str">
        <f>A12</f>
        <v>삭제</v>
      </c>
      <c r="D37" s="53" t="e">
        <f ca="1">IF(Calcu!W115="사다리꼴","(신뢰수준 95 %,","(신뢰수준 약 95 %,")</f>
        <v>#N/A</v>
      </c>
      <c r="E37" s="199" t="e">
        <f ca="1">Calcu!X115&amp;IF(Calcu!W115="사다리꼴",", 사다리꼴 확률분포)",")")</f>
        <v>#N/A</v>
      </c>
    </row>
    <row r="38" spans="1:7" ht="15" customHeight="1">
      <c r="A38" s="256" t="str">
        <f>A13</f>
        <v>삭제</v>
      </c>
      <c r="C38" s="38" t="s">
        <v>1310</v>
      </c>
      <c r="D38" s="53"/>
      <c r="E38" s="199"/>
    </row>
    <row r="39" spans="1:7" ht="15" customHeight="1">
      <c r="A39" s="255" t="str">
        <f>IF(Calcu!B134=TRUE,"","삭제")</f>
        <v>삭제</v>
      </c>
    </row>
    <row r="40" spans="1:7" ht="15" customHeight="1">
      <c r="A40" s="255" t="str">
        <f>A39</f>
        <v>삭제</v>
      </c>
    </row>
    <row r="41" spans="1:7" ht="15" customHeight="1">
      <c r="A41" s="255" t="str">
        <f>A40</f>
        <v>삭제</v>
      </c>
      <c r="C41" s="38" t="s">
        <v>645</v>
      </c>
    </row>
    <row r="42" spans="1:7" ht="15" customHeight="1">
      <c r="A42" s="255" t="str">
        <f>A41</f>
        <v>삭제</v>
      </c>
      <c r="B42" s="44"/>
      <c r="C42" s="460" t="s">
        <v>642</v>
      </c>
      <c r="D42" s="460" t="s">
        <v>643</v>
      </c>
      <c r="E42" s="473"/>
      <c r="F42" s="471" t="s">
        <v>644</v>
      </c>
    </row>
    <row r="43" spans="1:7" ht="15" customHeight="1">
      <c r="A43" s="255" t="str">
        <f>A42</f>
        <v>삭제</v>
      </c>
      <c r="B43" s="43"/>
      <c r="C43" s="461"/>
      <c r="D43" s="474"/>
      <c r="E43" s="475"/>
      <c r="F43" s="472"/>
    </row>
    <row r="44" spans="1:7" ht="15" customHeight="1">
      <c r="A44" s="44" t="str">
        <f>IF(Calcu!B134=TRUE,"","삭제")</f>
        <v>삭제</v>
      </c>
      <c r="B44" s="43"/>
      <c r="C44" s="254" t="str">
        <f>Calcu!AA134</f>
        <v/>
      </c>
      <c r="D44" s="458" t="e">
        <f ca="1">Calcu!AB134</f>
        <v>#N/A</v>
      </c>
      <c r="E44" s="462"/>
      <c r="F44" s="476" t="e">
        <f ca="1">Calcu!T166</f>
        <v>#N/A</v>
      </c>
    </row>
    <row r="45" spans="1:7" ht="15" customHeight="1">
      <c r="A45" s="44" t="str">
        <f>IF(Calcu!B135=TRUE,"","삭제")</f>
        <v>삭제</v>
      </c>
      <c r="B45" s="43"/>
      <c r="C45" s="307" t="str">
        <f>Calcu!AA135</f>
        <v/>
      </c>
      <c r="D45" s="458" t="e">
        <f ca="1">Calcu!AB135</f>
        <v>#N/A</v>
      </c>
      <c r="E45" s="462"/>
      <c r="F45" s="477"/>
    </row>
    <row r="46" spans="1:7" ht="15" customHeight="1">
      <c r="A46" s="44" t="str">
        <f>IF(Calcu!B136=TRUE,"","삭제")</f>
        <v>삭제</v>
      </c>
      <c r="B46" s="43"/>
      <c r="C46" s="307" t="str">
        <f>Calcu!AA136</f>
        <v/>
      </c>
      <c r="D46" s="458" t="e">
        <f ca="1">Calcu!AB136</f>
        <v>#N/A</v>
      </c>
      <c r="E46" s="462"/>
      <c r="F46" s="477"/>
    </row>
    <row r="47" spans="1:7" ht="15" customHeight="1">
      <c r="A47" s="44" t="str">
        <f>IF(Calcu!B137=TRUE,"","삭제")</f>
        <v>삭제</v>
      </c>
      <c r="B47" s="43"/>
      <c r="C47" s="307" t="str">
        <f>Calcu!AA137</f>
        <v/>
      </c>
      <c r="D47" s="458" t="e">
        <f ca="1">Calcu!AB137</f>
        <v>#N/A</v>
      </c>
      <c r="E47" s="462"/>
      <c r="F47" s="477"/>
    </row>
    <row r="48" spans="1:7" ht="15" customHeight="1">
      <c r="A48" s="44" t="str">
        <f>IF(Calcu!B138=TRUE,"","삭제")</f>
        <v>삭제</v>
      </c>
      <c r="B48" s="43"/>
      <c r="C48" s="307" t="str">
        <f>Calcu!AA138</f>
        <v/>
      </c>
      <c r="D48" s="458" t="e">
        <f ca="1">Calcu!AB138</f>
        <v>#N/A</v>
      </c>
      <c r="E48" s="462"/>
      <c r="F48" s="477"/>
    </row>
    <row r="49" spans="1:7" ht="15" customHeight="1">
      <c r="A49" s="44" t="str">
        <f>IF(Calcu!B139=TRUE,"","삭제")</f>
        <v>삭제</v>
      </c>
      <c r="B49" s="43"/>
      <c r="C49" s="307" t="str">
        <f>Calcu!AA139</f>
        <v/>
      </c>
      <c r="D49" s="458" t="e">
        <f ca="1">Calcu!AB139</f>
        <v>#N/A</v>
      </c>
      <c r="E49" s="462"/>
      <c r="F49" s="477"/>
    </row>
    <row r="50" spans="1:7" ht="15" customHeight="1">
      <c r="A50" s="44" t="str">
        <f>IF(Calcu!B140=TRUE,"","삭제")</f>
        <v>삭제</v>
      </c>
      <c r="B50" s="43"/>
      <c r="C50" s="307" t="str">
        <f>Calcu!AA140</f>
        <v/>
      </c>
      <c r="D50" s="458" t="e">
        <f ca="1">Calcu!AB140</f>
        <v>#N/A</v>
      </c>
      <c r="E50" s="462"/>
      <c r="F50" s="477"/>
    </row>
    <row r="51" spans="1:7" ht="15" customHeight="1">
      <c r="A51" s="44" t="str">
        <f>IF(Calcu!B141=TRUE,"","삭제")</f>
        <v>삭제</v>
      </c>
      <c r="B51" s="43"/>
      <c r="C51" s="307" t="str">
        <f>Calcu!AA141</f>
        <v/>
      </c>
      <c r="D51" s="458" t="e">
        <f ca="1">Calcu!AB141</f>
        <v>#N/A</v>
      </c>
      <c r="E51" s="462"/>
      <c r="F51" s="477"/>
    </row>
    <row r="52" spans="1:7" ht="15" customHeight="1">
      <c r="A52" s="44" t="str">
        <f>IF(Calcu!B142=TRUE,"","삭제")</f>
        <v>삭제</v>
      </c>
      <c r="B52" s="43"/>
      <c r="C52" s="307" t="str">
        <f>Calcu!AA142</f>
        <v/>
      </c>
      <c r="D52" s="458" t="e">
        <f ca="1">Calcu!AB142</f>
        <v>#N/A</v>
      </c>
      <c r="E52" s="462"/>
      <c r="F52" s="477"/>
    </row>
    <row r="53" spans="1:7" ht="15" customHeight="1">
      <c r="A53" s="44" t="str">
        <f>IF(Calcu!B143=TRUE,"","삭제")</f>
        <v>삭제</v>
      </c>
      <c r="B53" s="43"/>
      <c r="C53" s="307" t="str">
        <f>Calcu!AA143</f>
        <v/>
      </c>
      <c r="D53" s="458" t="e">
        <f ca="1">Calcu!AB143</f>
        <v>#N/A</v>
      </c>
      <c r="E53" s="462"/>
      <c r="F53" s="477"/>
    </row>
    <row r="54" spans="1:7" ht="15" customHeight="1">
      <c r="A54" s="44" t="str">
        <f>IF(Calcu!B144=TRUE,"","삭제")</f>
        <v>삭제</v>
      </c>
      <c r="B54" s="43"/>
      <c r="C54" s="307" t="str">
        <f>Calcu!AA144</f>
        <v/>
      </c>
      <c r="D54" s="458" t="e">
        <f ca="1">Calcu!AB144</f>
        <v>#N/A</v>
      </c>
      <c r="E54" s="462"/>
      <c r="F54" s="477"/>
    </row>
    <row r="55" spans="1:7" ht="15" customHeight="1">
      <c r="A55" s="44" t="str">
        <f>IF(Calcu!B145=TRUE,"","삭제")</f>
        <v>삭제</v>
      </c>
      <c r="B55" s="43"/>
      <c r="C55" s="307" t="str">
        <f>Calcu!AA145</f>
        <v/>
      </c>
      <c r="D55" s="458" t="e">
        <f ca="1">Calcu!AB145</f>
        <v>#N/A</v>
      </c>
      <c r="E55" s="462"/>
      <c r="F55" s="477"/>
    </row>
    <row r="56" spans="1:7" ht="15" customHeight="1">
      <c r="A56" s="44" t="str">
        <f>IF(Calcu!B146=TRUE,"","삭제")</f>
        <v>삭제</v>
      </c>
      <c r="B56" s="43"/>
      <c r="C56" s="307" t="str">
        <f>Calcu!AA146</f>
        <v/>
      </c>
      <c r="D56" s="458" t="e">
        <f ca="1">Calcu!AB146</f>
        <v>#N/A</v>
      </c>
      <c r="E56" s="462"/>
      <c r="F56" s="477"/>
    </row>
    <row r="57" spans="1:7" ht="15" customHeight="1">
      <c r="A57" s="44" t="str">
        <f>IF(Calcu!B147=TRUE,"","삭제")</f>
        <v>삭제</v>
      </c>
      <c r="B57" s="43"/>
      <c r="C57" s="307" t="str">
        <f>Calcu!AA147</f>
        <v/>
      </c>
      <c r="D57" s="458" t="e">
        <f ca="1">Calcu!AB147</f>
        <v>#N/A</v>
      </c>
      <c r="E57" s="462"/>
      <c r="F57" s="477"/>
    </row>
    <row r="58" spans="1:7" ht="15" customHeight="1">
      <c r="A58" s="44" t="str">
        <f>IF(Calcu!B148=TRUE,"","삭제")</f>
        <v>삭제</v>
      </c>
      <c r="B58" s="43"/>
      <c r="C58" s="307" t="str">
        <f>Calcu!AA148</f>
        <v/>
      </c>
      <c r="D58" s="458" t="e">
        <f ca="1">Calcu!AB148</f>
        <v>#N/A</v>
      </c>
      <c r="E58" s="462"/>
      <c r="F58" s="477"/>
    </row>
    <row r="59" spans="1:7" ht="15" customHeight="1">
      <c r="A59" s="44" t="str">
        <f>IF(Calcu!B149=TRUE,"","삭제")</f>
        <v>삭제</v>
      </c>
      <c r="B59" s="43"/>
      <c r="C59" s="307" t="str">
        <f>Calcu!AA149</f>
        <v/>
      </c>
      <c r="D59" s="458" t="e">
        <f ca="1">Calcu!AB149</f>
        <v>#N/A</v>
      </c>
      <c r="E59" s="462"/>
      <c r="F59" s="477"/>
    </row>
    <row r="60" spans="1:7" ht="15" customHeight="1">
      <c r="A60" s="44" t="str">
        <f>IF(Calcu!B150=TRUE,"","삭제")</f>
        <v>삭제</v>
      </c>
      <c r="B60" s="43"/>
      <c r="C60" s="307" t="str">
        <f>Calcu!AA150</f>
        <v/>
      </c>
      <c r="D60" s="458" t="e">
        <f ca="1">Calcu!AB150</f>
        <v>#N/A</v>
      </c>
      <c r="E60" s="462"/>
      <c r="F60" s="477"/>
    </row>
    <row r="61" spans="1:7" ht="15" customHeight="1">
      <c r="A61" s="44" t="str">
        <f>IF(Calcu!B151=TRUE,"","삭제")</f>
        <v>삭제</v>
      </c>
      <c r="B61" s="43"/>
      <c r="C61" s="307" t="str">
        <f>Calcu!AA151</f>
        <v/>
      </c>
      <c r="D61" s="458" t="e">
        <f ca="1">Calcu!AB151</f>
        <v>#N/A</v>
      </c>
      <c r="E61" s="462"/>
      <c r="F61" s="477"/>
    </row>
    <row r="62" spans="1:7" ht="15" customHeight="1">
      <c r="A62" s="44" t="str">
        <f>IF(Calcu!B152=TRUE,"","삭제")</f>
        <v>삭제</v>
      </c>
      <c r="B62" s="43"/>
      <c r="C62" s="307" t="str">
        <f>Calcu!AA152</f>
        <v/>
      </c>
      <c r="D62" s="458" t="e">
        <f ca="1">Calcu!AB152</f>
        <v>#N/A</v>
      </c>
      <c r="E62" s="462"/>
      <c r="F62" s="477"/>
    </row>
    <row r="63" spans="1:7" ht="15" customHeight="1">
      <c r="A63" s="44" t="str">
        <f>IF(Calcu!B153=TRUE,"","삭제")</f>
        <v>삭제</v>
      </c>
      <c r="B63" s="43"/>
      <c r="C63" s="307" t="str">
        <f>Calcu!AA153</f>
        <v/>
      </c>
      <c r="D63" s="458" t="e">
        <f ca="1">Calcu!AB153</f>
        <v>#N/A</v>
      </c>
      <c r="E63" s="462"/>
      <c r="F63" s="478"/>
    </row>
    <row r="64" spans="1:7" ht="15" customHeight="1">
      <c r="A64" s="256" t="str">
        <f>A43</f>
        <v>삭제</v>
      </c>
      <c r="C64" s="163"/>
      <c r="D64" s="309" t="e">
        <f ca="1">IF(Calcu!E176="사다리꼴","(신뢰수준 95 %,","(신뢰수준 약 95 %,")</f>
        <v>#N/A</v>
      </c>
      <c r="E64" s="310" t="e">
        <f ca="1">Calcu!E177&amp;IF(Calcu!E176="사다리꼴",", 사다리꼴 확률분포)",")")</f>
        <v>#N/A</v>
      </c>
      <c r="F64" s="163"/>
      <c r="G64" s="50"/>
    </row>
    <row r="65" spans="1:6" ht="15" customHeight="1">
      <c r="A65" s="255" t="str">
        <f>IF(Calcu!B191=TRUE,"","삭제")</f>
        <v>삭제</v>
      </c>
    </row>
    <row r="66" spans="1:6" ht="15" customHeight="1">
      <c r="A66" s="255" t="str">
        <f>A65</f>
        <v>삭제</v>
      </c>
    </row>
    <row r="67" spans="1:6" ht="15" customHeight="1">
      <c r="A67" s="255" t="str">
        <f>A66</f>
        <v>삭제</v>
      </c>
      <c r="C67" s="38" t="s">
        <v>1303</v>
      </c>
      <c r="F67" s="407" t="str">
        <f ca="1">"○ 최소눈금 : "&amp;Calcu!G185</f>
        <v>○ 최소눈금 : 00</v>
      </c>
    </row>
    <row r="68" spans="1:6" ht="15" customHeight="1">
      <c r="A68" s="255" t="str">
        <f>A67</f>
        <v>삭제</v>
      </c>
      <c r="B68" s="44"/>
      <c r="C68" s="460" t="s">
        <v>646</v>
      </c>
      <c r="D68" s="460" t="s">
        <v>647</v>
      </c>
      <c r="E68" s="473"/>
      <c r="F68" s="471" t="s">
        <v>648</v>
      </c>
    </row>
    <row r="69" spans="1:6" ht="15" customHeight="1">
      <c r="A69" s="255" t="str">
        <f>A68</f>
        <v>삭제</v>
      </c>
      <c r="B69" s="43"/>
      <c r="C69" s="461"/>
      <c r="D69" s="474"/>
      <c r="E69" s="475"/>
      <c r="F69" s="472"/>
    </row>
    <row r="70" spans="1:6" ht="15" customHeight="1">
      <c r="A70" s="44" t="str">
        <f>IF(Calcu!B191=TRUE,"","삭제")</f>
        <v>삭제</v>
      </c>
      <c r="B70" s="43"/>
      <c r="C70" s="308" t="str">
        <f>"0 ~ "&amp;Calcu!AD191</f>
        <v xml:space="preserve">0 ~ </v>
      </c>
      <c r="D70" s="458" t="e">
        <f ca="1">Calcu!AF191</f>
        <v>#N/A</v>
      </c>
      <c r="E70" s="462"/>
      <c r="F70" s="476" t="e">
        <f ca="1">Calcu!T224</f>
        <v>#N/A</v>
      </c>
    </row>
    <row r="71" spans="1:6" ht="15" customHeight="1">
      <c r="A71" s="44" t="str">
        <f>IF(Calcu!B192=TRUE,"","삭제")</f>
        <v>삭제</v>
      </c>
      <c r="B71" s="43"/>
      <c r="C71" s="308" t="str">
        <f>Calcu!AD192</f>
        <v/>
      </c>
      <c r="D71" s="458" t="e">
        <f ca="1">Calcu!AF192</f>
        <v>#N/A</v>
      </c>
      <c r="E71" s="462"/>
      <c r="F71" s="477"/>
    </row>
    <row r="72" spans="1:6" ht="15" customHeight="1">
      <c r="A72" s="44" t="str">
        <f>IF(Calcu!B193=TRUE,"","삭제")</f>
        <v>삭제</v>
      </c>
      <c r="B72" s="43"/>
      <c r="C72" s="308" t="str">
        <f>Calcu!AD193</f>
        <v/>
      </c>
      <c r="D72" s="458" t="e">
        <f ca="1">Calcu!AF193</f>
        <v>#N/A</v>
      </c>
      <c r="E72" s="462"/>
      <c r="F72" s="477"/>
    </row>
    <row r="73" spans="1:6" ht="15" customHeight="1">
      <c r="A73" s="44" t="str">
        <f>IF(Calcu!B194=TRUE,"","삭제")</f>
        <v>삭제</v>
      </c>
      <c r="B73" s="43"/>
      <c r="C73" s="308" t="str">
        <f>Calcu!AD194</f>
        <v/>
      </c>
      <c r="D73" s="458" t="e">
        <f ca="1">Calcu!AF194</f>
        <v>#N/A</v>
      </c>
      <c r="E73" s="462"/>
      <c r="F73" s="477"/>
    </row>
    <row r="74" spans="1:6" ht="15" customHeight="1">
      <c r="A74" s="44" t="str">
        <f>IF(Calcu!B195=TRUE,"","삭제")</f>
        <v>삭제</v>
      </c>
      <c r="B74" s="43"/>
      <c r="C74" s="308" t="str">
        <f>Calcu!AD195</f>
        <v/>
      </c>
      <c r="D74" s="458" t="e">
        <f ca="1">Calcu!AF195</f>
        <v>#N/A</v>
      </c>
      <c r="E74" s="462"/>
      <c r="F74" s="477"/>
    </row>
    <row r="75" spans="1:6" ht="15" customHeight="1">
      <c r="A75" s="44" t="str">
        <f>IF(Calcu!B196=TRUE,"","삭제")</f>
        <v>삭제</v>
      </c>
      <c r="B75" s="43"/>
      <c r="C75" s="308" t="str">
        <f>Calcu!AD196</f>
        <v/>
      </c>
      <c r="D75" s="458" t="e">
        <f ca="1">Calcu!AF196</f>
        <v>#N/A</v>
      </c>
      <c r="E75" s="462"/>
      <c r="F75" s="477"/>
    </row>
    <row r="76" spans="1:6" ht="15" customHeight="1">
      <c r="A76" s="44" t="str">
        <f>IF(Calcu!B197=TRUE,"","삭제")</f>
        <v>삭제</v>
      </c>
      <c r="B76" s="43"/>
      <c r="C76" s="308" t="str">
        <f>Calcu!AD197</f>
        <v/>
      </c>
      <c r="D76" s="458" t="e">
        <f ca="1">Calcu!AF197</f>
        <v>#N/A</v>
      </c>
      <c r="E76" s="462"/>
      <c r="F76" s="477"/>
    </row>
    <row r="77" spans="1:6" ht="15" customHeight="1">
      <c r="A77" s="44" t="str">
        <f>IF(Calcu!B198=TRUE,"","삭제")</f>
        <v>삭제</v>
      </c>
      <c r="B77" s="43"/>
      <c r="C77" s="308" t="str">
        <f>Calcu!AD198</f>
        <v/>
      </c>
      <c r="D77" s="458" t="e">
        <f ca="1">Calcu!AF198</f>
        <v>#N/A</v>
      </c>
      <c r="E77" s="462"/>
      <c r="F77" s="477"/>
    </row>
    <row r="78" spans="1:6" ht="15" customHeight="1">
      <c r="A78" s="44" t="str">
        <f>IF(Calcu!B199=TRUE,"","삭제")</f>
        <v>삭제</v>
      </c>
      <c r="B78" s="43"/>
      <c r="C78" s="308" t="str">
        <f>Calcu!AD199</f>
        <v/>
      </c>
      <c r="D78" s="458" t="e">
        <f ca="1">Calcu!AF199</f>
        <v>#N/A</v>
      </c>
      <c r="E78" s="462"/>
      <c r="F78" s="477"/>
    </row>
    <row r="79" spans="1:6" ht="15" customHeight="1">
      <c r="A79" s="44" t="str">
        <f>IF(Calcu!B200=TRUE,"","삭제")</f>
        <v>삭제</v>
      </c>
      <c r="B79" s="43"/>
      <c r="C79" s="308" t="str">
        <f>Calcu!AD200</f>
        <v/>
      </c>
      <c r="D79" s="458" t="e">
        <f ca="1">Calcu!AF200</f>
        <v>#N/A</v>
      </c>
      <c r="E79" s="462"/>
      <c r="F79" s="477"/>
    </row>
    <row r="80" spans="1:6" ht="15" customHeight="1">
      <c r="A80" s="44" t="str">
        <f>IF(Calcu!B201=TRUE,"","삭제")</f>
        <v>삭제</v>
      </c>
      <c r="B80" s="43"/>
      <c r="C80" s="308" t="str">
        <f>Calcu!AD201</f>
        <v/>
      </c>
      <c r="D80" s="458" t="e">
        <f ca="1">Calcu!AF201</f>
        <v>#N/A</v>
      </c>
      <c r="E80" s="462"/>
      <c r="F80" s="477"/>
    </row>
    <row r="81" spans="1:7" ht="15" customHeight="1">
      <c r="A81" s="44" t="str">
        <f>IF(Calcu!B202=TRUE,"","삭제")</f>
        <v>삭제</v>
      </c>
      <c r="B81" s="43"/>
      <c r="C81" s="308" t="str">
        <f>Calcu!AD202</f>
        <v/>
      </c>
      <c r="D81" s="458" t="e">
        <f ca="1">Calcu!AF202</f>
        <v>#N/A</v>
      </c>
      <c r="E81" s="462"/>
      <c r="F81" s="477"/>
    </row>
    <row r="82" spans="1:7" ht="15" customHeight="1">
      <c r="A82" s="44" t="str">
        <f>IF(Calcu!B203=TRUE,"","삭제")</f>
        <v>삭제</v>
      </c>
      <c r="B82" s="43"/>
      <c r="C82" s="308" t="str">
        <f>Calcu!AD203</f>
        <v/>
      </c>
      <c r="D82" s="458" t="e">
        <f ca="1">Calcu!AF203</f>
        <v>#N/A</v>
      </c>
      <c r="E82" s="462"/>
      <c r="F82" s="477"/>
    </row>
    <row r="83" spans="1:7" ht="15" customHeight="1">
      <c r="A83" s="44" t="str">
        <f>IF(Calcu!B204=TRUE,"","삭제")</f>
        <v>삭제</v>
      </c>
      <c r="B83" s="43"/>
      <c r="C83" s="308" t="str">
        <f>Calcu!AD204</f>
        <v/>
      </c>
      <c r="D83" s="458" t="e">
        <f ca="1">Calcu!AF204</f>
        <v>#N/A</v>
      </c>
      <c r="E83" s="462"/>
      <c r="F83" s="477"/>
    </row>
    <row r="84" spans="1:7" ht="15" customHeight="1">
      <c r="A84" s="44" t="str">
        <f>IF(Calcu!B205=TRUE,"","삭제")</f>
        <v>삭제</v>
      </c>
      <c r="B84" s="43"/>
      <c r="C84" s="308" t="str">
        <f>Calcu!AD205</f>
        <v/>
      </c>
      <c r="D84" s="458" t="e">
        <f ca="1">Calcu!AF205</f>
        <v>#N/A</v>
      </c>
      <c r="E84" s="462"/>
      <c r="F84" s="477"/>
    </row>
    <row r="85" spans="1:7" ht="15" customHeight="1">
      <c r="A85" s="44" t="str">
        <f>IF(Calcu!B206=TRUE,"","삭제")</f>
        <v>삭제</v>
      </c>
      <c r="B85" s="43"/>
      <c r="C85" s="308" t="str">
        <f>Calcu!AD206</f>
        <v/>
      </c>
      <c r="D85" s="458" t="e">
        <f ca="1">Calcu!AF206</f>
        <v>#N/A</v>
      </c>
      <c r="E85" s="462"/>
      <c r="F85" s="477"/>
    </row>
    <row r="86" spans="1:7" ht="15" customHeight="1">
      <c r="A86" s="44" t="str">
        <f>IF(Calcu!B207=TRUE,"","삭제")</f>
        <v>삭제</v>
      </c>
      <c r="B86" s="43"/>
      <c r="C86" s="308" t="str">
        <f>Calcu!AD207</f>
        <v/>
      </c>
      <c r="D86" s="458" t="e">
        <f ca="1">Calcu!AF207</f>
        <v>#N/A</v>
      </c>
      <c r="E86" s="462"/>
      <c r="F86" s="477"/>
    </row>
    <row r="87" spans="1:7" ht="15" customHeight="1">
      <c r="A87" s="44" t="str">
        <f>IF(Calcu!B208=TRUE,"","삭제")</f>
        <v>삭제</v>
      </c>
      <c r="B87" s="43"/>
      <c r="C87" s="308" t="str">
        <f>Calcu!AD208</f>
        <v/>
      </c>
      <c r="D87" s="458" t="e">
        <f ca="1">Calcu!AF208</f>
        <v>#N/A</v>
      </c>
      <c r="E87" s="462"/>
      <c r="F87" s="477"/>
    </row>
    <row r="88" spans="1:7" ht="15" customHeight="1">
      <c r="A88" s="44" t="str">
        <f>IF(Calcu!B209=TRUE,"","삭제")</f>
        <v>삭제</v>
      </c>
      <c r="B88" s="43"/>
      <c r="C88" s="308" t="str">
        <f>Calcu!AD209</f>
        <v/>
      </c>
      <c r="D88" s="458" t="e">
        <f ca="1">Calcu!AF209</f>
        <v>#N/A</v>
      </c>
      <c r="E88" s="462"/>
      <c r="F88" s="477"/>
    </row>
    <row r="89" spans="1:7" ht="15" customHeight="1">
      <c r="A89" s="44" t="str">
        <f>IF(Calcu!B210=TRUE,"","삭제")</f>
        <v>삭제</v>
      </c>
      <c r="B89" s="43"/>
      <c r="C89" s="308" t="str">
        <f>Calcu!AD210</f>
        <v/>
      </c>
      <c r="D89" s="458" t="e">
        <f ca="1">Calcu!AF210</f>
        <v>#N/A</v>
      </c>
      <c r="E89" s="462"/>
      <c r="F89" s="478"/>
    </row>
    <row r="90" spans="1:7" ht="15" customHeight="1">
      <c r="A90" s="44" t="str">
        <f>A67</f>
        <v>삭제</v>
      </c>
      <c r="B90" s="43"/>
      <c r="C90" s="50" t="s">
        <v>1304</v>
      </c>
      <c r="D90" s="384"/>
      <c r="E90" s="384"/>
      <c r="F90" s="384"/>
    </row>
    <row r="91" spans="1:7" ht="15" customHeight="1">
      <c r="A91" s="256" t="str">
        <f>A69</f>
        <v>삭제</v>
      </c>
      <c r="C91" s="385"/>
      <c r="D91" s="320" t="e">
        <f ca="1">IF(Calcu!E234="사다리꼴","(신뢰수준 95 %,","(신뢰수준 약 95 %,")</f>
        <v>#N/A</v>
      </c>
      <c r="E91" s="321" t="e">
        <f ca="1">Calcu!E235&amp;IF(Calcu!E234="사다리꼴",", 사다리꼴 확률분포)",")")</f>
        <v>#N/A</v>
      </c>
      <c r="F91" s="385"/>
      <c r="G91" s="50"/>
    </row>
    <row r="92" spans="1:7" ht="15" customHeight="1">
      <c r="A92" s="255" t="str">
        <f>IF(Calcu!B249=TRUE,"","삭제")</f>
        <v>삭제</v>
      </c>
    </row>
    <row r="93" spans="1:7" ht="15" customHeight="1">
      <c r="A93" s="255" t="str">
        <f>A92</f>
        <v>삭제</v>
      </c>
    </row>
    <row r="94" spans="1:7" ht="15" customHeight="1">
      <c r="A94" s="255" t="str">
        <f>A93</f>
        <v>삭제</v>
      </c>
      <c r="C94" s="38" t="s">
        <v>649</v>
      </c>
      <c r="F94" s="407" t="str">
        <f ca="1">"○ 최소눈금 : "&amp;Calcu!G243</f>
        <v>○ 최소눈금 : 00</v>
      </c>
    </row>
    <row r="95" spans="1:7" ht="15" customHeight="1">
      <c r="A95" s="255" t="str">
        <f>A94</f>
        <v>삭제</v>
      </c>
      <c r="B95" s="44"/>
      <c r="C95" s="460" t="s">
        <v>646</v>
      </c>
      <c r="D95" s="460" t="s">
        <v>647</v>
      </c>
      <c r="E95" s="473"/>
      <c r="F95" s="471" t="s">
        <v>648</v>
      </c>
    </row>
    <row r="96" spans="1:7" ht="15" customHeight="1">
      <c r="A96" s="255" t="str">
        <f>A95</f>
        <v>삭제</v>
      </c>
      <c r="B96" s="43"/>
      <c r="C96" s="461"/>
      <c r="D96" s="474"/>
      <c r="E96" s="475"/>
      <c r="F96" s="472"/>
    </row>
    <row r="97" spans="1:6" ht="15" customHeight="1">
      <c r="A97" s="44" t="str">
        <f>IF(Calcu!B249=TRUE,"","삭제")</f>
        <v>삭제</v>
      </c>
      <c r="B97" s="43"/>
      <c r="C97" s="311" t="str">
        <f>"0 ~ "&amp;Calcu!W249</f>
        <v xml:space="preserve">0 ~ </v>
      </c>
      <c r="D97" s="458" t="e">
        <f ca="1">Calcu!Y249</f>
        <v>#DIV/0!</v>
      </c>
      <c r="E97" s="462"/>
      <c r="F97" s="476" t="e">
        <f ca="1">Calcu!U282</f>
        <v>#DIV/0!</v>
      </c>
    </row>
    <row r="98" spans="1:6" ht="15" customHeight="1">
      <c r="A98" s="44" t="str">
        <f>IF(Calcu!B250=TRUE,"","삭제")</f>
        <v>삭제</v>
      </c>
      <c r="B98" s="43"/>
      <c r="C98" s="311" t="str">
        <f>Calcu!W250</f>
        <v/>
      </c>
      <c r="D98" s="458" t="e">
        <f ca="1">Calcu!Y250</f>
        <v>#DIV/0!</v>
      </c>
      <c r="E98" s="462"/>
      <c r="F98" s="477"/>
    </row>
    <row r="99" spans="1:6" ht="15" customHeight="1">
      <c r="A99" s="44" t="str">
        <f>IF(Calcu!B251=TRUE,"","삭제")</f>
        <v>삭제</v>
      </c>
      <c r="B99" s="43"/>
      <c r="C99" s="313" t="str">
        <f>Calcu!W251</f>
        <v/>
      </c>
      <c r="D99" s="458" t="e">
        <f ca="1">Calcu!Y251</f>
        <v>#DIV/0!</v>
      </c>
      <c r="E99" s="462"/>
      <c r="F99" s="477"/>
    </row>
    <row r="100" spans="1:6" ht="15" customHeight="1">
      <c r="A100" s="44" t="str">
        <f>IF(Calcu!B252=TRUE,"","삭제")</f>
        <v>삭제</v>
      </c>
      <c r="B100" s="43"/>
      <c r="C100" s="313" t="str">
        <f>Calcu!W252</f>
        <v/>
      </c>
      <c r="D100" s="458" t="e">
        <f ca="1">Calcu!Y252</f>
        <v>#DIV/0!</v>
      </c>
      <c r="E100" s="462"/>
      <c r="F100" s="477"/>
    </row>
    <row r="101" spans="1:6" ht="15" customHeight="1">
      <c r="A101" s="44" t="str">
        <f>IF(Calcu!B253=TRUE,"","삭제")</f>
        <v>삭제</v>
      </c>
      <c r="B101" s="43"/>
      <c r="C101" s="313" t="str">
        <f>Calcu!W253</f>
        <v/>
      </c>
      <c r="D101" s="458" t="e">
        <f ca="1">Calcu!Y253</f>
        <v>#DIV/0!</v>
      </c>
      <c r="E101" s="462"/>
      <c r="F101" s="477"/>
    </row>
    <row r="102" spans="1:6" ht="15" customHeight="1">
      <c r="A102" s="44" t="str">
        <f>IF(Calcu!B254=TRUE,"","삭제")</f>
        <v>삭제</v>
      </c>
      <c r="B102" s="43"/>
      <c r="C102" s="313" t="str">
        <f>Calcu!W254</f>
        <v/>
      </c>
      <c r="D102" s="458" t="e">
        <f ca="1">Calcu!Y254</f>
        <v>#DIV/0!</v>
      </c>
      <c r="E102" s="462"/>
      <c r="F102" s="477"/>
    </row>
    <row r="103" spans="1:6" ht="15" customHeight="1">
      <c r="A103" s="44" t="str">
        <f>IF(Calcu!B255=TRUE,"","삭제")</f>
        <v>삭제</v>
      </c>
      <c r="B103" s="43"/>
      <c r="C103" s="313" t="str">
        <f>Calcu!W255</f>
        <v/>
      </c>
      <c r="D103" s="458" t="e">
        <f ca="1">Calcu!Y255</f>
        <v>#DIV/0!</v>
      </c>
      <c r="E103" s="462"/>
      <c r="F103" s="477"/>
    </row>
    <row r="104" spans="1:6" ht="15" customHeight="1">
      <c r="A104" s="44" t="str">
        <f>IF(Calcu!B256=TRUE,"","삭제")</f>
        <v>삭제</v>
      </c>
      <c r="B104" s="43"/>
      <c r="C104" s="313" t="str">
        <f>Calcu!W256</f>
        <v/>
      </c>
      <c r="D104" s="458" t="e">
        <f ca="1">Calcu!Y256</f>
        <v>#DIV/0!</v>
      </c>
      <c r="E104" s="462"/>
      <c r="F104" s="477"/>
    </row>
    <row r="105" spans="1:6" ht="15" customHeight="1">
      <c r="A105" s="44" t="str">
        <f>IF(Calcu!B257=TRUE,"","삭제")</f>
        <v>삭제</v>
      </c>
      <c r="B105" s="43"/>
      <c r="C105" s="313" t="str">
        <f>Calcu!W257</f>
        <v/>
      </c>
      <c r="D105" s="458" t="e">
        <f ca="1">Calcu!Y257</f>
        <v>#DIV/0!</v>
      </c>
      <c r="E105" s="462"/>
      <c r="F105" s="477"/>
    </row>
    <row r="106" spans="1:6" ht="15" customHeight="1">
      <c r="A106" s="44" t="str">
        <f>IF(Calcu!B258=TRUE,"","삭제")</f>
        <v>삭제</v>
      </c>
      <c r="B106" s="43"/>
      <c r="C106" s="313" t="str">
        <f>Calcu!W258</f>
        <v/>
      </c>
      <c r="D106" s="458" t="e">
        <f ca="1">Calcu!Y258</f>
        <v>#DIV/0!</v>
      </c>
      <c r="E106" s="462"/>
      <c r="F106" s="477"/>
    </row>
    <row r="107" spans="1:6" ht="15" customHeight="1">
      <c r="A107" s="44" t="str">
        <f>IF(Calcu!B259=TRUE,"","삭제")</f>
        <v>삭제</v>
      </c>
      <c r="B107" s="43"/>
      <c r="C107" s="313" t="str">
        <f>Calcu!W259</f>
        <v/>
      </c>
      <c r="D107" s="458" t="e">
        <f ca="1">Calcu!Y259</f>
        <v>#DIV/0!</v>
      </c>
      <c r="E107" s="462"/>
      <c r="F107" s="477"/>
    </row>
    <row r="108" spans="1:6" ht="15" customHeight="1">
      <c r="A108" s="44" t="str">
        <f>IF(Calcu!B260=TRUE,"","삭제")</f>
        <v>삭제</v>
      </c>
      <c r="B108" s="43"/>
      <c r="C108" s="313" t="str">
        <f>Calcu!W260</f>
        <v/>
      </c>
      <c r="D108" s="458" t="e">
        <f ca="1">Calcu!Y260</f>
        <v>#DIV/0!</v>
      </c>
      <c r="E108" s="462"/>
      <c r="F108" s="477"/>
    </row>
    <row r="109" spans="1:6" ht="15" customHeight="1">
      <c r="A109" s="44" t="str">
        <f>IF(Calcu!B261=TRUE,"","삭제")</f>
        <v>삭제</v>
      </c>
      <c r="B109" s="43"/>
      <c r="C109" s="313" t="str">
        <f>Calcu!W261</f>
        <v/>
      </c>
      <c r="D109" s="458" t="e">
        <f ca="1">Calcu!Y261</f>
        <v>#DIV/0!</v>
      </c>
      <c r="E109" s="462"/>
      <c r="F109" s="477"/>
    </row>
    <row r="110" spans="1:6" ht="15" customHeight="1">
      <c r="A110" s="44" t="str">
        <f>IF(Calcu!B262=TRUE,"","삭제")</f>
        <v>삭제</v>
      </c>
      <c r="B110" s="43"/>
      <c r="C110" s="313" t="str">
        <f>Calcu!W262</f>
        <v/>
      </c>
      <c r="D110" s="458" t="e">
        <f ca="1">Calcu!Y262</f>
        <v>#DIV/0!</v>
      </c>
      <c r="E110" s="462"/>
      <c r="F110" s="477"/>
    </row>
    <row r="111" spans="1:6" ht="15" customHeight="1">
      <c r="A111" s="44" t="str">
        <f>IF(Calcu!B263=TRUE,"","삭제")</f>
        <v>삭제</v>
      </c>
      <c r="B111" s="43"/>
      <c r="C111" s="313" t="str">
        <f>Calcu!W263</f>
        <v/>
      </c>
      <c r="D111" s="458" t="e">
        <f ca="1">Calcu!Y263</f>
        <v>#DIV/0!</v>
      </c>
      <c r="E111" s="462"/>
      <c r="F111" s="477"/>
    </row>
    <row r="112" spans="1:6" ht="15" customHeight="1">
      <c r="A112" s="44" t="str">
        <f>IF(Calcu!B264=TRUE,"","삭제")</f>
        <v>삭제</v>
      </c>
      <c r="B112" s="43"/>
      <c r="C112" s="313" t="str">
        <f>Calcu!W264</f>
        <v/>
      </c>
      <c r="D112" s="458" t="e">
        <f ca="1">Calcu!Y264</f>
        <v>#DIV/0!</v>
      </c>
      <c r="E112" s="462"/>
      <c r="F112" s="477"/>
    </row>
    <row r="113" spans="1:8" ht="15" customHeight="1">
      <c r="A113" s="44" t="str">
        <f>IF(Calcu!B265=TRUE,"","삭제")</f>
        <v>삭제</v>
      </c>
      <c r="B113" s="43"/>
      <c r="C113" s="313" t="str">
        <f>Calcu!W265</f>
        <v/>
      </c>
      <c r="D113" s="458" t="e">
        <f ca="1">Calcu!Y265</f>
        <v>#DIV/0!</v>
      </c>
      <c r="E113" s="462"/>
      <c r="F113" s="477"/>
    </row>
    <row r="114" spans="1:8" ht="15" customHeight="1">
      <c r="A114" s="44" t="str">
        <f>IF(Calcu!B266=TRUE,"","삭제")</f>
        <v>삭제</v>
      </c>
      <c r="B114" s="43"/>
      <c r="C114" s="313" t="str">
        <f>Calcu!W266</f>
        <v/>
      </c>
      <c r="D114" s="458" t="e">
        <f ca="1">Calcu!Y266</f>
        <v>#DIV/0!</v>
      </c>
      <c r="E114" s="462"/>
      <c r="F114" s="477"/>
    </row>
    <row r="115" spans="1:8" ht="15" customHeight="1">
      <c r="A115" s="44" t="str">
        <f>IF(Calcu!B267=TRUE,"","삭제")</f>
        <v>삭제</v>
      </c>
      <c r="B115" s="43"/>
      <c r="C115" s="313" t="str">
        <f>Calcu!W267</f>
        <v/>
      </c>
      <c r="D115" s="458" t="e">
        <f ca="1">Calcu!Y267</f>
        <v>#DIV/0!</v>
      </c>
      <c r="E115" s="462"/>
      <c r="F115" s="477"/>
    </row>
    <row r="116" spans="1:8" ht="15" customHeight="1">
      <c r="A116" s="44" t="str">
        <f>IF(Calcu!B268=TRUE,"","삭제")</f>
        <v>삭제</v>
      </c>
      <c r="B116" s="43"/>
      <c r="C116" s="313" t="str">
        <f>Calcu!W268</f>
        <v/>
      </c>
      <c r="D116" s="458" t="e">
        <f ca="1">Calcu!Y268</f>
        <v>#DIV/0!</v>
      </c>
      <c r="E116" s="462"/>
      <c r="F116" s="478"/>
    </row>
    <row r="117" spans="1:8" ht="15" customHeight="1">
      <c r="A117" s="256" t="str">
        <f>A95</f>
        <v>삭제</v>
      </c>
      <c r="B117" s="43"/>
      <c r="D117" s="384"/>
      <c r="E117" s="384"/>
      <c r="F117" s="384"/>
    </row>
    <row r="118" spans="1:8" ht="15" customHeight="1">
      <c r="A118" s="256" t="str">
        <f>A96</f>
        <v>삭제</v>
      </c>
      <c r="C118" s="385"/>
      <c r="D118" s="320" t="e">
        <f>IF(Calcu!E292="사다리꼴","(신뢰수준 95 %,","(신뢰수준 약 95 %,")</f>
        <v>#DIV/0!</v>
      </c>
      <c r="E118" s="321" t="e">
        <f ca="1">Calcu!E293&amp;IF(Calcu!E292="사다리꼴",", 사다리꼴 확률분포)",")")</f>
        <v>#DIV/0!</v>
      </c>
      <c r="F118" s="385"/>
      <c r="G118" s="50"/>
    </row>
    <row r="119" spans="1:8" ht="15" customHeight="1">
      <c r="C119" s="71"/>
      <c r="D119" s="71"/>
      <c r="E119" s="71"/>
      <c r="F119" s="71"/>
      <c r="G119" s="71"/>
      <c r="H119" s="72"/>
    </row>
  </sheetData>
  <mergeCells count="99">
    <mergeCell ref="D114:E114"/>
    <mergeCell ref="D115:E115"/>
    <mergeCell ref="D116:E116"/>
    <mergeCell ref="D109:E109"/>
    <mergeCell ref="D110:E110"/>
    <mergeCell ref="D111:E111"/>
    <mergeCell ref="D112:E112"/>
    <mergeCell ref="D113:E113"/>
    <mergeCell ref="C95:C96"/>
    <mergeCell ref="D95:E96"/>
    <mergeCell ref="F95:F96"/>
    <mergeCell ref="D97:E97"/>
    <mergeCell ref="F97:F116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87:E87"/>
    <mergeCell ref="D88:E88"/>
    <mergeCell ref="D89:E89"/>
    <mergeCell ref="D82:E82"/>
    <mergeCell ref="D83:E83"/>
    <mergeCell ref="D84:E84"/>
    <mergeCell ref="D85:E85"/>
    <mergeCell ref="D86:E86"/>
    <mergeCell ref="C68:C69"/>
    <mergeCell ref="D68:E69"/>
    <mergeCell ref="F68:F69"/>
    <mergeCell ref="D70:E70"/>
    <mergeCell ref="F70:F89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F42:F43"/>
    <mergeCell ref="D57:E57"/>
    <mergeCell ref="D58:E58"/>
    <mergeCell ref="D59:E59"/>
    <mergeCell ref="D60:E60"/>
    <mergeCell ref="D47:E47"/>
    <mergeCell ref="D48:E48"/>
    <mergeCell ref="D49:E49"/>
    <mergeCell ref="D50:E50"/>
    <mergeCell ref="D51:E51"/>
    <mergeCell ref="D45:E45"/>
    <mergeCell ref="D46:E46"/>
    <mergeCell ref="D44:E44"/>
    <mergeCell ref="D42:E43"/>
    <mergeCell ref="F44:F63"/>
    <mergeCell ref="D61:E61"/>
    <mergeCell ref="D52:E52"/>
    <mergeCell ref="D53:E53"/>
    <mergeCell ref="D54:E54"/>
    <mergeCell ref="D55:E55"/>
    <mergeCell ref="D56:E56"/>
    <mergeCell ref="D32:E32"/>
    <mergeCell ref="D33:E33"/>
    <mergeCell ref="D34:E34"/>
    <mergeCell ref="D25:E25"/>
    <mergeCell ref="D26:E26"/>
    <mergeCell ref="D27:E27"/>
    <mergeCell ref="D28:E28"/>
    <mergeCell ref="D29:E29"/>
    <mergeCell ref="C42:C43"/>
    <mergeCell ref="D62:E62"/>
    <mergeCell ref="D63:E63"/>
    <mergeCell ref="A1:I2"/>
    <mergeCell ref="C13:C14"/>
    <mergeCell ref="C12:E12"/>
    <mergeCell ref="D13:E14"/>
    <mergeCell ref="F12:G12"/>
    <mergeCell ref="F13:F14"/>
    <mergeCell ref="G13:G14"/>
    <mergeCell ref="D15:E15"/>
    <mergeCell ref="D16:E16"/>
    <mergeCell ref="D17:E17"/>
    <mergeCell ref="D30:E30"/>
    <mergeCell ref="D31:E31"/>
    <mergeCell ref="D18:E18"/>
    <mergeCell ref="D24:E24"/>
    <mergeCell ref="D19:E19"/>
    <mergeCell ref="D20:E20"/>
    <mergeCell ref="D21:E21"/>
    <mergeCell ref="D22:E22"/>
    <mergeCell ref="D23:E23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31"/>
  <sheetViews>
    <sheetView showGridLines="0" showWhiteSpace="0" zoomScaleNormal="100" zoomScaleSheetLayoutView="100" workbookViewId="0">
      <selection sqref="A1:J2"/>
    </sheetView>
  </sheetViews>
  <sheetFormatPr defaultColWidth="10.77734375" defaultRowHeight="15" customHeight="1"/>
  <cols>
    <col min="1" max="1" width="2.77734375" style="37" customWidth="1"/>
    <col min="2" max="2" width="5.77734375" style="37" customWidth="1"/>
    <col min="3" max="3" width="15.77734375" style="37" customWidth="1"/>
    <col min="4" max="4" width="9.77734375" style="37" customWidth="1"/>
    <col min="5" max="5" width="6.77734375" style="37" customWidth="1"/>
    <col min="6" max="6" width="15.77734375" style="37" customWidth="1"/>
    <col min="7" max="7" width="9.77734375" style="37" customWidth="1"/>
    <col min="8" max="8" width="6.77734375" style="37" customWidth="1"/>
    <col min="9" max="9" width="5.77734375" style="37" customWidth="1"/>
    <col min="10" max="10" width="2.77734375" style="37" customWidth="1"/>
    <col min="11" max="16384" width="10.77734375" style="37"/>
  </cols>
  <sheetData>
    <row r="1" spans="1:10" s="76" customFormat="1" ht="33" customHeight="1">
      <c r="A1" s="479" t="s">
        <v>58</v>
      </c>
      <c r="B1" s="479"/>
      <c r="C1" s="479"/>
      <c r="D1" s="479"/>
      <c r="E1" s="479"/>
      <c r="F1" s="479"/>
      <c r="G1" s="479"/>
      <c r="H1" s="479"/>
      <c r="I1" s="479"/>
      <c r="J1" s="479"/>
    </row>
    <row r="2" spans="1:10" s="76" customFormat="1" ht="33" customHeight="1">
      <c r="A2" s="479"/>
      <c r="B2" s="479"/>
      <c r="C2" s="479"/>
      <c r="D2" s="479"/>
      <c r="E2" s="479"/>
      <c r="F2" s="479"/>
      <c r="G2" s="479"/>
      <c r="H2" s="479"/>
      <c r="I2" s="479"/>
      <c r="J2" s="479"/>
    </row>
    <row r="3" spans="1:10" s="47" customFormat="1" ht="12.75" customHeight="1">
      <c r="A3" s="48" t="s">
        <v>57</v>
      </c>
      <c r="B3" s="48"/>
      <c r="C3" s="22"/>
      <c r="D3" s="22"/>
      <c r="E3" s="22"/>
      <c r="F3" s="22"/>
      <c r="G3" s="22"/>
      <c r="H3" s="22"/>
      <c r="I3" s="22"/>
      <c r="J3" s="22"/>
    </row>
    <row r="4" spans="1:10" s="49" customFormat="1" ht="13.5" customHeight="1">
      <c r="A4" s="75" t="str">
        <f>" 교   정   번   호(Calibration No) : "&amp;기본정보!H3</f>
        <v xml:space="preserve"> 교   정   번   호(Calibration No) : </v>
      </c>
      <c r="B4" s="86"/>
      <c r="C4" s="74"/>
      <c r="D4" s="229"/>
      <c r="E4" s="74"/>
      <c r="F4" s="74"/>
      <c r="G4" s="88"/>
      <c r="H4" s="88"/>
      <c r="I4" s="88"/>
      <c r="J4" s="73"/>
    </row>
    <row r="5" spans="1:10" s="36" customFormat="1" ht="15" customHeight="1"/>
    <row r="6" spans="1:10" ht="15" customHeight="1">
      <c r="C6" s="54" t="str">
        <f>"○ Description : "&amp;기본정보!C$5</f>
        <v xml:space="preserve">○ Description : </v>
      </c>
      <c r="D6" s="54"/>
    </row>
    <row r="7" spans="1:10" ht="15" customHeight="1">
      <c r="C7" s="54" t="str">
        <f>"○ Manufacturer  : "&amp;기본정보!C$6</f>
        <v xml:space="preserve">○ Manufacturer  : </v>
      </c>
      <c r="D7" s="54"/>
    </row>
    <row r="8" spans="1:10" ht="15" customHeight="1">
      <c r="C8" s="54" t="str">
        <f>"○ Model Name : "&amp;기본정보!C$7</f>
        <v xml:space="preserve">○ Model Name : </v>
      </c>
      <c r="D8" s="54"/>
    </row>
    <row r="9" spans="1:10" ht="15" customHeight="1">
      <c r="C9" s="54" t="str">
        <f>"○ Serial Number : "&amp;기본정보!C$8</f>
        <v xml:space="preserve">○ Serial Number : </v>
      </c>
      <c r="D9" s="54"/>
    </row>
    <row r="11" spans="1:10" ht="15" customHeight="1">
      <c r="A11" s="255" t="str">
        <f>IF(OR(Calcu!B10,Calcu!B72)=TRUE,"","삭제")</f>
        <v>삭제</v>
      </c>
      <c r="C11" s="38" t="s">
        <v>655</v>
      </c>
      <c r="D11" s="38"/>
      <c r="F11" s="38"/>
    </row>
    <row r="12" spans="1:10" ht="15" customHeight="1">
      <c r="A12" s="256" t="str">
        <f>A11</f>
        <v>삭제</v>
      </c>
      <c r="C12" s="50" t="str">
        <f ca="1">"○ Resolution : "&amp;Calcu!N4&amp;" mm"</f>
        <v>○ Resolution : 0 mm</v>
      </c>
      <c r="D12" s="38"/>
      <c r="F12" s="38"/>
      <c r="H12" s="53"/>
    </row>
    <row r="13" spans="1:10" ht="15" customHeight="1">
      <c r="A13" s="256" t="str">
        <f>A12</f>
        <v>삭제</v>
      </c>
      <c r="C13" s="458" t="s">
        <v>316</v>
      </c>
      <c r="D13" s="464"/>
      <c r="E13" s="459"/>
      <c r="F13" s="464" t="s">
        <v>317</v>
      </c>
      <c r="G13" s="464"/>
      <c r="H13" s="462"/>
      <c r="I13" s="51"/>
    </row>
    <row r="14" spans="1:10" ht="15" customHeight="1">
      <c r="A14" s="256" t="str">
        <f>A13</f>
        <v>삭제</v>
      </c>
      <c r="C14" s="471" t="s">
        <v>128</v>
      </c>
      <c r="D14" s="460" t="s">
        <v>139</v>
      </c>
      <c r="E14" s="465"/>
      <c r="F14" s="473" t="s">
        <v>128</v>
      </c>
      <c r="G14" s="460" t="s">
        <v>331</v>
      </c>
      <c r="H14" s="473"/>
      <c r="I14" s="317"/>
    </row>
    <row r="15" spans="1:10" ht="15" customHeight="1">
      <c r="A15" s="256" t="str">
        <f>A14</f>
        <v>삭제</v>
      </c>
      <c r="C15" s="478"/>
      <c r="D15" s="461"/>
      <c r="E15" s="466"/>
      <c r="F15" s="480"/>
      <c r="G15" s="474"/>
      <c r="H15" s="475"/>
      <c r="I15" s="317"/>
    </row>
    <row r="16" spans="1:10" ht="15" customHeight="1">
      <c r="A16" s="44" t="str">
        <f>IF(OR(Calcu!B10,Calcu!B72)=TRUE,"","삭제")</f>
        <v>삭제</v>
      </c>
      <c r="B16" s="43"/>
      <c r="C16" s="404" t="e">
        <f ca="1">Calcu!AA10</f>
        <v>#N/A</v>
      </c>
      <c r="D16" s="458" t="e">
        <f ca="1">Calcu!AB10</f>
        <v>#N/A</v>
      </c>
      <c r="E16" s="459"/>
      <c r="F16" s="405" t="e">
        <f ca="1">Calcu!AA72</f>
        <v>#N/A</v>
      </c>
      <c r="G16" s="458" t="e">
        <f ca="1">Calcu!AB72</f>
        <v>#N/A</v>
      </c>
      <c r="H16" s="462"/>
      <c r="I16" s="51"/>
    </row>
    <row r="17" spans="1:9" ht="15" customHeight="1">
      <c r="A17" s="44" t="str">
        <f>IF(OR(Calcu!B11,Calcu!B73)=TRUE,"","삭제")</f>
        <v>삭제</v>
      </c>
      <c r="B17" s="43"/>
      <c r="C17" s="404" t="e">
        <f ca="1">Calcu!AA11</f>
        <v>#N/A</v>
      </c>
      <c r="D17" s="458" t="e">
        <f ca="1">Calcu!AB11</f>
        <v>#N/A</v>
      </c>
      <c r="E17" s="459"/>
      <c r="F17" s="405" t="e">
        <f ca="1">Calcu!AA73</f>
        <v>#N/A</v>
      </c>
      <c r="G17" s="458" t="e">
        <f ca="1">Calcu!AB73</f>
        <v>#N/A</v>
      </c>
      <c r="H17" s="462"/>
      <c r="I17" s="51"/>
    </row>
    <row r="18" spans="1:9" ht="15" customHeight="1">
      <c r="A18" s="44" t="str">
        <f>IF(OR(Calcu!B12,Calcu!B74)=TRUE,"","삭제")</f>
        <v>삭제</v>
      </c>
      <c r="B18" s="43"/>
      <c r="C18" s="404" t="e">
        <f ca="1">Calcu!AA12</f>
        <v>#N/A</v>
      </c>
      <c r="D18" s="458" t="e">
        <f ca="1">Calcu!AB12</f>
        <v>#N/A</v>
      </c>
      <c r="E18" s="459"/>
      <c r="F18" s="405" t="e">
        <f ca="1">Calcu!AA74</f>
        <v>#N/A</v>
      </c>
      <c r="G18" s="458" t="e">
        <f ca="1">Calcu!AB74</f>
        <v>#N/A</v>
      </c>
      <c r="H18" s="462"/>
      <c r="I18" s="51"/>
    </row>
    <row r="19" spans="1:9" ht="15" customHeight="1">
      <c r="A19" s="44" t="str">
        <f>IF(OR(Calcu!B13,Calcu!B75)=TRUE,"","삭제")</f>
        <v>삭제</v>
      </c>
      <c r="B19" s="43"/>
      <c r="C19" s="404" t="e">
        <f ca="1">Calcu!AA13</f>
        <v>#N/A</v>
      </c>
      <c r="D19" s="458" t="e">
        <f ca="1">Calcu!AB13</f>
        <v>#N/A</v>
      </c>
      <c r="E19" s="459"/>
      <c r="F19" s="405" t="e">
        <f ca="1">Calcu!AA75</f>
        <v>#N/A</v>
      </c>
      <c r="G19" s="458" t="e">
        <f ca="1">Calcu!AB75</f>
        <v>#N/A</v>
      </c>
      <c r="H19" s="462"/>
      <c r="I19" s="51"/>
    </row>
    <row r="20" spans="1:9" ht="15" customHeight="1">
      <c r="A20" s="44" t="str">
        <f>IF(OR(Calcu!B14,Calcu!B76)=TRUE,"","삭제")</f>
        <v>삭제</v>
      </c>
      <c r="B20" s="43"/>
      <c r="C20" s="404" t="e">
        <f ca="1">Calcu!AA14</f>
        <v>#N/A</v>
      </c>
      <c r="D20" s="458" t="e">
        <f ca="1">Calcu!AB14</f>
        <v>#N/A</v>
      </c>
      <c r="E20" s="459"/>
      <c r="F20" s="405" t="e">
        <f ca="1">Calcu!AA76</f>
        <v>#N/A</v>
      </c>
      <c r="G20" s="458" t="e">
        <f ca="1">Calcu!AB76</f>
        <v>#N/A</v>
      </c>
      <c r="H20" s="462"/>
      <c r="I20" s="51"/>
    </row>
    <row r="21" spans="1:9" ht="15" customHeight="1">
      <c r="A21" s="44" t="str">
        <f>IF(OR(Calcu!B15,Calcu!B77)=TRUE,"","삭제")</f>
        <v>삭제</v>
      </c>
      <c r="B21" s="43"/>
      <c r="C21" s="404" t="e">
        <f ca="1">Calcu!AA15</f>
        <v>#N/A</v>
      </c>
      <c r="D21" s="458" t="e">
        <f ca="1">Calcu!AB15</f>
        <v>#N/A</v>
      </c>
      <c r="E21" s="459"/>
      <c r="F21" s="405" t="e">
        <f ca="1">Calcu!AA77</f>
        <v>#N/A</v>
      </c>
      <c r="G21" s="458" t="e">
        <f ca="1">Calcu!AB77</f>
        <v>#N/A</v>
      </c>
      <c r="H21" s="462"/>
      <c r="I21" s="51"/>
    </row>
    <row r="22" spans="1:9" ht="15" customHeight="1">
      <c r="A22" s="44" t="str">
        <f>IF(OR(Calcu!B16,Calcu!B78)=TRUE,"","삭제")</f>
        <v>삭제</v>
      </c>
      <c r="B22" s="43"/>
      <c r="C22" s="404" t="e">
        <f ca="1">Calcu!AA16</f>
        <v>#N/A</v>
      </c>
      <c r="D22" s="458" t="e">
        <f ca="1">Calcu!AB16</f>
        <v>#N/A</v>
      </c>
      <c r="E22" s="459"/>
      <c r="F22" s="405" t="e">
        <f ca="1">Calcu!AA78</f>
        <v>#N/A</v>
      </c>
      <c r="G22" s="458" t="e">
        <f ca="1">Calcu!AB78</f>
        <v>#N/A</v>
      </c>
      <c r="H22" s="462"/>
      <c r="I22" s="51"/>
    </row>
    <row r="23" spans="1:9" ht="15" customHeight="1">
      <c r="A23" s="44" t="str">
        <f>IF(OR(Calcu!B17,Calcu!B79)=TRUE,"","삭제")</f>
        <v>삭제</v>
      </c>
      <c r="B23" s="43"/>
      <c r="C23" s="404" t="e">
        <f ca="1">Calcu!AA17</f>
        <v>#N/A</v>
      </c>
      <c r="D23" s="458" t="e">
        <f ca="1">Calcu!AB17</f>
        <v>#N/A</v>
      </c>
      <c r="E23" s="459"/>
      <c r="F23" s="405" t="e">
        <f ca="1">Calcu!AA79</f>
        <v>#N/A</v>
      </c>
      <c r="G23" s="458" t="e">
        <f ca="1">Calcu!AB79</f>
        <v>#N/A</v>
      </c>
      <c r="H23" s="462"/>
      <c r="I23" s="51"/>
    </row>
    <row r="24" spans="1:9" ht="15" customHeight="1">
      <c r="A24" s="44" t="str">
        <f>IF(OR(Calcu!B18,Calcu!B80)=TRUE,"","삭제")</f>
        <v>삭제</v>
      </c>
      <c r="B24" s="43"/>
      <c r="C24" s="404" t="e">
        <f ca="1">Calcu!AA18</f>
        <v>#N/A</v>
      </c>
      <c r="D24" s="458" t="e">
        <f ca="1">Calcu!AB18</f>
        <v>#N/A</v>
      </c>
      <c r="E24" s="459"/>
      <c r="F24" s="405" t="e">
        <f ca="1">Calcu!AA80</f>
        <v>#N/A</v>
      </c>
      <c r="G24" s="458" t="e">
        <f ca="1">Calcu!AB80</f>
        <v>#N/A</v>
      </c>
      <c r="H24" s="462"/>
      <c r="I24" s="51"/>
    </row>
    <row r="25" spans="1:9" ht="15" customHeight="1">
      <c r="A25" s="44" t="str">
        <f>IF(OR(Calcu!B19,Calcu!B81)=TRUE,"","삭제")</f>
        <v>삭제</v>
      </c>
      <c r="B25" s="43"/>
      <c r="C25" s="404" t="e">
        <f ca="1">Calcu!AA19</f>
        <v>#N/A</v>
      </c>
      <c r="D25" s="458" t="e">
        <f ca="1">Calcu!AB19</f>
        <v>#N/A</v>
      </c>
      <c r="E25" s="459"/>
      <c r="F25" s="405" t="e">
        <f ca="1">Calcu!AA81</f>
        <v>#N/A</v>
      </c>
      <c r="G25" s="458" t="e">
        <f ca="1">Calcu!AB81</f>
        <v>#N/A</v>
      </c>
      <c r="H25" s="462"/>
      <c r="I25" s="51"/>
    </row>
    <row r="26" spans="1:9" ht="15" customHeight="1">
      <c r="A26" s="44" t="str">
        <f>IF(OR(Calcu!B20,Calcu!B82)=TRUE,"","삭제")</f>
        <v>삭제</v>
      </c>
      <c r="B26" s="43"/>
      <c r="C26" s="404" t="e">
        <f ca="1">Calcu!AA20</f>
        <v>#N/A</v>
      </c>
      <c r="D26" s="458" t="e">
        <f ca="1">Calcu!AB20</f>
        <v>#N/A</v>
      </c>
      <c r="E26" s="459"/>
      <c r="F26" s="405" t="e">
        <f ca="1">Calcu!AA82</f>
        <v>#N/A</v>
      </c>
      <c r="G26" s="458" t="e">
        <f ca="1">Calcu!AB82</f>
        <v>#N/A</v>
      </c>
      <c r="H26" s="462"/>
      <c r="I26" s="51"/>
    </row>
    <row r="27" spans="1:9" ht="15" customHeight="1">
      <c r="A27" s="44" t="str">
        <f>IF(OR(Calcu!B21,Calcu!B83)=TRUE,"","삭제")</f>
        <v>삭제</v>
      </c>
      <c r="B27" s="43"/>
      <c r="C27" s="404" t="e">
        <f ca="1">Calcu!AA21</f>
        <v>#N/A</v>
      </c>
      <c r="D27" s="458" t="e">
        <f ca="1">Calcu!AB21</f>
        <v>#N/A</v>
      </c>
      <c r="E27" s="459"/>
      <c r="F27" s="405" t="e">
        <f ca="1">Calcu!AA83</f>
        <v>#N/A</v>
      </c>
      <c r="G27" s="458" t="e">
        <f ca="1">Calcu!AB83</f>
        <v>#N/A</v>
      </c>
      <c r="H27" s="462"/>
      <c r="I27" s="51"/>
    </row>
    <row r="28" spans="1:9" ht="15" customHeight="1">
      <c r="A28" s="44" t="str">
        <f>IF(OR(Calcu!B22,Calcu!B84)=TRUE,"","삭제")</f>
        <v>삭제</v>
      </c>
      <c r="B28" s="43"/>
      <c r="C28" s="404" t="e">
        <f ca="1">Calcu!AA22</f>
        <v>#N/A</v>
      </c>
      <c r="D28" s="458" t="e">
        <f ca="1">Calcu!AB22</f>
        <v>#N/A</v>
      </c>
      <c r="E28" s="459"/>
      <c r="F28" s="405" t="e">
        <f ca="1">Calcu!AA84</f>
        <v>#N/A</v>
      </c>
      <c r="G28" s="458" t="e">
        <f ca="1">Calcu!AB84</f>
        <v>#N/A</v>
      </c>
      <c r="H28" s="462"/>
      <c r="I28" s="51"/>
    </row>
    <row r="29" spans="1:9" ht="15" customHeight="1">
      <c r="A29" s="44" t="str">
        <f>IF(OR(Calcu!B23,Calcu!B85)=TRUE,"","삭제")</f>
        <v>삭제</v>
      </c>
      <c r="B29" s="43"/>
      <c r="C29" s="404" t="e">
        <f ca="1">Calcu!AA23</f>
        <v>#N/A</v>
      </c>
      <c r="D29" s="458" t="e">
        <f ca="1">Calcu!AB23</f>
        <v>#N/A</v>
      </c>
      <c r="E29" s="459"/>
      <c r="F29" s="405" t="e">
        <f ca="1">Calcu!AA85</f>
        <v>#N/A</v>
      </c>
      <c r="G29" s="458" t="e">
        <f ca="1">Calcu!AB85</f>
        <v>#N/A</v>
      </c>
      <c r="H29" s="462"/>
      <c r="I29" s="51"/>
    </row>
    <row r="30" spans="1:9" ht="15" customHeight="1">
      <c r="A30" s="44" t="str">
        <f>IF(OR(Calcu!B24,Calcu!B86)=TRUE,"","삭제")</f>
        <v>삭제</v>
      </c>
      <c r="B30" s="43"/>
      <c r="C30" s="404" t="e">
        <f ca="1">Calcu!AA24</f>
        <v>#N/A</v>
      </c>
      <c r="D30" s="458" t="e">
        <f ca="1">Calcu!AB24</f>
        <v>#N/A</v>
      </c>
      <c r="E30" s="459"/>
      <c r="F30" s="405" t="e">
        <f ca="1">Calcu!AA86</f>
        <v>#N/A</v>
      </c>
      <c r="G30" s="458" t="e">
        <f ca="1">Calcu!AB86</f>
        <v>#N/A</v>
      </c>
      <c r="H30" s="462"/>
      <c r="I30" s="51"/>
    </row>
    <row r="31" spans="1:9" ht="15" customHeight="1">
      <c r="A31" s="44" t="str">
        <f>IF(OR(Calcu!B25,Calcu!B87)=TRUE,"","삭제")</f>
        <v>삭제</v>
      </c>
      <c r="B31" s="43"/>
      <c r="C31" s="404" t="e">
        <f ca="1">Calcu!AA25</f>
        <v>#N/A</v>
      </c>
      <c r="D31" s="458" t="e">
        <f ca="1">Calcu!AB25</f>
        <v>#N/A</v>
      </c>
      <c r="E31" s="459"/>
      <c r="F31" s="405" t="e">
        <f ca="1">Calcu!AA87</f>
        <v>#N/A</v>
      </c>
      <c r="G31" s="458" t="e">
        <f ca="1">Calcu!AB87</f>
        <v>#N/A</v>
      </c>
      <c r="H31" s="462"/>
      <c r="I31" s="51"/>
    </row>
    <row r="32" spans="1:9" ht="15" customHeight="1">
      <c r="A32" s="44" t="str">
        <f>IF(OR(Calcu!B26,Calcu!B88)=TRUE,"","삭제")</f>
        <v>삭제</v>
      </c>
      <c r="B32" s="43"/>
      <c r="C32" s="404" t="e">
        <f ca="1">Calcu!AA26</f>
        <v>#N/A</v>
      </c>
      <c r="D32" s="458" t="e">
        <f ca="1">Calcu!AB26</f>
        <v>#N/A</v>
      </c>
      <c r="E32" s="459"/>
      <c r="F32" s="405" t="e">
        <f ca="1">Calcu!AA88</f>
        <v>#N/A</v>
      </c>
      <c r="G32" s="458" t="e">
        <f ca="1">Calcu!AB88</f>
        <v>#N/A</v>
      </c>
      <c r="H32" s="462"/>
      <c r="I32" s="51"/>
    </row>
    <row r="33" spans="1:10" ht="15" customHeight="1">
      <c r="A33" s="44" t="str">
        <f>IF(OR(Calcu!B27,Calcu!B89)=TRUE,"","삭제")</f>
        <v>삭제</v>
      </c>
      <c r="B33" s="43"/>
      <c r="C33" s="404" t="e">
        <f ca="1">Calcu!AA27</f>
        <v>#N/A</v>
      </c>
      <c r="D33" s="458" t="e">
        <f ca="1">Calcu!AB27</f>
        <v>#N/A</v>
      </c>
      <c r="E33" s="459"/>
      <c r="F33" s="405" t="e">
        <f ca="1">Calcu!AA89</f>
        <v>#N/A</v>
      </c>
      <c r="G33" s="458" t="e">
        <f ca="1">Calcu!AB89</f>
        <v>#N/A</v>
      </c>
      <c r="H33" s="462"/>
      <c r="I33" s="51"/>
    </row>
    <row r="34" spans="1:10" ht="15" customHeight="1">
      <c r="A34" s="44" t="str">
        <f>IF(OR(Calcu!B28,Calcu!B90)=TRUE,"","삭제")</f>
        <v>삭제</v>
      </c>
      <c r="B34" s="43"/>
      <c r="C34" s="404" t="e">
        <f ca="1">Calcu!AA28</f>
        <v>#N/A</v>
      </c>
      <c r="D34" s="458" t="e">
        <f ca="1">Calcu!AB28</f>
        <v>#N/A</v>
      </c>
      <c r="E34" s="459"/>
      <c r="F34" s="405" t="e">
        <f ca="1">Calcu!AA90</f>
        <v>#N/A</v>
      </c>
      <c r="G34" s="458" t="e">
        <f ca="1">Calcu!AB90</f>
        <v>#N/A</v>
      </c>
      <c r="H34" s="462"/>
      <c r="I34" s="51"/>
    </row>
    <row r="35" spans="1:10" ht="15" customHeight="1">
      <c r="A35" s="44" t="str">
        <f>IF(OR(Calcu!B29,Calcu!B91)=TRUE,"","삭제")</f>
        <v>삭제</v>
      </c>
      <c r="B35" s="43"/>
      <c r="C35" s="404" t="e">
        <f ca="1">Calcu!AA29</f>
        <v>#N/A</v>
      </c>
      <c r="D35" s="458" t="e">
        <f ca="1">Calcu!AB29</f>
        <v>#N/A</v>
      </c>
      <c r="E35" s="459"/>
      <c r="F35" s="405" t="e">
        <f ca="1">Calcu!AA91</f>
        <v>#N/A</v>
      </c>
      <c r="G35" s="458" t="e">
        <f ca="1">Calcu!AB91</f>
        <v>#N/A</v>
      </c>
      <c r="H35" s="462"/>
      <c r="I35" s="51"/>
    </row>
    <row r="36" spans="1:10" ht="15" customHeight="1">
      <c r="A36" s="256" t="str">
        <f>A11</f>
        <v>삭제</v>
      </c>
      <c r="D36" s="385"/>
      <c r="E36" s="385"/>
      <c r="F36" s="385"/>
      <c r="G36" s="385"/>
      <c r="H36" s="385"/>
      <c r="J36" s="50"/>
    </row>
    <row r="37" spans="1:10" ht="15" customHeight="1">
      <c r="A37" s="256" t="str">
        <f>A36</f>
        <v>삭제</v>
      </c>
      <c r="C37" s="38" t="s">
        <v>282</v>
      </c>
      <c r="E37" s="318" t="e">
        <f ca="1">Calcu!Y115</f>
        <v>#N/A</v>
      </c>
      <c r="F37" s="50" t="e">
        <f ca="1">Calcu!Z115</f>
        <v>#N/A</v>
      </c>
      <c r="J37" s="50"/>
    </row>
    <row r="38" spans="1:10" ht="15" customHeight="1">
      <c r="A38" s="256" t="str">
        <f>A13</f>
        <v>삭제</v>
      </c>
      <c r="E38" s="53" t="e">
        <f ca="1">IF(Calcu!W115="사다리꼴","(Confidence level 95 %,","(Confidence level about 95 %,")</f>
        <v>#N/A</v>
      </c>
      <c r="F38" s="199" t="e">
        <f ca="1">Calcu!X115&amp;")"</f>
        <v>#N/A</v>
      </c>
      <c r="H38" s="50"/>
      <c r="I38" s="50"/>
      <c r="J38" s="50"/>
    </row>
    <row r="39" spans="1:10" ht="15" customHeight="1">
      <c r="A39" s="256" t="str">
        <f ca="1">IFERROR(IF(Calcu!W115="사다리꼴",A38,"삭제"),"삭제")</f>
        <v>삭제</v>
      </c>
      <c r="C39" s="50" t="e">
        <f ca="1">IF(Calcu!W115="사다리꼴","※ Trapezoid probability distribution.","")</f>
        <v>#N/A</v>
      </c>
      <c r="E39" s="53"/>
      <c r="F39" s="199"/>
      <c r="H39" s="50"/>
      <c r="I39" s="50"/>
      <c r="J39" s="50"/>
    </row>
    <row r="40" spans="1:10" ht="15" customHeight="1">
      <c r="A40" s="256" t="str">
        <f>A38</f>
        <v>삭제</v>
      </c>
      <c r="C40" s="38" t="s">
        <v>1311</v>
      </c>
      <c r="E40" s="53"/>
      <c r="F40" s="199"/>
      <c r="H40" s="50"/>
      <c r="I40" s="50"/>
      <c r="J40" s="50"/>
    </row>
    <row r="41" spans="1:10" ht="15" customHeight="1">
      <c r="A41" s="255" t="str">
        <f>IF(Calcu!B134=TRUE,"","삭제")</f>
        <v>삭제</v>
      </c>
      <c r="D41" s="50"/>
      <c r="H41" s="50"/>
      <c r="I41" s="50"/>
      <c r="J41" s="50"/>
    </row>
    <row r="42" spans="1:10" ht="15" customHeight="1">
      <c r="A42" s="255" t="str">
        <f>A41</f>
        <v>삭제</v>
      </c>
    </row>
    <row r="43" spans="1:10" ht="15" customHeight="1">
      <c r="A43" s="255" t="str">
        <f>A42</f>
        <v>삭제</v>
      </c>
      <c r="C43" s="38" t="s">
        <v>650</v>
      </c>
      <c r="D43" s="38"/>
    </row>
    <row r="44" spans="1:10" ht="15" customHeight="1">
      <c r="A44" s="255" t="str">
        <f>A43</f>
        <v>삭제</v>
      </c>
      <c r="C44" s="460" t="s">
        <v>651</v>
      </c>
      <c r="D44" s="460" t="s">
        <v>652</v>
      </c>
      <c r="E44" s="473"/>
    </row>
    <row r="45" spans="1:10" ht="15" customHeight="1">
      <c r="A45" s="255" t="str">
        <f>A44</f>
        <v>삭제</v>
      </c>
      <c r="C45" s="461"/>
      <c r="D45" s="474"/>
      <c r="E45" s="475"/>
    </row>
    <row r="46" spans="1:10" ht="15" customHeight="1">
      <c r="A46" s="44" t="str">
        <f>IF(Calcu!B134=TRUE,"","삭제")</f>
        <v>삭제</v>
      </c>
      <c r="C46" s="316" t="str">
        <f>Calcu!AA134</f>
        <v/>
      </c>
      <c r="D46" s="458" t="e">
        <f ca="1">Calcu!AB134</f>
        <v>#N/A</v>
      </c>
      <c r="E46" s="462"/>
    </row>
    <row r="47" spans="1:10" ht="15" customHeight="1">
      <c r="A47" s="44" t="str">
        <f>IF(Calcu!B135=TRUE,"","삭제")</f>
        <v>삭제</v>
      </c>
      <c r="B47" s="43"/>
      <c r="C47" s="316" t="str">
        <f>Calcu!AA135</f>
        <v/>
      </c>
      <c r="D47" s="458" t="e">
        <f ca="1">Calcu!AB135</f>
        <v>#N/A</v>
      </c>
      <c r="E47" s="462"/>
    </row>
    <row r="48" spans="1:10" ht="15" customHeight="1">
      <c r="A48" s="44" t="str">
        <f>IF(Calcu!B136=TRUE,"","삭제")</f>
        <v>삭제</v>
      </c>
      <c r="B48" s="43"/>
      <c r="C48" s="316" t="str">
        <f>Calcu!AA136</f>
        <v/>
      </c>
      <c r="D48" s="458" t="e">
        <f ca="1">Calcu!AB136</f>
        <v>#N/A</v>
      </c>
      <c r="E48" s="462"/>
    </row>
    <row r="49" spans="1:5" ht="15" customHeight="1">
      <c r="A49" s="44" t="str">
        <f>IF(Calcu!B137=TRUE,"","삭제")</f>
        <v>삭제</v>
      </c>
      <c r="B49" s="43"/>
      <c r="C49" s="316" t="str">
        <f>Calcu!AA137</f>
        <v/>
      </c>
      <c r="D49" s="458" t="e">
        <f ca="1">Calcu!AB137</f>
        <v>#N/A</v>
      </c>
      <c r="E49" s="462"/>
    </row>
    <row r="50" spans="1:5" ht="15" customHeight="1">
      <c r="A50" s="44" t="str">
        <f>IF(Calcu!B138=TRUE,"","삭제")</f>
        <v>삭제</v>
      </c>
      <c r="B50" s="43"/>
      <c r="C50" s="316" t="str">
        <f>Calcu!AA138</f>
        <v/>
      </c>
      <c r="D50" s="458" t="e">
        <f ca="1">Calcu!AB138</f>
        <v>#N/A</v>
      </c>
      <c r="E50" s="462"/>
    </row>
    <row r="51" spans="1:5" ht="15" customHeight="1">
      <c r="A51" s="44" t="str">
        <f>IF(Calcu!B139=TRUE,"","삭제")</f>
        <v>삭제</v>
      </c>
      <c r="B51" s="43"/>
      <c r="C51" s="316" t="str">
        <f>Calcu!AA139</f>
        <v/>
      </c>
      <c r="D51" s="458" t="e">
        <f ca="1">Calcu!AB139</f>
        <v>#N/A</v>
      </c>
      <c r="E51" s="462"/>
    </row>
    <row r="52" spans="1:5" ht="15" customHeight="1">
      <c r="A52" s="44" t="str">
        <f>IF(Calcu!B140=TRUE,"","삭제")</f>
        <v>삭제</v>
      </c>
      <c r="B52" s="43"/>
      <c r="C52" s="316" t="str">
        <f>Calcu!AA140</f>
        <v/>
      </c>
      <c r="D52" s="458" t="e">
        <f ca="1">Calcu!AB140</f>
        <v>#N/A</v>
      </c>
      <c r="E52" s="462"/>
    </row>
    <row r="53" spans="1:5" ht="15" customHeight="1">
      <c r="A53" s="44" t="str">
        <f>IF(Calcu!B141=TRUE,"","삭제")</f>
        <v>삭제</v>
      </c>
      <c r="B53" s="43"/>
      <c r="C53" s="316" t="str">
        <f>Calcu!AA141</f>
        <v/>
      </c>
      <c r="D53" s="458" t="e">
        <f ca="1">Calcu!AB141</f>
        <v>#N/A</v>
      </c>
      <c r="E53" s="462"/>
    </row>
    <row r="54" spans="1:5" ht="15" customHeight="1">
      <c r="A54" s="44" t="str">
        <f>IF(Calcu!B142=TRUE,"","삭제")</f>
        <v>삭제</v>
      </c>
      <c r="B54" s="43"/>
      <c r="C54" s="316" t="str">
        <f>Calcu!AA142</f>
        <v/>
      </c>
      <c r="D54" s="458" t="e">
        <f ca="1">Calcu!AB142</f>
        <v>#N/A</v>
      </c>
      <c r="E54" s="462"/>
    </row>
    <row r="55" spans="1:5" ht="15" customHeight="1">
      <c r="A55" s="44" t="str">
        <f>IF(Calcu!B143=TRUE,"","삭제")</f>
        <v>삭제</v>
      </c>
      <c r="B55" s="43"/>
      <c r="C55" s="316" t="str">
        <f>Calcu!AA143</f>
        <v/>
      </c>
      <c r="D55" s="458" t="e">
        <f ca="1">Calcu!AB143</f>
        <v>#N/A</v>
      </c>
      <c r="E55" s="462"/>
    </row>
    <row r="56" spans="1:5" ht="15" customHeight="1">
      <c r="A56" s="44" t="str">
        <f>IF(Calcu!B144=TRUE,"","삭제")</f>
        <v>삭제</v>
      </c>
      <c r="B56" s="43"/>
      <c r="C56" s="316" t="str">
        <f>Calcu!AA144</f>
        <v/>
      </c>
      <c r="D56" s="458" t="e">
        <f ca="1">Calcu!AB144</f>
        <v>#N/A</v>
      </c>
      <c r="E56" s="462"/>
    </row>
    <row r="57" spans="1:5" ht="15" customHeight="1">
      <c r="A57" s="44" t="str">
        <f>IF(Calcu!B145=TRUE,"","삭제")</f>
        <v>삭제</v>
      </c>
      <c r="B57" s="43"/>
      <c r="C57" s="316" t="str">
        <f>Calcu!AA145</f>
        <v/>
      </c>
      <c r="D57" s="458" t="e">
        <f ca="1">Calcu!AB145</f>
        <v>#N/A</v>
      </c>
      <c r="E57" s="462"/>
    </row>
    <row r="58" spans="1:5" ht="15" customHeight="1">
      <c r="A58" s="44" t="str">
        <f>IF(Calcu!B146=TRUE,"","삭제")</f>
        <v>삭제</v>
      </c>
      <c r="B58" s="43"/>
      <c r="C58" s="316" t="str">
        <f>Calcu!AA146</f>
        <v/>
      </c>
      <c r="D58" s="458" t="e">
        <f ca="1">Calcu!AB146</f>
        <v>#N/A</v>
      </c>
      <c r="E58" s="462"/>
    </row>
    <row r="59" spans="1:5" ht="15" customHeight="1">
      <c r="A59" s="44" t="str">
        <f>IF(Calcu!B147=TRUE,"","삭제")</f>
        <v>삭제</v>
      </c>
      <c r="B59" s="43"/>
      <c r="C59" s="316" t="str">
        <f>Calcu!AA147</f>
        <v/>
      </c>
      <c r="D59" s="458" t="e">
        <f ca="1">Calcu!AB147</f>
        <v>#N/A</v>
      </c>
      <c r="E59" s="462"/>
    </row>
    <row r="60" spans="1:5" ht="15" customHeight="1">
      <c r="A60" s="44" t="str">
        <f>IF(Calcu!B148=TRUE,"","삭제")</f>
        <v>삭제</v>
      </c>
      <c r="B60" s="43"/>
      <c r="C60" s="316" t="str">
        <f>Calcu!AA148</f>
        <v/>
      </c>
      <c r="D60" s="458" t="e">
        <f ca="1">Calcu!AB148</f>
        <v>#N/A</v>
      </c>
      <c r="E60" s="462"/>
    </row>
    <row r="61" spans="1:5" ht="15" customHeight="1">
      <c r="A61" s="44" t="str">
        <f>IF(Calcu!B149=TRUE,"","삭제")</f>
        <v>삭제</v>
      </c>
      <c r="B61" s="43"/>
      <c r="C61" s="316" t="str">
        <f>Calcu!AA149</f>
        <v/>
      </c>
      <c r="D61" s="458" t="e">
        <f ca="1">Calcu!AB149</f>
        <v>#N/A</v>
      </c>
      <c r="E61" s="462"/>
    </row>
    <row r="62" spans="1:5" ht="15" customHeight="1">
      <c r="A62" s="44" t="str">
        <f>IF(Calcu!B150=TRUE,"","삭제")</f>
        <v>삭제</v>
      </c>
      <c r="B62" s="43"/>
      <c r="C62" s="316" t="str">
        <f>Calcu!AA150</f>
        <v/>
      </c>
      <c r="D62" s="458" t="e">
        <f ca="1">Calcu!AB150</f>
        <v>#N/A</v>
      </c>
      <c r="E62" s="462"/>
    </row>
    <row r="63" spans="1:5" ht="15" customHeight="1">
      <c r="A63" s="44" t="str">
        <f>IF(Calcu!B151=TRUE,"","삭제")</f>
        <v>삭제</v>
      </c>
      <c r="B63" s="43"/>
      <c r="C63" s="316" t="str">
        <f>Calcu!AA151</f>
        <v/>
      </c>
      <c r="D63" s="458" t="e">
        <f ca="1">Calcu!AB151</f>
        <v>#N/A</v>
      </c>
      <c r="E63" s="462"/>
    </row>
    <row r="64" spans="1:5" ht="15" customHeight="1">
      <c r="A64" s="44" t="str">
        <f>IF(Calcu!B152=TRUE,"","삭제")</f>
        <v>삭제</v>
      </c>
      <c r="B64" s="43"/>
      <c r="C64" s="316" t="str">
        <f>Calcu!AA152</f>
        <v/>
      </c>
      <c r="D64" s="458" t="e">
        <f ca="1">Calcu!AB152</f>
        <v>#N/A</v>
      </c>
      <c r="E64" s="462"/>
    </row>
    <row r="65" spans="1:10" ht="15" customHeight="1">
      <c r="A65" s="44" t="str">
        <f>IF(Calcu!B153=TRUE,"","삭제")</f>
        <v>삭제</v>
      </c>
      <c r="B65" s="43"/>
      <c r="C65" s="316" t="str">
        <f>Calcu!AA153</f>
        <v/>
      </c>
      <c r="D65" s="458" t="e">
        <f ca="1">Calcu!AB153</f>
        <v>#N/A</v>
      </c>
      <c r="E65" s="462"/>
    </row>
    <row r="66" spans="1:10" ht="15" customHeight="1">
      <c r="A66" s="256" t="str">
        <f>A46</f>
        <v>삭제</v>
      </c>
      <c r="B66" s="43"/>
      <c r="C66" s="402"/>
      <c r="D66" s="402"/>
      <c r="E66" s="402"/>
      <c r="F66" s="402"/>
    </row>
    <row r="67" spans="1:10" ht="15" customHeight="1">
      <c r="A67" s="256" t="str">
        <f>A66</f>
        <v>삭제</v>
      </c>
      <c r="B67" s="43"/>
      <c r="C67" s="36" t="e">
        <f ca="1">"● Measurement Uncertainty : "&amp;Calcu!AG134&amp;"%"</f>
        <v>#VALUE!</v>
      </c>
      <c r="D67" s="402"/>
      <c r="E67" s="402"/>
      <c r="F67" s="402"/>
    </row>
    <row r="68" spans="1:10" ht="15" customHeight="1">
      <c r="A68" s="256" t="str">
        <f>A67</f>
        <v>삭제</v>
      </c>
      <c r="B68" s="43"/>
      <c r="C68" s="402"/>
      <c r="D68" s="408" t="e">
        <f ca="1">IF(Calcu!E176="사다리꼴","(Confidence level 95 %,","(Confidence level about 95 %,")</f>
        <v>#N/A</v>
      </c>
      <c r="E68" s="323" t="e">
        <f ca="1">Calcu!E177&amp;")"</f>
        <v>#N/A</v>
      </c>
      <c r="F68" s="402"/>
      <c r="G68" s="402"/>
      <c r="H68" s="402"/>
    </row>
    <row r="69" spans="1:10" ht="15" customHeight="1">
      <c r="A69" s="256" t="str">
        <f ca="1">IFERROR(IF(Calcu!E176="사다리꼴","","삭제"),"삭제")</f>
        <v>삭제</v>
      </c>
      <c r="B69" s="43"/>
      <c r="C69" s="323" t="e">
        <f ca="1">IF(Calcu!E176="사다리꼴","※ Trapezoid probability distribution.","")</f>
        <v>#N/A</v>
      </c>
      <c r="D69" s="322"/>
      <c r="E69" s="322"/>
      <c r="F69" s="36"/>
      <c r="G69" s="322"/>
      <c r="H69" s="322"/>
    </row>
    <row r="70" spans="1:10" ht="15" customHeight="1">
      <c r="A70" s="256" t="str">
        <f>IF(Calcu!B191=TRUE,"","삭제")</f>
        <v>삭제</v>
      </c>
      <c r="F70" s="38"/>
      <c r="J70" s="50"/>
    </row>
    <row r="71" spans="1:10" ht="15" customHeight="1">
      <c r="A71" s="255" t="str">
        <f>A70</f>
        <v>삭제</v>
      </c>
      <c r="C71" s="38"/>
      <c r="E71" s="53"/>
      <c r="F71" s="199"/>
      <c r="J71" s="50"/>
    </row>
    <row r="72" spans="1:10" ht="15" customHeight="1">
      <c r="A72" s="255" t="str">
        <f>A71</f>
        <v>삭제</v>
      </c>
      <c r="C72" s="38" t="s">
        <v>1306</v>
      </c>
      <c r="G72" s="53"/>
      <c r="H72" s="50"/>
      <c r="I72" s="50"/>
      <c r="J72" s="50"/>
    </row>
    <row r="73" spans="1:10" ht="15" customHeight="1">
      <c r="A73" s="255" t="str">
        <f>A72</f>
        <v>삭제</v>
      </c>
      <c r="C73" s="50" t="str">
        <f ca="1">"○ Resolution : "&amp;Calcu!G185</f>
        <v>○ Resolution : 00</v>
      </c>
      <c r="D73" s="38"/>
      <c r="F73" s="38"/>
      <c r="H73" s="53"/>
    </row>
    <row r="74" spans="1:10" ht="15" customHeight="1">
      <c r="A74" s="255" t="str">
        <f>A73</f>
        <v>삭제</v>
      </c>
      <c r="C74" s="460" t="s">
        <v>1307</v>
      </c>
      <c r="D74" s="460" t="s">
        <v>1308</v>
      </c>
      <c r="E74" s="473"/>
    </row>
    <row r="75" spans="1:10" ht="15" customHeight="1">
      <c r="A75" s="255" t="str">
        <f>A74</f>
        <v>삭제</v>
      </c>
      <c r="C75" s="461"/>
      <c r="D75" s="474"/>
      <c r="E75" s="475"/>
    </row>
    <row r="76" spans="1:10" ht="15" customHeight="1">
      <c r="A76" s="44" t="str">
        <f>IF(Calcu!B191=TRUE,"","삭제")</f>
        <v>삭제</v>
      </c>
      <c r="C76" s="316" t="str">
        <f>"0 ~ "&amp;Calcu!AD191</f>
        <v xml:space="preserve">0 ~ </v>
      </c>
      <c r="D76" s="458" t="e">
        <f ca="1">Calcu!AF191</f>
        <v>#N/A</v>
      </c>
      <c r="E76" s="462"/>
    </row>
    <row r="77" spans="1:10" ht="15" customHeight="1">
      <c r="A77" s="44" t="str">
        <f>IF(Calcu!B192=TRUE,"","삭제")</f>
        <v>삭제</v>
      </c>
      <c r="C77" s="316" t="str">
        <f>Calcu!AD192</f>
        <v/>
      </c>
      <c r="D77" s="458" t="e">
        <f ca="1">Calcu!AF192</f>
        <v>#N/A</v>
      </c>
      <c r="E77" s="462"/>
    </row>
    <row r="78" spans="1:10" ht="15" customHeight="1">
      <c r="A78" s="44" t="str">
        <f>IF(Calcu!B193=TRUE,"","삭제")</f>
        <v>삭제</v>
      </c>
      <c r="C78" s="316" t="str">
        <f>Calcu!AD193</f>
        <v/>
      </c>
      <c r="D78" s="458" t="e">
        <f ca="1">Calcu!AF193</f>
        <v>#N/A</v>
      </c>
      <c r="E78" s="462"/>
    </row>
    <row r="79" spans="1:10" ht="15" customHeight="1">
      <c r="A79" s="44" t="str">
        <f>IF(Calcu!B194=TRUE,"","삭제")</f>
        <v>삭제</v>
      </c>
      <c r="C79" s="316" t="str">
        <f>Calcu!AD194</f>
        <v/>
      </c>
      <c r="D79" s="458" t="e">
        <f ca="1">Calcu!AF194</f>
        <v>#N/A</v>
      </c>
      <c r="E79" s="462"/>
    </row>
    <row r="80" spans="1:10" ht="15" customHeight="1">
      <c r="A80" s="44" t="str">
        <f>IF(Calcu!B195=TRUE,"","삭제")</f>
        <v>삭제</v>
      </c>
      <c r="C80" s="316" t="str">
        <f>Calcu!AD195</f>
        <v/>
      </c>
      <c r="D80" s="458" t="e">
        <f ca="1">Calcu!AF195</f>
        <v>#N/A</v>
      </c>
      <c r="E80" s="462"/>
    </row>
    <row r="81" spans="1:7" ht="15" customHeight="1">
      <c r="A81" s="44" t="str">
        <f>IF(Calcu!B196=TRUE,"","삭제")</f>
        <v>삭제</v>
      </c>
      <c r="C81" s="316" t="str">
        <f>Calcu!AD196</f>
        <v/>
      </c>
      <c r="D81" s="458" t="e">
        <f ca="1">Calcu!AF196</f>
        <v>#N/A</v>
      </c>
      <c r="E81" s="462"/>
    </row>
    <row r="82" spans="1:7" ht="15" customHeight="1">
      <c r="A82" s="44" t="str">
        <f>IF(Calcu!B197=TRUE,"","삭제")</f>
        <v>삭제</v>
      </c>
      <c r="C82" s="316" t="str">
        <f>Calcu!AD197</f>
        <v/>
      </c>
      <c r="D82" s="458" t="e">
        <f ca="1">Calcu!AF197</f>
        <v>#N/A</v>
      </c>
      <c r="E82" s="462"/>
    </row>
    <row r="83" spans="1:7" ht="15" customHeight="1">
      <c r="A83" s="44" t="str">
        <f>IF(Calcu!B198=TRUE,"","삭제")</f>
        <v>삭제</v>
      </c>
      <c r="C83" s="316" t="str">
        <f>Calcu!AD198</f>
        <v/>
      </c>
      <c r="D83" s="458" t="e">
        <f ca="1">Calcu!AF198</f>
        <v>#N/A</v>
      </c>
      <c r="E83" s="462"/>
    </row>
    <row r="84" spans="1:7" ht="15" customHeight="1">
      <c r="A84" s="44" t="str">
        <f>IF(Calcu!B199=TRUE,"","삭제")</f>
        <v>삭제</v>
      </c>
      <c r="C84" s="316" t="str">
        <f>Calcu!AD199</f>
        <v/>
      </c>
      <c r="D84" s="458" t="e">
        <f ca="1">Calcu!AF199</f>
        <v>#N/A</v>
      </c>
      <c r="E84" s="462"/>
    </row>
    <row r="85" spans="1:7" ht="15" customHeight="1">
      <c r="A85" s="44" t="str">
        <f>IF(Calcu!B200=TRUE,"","삭제")</f>
        <v>삭제</v>
      </c>
      <c r="C85" s="316" t="str">
        <f>Calcu!AD200</f>
        <v/>
      </c>
      <c r="D85" s="458" t="e">
        <f ca="1">Calcu!AF200</f>
        <v>#N/A</v>
      </c>
      <c r="E85" s="462"/>
    </row>
    <row r="86" spans="1:7" ht="15" customHeight="1">
      <c r="A86" s="44" t="str">
        <f>IF(Calcu!B201=TRUE,"","삭제")</f>
        <v>삭제</v>
      </c>
      <c r="C86" s="316" t="str">
        <f>Calcu!AD201</f>
        <v/>
      </c>
      <c r="D86" s="458" t="e">
        <f ca="1">Calcu!AF201</f>
        <v>#N/A</v>
      </c>
      <c r="E86" s="462"/>
    </row>
    <row r="87" spans="1:7" ht="15" customHeight="1">
      <c r="A87" s="44" t="str">
        <f>IF(Calcu!B202=TRUE,"","삭제")</f>
        <v>삭제</v>
      </c>
      <c r="C87" s="316" t="str">
        <f>Calcu!AD202</f>
        <v/>
      </c>
      <c r="D87" s="458" t="e">
        <f ca="1">Calcu!AF202</f>
        <v>#N/A</v>
      </c>
      <c r="E87" s="462"/>
    </row>
    <row r="88" spans="1:7" ht="15" customHeight="1">
      <c r="A88" s="44" t="str">
        <f>IF(Calcu!B203=TRUE,"","삭제")</f>
        <v>삭제</v>
      </c>
      <c r="C88" s="316" t="str">
        <f>Calcu!AD203</f>
        <v/>
      </c>
      <c r="D88" s="458" t="e">
        <f ca="1">Calcu!AF203</f>
        <v>#N/A</v>
      </c>
      <c r="E88" s="462"/>
    </row>
    <row r="89" spans="1:7" ht="15" customHeight="1">
      <c r="A89" s="44" t="str">
        <f>IF(Calcu!B204=TRUE,"","삭제")</f>
        <v>삭제</v>
      </c>
      <c r="C89" s="316" t="str">
        <f>Calcu!AD204</f>
        <v/>
      </c>
      <c r="D89" s="458" t="e">
        <f ca="1">Calcu!AF204</f>
        <v>#N/A</v>
      </c>
      <c r="E89" s="462"/>
    </row>
    <row r="90" spans="1:7" ht="15" customHeight="1">
      <c r="A90" s="44" t="str">
        <f>IF(Calcu!B205=TRUE,"","삭제")</f>
        <v>삭제</v>
      </c>
      <c r="C90" s="316" t="str">
        <f>Calcu!AD205</f>
        <v/>
      </c>
      <c r="D90" s="458" t="e">
        <f ca="1">Calcu!AF205</f>
        <v>#N/A</v>
      </c>
      <c r="E90" s="462"/>
    </row>
    <row r="91" spans="1:7" ht="15" customHeight="1">
      <c r="A91" s="44" t="str">
        <f>IF(Calcu!B206=TRUE,"","삭제")</f>
        <v>삭제</v>
      </c>
      <c r="C91" s="316" t="str">
        <f>Calcu!AD206</f>
        <v/>
      </c>
      <c r="D91" s="458" t="e">
        <f ca="1">Calcu!AF206</f>
        <v>#N/A</v>
      </c>
      <c r="E91" s="462"/>
    </row>
    <row r="92" spans="1:7" ht="15" customHeight="1">
      <c r="A92" s="44" t="str">
        <f>IF(Calcu!B207=TRUE,"","삭제")</f>
        <v>삭제</v>
      </c>
      <c r="C92" s="316" t="str">
        <f>Calcu!AD207</f>
        <v/>
      </c>
      <c r="D92" s="458" t="e">
        <f ca="1">Calcu!AF207</f>
        <v>#N/A</v>
      </c>
      <c r="E92" s="462"/>
    </row>
    <row r="93" spans="1:7" ht="15" customHeight="1">
      <c r="A93" s="44" t="str">
        <f>IF(Calcu!B208=TRUE,"","삭제")</f>
        <v>삭제</v>
      </c>
      <c r="C93" s="316" t="str">
        <f>Calcu!AD208</f>
        <v/>
      </c>
      <c r="D93" s="458" t="e">
        <f ca="1">Calcu!AF208</f>
        <v>#N/A</v>
      </c>
      <c r="E93" s="462"/>
    </row>
    <row r="94" spans="1:7" ht="15" customHeight="1">
      <c r="A94" s="44" t="str">
        <f>IF(Calcu!B209=TRUE,"","삭제")</f>
        <v>삭제</v>
      </c>
      <c r="C94" s="316" t="str">
        <f>Calcu!AD209</f>
        <v/>
      </c>
      <c r="D94" s="458" t="e">
        <f ca="1">Calcu!AF209</f>
        <v>#N/A</v>
      </c>
      <c r="E94" s="462"/>
    </row>
    <row r="95" spans="1:7" ht="15" customHeight="1">
      <c r="A95" s="44" t="str">
        <f>IF(Calcu!B210=TRUE,"","삭제")</f>
        <v>삭제</v>
      </c>
      <c r="C95" s="316" t="str">
        <f>Calcu!AD210</f>
        <v/>
      </c>
      <c r="D95" s="458" t="e">
        <f ca="1">Calcu!AF210</f>
        <v>#N/A</v>
      </c>
      <c r="E95" s="462"/>
    </row>
    <row r="96" spans="1:7" ht="15" customHeight="1">
      <c r="A96" s="255" t="str">
        <f>A76</f>
        <v>삭제</v>
      </c>
      <c r="C96" s="387" t="s">
        <v>1305</v>
      </c>
      <c r="D96" s="384"/>
      <c r="E96" s="384"/>
      <c r="F96" s="50"/>
      <c r="G96" s="50"/>
    </row>
    <row r="97" spans="1:10" ht="15" customHeight="1">
      <c r="A97" s="255"/>
      <c r="C97" s="54"/>
      <c r="D97" s="402"/>
      <c r="E97" s="402"/>
      <c r="F97" s="402"/>
      <c r="G97" s="320"/>
      <c r="H97" s="323"/>
      <c r="I97" s="50"/>
      <c r="J97" s="50"/>
    </row>
    <row r="98" spans="1:10" ht="15" customHeight="1">
      <c r="A98" s="255" t="str">
        <f>A96</f>
        <v>삭제</v>
      </c>
      <c r="C98" s="54" t="e">
        <f ca="1">"● Measurement Uncertainty : "&amp;Calcu!T224&amp;"´"</f>
        <v>#N/A</v>
      </c>
      <c r="D98" s="402"/>
      <c r="E98" s="402"/>
      <c r="F98" s="402"/>
      <c r="G98" s="320"/>
      <c r="H98" s="323"/>
      <c r="I98" s="50"/>
      <c r="J98" s="50"/>
    </row>
    <row r="99" spans="1:10" ht="15" customHeight="1">
      <c r="A99" s="255"/>
      <c r="C99" s="54"/>
      <c r="D99" s="408" t="e">
        <f ca="1">IF(Calcu!E234="사다리꼴","(Confidence level 95 %,","(Confidence level about 95 %,")</f>
        <v>#N/A</v>
      </c>
      <c r="E99" s="323" t="e">
        <f ca="1">Calcu!E235&amp;")"</f>
        <v>#N/A</v>
      </c>
      <c r="F99" s="402"/>
      <c r="G99" s="320"/>
      <c r="H99" s="323"/>
      <c r="I99" s="50"/>
      <c r="J99" s="50"/>
    </row>
    <row r="100" spans="1:10" ht="15" customHeight="1">
      <c r="A100" s="256" t="str">
        <f ca="1">IFERROR(IF(Calcu!E234="사다리꼴","","삭제"),"삭제")</f>
        <v>삭제</v>
      </c>
      <c r="C100" s="323" t="e">
        <f ca="1">IF(Calcu!E234="사다리꼴","※ Trapezoid probability distribution.","")</f>
        <v>#N/A</v>
      </c>
      <c r="D100" s="322"/>
      <c r="E100" s="322"/>
      <c r="F100" s="322"/>
      <c r="G100" s="322"/>
      <c r="H100" s="322"/>
    </row>
    <row r="101" spans="1:10" ht="15" customHeight="1">
      <c r="A101" s="256" t="str">
        <f>IF(Calcu!B249=TRUE,"","삭제")</f>
        <v>삭제</v>
      </c>
      <c r="D101" s="320"/>
      <c r="E101" s="321"/>
      <c r="F101" s="319"/>
      <c r="G101" s="319"/>
      <c r="H101" s="319"/>
    </row>
    <row r="102" spans="1:10" ht="15" customHeight="1">
      <c r="A102" s="255" t="str">
        <f>A101</f>
        <v>삭제</v>
      </c>
    </row>
    <row r="103" spans="1:10" ht="15" customHeight="1">
      <c r="A103" s="255" t="str">
        <f>A102</f>
        <v>삭제</v>
      </c>
      <c r="C103" s="38" t="s">
        <v>653</v>
      </c>
    </row>
    <row r="104" spans="1:10" ht="15" customHeight="1">
      <c r="A104" s="255" t="str">
        <f>A103</f>
        <v>삭제</v>
      </c>
      <c r="C104" s="50" t="str">
        <f ca="1">"○ Resolution : "&amp;Calcu!G243</f>
        <v>○ Resolution : 00</v>
      </c>
      <c r="D104" s="38"/>
      <c r="F104" s="38"/>
      <c r="H104" s="53"/>
    </row>
    <row r="105" spans="1:10" ht="15" customHeight="1">
      <c r="A105" s="255" t="str">
        <f>A104</f>
        <v>삭제</v>
      </c>
      <c r="C105" s="460" t="s">
        <v>1309</v>
      </c>
      <c r="D105" s="460" t="s">
        <v>1308</v>
      </c>
      <c r="E105" s="473"/>
    </row>
    <row r="106" spans="1:10" ht="15" customHeight="1">
      <c r="A106" s="255" t="str">
        <f>A105</f>
        <v>삭제</v>
      </c>
      <c r="C106" s="461"/>
      <c r="D106" s="474"/>
      <c r="E106" s="475"/>
    </row>
    <row r="107" spans="1:10" ht="15" customHeight="1">
      <c r="A107" s="44" t="str">
        <f>IF(Calcu!B249=TRUE,"","삭제")</f>
        <v>삭제</v>
      </c>
      <c r="C107" s="316" t="str">
        <f>"0 ~ "&amp;Calcu!W249</f>
        <v xml:space="preserve">0 ~ </v>
      </c>
      <c r="D107" s="458" t="e">
        <f ca="1">Calcu!Y249</f>
        <v>#DIV/0!</v>
      </c>
      <c r="E107" s="462"/>
    </row>
    <row r="108" spans="1:10" ht="15" customHeight="1">
      <c r="A108" s="44" t="str">
        <f>IF(Calcu!B250=TRUE,"","삭제")</f>
        <v>삭제</v>
      </c>
      <c r="C108" s="316" t="str">
        <f>Calcu!W250</f>
        <v/>
      </c>
      <c r="D108" s="458" t="e">
        <f ca="1">Calcu!Y250</f>
        <v>#DIV/0!</v>
      </c>
      <c r="E108" s="462"/>
    </row>
    <row r="109" spans="1:10" ht="15" customHeight="1">
      <c r="A109" s="44" t="str">
        <f>IF(Calcu!B251=TRUE,"","삭제")</f>
        <v>삭제</v>
      </c>
      <c r="C109" s="316" t="str">
        <f>Calcu!W251</f>
        <v/>
      </c>
      <c r="D109" s="458" t="e">
        <f ca="1">Calcu!Y251</f>
        <v>#DIV/0!</v>
      </c>
      <c r="E109" s="462"/>
    </row>
    <row r="110" spans="1:10" ht="15" customHeight="1">
      <c r="A110" s="44" t="str">
        <f>IF(Calcu!B252=TRUE,"","삭제")</f>
        <v>삭제</v>
      </c>
      <c r="C110" s="316" t="str">
        <f>Calcu!W252</f>
        <v/>
      </c>
      <c r="D110" s="458" t="e">
        <f ca="1">Calcu!Y252</f>
        <v>#DIV/0!</v>
      </c>
      <c r="E110" s="462"/>
    </row>
    <row r="111" spans="1:10" ht="15" customHeight="1">
      <c r="A111" s="44" t="str">
        <f>IF(Calcu!B253=TRUE,"","삭제")</f>
        <v>삭제</v>
      </c>
      <c r="C111" s="316" t="str">
        <f>Calcu!W253</f>
        <v/>
      </c>
      <c r="D111" s="458" t="e">
        <f ca="1">Calcu!Y253</f>
        <v>#DIV/0!</v>
      </c>
      <c r="E111" s="462"/>
    </row>
    <row r="112" spans="1:10" ht="15" customHeight="1">
      <c r="A112" s="44" t="str">
        <f>IF(Calcu!B254=TRUE,"","삭제")</f>
        <v>삭제</v>
      </c>
      <c r="C112" s="316" t="str">
        <f>Calcu!W254</f>
        <v/>
      </c>
      <c r="D112" s="458" t="e">
        <f ca="1">Calcu!Y254</f>
        <v>#DIV/0!</v>
      </c>
      <c r="E112" s="462"/>
    </row>
    <row r="113" spans="1:8" ht="15" customHeight="1">
      <c r="A113" s="44" t="str">
        <f>IF(Calcu!B255=TRUE,"","삭제")</f>
        <v>삭제</v>
      </c>
      <c r="C113" s="316" t="str">
        <f>Calcu!W255</f>
        <v/>
      </c>
      <c r="D113" s="458" t="e">
        <f ca="1">Calcu!Y255</f>
        <v>#DIV/0!</v>
      </c>
      <c r="E113" s="462"/>
    </row>
    <row r="114" spans="1:8" ht="15" customHeight="1">
      <c r="A114" s="44" t="str">
        <f>IF(Calcu!B256=TRUE,"","삭제")</f>
        <v>삭제</v>
      </c>
      <c r="C114" s="316" t="str">
        <f>Calcu!W256</f>
        <v/>
      </c>
      <c r="D114" s="458" t="e">
        <f ca="1">Calcu!Y256</f>
        <v>#DIV/0!</v>
      </c>
      <c r="E114" s="462"/>
    </row>
    <row r="115" spans="1:8" ht="15" customHeight="1">
      <c r="A115" s="44" t="str">
        <f>IF(Calcu!B257=TRUE,"","삭제")</f>
        <v>삭제</v>
      </c>
      <c r="C115" s="316" t="str">
        <f>Calcu!W257</f>
        <v/>
      </c>
      <c r="D115" s="458" t="e">
        <f ca="1">Calcu!Y257</f>
        <v>#DIV/0!</v>
      </c>
      <c r="E115" s="462"/>
    </row>
    <row r="116" spans="1:8" ht="15" customHeight="1">
      <c r="A116" s="44" t="str">
        <f>IF(Calcu!B258=TRUE,"","삭제")</f>
        <v>삭제</v>
      </c>
      <c r="C116" s="316" t="str">
        <f>Calcu!W258</f>
        <v/>
      </c>
      <c r="D116" s="458" t="e">
        <f ca="1">Calcu!Y258</f>
        <v>#DIV/0!</v>
      </c>
      <c r="E116" s="462"/>
    </row>
    <row r="117" spans="1:8" ht="15" customHeight="1">
      <c r="A117" s="44" t="str">
        <f>IF(Calcu!B259=TRUE,"","삭제")</f>
        <v>삭제</v>
      </c>
      <c r="C117" s="316" t="str">
        <f>Calcu!W259</f>
        <v/>
      </c>
      <c r="D117" s="458" t="e">
        <f ca="1">Calcu!Y259</f>
        <v>#DIV/0!</v>
      </c>
      <c r="E117" s="462"/>
    </row>
    <row r="118" spans="1:8" ht="15" customHeight="1">
      <c r="A118" s="44" t="str">
        <f>IF(Calcu!B260=TRUE,"","삭제")</f>
        <v>삭제</v>
      </c>
      <c r="C118" s="316" t="str">
        <f>Calcu!W260</f>
        <v/>
      </c>
      <c r="D118" s="458" t="e">
        <f ca="1">Calcu!Y260</f>
        <v>#DIV/0!</v>
      </c>
      <c r="E118" s="462"/>
    </row>
    <row r="119" spans="1:8" ht="15" customHeight="1">
      <c r="A119" s="44" t="str">
        <f>IF(Calcu!B261=TRUE,"","삭제")</f>
        <v>삭제</v>
      </c>
      <c r="C119" s="316" t="str">
        <f>Calcu!W261</f>
        <v/>
      </c>
      <c r="D119" s="458" t="e">
        <f ca="1">Calcu!Y261</f>
        <v>#DIV/0!</v>
      </c>
      <c r="E119" s="462"/>
    </row>
    <row r="120" spans="1:8" ht="15" customHeight="1">
      <c r="A120" s="44" t="str">
        <f>IF(Calcu!B262=TRUE,"","삭제")</f>
        <v>삭제</v>
      </c>
      <c r="C120" s="316" t="str">
        <f>Calcu!W262</f>
        <v/>
      </c>
      <c r="D120" s="458" t="e">
        <f ca="1">Calcu!Y262</f>
        <v>#DIV/0!</v>
      </c>
      <c r="E120" s="462"/>
    </row>
    <row r="121" spans="1:8" ht="15" customHeight="1">
      <c r="A121" s="44" t="str">
        <f>IF(Calcu!B263=TRUE,"","삭제")</f>
        <v>삭제</v>
      </c>
      <c r="C121" s="316" t="str">
        <f>Calcu!W263</f>
        <v/>
      </c>
      <c r="D121" s="458" t="e">
        <f ca="1">Calcu!Y263</f>
        <v>#DIV/0!</v>
      </c>
      <c r="E121" s="462"/>
    </row>
    <row r="122" spans="1:8" ht="15" customHeight="1">
      <c r="A122" s="44" t="str">
        <f>IF(Calcu!B264=TRUE,"","삭제")</f>
        <v>삭제</v>
      </c>
      <c r="C122" s="316" t="str">
        <f>Calcu!W264</f>
        <v/>
      </c>
      <c r="D122" s="458" t="e">
        <f ca="1">Calcu!Y264</f>
        <v>#DIV/0!</v>
      </c>
      <c r="E122" s="462"/>
    </row>
    <row r="123" spans="1:8" ht="15" customHeight="1">
      <c r="A123" s="44" t="str">
        <f>IF(Calcu!B265=TRUE,"","삭제")</f>
        <v>삭제</v>
      </c>
      <c r="C123" s="316" t="str">
        <f>Calcu!W265</f>
        <v/>
      </c>
      <c r="D123" s="458" t="e">
        <f ca="1">Calcu!Y265</f>
        <v>#DIV/0!</v>
      </c>
      <c r="E123" s="462"/>
    </row>
    <row r="124" spans="1:8" ht="15" customHeight="1">
      <c r="A124" s="44" t="str">
        <f>IF(Calcu!B266=TRUE,"","삭제")</f>
        <v>삭제</v>
      </c>
      <c r="C124" s="316" t="str">
        <f>Calcu!W266</f>
        <v/>
      </c>
      <c r="D124" s="458" t="e">
        <f ca="1">Calcu!Y266</f>
        <v>#DIV/0!</v>
      </c>
      <c r="E124" s="462"/>
    </row>
    <row r="125" spans="1:8" ht="15" customHeight="1">
      <c r="A125" s="44" t="str">
        <f>IF(Calcu!B267=TRUE,"","삭제")</f>
        <v>삭제</v>
      </c>
      <c r="C125" s="316" t="str">
        <f>Calcu!W267</f>
        <v/>
      </c>
      <c r="D125" s="458" t="e">
        <f ca="1">Calcu!Y267</f>
        <v>#DIV/0!</v>
      </c>
      <c r="E125" s="462"/>
    </row>
    <row r="126" spans="1:8" ht="15" customHeight="1">
      <c r="A126" s="44" t="str">
        <f>IF(Calcu!B268=TRUE,"","삭제")</f>
        <v>삭제</v>
      </c>
      <c r="C126" s="316" t="str">
        <f>Calcu!W268</f>
        <v/>
      </c>
      <c r="D126" s="458" t="e">
        <f ca="1">Calcu!Y268</f>
        <v>#DIV/0!</v>
      </c>
      <c r="E126" s="462"/>
    </row>
    <row r="127" spans="1:8" ht="15" customHeight="1">
      <c r="A127" s="255" t="str">
        <f>A107</f>
        <v>삭제</v>
      </c>
      <c r="C127" s="387"/>
      <c r="D127" s="384"/>
      <c r="E127" s="384"/>
    </row>
    <row r="128" spans="1:8" ht="15" customHeight="1">
      <c r="A128" s="255" t="str">
        <f>A127</f>
        <v>삭제</v>
      </c>
      <c r="C128" s="54" t="e">
        <f ca="1">"● Measurement Uncertainty : "&amp;Calcu!U282&amp;"´"</f>
        <v>#DIV/0!</v>
      </c>
      <c r="D128" s="402"/>
      <c r="E128" s="402"/>
      <c r="F128" s="402"/>
      <c r="G128" s="402"/>
      <c r="H128" s="402"/>
    </row>
    <row r="129" spans="1:9" ht="15" customHeight="1">
      <c r="A129" s="255" t="str">
        <f>A128</f>
        <v>삭제</v>
      </c>
      <c r="C129" s="54"/>
      <c r="D129" s="408" t="e">
        <f>IF(Calcu!E292="사다리꼴","(Confidence level 95 %,","(Confidence level about 95 %,")</f>
        <v>#DIV/0!</v>
      </c>
      <c r="E129" s="323" t="e">
        <f ca="1">Calcu!E293&amp;")"</f>
        <v>#DIV/0!</v>
      </c>
      <c r="F129" s="402"/>
      <c r="G129" s="402"/>
      <c r="H129" s="402"/>
    </row>
    <row r="130" spans="1:9" ht="15" customHeight="1">
      <c r="A130" s="256" t="str">
        <f>IFERROR(IF(Calcu!E292="사다리꼴","","삭제"),"삭제")</f>
        <v>삭제</v>
      </c>
      <c r="C130" s="323" t="e">
        <f>IF(Calcu!E292="사다리꼴","※ Trapezoid probability distribution.","")</f>
        <v>#DIV/0!</v>
      </c>
      <c r="D130" s="322"/>
      <c r="E130" s="322"/>
      <c r="F130" s="322"/>
      <c r="G130" s="322"/>
      <c r="H130" s="322"/>
    </row>
    <row r="131" spans="1:9" ht="15" customHeight="1">
      <c r="C131" s="71"/>
      <c r="D131" s="71"/>
      <c r="E131" s="71"/>
      <c r="F131" s="71"/>
      <c r="G131" s="71"/>
      <c r="H131" s="71"/>
      <c r="I131" s="71"/>
    </row>
  </sheetData>
  <mergeCells count="113">
    <mergeCell ref="D114:E114"/>
    <mergeCell ref="D115:E115"/>
    <mergeCell ref="C74:C75"/>
    <mergeCell ref="D74:E75"/>
    <mergeCell ref="D126:E126"/>
    <mergeCell ref="C105:C106"/>
    <mergeCell ref="D105:E106"/>
    <mergeCell ref="D121:E121"/>
    <mergeCell ref="D122:E122"/>
    <mergeCell ref="D123:E123"/>
    <mergeCell ref="D124:E124"/>
    <mergeCell ref="D125:E125"/>
    <mergeCell ref="D116:E116"/>
    <mergeCell ref="D117:E117"/>
    <mergeCell ref="D118:E118"/>
    <mergeCell ref="D119:E119"/>
    <mergeCell ref="D120:E120"/>
    <mergeCell ref="D94:E94"/>
    <mergeCell ref="D95:E95"/>
    <mergeCell ref="D107:E107"/>
    <mergeCell ref="D108:E108"/>
    <mergeCell ref="D109:E109"/>
    <mergeCell ref="D110:E110"/>
    <mergeCell ref="D111:E111"/>
    <mergeCell ref="D112:E112"/>
    <mergeCell ref="D113:E113"/>
    <mergeCell ref="D89:E89"/>
    <mergeCell ref="D90:E90"/>
    <mergeCell ref="D91:E91"/>
    <mergeCell ref="D92:E92"/>
    <mergeCell ref="D93:E93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55:E55"/>
    <mergeCell ref="D56:E56"/>
    <mergeCell ref="D57:E57"/>
    <mergeCell ref="D88:E88"/>
    <mergeCell ref="D63:E63"/>
    <mergeCell ref="D64:E64"/>
    <mergeCell ref="D65:E65"/>
    <mergeCell ref="D58:E58"/>
    <mergeCell ref="D59:E59"/>
    <mergeCell ref="D60:E60"/>
    <mergeCell ref="D61:E61"/>
    <mergeCell ref="D62:E62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29:E29"/>
    <mergeCell ref="D30:E30"/>
    <mergeCell ref="D31:E31"/>
    <mergeCell ref="D32:E32"/>
    <mergeCell ref="D33:E33"/>
    <mergeCell ref="D34:E34"/>
    <mergeCell ref="D35:E35"/>
    <mergeCell ref="C44:C45"/>
    <mergeCell ref="D44:E45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A1:J2"/>
    <mergeCell ref="C14:C15"/>
    <mergeCell ref="D14:E15"/>
    <mergeCell ref="C13:E13"/>
    <mergeCell ref="F14:F15"/>
    <mergeCell ref="D16:E16"/>
    <mergeCell ref="D17:E17"/>
    <mergeCell ref="D18:E18"/>
    <mergeCell ref="D19:E19"/>
    <mergeCell ref="G19:H19"/>
    <mergeCell ref="G20:H20"/>
    <mergeCell ref="G21:H21"/>
    <mergeCell ref="G22:H22"/>
    <mergeCell ref="G23:H23"/>
    <mergeCell ref="G16:H16"/>
    <mergeCell ref="G14:H15"/>
    <mergeCell ref="F13:H13"/>
    <mergeCell ref="G17:H17"/>
    <mergeCell ref="G18:H18"/>
    <mergeCell ref="G34:H34"/>
    <mergeCell ref="G35:H35"/>
    <mergeCell ref="G29:H29"/>
    <mergeCell ref="G30:H30"/>
    <mergeCell ref="G31:H31"/>
    <mergeCell ref="G32:H32"/>
    <mergeCell ref="G33:H33"/>
    <mergeCell ref="G24:H24"/>
    <mergeCell ref="G25:H25"/>
    <mergeCell ref="G26:H26"/>
    <mergeCell ref="G27:H27"/>
    <mergeCell ref="G28:H28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123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4" width="1.77734375" style="37" hidden="1" customWidth="1"/>
    <col min="5" max="5" width="7.33203125" style="37" bestFit="1" customWidth="1"/>
    <col min="6" max="6" width="9.21875" style="37" customWidth="1"/>
    <col min="7" max="7" width="4.77734375" style="37" customWidth="1"/>
    <col min="8" max="8" width="9.33203125" style="37" bestFit="1" customWidth="1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463" t="s">
        <v>34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</row>
    <row r="2" spans="1:17" s="47" customFormat="1" ht="33" customHeight="1">
      <c r="A2" s="463"/>
      <c r="B2" s="463"/>
      <c r="C2" s="463"/>
      <c r="D2" s="463"/>
      <c r="E2" s="463"/>
      <c r="F2" s="463"/>
      <c r="G2" s="463"/>
      <c r="H2" s="463"/>
      <c r="I2" s="463"/>
      <c r="J2" s="463"/>
      <c r="K2" s="463"/>
      <c r="L2" s="463"/>
      <c r="M2" s="463"/>
      <c r="N2" s="463"/>
      <c r="O2" s="463"/>
      <c r="P2" s="463"/>
      <c r="Q2" s="463"/>
    </row>
    <row r="3" spans="1:17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86" t="str">
        <f>" 교   정   번   호(Calibration No) : "&amp;기본정보!H3</f>
        <v xml:space="preserve"> 교   정   번   호(Calibration No) : </v>
      </c>
      <c r="B4" s="86"/>
      <c r="C4" s="86"/>
      <c r="D4" s="86"/>
      <c r="E4" s="86"/>
      <c r="F4" s="87"/>
      <c r="G4" s="229"/>
      <c r="H4" s="87"/>
      <c r="I4" s="87"/>
      <c r="J4" s="87"/>
      <c r="K4" s="96"/>
      <c r="L4" s="88"/>
      <c r="M4" s="95"/>
      <c r="N4" s="95"/>
      <c r="O4" s="95"/>
      <c r="P4" s="95"/>
      <c r="Q4" s="95"/>
    </row>
    <row r="5" spans="1:17" s="36" customFormat="1" ht="15" customHeight="1"/>
    <row r="6" spans="1:17" ht="15" customHeight="1">
      <c r="E6" s="54" t="str">
        <f>"○ 품명 : "&amp;기본정보!C$5</f>
        <v xml:space="preserve">○ 품명 : </v>
      </c>
      <c r="G6" s="54"/>
    </row>
    <row r="7" spans="1:17" ht="15" customHeight="1">
      <c r="E7" s="54" t="str">
        <f>"○ 제작회사 : "&amp;기본정보!C$6</f>
        <v xml:space="preserve">○ 제작회사 : </v>
      </c>
      <c r="G7" s="54"/>
    </row>
    <row r="8" spans="1:17" ht="15" customHeight="1">
      <c r="E8" s="54" t="str">
        <f>"○ 형식 : "&amp;기본정보!C$7</f>
        <v xml:space="preserve">○ 형식 : </v>
      </c>
      <c r="G8" s="54"/>
    </row>
    <row r="9" spans="1:17" ht="15" customHeight="1">
      <c r="E9" s="54" t="str">
        <f>"○ 기기번호 : "&amp;기본정보!C$8</f>
        <v xml:space="preserve">○ 기기번호 : </v>
      </c>
      <c r="G9" s="54"/>
    </row>
    <row r="11" spans="1:17" ht="15" customHeight="1">
      <c r="E11" s="38" t="s">
        <v>81</v>
      </c>
      <c r="G11" s="38"/>
    </row>
    <row r="12" spans="1:17" s="236" customFormat="1" ht="15" customHeight="1">
      <c r="B12" s="485"/>
      <c r="C12" s="487"/>
      <c r="D12" s="487"/>
      <c r="E12" s="489" t="s">
        <v>318</v>
      </c>
      <c r="F12" s="491" t="s">
        <v>301</v>
      </c>
      <c r="G12" s="493" t="s">
        <v>293</v>
      </c>
      <c r="H12" s="495" t="s">
        <v>294</v>
      </c>
      <c r="I12" s="497"/>
      <c r="J12" s="498" t="s">
        <v>295</v>
      </c>
      <c r="K12" s="498"/>
      <c r="L12" s="498"/>
      <c r="M12" s="499" t="s">
        <v>296</v>
      </c>
      <c r="N12" s="499"/>
      <c r="O12" s="499"/>
      <c r="P12" s="481"/>
      <c r="Q12" s="483" t="s">
        <v>298</v>
      </c>
    </row>
    <row r="13" spans="1:17" s="235" customFormat="1" ht="22.5">
      <c r="B13" s="486"/>
      <c r="C13" s="488"/>
      <c r="D13" s="488"/>
      <c r="E13" s="490"/>
      <c r="F13" s="492"/>
      <c r="G13" s="494"/>
      <c r="H13" s="496"/>
      <c r="I13" s="488"/>
      <c r="J13" s="238" t="s">
        <v>302</v>
      </c>
      <c r="K13" s="240" t="s">
        <v>303</v>
      </c>
      <c r="L13" s="240" t="s">
        <v>304</v>
      </c>
      <c r="M13" s="238" t="s">
        <v>302</v>
      </c>
      <c r="N13" s="240" t="s">
        <v>303</v>
      </c>
      <c r="O13" s="240" t="s">
        <v>304</v>
      </c>
      <c r="P13" s="482"/>
      <c r="Q13" s="484"/>
    </row>
    <row r="14" spans="1:17" ht="15" customHeight="1">
      <c r="A14" s="44" t="str">
        <f>IF(Calcu!B10=TRUE,"","삭제")</f>
        <v>삭제</v>
      </c>
      <c r="B14" s="43"/>
      <c r="C14" s="43"/>
      <c r="D14" s="43"/>
      <c r="E14" s="37" t="s">
        <v>319</v>
      </c>
      <c r="F14" s="51" t="e">
        <f ca="1">Calcu!AA10</f>
        <v>#N/A</v>
      </c>
      <c r="G14" s="51" t="s">
        <v>166</v>
      </c>
      <c r="H14" s="51" t="e">
        <f ca="1">Calcu!AD10</f>
        <v>#VALUE!</v>
      </c>
      <c r="J14" s="37" t="e">
        <f ca="1">Calcu!AC10</f>
        <v>#N/A</v>
      </c>
      <c r="K14" s="37" t="e">
        <f ca="1">Calcu!AB10</f>
        <v>#N/A</v>
      </c>
      <c r="L14" s="37" t="str">
        <f>LEFT(Calcu!AE10,1)</f>
        <v/>
      </c>
      <c r="M14" s="37" t="s">
        <v>297</v>
      </c>
      <c r="N14" s="37" t="s">
        <v>299</v>
      </c>
      <c r="O14" s="37" t="s">
        <v>300</v>
      </c>
      <c r="Q14" s="37" t="e">
        <f ca="1">Calcu!AF10</f>
        <v>#N/A</v>
      </c>
    </row>
    <row r="15" spans="1:17" ht="15" customHeight="1">
      <c r="A15" s="44" t="str">
        <f>IF(Calcu!B11=TRUE,"","삭제")</f>
        <v>삭제</v>
      </c>
      <c r="B15" s="43"/>
      <c r="C15" s="43"/>
      <c r="D15" s="43"/>
      <c r="E15" s="37" t="s">
        <v>319</v>
      </c>
      <c r="F15" s="51" t="e">
        <f ca="1">Calcu!AA11</f>
        <v>#N/A</v>
      </c>
      <c r="G15" s="51" t="s">
        <v>166</v>
      </c>
      <c r="H15" s="51" t="e">
        <f ca="1">Calcu!AD11</f>
        <v>#VALUE!</v>
      </c>
      <c r="J15" s="37" t="e">
        <f ca="1">Calcu!AC11</f>
        <v>#N/A</v>
      </c>
      <c r="K15" s="37" t="e">
        <f ca="1">Calcu!AB11</f>
        <v>#N/A</v>
      </c>
      <c r="L15" s="37" t="str">
        <f>LEFT(Calcu!AE11,1)</f>
        <v/>
      </c>
      <c r="M15" s="37" t="s">
        <v>297</v>
      </c>
      <c r="N15" s="37" t="s">
        <v>299</v>
      </c>
      <c r="O15" s="37" t="s">
        <v>300</v>
      </c>
      <c r="Q15" s="37" t="e">
        <f ca="1">Calcu!AF11</f>
        <v>#N/A</v>
      </c>
    </row>
    <row r="16" spans="1:17" ht="15" customHeight="1">
      <c r="A16" s="44" t="str">
        <f>IF(Calcu!B12=TRUE,"","삭제")</f>
        <v>삭제</v>
      </c>
      <c r="B16" s="43"/>
      <c r="C16" s="43"/>
      <c r="D16" s="43"/>
      <c r="E16" s="37" t="s">
        <v>319</v>
      </c>
      <c r="F16" s="51" t="e">
        <f ca="1">Calcu!AA12</f>
        <v>#N/A</v>
      </c>
      <c r="G16" s="51" t="s">
        <v>166</v>
      </c>
      <c r="H16" s="51" t="e">
        <f ca="1">Calcu!AD12</f>
        <v>#VALUE!</v>
      </c>
      <c r="J16" s="37" t="e">
        <f ca="1">Calcu!AC12</f>
        <v>#N/A</v>
      </c>
      <c r="K16" s="37" t="e">
        <f ca="1">Calcu!AB12</f>
        <v>#N/A</v>
      </c>
      <c r="L16" s="37" t="str">
        <f>LEFT(Calcu!AE12,1)</f>
        <v/>
      </c>
      <c r="M16" s="37" t="s">
        <v>297</v>
      </c>
      <c r="N16" s="37" t="s">
        <v>299</v>
      </c>
      <c r="O16" s="37" t="s">
        <v>300</v>
      </c>
      <c r="Q16" s="37" t="e">
        <f ca="1">Calcu!AF12</f>
        <v>#N/A</v>
      </c>
    </row>
    <row r="17" spans="1:17" ht="15" customHeight="1">
      <c r="A17" s="44" t="str">
        <f>IF(Calcu!B13=TRUE,"","삭제")</f>
        <v>삭제</v>
      </c>
      <c r="B17" s="43"/>
      <c r="C17" s="43"/>
      <c r="D17" s="43"/>
      <c r="E17" s="37" t="s">
        <v>319</v>
      </c>
      <c r="F17" s="51" t="e">
        <f ca="1">Calcu!AA13</f>
        <v>#N/A</v>
      </c>
      <c r="G17" s="51" t="s">
        <v>166</v>
      </c>
      <c r="H17" s="51" t="e">
        <f ca="1">Calcu!AD13</f>
        <v>#VALUE!</v>
      </c>
      <c r="J17" s="37" t="e">
        <f ca="1">Calcu!AC13</f>
        <v>#N/A</v>
      </c>
      <c r="K17" s="37" t="e">
        <f ca="1">Calcu!AB13</f>
        <v>#N/A</v>
      </c>
      <c r="L17" s="37" t="str">
        <f>LEFT(Calcu!AE13,1)</f>
        <v/>
      </c>
      <c r="M17" s="37" t="s">
        <v>297</v>
      </c>
      <c r="N17" s="37" t="s">
        <v>299</v>
      </c>
      <c r="O17" s="37" t="s">
        <v>300</v>
      </c>
      <c r="Q17" s="37" t="e">
        <f ca="1">Calcu!AF13</f>
        <v>#N/A</v>
      </c>
    </row>
    <row r="18" spans="1:17" ht="15" customHeight="1">
      <c r="A18" s="44" t="str">
        <f>IF(Calcu!B14=TRUE,"","삭제")</f>
        <v>삭제</v>
      </c>
      <c r="B18" s="43"/>
      <c r="C18" s="43"/>
      <c r="D18" s="43"/>
      <c r="E18" s="37" t="s">
        <v>319</v>
      </c>
      <c r="F18" s="51" t="e">
        <f ca="1">Calcu!AA14</f>
        <v>#N/A</v>
      </c>
      <c r="G18" s="51" t="s">
        <v>166</v>
      </c>
      <c r="H18" s="51" t="e">
        <f ca="1">Calcu!AD14</f>
        <v>#VALUE!</v>
      </c>
      <c r="J18" s="37" t="e">
        <f ca="1">Calcu!AC14</f>
        <v>#N/A</v>
      </c>
      <c r="K18" s="37" t="e">
        <f ca="1">Calcu!AB14</f>
        <v>#N/A</v>
      </c>
      <c r="L18" s="37" t="str">
        <f>LEFT(Calcu!AE14,1)</f>
        <v/>
      </c>
      <c r="M18" s="37" t="s">
        <v>297</v>
      </c>
      <c r="N18" s="37" t="s">
        <v>299</v>
      </c>
      <c r="O18" s="37" t="s">
        <v>300</v>
      </c>
      <c r="Q18" s="37" t="e">
        <f ca="1">Calcu!AF14</f>
        <v>#N/A</v>
      </c>
    </row>
    <row r="19" spans="1:17" ht="15" customHeight="1">
      <c r="A19" s="44" t="str">
        <f>IF(Calcu!B15=TRUE,"","삭제")</f>
        <v>삭제</v>
      </c>
      <c r="B19" s="43"/>
      <c r="C19" s="43"/>
      <c r="D19" s="43"/>
      <c r="E19" s="37" t="s">
        <v>319</v>
      </c>
      <c r="F19" s="51" t="e">
        <f ca="1">Calcu!AA15</f>
        <v>#N/A</v>
      </c>
      <c r="G19" s="51" t="s">
        <v>166</v>
      </c>
      <c r="H19" s="51" t="e">
        <f ca="1">Calcu!AD15</f>
        <v>#VALUE!</v>
      </c>
      <c r="J19" s="37" t="e">
        <f ca="1">Calcu!AC15</f>
        <v>#N/A</v>
      </c>
      <c r="K19" s="37" t="e">
        <f ca="1">Calcu!AB15</f>
        <v>#N/A</v>
      </c>
      <c r="L19" s="37" t="str">
        <f>LEFT(Calcu!AE15,1)</f>
        <v/>
      </c>
      <c r="M19" s="37" t="s">
        <v>297</v>
      </c>
      <c r="N19" s="37" t="s">
        <v>299</v>
      </c>
      <c r="O19" s="37" t="s">
        <v>300</v>
      </c>
      <c r="Q19" s="37" t="e">
        <f ca="1">Calcu!AF15</f>
        <v>#N/A</v>
      </c>
    </row>
    <row r="20" spans="1:17" ht="15" customHeight="1">
      <c r="A20" s="44" t="str">
        <f>IF(Calcu!B16=TRUE,"","삭제")</f>
        <v>삭제</v>
      </c>
      <c r="B20" s="43"/>
      <c r="C20" s="43"/>
      <c r="D20" s="43"/>
      <c r="E20" s="37" t="s">
        <v>319</v>
      </c>
      <c r="F20" s="51" t="e">
        <f ca="1">Calcu!AA16</f>
        <v>#N/A</v>
      </c>
      <c r="G20" s="51" t="s">
        <v>166</v>
      </c>
      <c r="H20" s="51" t="e">
        <f ca="1">Calcu!AD16</f>
        <v>#VALUE!</v>
      </c>
      <c r="J20" s="37" t="e">
        <f ca="1">Calcu!AC16</f>
        <v>#N/A</v>
      </c>
      <c r="K20" s="37" t="e">
        <f ca="1">Calcu!AB16</f>
        <v>#N/A</v>
      </c>
      <c r="L20" s="37" t="str">
        <f>LEFT(Calcu!AE16,1)</f>
        <v/>
      </c>
      <c r="M20" s="37" t="s">
        <v>297</v>
      </c>
      <c r="N20" s="37" t="s">
        <v>299</v>
      </c>
      <c r="O20" s="37" t="s">
        <v>300</v>
      </c>
      <c r="Q20" s="37" t="e">
        <f ca="1">Calcu!AF16</f>
        <v>#N/A</v>
      </c>
    </row>
    <row r="21" spans="1:17" ht="15" customHeight="1">
      <c r="A21" s="44" t="str">
        <f>IF(Calcu!B17=TRUE,"","삭제")</f>
        <v>삭제</v>
      </c>
      <c r="B21" s="43"/>
      <c r="C21" s="43"/>
      <c r="D21" s="43"/>
      <c r="E21" s="37" t="s">
        <v>319</v>
      </c>
      <c r="F21" s="51" t="e">
        <f ca="1">Calcu!AA17</f>
        <v>#N/A</v>
      </c>
      <c r="G21" s="51" t="s">
        <v>166</v>
      </c>
      <c r="H21" s="51" t="e">
        <f ca="1">Calcu!AD17</f>
        <v>#VALUE!</v>
      </c>
      <c r="J21" s="37" t="e">
        <f ca="1">Calcu!AC17</f>
        <v>#N/A</v>
      </c>
      <c r="K21" s="37" t="e">
        <f ca="1">Calcu!AB17</f>
        <v>#N/A</v>
      </c>
      <c r="L21" s="37" t="str">
        <f>LEFT(Calcu!AE17,1)</f>
        <v/>
      </c>
      <c r="M21" s="37" t="s">
        <v>297</v>
      </c>
      <c r="N21" s="37" t="s">
        <v>299</v>
      </c>
      <c r="O21" s="37" t="s">
        <v>300</v>
      </c>
      <c r="Q21" s="37" t="e">
        <f ca="1">Calcu!AF17</f>
        <v>#N/A</v>
      </c>
    </row>
    <row r="22" spans="1:17" ht="15" customHeight="1">
      <c r="A22" s="44" t="str">
        <f>IF(Calcu!B18=TRUE,"","삭제")</f>
        <v>삭제</v>
      </c>
      <c r="B22" s="43"/>
      <c r="C22" s="43"/>
      <c r="D22" s="43"/>
      <c r="E22" s="37" t="s">
        <v>319</v>
      </c>
      <c r="F22" s="51" t="e">
        <f ca="1">Calcu!AA18</f>
        <v>#N/A</v>
      </c>
      <c r="G22" s="51" t="s">
        <v>166</v>
      </c>
      <c r="H22" s="51" t="e">
        <f ca="1">Calcu!AD18</f>
        <v>#VALUE!</v>
      </c>
      <c r="J22" s="37" t="e">
        <f ca="1">Calcu!AC18</f>
        <v>#N/A</v>
      </c>
      <c r="K22" s="37" t="e">
        <f ca="1">Calcu!AB18</f>
        <v>#N/A</v>
      </c>
      <c r="L22" s="37" t="str">
        <f>LEFT(Calcu!AE18,1)</f>
        <v/>
      </c>
      <c r="M22" s="37" t="s">
        <v>297</v>
      </c>
      <c r="N22" s="37" t="s">
        <v>299</v>
      </c>
      <c r="O22" s="37" t="s">
        <v>300</v>
      </c>
      <c r="Q22" s="37" t="e">
        <f ca="1">Calcu!AF18</f>
        <v>#N/A</v>
      </c>
    </row>
    <row r="23" spans="1:17" ht="15" customHeight="1">
      <c r="A23" s="44" t="str">
        <f>IF(Calcu!B19=TRUE,"","삭제")</f>
        <v>삭제</v>
      </c>
      <c r="B23" s="43"/>
      <c r="C23" s="43"/>
      <c r="D23" s="43"/>
      <c r="E23" s="37" t="s">
        <v>319</v>
      </c>
      <c r="F23" s="51" t="e">
        <f ca="1">Calcu!AA19</f>
        <v>#N/A</v>
      </c>
      <c r="G23" s="51" t="s">
        <v>166</v>
      </c>
      <c r="H23" s="51" t="e">
        <f ca="1">Calcu!AD19</f>
        <v>#VALUE!</v>
      </c>
      <c r="J23" s="37" t="e">
        <f ca="1">Calcu!AC19</f>
        <v>#N/A</v>
      </c>
      <c r="K23" s="37" t="e">
        <f ca="1">Calcu!AB19</f>
        <v>#N/A</v>
      </c>
      <c r="L23" s="37" t="str">
        <f>LEFT(Calcu!AE19,1)</f>
        <v/>
      </c>
      <c r="M23" s="37" t="s">
        <v>297</v>
      </c>
      <c r="N23" s="37" t="s">
        <v>299</v>
      </c>
      <c r="O23" s="37" t="s">
        <v>300</v>
      </c>
      <c r="Q23" s="37" t="e">
        <f ca="1">Calcu!AF19</f>
        <v>#N/A</v>
      </c>
    </row>
    <row r="24" spans="1:17" ht="15" customHeight="1">
      <c r="A24" s="44" t="str">
        <f>IF(Calcu!B20=TRUE,"","삭제")</f>
        <v>삭제</v>
      </c>
      <c r="B24" s="43"/>
      <c r="C24" s="43"/>
      <c r="D24" s="43"/>
      <c r="E24" s="37" t="s">
        <v>319</v>
      </c>
      <c r="F24" s="51" t="e">
        <f ca="1">Calcu!AA20</f>
        <v>#N/A</v>
      </c>
      <c r="G24" s="51" t="s">
        <v>166</v>
      </c>
      <c r="H24" s="51" t="e">
        <f ca="1">Calcu!AD20</f>
        <v>#VALUE!</v>
      </c>
      <c r="J24" s="37" t="e">
        <f ca="1">Calcu!AC20</f>
        <v>#N/A</v>
      </c>
      <c r="K24" s="37" t="e">
        <f ca="1">Calcu!AB20</f>
        <v>#N/A</v>
      </c>
      <c r="L24" s="37" t="str">
        <f>LEFT(Calcu!AE20,1)</f>
        <v/>
      </c>
      <c r="M24" s="37" t="s">
        <v>297</v>
      </c>
      <c r="N24" s="37" t="s">
        <v>299</v>
      </c>
      <c r="O24" s="37" t="s">
        <v>300</v>
      </c>
      <c r="Q24" s="37" t="e">
        <f ca="1">Calcu!AF20</f>
        <v>#N/A</v>
      </c>
    </row>
    <row r="25" spans="1:17" ht="15" customHeight="1">
      <c r="A25" s="44" t="str">
        <f>IF(Calcu!B21=TRUE,"","삭제")</f>
        <v>삭제</v>
      </c>
      <c r="B25" s="43"/>
      <c r="C25" s="43"/>
      <c r="D25" s="43"/>
      <c r="E25" s="37" t="s">
        <v>319</v>
      </c>
      <c r="F25" s="51" t="e">
        <f ca="1">Calcu!AA21</f>
        <v>#N/A</v>
      </c>
      <c r="G25" s="51" t="s">
        <v>166</v>
      </c>
      <c r="H25" s="51" t="e">
        <f ca="1">Calcu!AD21</f>
        <v>#VALUE!</v>
      </c>
      <c r="J25" s="37" t="e">
        <f ca="1">Calcu!AC21</f>
        <v>#N/A</v>
      </c>
      <c r="K25" s="37" t="e">
        <f ca="1">Calcu!AB21</f>
        <v>#N/A</v>
      </c>
      <c r="L25" s="37" t="str">
        <f>LEFT(Calcu!AE21,1)</f>
        <v/>
      </c>
      <c r="M25" s="37" t="s">
        <v>297</v>
      </c>
      <c r="N25" s="37" t="s">
        <v>299</v>
      </c>
      <c r="O25" s="37" t="s">
        <v>300</v>
      </c>
      <c r="Q25" s="37" t="e">
        <f ca="1">Calcu!AF21</f>
        <v>#N/A</v>
      </c>
    </row>
    <row r="26" spans="1:17" ht="15" customHeight="1">
      <c r="A26" s="44" t="str">
        <f>IF(Calcu!B22=TRUE,"","삭제")</f>
        <v>삭제</v>
      </c>
      <c r="B26" s="43"/>
      <c r="C26" s="43"/>
      <c r="D26" s="43"/>
      <c r="E26" s="37" t="s">
        <v>319</v>
      </c>
      <c r="F26" s="51" t="e">
        <f ca="1">Calcu!AA22</f>
        <v>#N/A</v>
      </c>
      <c r="G26" s="51" t="s">
        <v>166</v>
      </c>
      <c r="H26" s="51" t="e">
        <f ca="1">Calcu!AD22</f>
        <v>#VALUE!</v>
      </c>
      <c r="J26" s="37" t="e">
        <f ca="1">Calcu!AC22</f>
        <v>#N/A</v>
      </c>
      <c r="K26" s="37" t="e">
        <f ca="1">Calcu!AB22</f>
        <v>#N/A</v>
      </c>
      <c r="L26" s="37" t="str">
        <f>LEFT(Calcu!AE22,1)</f>
        <v/>
      </c>
      <c r="M26" s="37" t="s">
        <v>297</v>
      </c>
      <c r="N26" s="37" t="s">
        <v>299</v>
      </c>
      <c r="O26" s="37" t="s">
        <v>300</v>
      </c>
      <c r="Q26" s="37" t="e">
        <f ca="1">Calcu!AF22</f>
        <v>#N/A</v>
      </c>
    </row>
    <row r="27" spans="1:17" ht="15" customHeight="1">
      <c r="A27" s="44" t="str">
        <f>IF(Calcu!B23=TRUE,"","삭제")</f>
        <v>삭제</v>
      </c>
      <c r="B27" s="43"/>
      <c r="C27" s="43"/>
      <c r="D27" s="43"/>
      <c r="E27" s="37" t="s">
        <v>319</v>
      </c>
      <c r="F27" s="51" t="e">
        <f ca="1">Calcu!AA23</f>
        <v>#N/A</v>
      </c>
      <c r="G27" s="51" t="s">
        <v>166</v>
      </c>
      <c r="H27" s="51" t="e">
        <f ca="1">Calcu!AD23</f>
        <v>#VALUE!</v>
      </c>
      <c r="J27" s="37" t="e">
        <f ca="1">Calcu!AC23</f>
        <v>#N/A</v>
      </c>
      <c r="K27" s="37" t="e">
        <f ca="1">Calcu!AB23</f>
        <v>#N/A</v>
      </c>
      <c r="L27" s="37" t="str">
        <f>LEFT(Calcu!AE23,1)</f>
        <v/>
      </c>
      <c r="M27" s="37" t="s">
        <v>297</v>
      </c>
      <c r="N27" s="37" t="s">
        <v>299</v>
      </c>
      <c r="O27" s="37" t="s">
        <v>300</v>
      </c>
      <c r="Q27" s="37" t="e">
        <f ca="1">Calcu!AF23</f>
        <v>#N/A</v>
      </c>
    </row>
    <row r="28" spans="1:17" ht="15" customHeight="1">
      <c r="A28" s="44" t="str">
        <f>IF(Calcu!B24=TRUE,"","삭제")</f>
        <v>삭제</v>
      </c>
      <c r="B28" s="43"/>
      <c r="C28" s="43"/>
      <c r="D28" s="43"/>
      <c r="E28" s="37" t="s">
        <v>319</v>
      </c>
      <c r="F28" s="51" t="e">
        <f ca="1">Calcu!AA24</f>
        <v>#N/A</v>
      </c>
      <c r="G28" s="51" t="s">
        <v>166</v>
      </c>
      <c r="H28" s="51" t="e">
        <f ca="1">Calcu!AD24</f>
        <v>#VALUE!</v>
      </c>
      <c r="J28" s="37" t="e">
        <f ca="1">Calcu!AC24</f>
        <v>#N/A</v>
      </c>
      <c r="K28" s="37" t="e">
        <f ca="1">Calcu!AB24</f>
        <v>#N/A</v>
      </c>
      <c r="L28" s="37" t="str">
        <f>LEFT(Calcu!AE24,1)</f>
        <v/>
      </c>
      <c r="M28" s="37" t="s">
        <v>297</v>
      </c>
      <c r="N28" s="37" t="s">
        <v>299</v>
      </c>
      <c r="O28" s="37" t="s">
        <v>300</v>
      </c>
      <c r="Q28" s="37" t="e">
        <f ca="1">Calcu!AF24</f>
        <v>#N/A</v>
      </c>
    </row>
    <row r="29" spans="1:17" ht="15" customHeight="1">
      <c r="A29" s="44" t="str">
        <f>IF(Calcu!B25=TRUE,"","삭제")</f>
        <v>삭제</v>
      </c>
      <c r="B29" s="43"/>
      <c r="C29" s="43"/>
      <c r="D29" s="43"/>
      <c r="E29" s="37" t="s">
        <v>319</v>
      </c>
      <c r="F29" s="51" t="e">
        <f ca="1">Calcu!AA25</f>
        <v>#N/A</v>
      </c>
      <c r="G29" s="51" t="s">
        <v>166</v>
      </c>
      <c r="H29" s="51" t="e">
        <f ca="1">Calcu!AD25</f>
        <v>#VALUE!</v>
      </c>
      <c r="J29" s="37" t="e">
        <f ca="1">Calcu!AC25</f>
        <v>#N/A</v>
      </c>
      <c r="K29" s="37" t="e">
        <f ca="1">Calcu!AB25</f>
        <v>#N/A</v>
      </c>
      <c r="L29" s="37" t="str">
        <f>LEFT(Calcu!AE25,1)</f>
        <v/>
      </c>
      <c r="M29" s="37" t="s">
        <v>297</v>
      </c>
      <c r="N29" s="37" t="s">
        <v>299</v>
      </c>
      <c r="O29" s="37" t="s">
        <v>300</v>
      </c>
      <c r="Q29" s="37" t="e">
        <f ca="1">Calcu!AF25</f>
        <v>#N/A</v>
      </c>
    </row>
    <row r="30" spans="1:17" ht="15" customHeight="1">
      <c r="A30" s="44" t="str">
        <f>IF(Calcu!B26=TRUE,"","삭제")</f>
        <v>삭제</v>
      </c>
      <c r="B30" s="43"/>
      <c r="C30" s="43"/>
      <c r="D30" s="43"/>
      <c r="E30" s="37" t="s">
        <v>319</v>
      </c>
      <c r="F30" s="51" t="e">
        <f ca="1">Calcu!AA26</f>
        <v>#N/A</v>
      </c>
      <c r="G30" s="51" t="s">
        <v>166</v>
      </c>
      <c r="H30" s="51" t="e">
        <f ca="1">Calcu!AD26</f>
        <v>#VALUE!</v>
      </c>
      <c r="J30" s="37" t="e">
        <f ca="1">Calcu!AC26</f>
        <v>#N/A</v>
      </c>
      <c r="K30" s="37" t="e">
        <f ca="1">Calcu!AB26</f>
        <v>#N/A</v>
      </c>
      <c r="L30" s="37" t="str">
        <f>LEFT(Calcu!AE26,1)</f>
        <v/>
      </c>
      <c r="M30" s="37" t="s">
        <v>297</v>
      </c>
      <c r="N30" s="37" t="s">
        <v>299</v>
      </c>
      <c r="O30" s="37" t="s">
        <v>300</v>
      </c>
      <c r="Q30" s="37" t="e">
        <f ca="1">Calcu!AF26</f>
        <v>#N/A</v>
      </c>
    </row>
    <row r="31" spans="1:17" ht="15" customHeight="1">
      <c r="A31" s="44" t="str">
        <f>IF(Calcu!B27=TRUE,"","삭제")</f>
        <v>삭제</v>
      </c>
      <c r="B31" s="43"/>
      <c r="C31" s="43"/>
      <c r="D31" s="43"/>
      <c r="E31" s="37" t="s">
        <v>319</v>
      </c>
      <c r="F31" s="51" t="e">
        <f ca="1">Calcu!AA27</f>
        <v>#N/A</v>
      </c>
      <c r="G31" s="51" t="s">
        <v>166</v>
      </c>
      <c r="H31" s="51" t="e">
        <f ca="1">Calcu!AD27</f>
        <v>#VALUE!</v>
      </c>
      <c r="J31" s="37" t="e">
        <f ca="1">Calcu!AC27</f>
        <v>#N/A</v>
      </c>
      <c r="K31" s="37" t="e">
        <f ca="1">Calcu!AB27</f>
        <v>#N/A</v>
      </c>
      <c r="L31" s="37" t="str">
        <f>LEFT(Calcu!AE27,1)</f>
        <v/>
      </c>
      <c r="M31" s="37" t="s">
        <v>297</v>
      </c>
      <c r="N31" s="37" t="s">
        <v>299</v>
      </c>
      <c r="O31" s="37" t="s">
        <v>300</v>
      </c>
      <c r="Q31" s="37" t="e">
        <f ca="1">Calcu!AF27</f>
        <v>#N/A</v>
      </c>
    </row>
    <row r="32" spans="1:17" ht="15" customHeight="1">
      <c r="A32" s="44" t="str">
        <f>IF(Calcu!B28=TRUE,"","삭제")</f>
        <v>삭제</v>
      </c>
      <c r="B32" s="43"/>
      <c r="C32" s="43"/>
      <c r="D32" s="43"/>
      <c r="E32" s="37" t="s">
        <v>319</v>
      </c>
      <c r="F32" s="51" t="e">
        <f ca="1">Calcu!AA28</f>
        <v>#N/A</v>
      </c>
      <c r="G32" s="51" t="s">
        <v>166</v>
      </c>
      <c r="H32" s="51" t="e">
        <f ca="1">Calcu!AD28</f>
        <v>#VALUE!</v>
      </c>
      <c r="J32" s="37" t="e">
        <f ca="1">Calcu!AC28</f>
        <v>#N/A</v>
      </c>
      <c r="K32" s="37" t="e">
        <f ca="1">Calcu!AB28</f>
        <v>#N/A</v>
      </c>
      <c r="L32" s="37" t="str">
        <f>LEFT(Calcu!AE28,1)</f>
        <v/>
      </c>
      <c r="M32" s="37" t="s">
        <v>297</v>
      </c>
      <c r="N32" s="37" t="s">
        <v>299</v>
      </c>
      <c r="O32" s="37" t="s">
        <v>300</v>
      </c>
      <c r="Q32" s="37" t="e">
        <f ca="1">Calcu!AF28</f>
        <v>#N/A</v>
      </c>
    </row>
    <row r="33" spans="1:17" ht="15" customHeight="1">
      <c r="A33" s="44" t="str">
        <f>IF(Calcu!B29=TRUE,"","삭제")</f>
        <v>삭제</v>
      </c>
      <c r="B33" s="43"/>
      <c r="C33" s="43"/>
      <c r="D33" s="43"/>
      <c r="E33" s="37" t="s">
        <v>319</v>
      </c>
      <c r="F33" s="51" t="e">
        <f ca="1">Calcu!AA29</f>
        <v>#N/A</v>
      </c>
      <c r="G33" s="51" t="s">
        <v>166</v>
      </c>
      <c r="H33" s="51" t="e">
        <f ca="1">Calcu!AD29</f>
        <v>#VALUE!</v>
      </c>
      <c r="J33" s="37" t="e">
        <f ca="1">Calcu!AC29</f>
        <v>#N/A</v>
      </c>
      <c r="K33" s="37" t="e">
        <f ca="1">Calcu!AB29</f>
        <v>#N/A</v>
      </c>
      <c r="L33" s="37" t="str">
        <f>LEFT(Calcu!AE29,1)</f>
        <v/>
      </c>
      <c r="M33" s="37" t="s">
        <v>297</v>
      </c>
      <c r="N33" s="37" t="s">
        <v>299</v>
      </c>
      <c r="O33" s="37" t="s">
        <v>300</v>
      </c>
      <c r="Q33" s="37" t="e">
        <f ca="1">Calcu!AF29</f>
        <v>#N/A</v>
      </c>
    </row>
    <row r="34" spans="1:17" ht="15" customHeight="1">
      <c r="A34" s="256" t="str">
        <f>A14</f>
        <v>삭제</v>
      </c>
      <c r="G34" s="53" t="e">
        <f ca="1">IF(Calcu!E57="사다리꼴","※ 신뢰수준 95 %,","※ 신뢰수준 약 95 %,")</f>
        <v>#N/A</v>
      </c>
      <c r="H34" s="199" t="e">
        <f ca="1">Calcu!E58&amp;IF(Calcu!E57="사다리꼴",", 사다리꼴 확률분포","")</f>
        <v>#N/A</v>
      </c>
      <c r="K34" s="50"/>
      <c r="Q34" s="53"/>
    </row>
    <row r="35" spans="1:17" ht="15" customHeight="1">
      <c r="A35" s="256" t="str">
        <f>A36</f>
        <v>삭제</v>
      </c>
      <c r="G35" s="53"/>
      <c r="H35" s="199"/>
      <c r="K35" s="50"/>
      <c r="Q35" s="53"/>
    </row>
    <row r="36" spans="1:17" ht="15" customHeight="1">
      <c r="A36" s="44" t="str">
        <f>IF(Calcu!B72=TRUE,"","삭제")</f>
        <v>삭제</v>
      </c>
      <c r="B36" s="43"/>
      <c r="C36" s="43"/>
      <c r="D36" s="43"/>
      <c r="E36" s="37" t="s">
        <v>320</v>
      </c>
      <c r="F36" s="51" t="e">
        <f ca="1">Calcu!AA72</f>
        <v>#N/A</v>
      </c>
      <c r="G36" s="51" t="s">
        <v>166</v>
      </c>
      <c r="H36" s="51" t="e">
        <f ca="1">Calcu!AD72</f>
        <v>#VALUE!</v>
      </c>
      <c r="J36" s="37" t="e">
        <f ca="1">Calcu!AC72</f>
        <v>#N/A</v>
      </c>
      <c r="K36" s="37" t="e">
        <f ca="1">Calcu!AB72</f>
        <v>#N/A</v>
      </c>
      <c r="L36" s="37" t="str">
        <f>LEFT(Calcu!AE72,1)</f>
        <v/>
      </c>
      <c r="M36" s="37" t="s">
        <v>297</v>
      </c>
      <c r="N36" s="37" t="s">
        <v>297</v>
      </c>
      <c r="O36" s="37" t="s">
        <v>297</v>
      </c>
      <c r="Q36" s="37" t="e">
        <f ca="1">Calcu!AF72</f>
        <v>#N/A</v>
      </c>
    </row>
    <row r="37" spans="1:17" ht="15" customHeight="1">
      <c r="A37" s="44" t="str">
        <f>IF(Calcu!B73=TRUE,"","삭제")</f>
        <v>삭제</v>
      </c>
      <c r="B37" s="43"/>
      <c r="C37" s="43"/>
      <c r="D37" s="43"/>
      <c r="E37" s="37" t="s">
        <v>320</v>
      </c>
      <c r="F37" s="51" t="e">
        <f ca="1">Calcu!AA73</f>
        <v>#N/A</v>
      </c>
      <c r="G37" s="51" t="s">
        <v>166</v>
      </c>
      <c r="H37" s="51" t="e">
        <f ca="1">Calcu!AD73</f>
        <v>#VALUE!</v>
      </c>
      <c r="J37" s="37" t="e">
        <f ca="1">Calcu!AC73</f>
        <v>#N/A</v>
      </c>
      <c r="K37" s="37" t="e">
        <f ca="1">Calcu!AB73</f>
        <v>#N/A</v>
      </c>
      <c r="L37" s="37" t="str">
        <f>LEFT(Calcu!AE73,1)</f>
        <v/>
      </c>
      <c r="M37" s="37" t="s">
        <v>297</v>
      </c>
      <c r="N37" s="37" t="s">
        <v>297</v>
      </c>
      <c r="O37" s="37" t="s">
        <v>297</v>
      </c>
      <c r="Q37" s="37" t="e">
        <f ca="1">Calcu!AF73</f>
        <v>#N/A</v>
      </c>
    </row>
    <row r="38" spans="1:17" ht="15" customHeight="1">
      <c r="A38" s="44" t="str">
        <f>IF(Calcu!B74=TRUE,"","삭제")</f>
        <v>삭제</v>
      </c>
      <c r="B38" s="43"/>
      <c r="C38" s="43"/>
      <c r="D38" s="43"/>
      <c r="E38" s="37" t="s">
        <v>320</v>
      </c>
      <c r="F38" s="51" t="e">
        <f ca="1">Calcu!AA74</f>
        <v>#N/A</v>
      </c>
      <c r="G38" s="51" t="s">
        <v>166</v>
      </c>
      <c r="H38" s="51" t="e">
        <f ca="1">Calcu!AD74</f>
        <v>#VALUE!</v>
      </c>
      <c r="J38" s="37" t="e">
        <f ca="1">Calcu!AC74</f>
        <v>#N/A</v>
      </c>
      <c r="K38" s="37" t="e">
        <f ca="1">Calcu!AB74</f>
        <v>#N/A</v>
      </c>
      <c r="L38" s="37" t="str">
        <f>LEFT(Calcu!AE74,1)</f>
        <v/>
      </c>
      <c r="M38" s="37" t="s">
        <v>297</v>
      </c>
      <c r="N38" s="37" t="s">
        <v>297</v>
      </c>
      <c r="O38" s="37" t="s">
        <v>297</v>
      </c>
      <c r="Q38" s="37" t="e">
        <f ca="1">Calcu!AF74</f>
        <v>#N/A</v>
      </c>
    </row>
    <row r="39" spans="1:17" ht="15" customHeight="1">
      <c r="A39" s="44" t="str">
        <f>IF(Calcu!B75=TRUE,"","삭제")</f>
        <v>삭제</v>
      </c>
      <c r="B39" s="43"/>
      <c r="C39" s="43"/>
      <c r="D39" s="43"/>
      <c r="E39" s="37" t="s">
        <v>320</v>
      </c>
      <c r="F39" s="51" t="e">
        <f ca="1">Calcu!AA75</f>
        <v>#N/A</v>
      </c>
      <c r="G39" s="51" t="s">
        <v>166</v>
      </c>
      <c r="H39" s="51" t="e">
        <f ca="1">Calcu!AD75</f>
        <v>#VALUE!</v>
      </c>
      <c r="J39" s="37" t="e">
        <f ca="1">Calcu!AC75</f>
        <v>#N/A</v>
      </c>
      <c r="K39" s="37" t="e">
        <f ca="1">Calcu!AB75</f>
        <v>#N/A</v>
      </c>
      <c r="L39" s="37" t="str">
        <f>LEFT(Calcu!AE75,1)</f>
        <v/>
      </c>
      <c r="M39" s="37" t="s">
        <v>297</v>
      </c>
      <c r="N39" s="37" t="s">
        <v>297</v>
      </c>
      <c r="O39" s="37" t="s">
        <v>297</v>
      </c>
      <c r="Q39" s="37" t="e">
        <f ca="1">Calcu!AF75</f>
        <v>#N/A</v>
      </c>
    </row>
    <row r="40" spans="1:17" ht="15" customHeight="1">
      <c r="A40" s="44" t="str">
        <f>IF(Calcu!B76=TRUE,"","삭제")</f>
        <v>삭제</v>
      </c>
      <c r="B40" s="43"/>
      <c r="C40" s="43"/>
      <c r="D40" s="43"/>
      <c r="E40" s="37" t="s">
        <v>320</v>
      </c>
      <c r="F40" s="51" t="e">
        <f ca="1">Calcu!AA76</f>
        <v>#N/A</v>
      </c>
      <c r="G40" s="51" t="s">
        <v>166</v>
      </c>
      <c r="H40" s="51" t="e">
        <f ca="1">Calcu!AD76</f>
        <v>#VALUE!</v>
      </c>
      <c r="J40" s="37" t="e">
        <f ca="1">Calcu!AC76</f>
        <v>#N/A</v>
      </c>
      <c r="K40" s="37" t="e">
        <f ca="1">Calcu!AB76</f>
        <v>#N/A</v>
      </c>
      <c r="L40" s="37" t="str">
        <f>LEFT(Calcu!AE76,1)</f>
        <v/>
      </c>
      <c r="M40" s="37" t="s">
        <v>297</v>
      </c>
      <c r="N40" s="37" t="s">
        <v>297</v>
      </c>
      <c r="O40" s="37" t="s">
        <v>297</v>
      </c>
      <c r="Q40" s="37" t="e">
        <f ca="1">Calcu!AF76</f>
        <v>#N/A</v>
      </c>
    </row>
    <row r="41" spans="1:17" ht="15" customHeight="1">
      <c r="A41" s="44" t="str">
        <f>IF(Calcu!B77=TRUE,"","삭제")</f>
        <v>삭제</v>
      </c>
      <c r="B41" s="43"/>
      <c r="C41" s="43"/>
      <c r="D41" s="43"/>
      <c r="E41" s="37" t="s">
        <v>320</v>
      </c>
      <c r="F41" s="51" t="e">
        <f ca="1">Calcu!AA77</f>
        <v>#N/A</v>
      </c>
      <c r="G41" s="51" t="s">
        <v>166</v>
      </c>
      <c r="H41" s="51" t="e">
        <f ca="1">Calcu!AD77</f>
        <v>#VALUE!</v>
      </c>
      <c r="J41" s="37" t="e">
        <f ca="1">Calcu!AC77</f>
        <v>#N/A</v>
      </c>
      <c r="K41" s="37" t="e">
        <f ca="1">Calcu!AB77</f>
        <v>#N/A</v>
      </c>
      <c r="L41" s="37" t="str">
        <f>LEFT(Calcu!AE77,1)</f>
        <v/>
      </c>
      <c r="M41" s="37" t="s">
        <v>297</v>
      </c>
      <c r="N41" s="37" t="s">
        <v>297</v>
      </c>
      <c r="O41" s="37" t="s">
        <v>297</v>
      </c>
      <c r="Q41" s="37" t="e">
        <f ca="1">Calcu!AF77</f>
        <v>#N/A</v>
      </c>
    </row>
    <row r="42" spans="1:17" ht="15" customHeight="1">
      <c r="A42" s="44" t="str">
        <f>IF(Calcu!B78=TRUE,"","삭제")</f>
        <v>삭제</v>
      </c>
      <c r="B42" s="43"/>
      <c r="C42" s="43"/>
      <c r="D42" s="43"/>
      <c r="E42" s="37" t="s">
        <v>320</v>
      </c>
      <c r="F42" s="51" t="e">
        <f ca="1">Calcu!AA78</f>
        <v>#N/A</v>
      </c>
      <c r="G42" s="51" t="s">
        <v>166</v>
      </c>
      <c r="H42" s="51" t="e">
        <f ca="1">Calcu!AD78</f>
        <v>#VALUE!</v>
      </c>
      <c r="J42" s="37" t="e">
        <f ca="1">Calcu!AC78</f>
        <v>#N/A</v>
      </c>
      <c r="K42" s="37" t="e">
        <f ca="1">Calcu!AB78</f>
        <v>#N/A</v>
      </c>
      <c r="L42" s="37" t="str">
        <f>LEFT(Calcu!AE78,1)</f>
        <v/>
      </c>
      <c r="M42" s="37" t="s">
        <v>297</v>
      </c>
      <c r="N42" s="37" t="s">
        <v>297</v>
      </c>
      <c r="O42" s="37" t="s">
        <v>297</v>
      </c>
      <c r="Q42" s="37" t="e">
        <f ca="1">Calcu!AF78</f>
        <v>#N/A</v>
      </c>
    </row>
    <row r="43" spans="1:17" ht="15" customHeight="1">
      <c r="A43" s="44" t="str">
        <f>IF(Calcu!B79=TRUE,"","삭제")</f>
        <v>삭제</v>
      </c>
      <c r="B43" s="43"/>
      <c r="C43" s="43"/>
      <c r="D43" s="43"/>
      <c r="E43" s="37" t="s">
        <v>320</v>
      </c>
      <c r="F43" s="51" t="e">
        <f ca="1">Calcu!AA79</f>
        <v>#N/A</v>
      </c>
      <c r="G43" s="51" t="s">
        <v>166</v>
      </c>
      <c r="H43" s="51" t="e">
        <f ca="1">Calcu!AD79</f>
        <v>#VALUE!</v>
      </c>
      <c r="J43" s="37" t="e">
        <f ca="1">Calcu!AC79</f>
        <v>#N/A</v>
      </c>
      <c r="K43" s="37" t="e">
        <f ca="1">Calcu!AB79</f>
        <v>#N/A</v>
      </c>
      <c r="L43" s="37" t="str">
        <f>LEFT(Calcu!AE79,1)</f>
        <v/>
      </c>
      <c r="M43" s="37" t="s">
        <v>297</v>
      </c>
      <c r="N43" s="37" t="s">
        <v>297</v>
      </c>
      <c r="O43" s="37" t="s">
        <v>297</v>
      </c>
      <c r="Q43" s="37" t="e">
        <f ca="1">Calcu!AF79</f>
        <v>#N/A</v>
      </c>
    </row>
    <row r="44" spans="1:17" ht="15" customHeight="1">
      <c r="A44" s="44" t="str">
        <f>IF(Calcu!B80=TRUE,"","삭제")</f>
        <v>삭제</v>
      </c>
      <c r="B44" s="43"/>
      <c r="C44" s="43"/>
      <c r="D44" s="43"/>
      <c r="E44" s="37" t="s">
        <v>320</v>
      </c>
      <c r="F44" s="51" t="e">
        <f ca="1">Calcu!AA80</f>
        <v>#N/A</v>
      </c>
      <c r="G44" s="51" t="s">
        <v>166</v>
      </c>
      <c r="H44" s="51" t="e">
        <f ca="1">Calcu!AD80</f>
        <v>#VALUE!</v>
      </c>
      <c r="J44" s="37" t="e">
        <f ca="1">Calcu!AC80</f>
        <v>#N/A</v>
      </c>
      <c r="K44" s="37" t="e">
        <f ca="1">Calcu!AB80</f>
        <v>#N/A</v>
      </c>
      <c r="L44" s="37" t="str">
        <f>LEFT(Calcu!AE80,1)</f>
        <v/>
      </c>
      <c r="M44" s="37" t="s">
        <v>297</v>
      </c>
      <c r="N44" s="37" t="s">
        <v>297</v>
      </c>
      <c r="O44" s="37" t="s">
        <v>297</v>
      </c>
      <c r="Q44" s="37" t="e">
        <f ca="1">Calcu!AF80</f>
        <v>#N/A</v>
      </c>
    </row>
    <row r="45" spans="1:17" ht="15" customHeight="1">
      <c r="A45" s="44" t="str">
        <f>IF(Calcu!B81=TRUE,"","삭제")</f>
        <v>삭제</v>
      </c>
      <c r="B45" s="43"/>
      <c r="C45" s="43"/>
      <c r="D45" s="43"/>
      <c r="E45" s="37" t="s">
        <v>320</v>
      </c>
      <c r="F45" s="51" t="e">
        <f ca="1">Calcu!AA81</f>
        <v>#N/A</v>
      </c>
      <c r="G45" s="51" t="s">
        <v>166</v>
      </c>
      <c r="H45" s="51" t="e">
        <f ca="1">Calcu!AD81</f>
        <v>#VALUE!</v>
      </c>
      <c r="J45" s="37" t="e">
        <f ca="1">Calcu!AC81</f>
        <v>#N/A</v>
      </c>
      <c r="K45" s="37" t="e">
        <f ca="1">Calcu!AB81</f>
        <v>#N/A</v>
      </c>
      <c r="L45" s="37" t="str">
        <f>LEFT(Calcu!AE81,1)</f>
        <v/>
      </c>
      <c r="M45" s="37" t="s">
        <v>297</v>
      </c>
      <c r="N45" s="37" t="s">
        <v>297</v>
      </c>
      <c r="O45" s="37" t="s">
        <v>297</v>
      </c>
      <c r="Q45" s="37" t="e">
        <f ca="1">Calcu!AF81</f>
        <v>#N/A</v>
      </c>
    </row>
    <row r="46" spans="1:17" ht="15" customHeight="1">
      <c r="A46" s="44" t="str">
        <f>IF(Calcu!B82=TRUE,"","삭제")</f>
        <v>삭제</v>
      </c>
      <c r="B46" s="43"/>
      <c r="C46" s="43"/>
      <c r="D46" s="43"/>
      <c r="E46" s="37" t="s">
        <v>320</v>
      </c>
      <c r="F46" s="51" t="e">
        <f ca="1">Calcu!AA82</f>
        <v>#N/A</v>
      </c>
      <c r="G46" s="51" t="s">
        <v>166</v>
      </c>
      <c r="H46" s="51" t="e">
        <f ca="1">Calcu!AD82</f>
        <v>#VALUE!</v>
      </c>
      <c r="J46" s="37" t="e">
        <f ca="1">Calcu!AC82</f>
        <v>#N/A</v>
      </c>
      <c r="K46" s="37" t="e">
        <f ca="1">Calcu!AB82</f>
        <v>#N/A</v>
      </c>
      <c r="L46" s="37" t="str">
        <f>LEFT(Calcu!AE82,1)</f>
        <v/>
      </c>
      <c r="M46" s="37" t="s">
        <v>297</v>
      </c>
      <c r="N46" s="37" t="s">
        <v>297</v>
      </c>
      <c r="O46" s="37" t="s">
        <v>297</v>
      </c>
      <c r="Q46" s="37" t="e">
        <f ca="1">Calcu!AF82</f>
        <v>#N/A</v>
      </c>
    </row>
    <row r="47" spans="1:17" ht="15" customHeight="1">
      <c r="A47" s="44" t="str">
        <f>IF(Calcu!B83=TRUE,"","삭제")</f>
        <v>삭제</v>
      </c>
      <c r="B47" s="43"/>
      <c r="C47" s="43"/>
      <c r="D47" s="43"/>
      <c r="E47" s="37" t="s">
        <v>320</v>
      </c>
      <c r="F47" s="51" t="e">
        <f ca="1">Calcu!AA83</f>
        <v>#N/A</v>
      </c>
      <c r="G47" s="51" t="s">
        <v>166</v>
      </c>
      <c r="H47" s="51" t="e">
        <f ca="1">Calcu!AD83</f>
        <v>#VALUE!</v>
      </c>
      <c r="J47" s="37" t="e">
        <f ca="1">Calcu!AC83</f>
        <v>#N/A</v>
      </c>
      <c r="K47" s="37" t="e">
        <f ca="1">Calcu!AB83</f>
        <v>#N/A</v>
      </c>
      <c r="L47" s="37" t="str">
        <f>LEFT(Calcu!AE83,1)</f>
        <v/>
      </c>
      <c r="M47" s="37" t="s">
        <v>297</v>
      </c>
      <c r="N47" s="37" t="s">
        <v>297</v>
      </c>
      <c r="O47" s="37" t="s">
        <v>297</v>
      </c>
      <c r="Q47" s="37" t="e">
        <f ca="1">Calcu!AF83</f>
        <v>#N/A</v>
      </c>
    </row>
    <row r="48" spans="1:17" ht="15" customHeight="1">
      <c r="A48" s="44" t="str">
        <f>IF(Calcu!B84=TRUE,"","삭제")</f>
        <v>삭제</v>
      </c>
      <c r="B48" s="43"/>
      <c r="C48" s="43"/>
      <c r="D48" s="43"/>
      <c r="E48" s="37" t="s">
        <v>320</v>
      </c>
      <c r="F48" s="51" t="e">
        <f ca="1">Calcu!AA84</f>
        <v>#N/A</v>
      </c>
      <c r="G48" s="51" t="s">
        <v>166</v>
      </c>
      <c r="H48" s="51" t="e">
        <f ca="1">Calcu!AD84</f>
        <v>#VALUE!</v>
      </c>
      <c r="J48" s="37" t="e">
        <f ca="1">Calcu!AC84</f>
        <v>#N/A</v>
      </c>
      <c r="K48" s="37" t="e">
        <f ca="1">Calcu!AB84</f>
        <v>#N/A</v>
      </c>
      <c r="L48" s="37" t="str">
        <f>LEFT(Calcu!AE84,1)</f>
        <v/>
      </c>
      <c r="M48" s="37" t="s">
        <v>297</v>
      </c>
      <c r="N48" s="37" t="s">
        <v>297</v>
      </c>
      <c r="O48" s="37" t="s">
        <v>297</v>
      </c>
      <c r="Q48" s="37" t="e">
        <f ca="1">Calcu!AF84</f>
        <v>#N/A</v>
      </c>
    </row>
    <row r="49" spans="1:17" ht="15" customHeight="1">
      <c r="A49" s="44" t="str">
        <f>IF(Calcu!B85=TRUE,"","삭제")</f>
        <v>삭제</v>
      </c>
      <c r="B49" s="43"/>
      <c r="C49" s="43"/>
      <c r="D49" s="43"/>
      <c r="E49" s="37" t="s">
        <v>320</v>
      </c>
      <c r="F49" s="51" t="e">
        <f ca="1">Calcu!AA85</f>
        <v>#N/A</v>
      </c>
      <c r="G49" s="51" t="s">
        <v>166</v>
      </c>
      <c r="H49" s="51" t="e">
        <f ca="1">Calcu!AD85</f>
        <v>#VALUE!</v>
      </c>
      <c r="J49" s="37" t="e">
        <f ca="1">Calcu!AC85</f>
        <v>#N/A</v>
      </c>
      <c r="K49" s="37" t="e">
        <f ca="1">Calcu!AB85</f>
        <v>#N/A</v>
      </c>
      <c r="L49" s="37" t="str">
        <f>LEFT(Calcu!AE85,1)</f>
        <v/>
      </c>
      <c r="M49" s="37" t="s">
        <v>297</v>
      </c>
      <c r="N49" s="37" t="s">
        <v>297</v>
      </c>
      <c r="O49" s="37" t="s">
        <v>297</v>
      </c>
      <c r="Q49" s="37" t="e">
        <f ca="1">Calcu!AF85</f>
        <v>#N/A</v>
      </c>
    </row>
    <row r="50" spans="1:17" ht="15" customHeight="1">
      <c r="A50" s="44" t="str">
        <f>IF(Calcu!B86=TRUE,"","삭제")</f>
        <v>삭제</v>
      </c>
      <c r="B50" s="43"/>
      <c r="C50" s="43"/>
      <c r="D50" s="43"/>
      <c r="E50" s="37" t="s">
        <v>320</v>
      </c>
      <c r="F50" s="51" t="e">
        <f ca="1">Calcu!AA86</f>
        <v>#N/A</v>
      </c>
      <c r="G50" s="51" t="s">
        <v>166</v>
      </c>
      <c r="H50" s="51" t="e">
        <f ca="1">Calcu!AD86</f>
        <v>#VALUE!</v>
      </c>
      <c r="J50" s="37" t="e">
        <f ca="1">Calcu!AC86</f>
        <v>#N/A</v>
      </c>
      <c r="K50" s="37" t="e">
        <f ca="1">Calcu!AB86</f>
        <v>#N/A</v>
      </c>
      <c r="L50" s="37" t="str">
        <f>LEFT(Calcu!AE86,1)</f>
        <v/>
      </c>
      <c r="M50" s="37" t="s">
        <v>297</v>
      </c>
      <c r="N50" s="37" t="s">
        <v>297</v>
      </c>
      <c r="O50" s="37" t="s">
        <v>297</v>
      </c>
      <c r="Q50" s="37" t="e">
        <f ca="1">Calcu!AF86</f>
        <v>#N/A</v>
      </c>
    </row>
    <row r="51" spans="1:17" ht="15" customHeight="1">
      <c r="A51" s="44" t="str">
        <f>IF(Calcu!B87=TRUE,"","삭제")</f>
        <v>삭제</v>
      </c>
      <c r="B51" s="43"/>
      <c r="C51" s="43"/>
      <c r="D51" s="43"/>
      <c r="E51" s="37" t="s">
        <v>320</v>
      </c>
      <c r="F51" s="51" t="e">
        <f ca="1">Calcu!AA87</f>
        <v>#N/A</v>
      </c>
      <c r="G51" s="51" t="s">
        <v>166</v>
      </c>
      <c r="H51" s="51" t="e">
        <f ca="1">Calcu!AD87</f>
        <v>#VALUE!</v>
      </c>
      <c r="J51" s="37" t="e">
        <f ca="1">Calcu!AC87</f>
        <v>#N/A</v>
      </c>
      <c r="K51" s="37" t="e">
        <f ca="1">Calcu!AB87</f>
        <v>#N/A</v>
      </c>
      <c r="L51" s="37" t="str">
        <f>LEFT(Calcu!AE87,1)</f>
        <v/>
      </c>
      <c r="M51" s="37" t="s">
        <v>297</v>
      </c>
      <c r="N51" s="37" t="s">
        <v>297</v>
      </c>
      <c r="O51" s="37" t="s">
        <v>297</v>
      </c>
      <c r="Q51" s="37" t="e">
        <f ca="1">Calcu!AF87</f>
        <v>#N/A</v>
      </c>
    </row>
    <row r="52" spans="1:17" ht="15" customHeight="1">
      <c r="A52" s="44" t="str">
        <f>IF(Calcu!B88=TRUE,"","삭제")</f>
        <v>삭제</v>
      </c>
      <c r="B52" s="43"/>
      <c r="C52" s="43"/>
      <c r="D52" s="43"/>
      <c r="E52" s="37" t="s">
        <v>320</v>
      </c>
      <c r="F52" s="51" t="e">
        <f ca="1">Calcu!AA88</f>
        <v>#N/A</v>
      </c>
      <c r="G52" s="51" t="s">
        <v>166</v>
      </c>
      <c r="H52" s="51" t="e">
        <f ca="1">Calcu!AD88</f>
        <v>#VALUE!</v>
      </c>
      <c r="J52" s="37" t="e">
        <f ca="1">Calcu!AC88</f>
        <v>#N/A</v>
      </c>
      <c r="K52" s="37" t="e">
        <f ca="1">Calcu!AB88</f>
        <v>#N/A</v>
      </c>
      <c r="L52" s="37" t="str">
        <f>LEFT(Calcu!AE88,1)</f>
        <v/>
      </c>
      <c r="M52" s="37" t="s">
        <v>297</v>
      </c>
      <c r="N52" s="37" t="s">
        <v>297</v>
      </c>
      <c r="O52" s="37" t="s">
        <v>297</v>
      </c>
      <c r="Q52" s="37" t="e">
        <f ca="1">Calcu!AF88</f>
        <v>#N/A</v>
      </c>
    </row>
    <row r="53" spans="1:17" ht="15" customHeight="1">
      <c r="A53" s="44" t="str">
        <f>IF(Calcu!B89=TRUE,"","삭제")</f>
        <v>삭제</v>
      </c>
      <c r="B53" s="43"/>
      <c r="C53" s="43"/>
      <c r="D53" s="43"/>
      <c r="E53" s="37" t="s">
        <v>320</v>
      </c>
      <c r="F53" s="51" t="e">
        <f ca="1">Calcu!AA89</f>
        <v>#N/A</v>
      </c>
      <c r="G53" s="51" t="s">
        <v>166</v>
      </c>
      <c r="H53" s="51" t="e">
        <f ca="1">Calcu!AD89</f>
        <v>#VALUE!</v>
      </c>
      <c r="J53" s="37" t="e">
        <f ca="1">Calcu!AC89</f>
        <v>#N/A</v>
      </c>
      <c r="K53" s="37" t="e">
        <f ca="1">Calcu!AB89</f>
        <v>#N/A</v>
      </c>
      <c r="L53" s="37" t="str">
        <f>LEFT(Calcu!AE89,1)</f>
        <v/>
      </c>
      <c r="M53" s="37" t="s">
        <v>297</v>
      </c>
      <c r="N53" s="37" t="s">
        <v>297</v>
      </c>
      <c r="O53" s="37" t="s">
        <v>297</v>
      </c>
      <c r="Q53" s="37" t="e">
        <f ca="1">Calcu!AF89</f>
        <v>#N/A</v>
      </c>
    </row>
    <row r="54" spans="1:17" ht="15" customHeight="1">
      <c r="A54" s="44" t="str">
        <f>IF(Calcu!B90=TRUE,"","삭제")</f>
        <v>삭제</v>
      </c>
      <c r="B54" s="43"/>
      <c r="C54" s="43"/>
      <c r="D54" s="43"/>
      <c r="E54" s="37" t="s">
        <v>320</v>
      </c>
      <c r="F54" s="51" t="e">
        <f ca="1">Calcu!AA90</f>
        <v>#N/A</v>
      </c>
      <c r="G54" s="51" t="s">
        <v>166</v>
      </c>
      <c r="H54" s="51" t="e">
        <f ca="1">Calcu!AD90</f>
        <v>#VALUE!</v>
      </c>
      <c r="J54" s="37" t="e">
        <f ca="1">Calcu!AC90</f>
        <v>#N/A</v>
      </c>
      <c r="K54" s="37" t="e">
        <f ca="1">Calcu!AB90</f>
        <v>#N/A</v>
      </c>
      <c r="L54" s="37" t="str">
        <f>LEFT(Calcu!AE90,1)</f>
        <v/>
      </c>
      <c r="M54" s="37" t="s">
        <v>297</v>
      </c>
      <c r="N54" s="37" t="s">
        <v>297</v>
      </c>
      <c r="O54" s="37" t="s">
        <v>297</v>
      </c>
      <c r="Q54" s="37" t="e">
        <f ca="1">Calcu!AF90</f>
        <v>#N/A</v>
      </c>
    </row>
    <row r="55" spans="1:17" ht="15" customHeight="1">
      <c r="A55" s="44" t="str">
        <f>IF(Calcu!B91=TRUE,"","삭제")</f>
        <v>삭제</v>
      </c>
      <c r="B55" s="43"/>
      <c r="C55" s="43"/>
      <c r="D55" s="43"/>
      <c r="E55" s="37" t="s">
        <v>320</v>
      </c>
      <c r="F55" s="51" t="e">
        <f ca="1">Calcu!AA91</f>
        <v>#N/A</v>
      </c>
      <c r="G55" s="51" t="s">
        <v>166</v>
      </c>
      <c r="H55" s="51" t="e">
        <f ca="1">Calcu!AD91</f>
        <v>#VALUE!</v>
      </c>
      <c r="J55" s="37" t="e">
        <f ca="1">Calcu!AC91</f>
        <v>#N/A</v>
      </c>
      <c r="K55" s="37" t="e">
        <f ca="1">Calcu!AB91</f>
        <v>#N/A</v>
      </c>
      <c r="L55" s="37" t="str">
        <f>LEFT(Calcu!AE91,1)</f>
        <v/>
      </c>
      <c r="M55" s="37" t="s">
        <v>297</v>
      </c>
      <c r="N55" s="37" t="s">
        <v>297</v>
      </c>
      <c r="O55" s="37" t="s">
        <v>297</v>
      </c>
      <c r="Q55" s="37" t="e">
        <f ca="1">Calcu!AF91</f>
        <v>#N/A</v>
      </c>
    </row>
    <row r="56" spans="1:17" ht="15" customHeight="1">
      <c r="A56" s="256" t="str">
        <f>A36</f>
        <v>삭제</v>
      </c>
      <c r="G56" s="53" t="e">
        <f ca="1">IF(Calcu!E119="사다리꼴","※ 신뢰수준 95 %,","※ 신뢰수준 약 95 %,")</f>
        <v>#N/A</v>
      </c>
      <c r="H56" s="199" t="e">
        <f ca="1">Calcu!E120&amp;IF(Calcu!E119="사다리꼴",", 사다리꼴 확률분포","")</f>
        <v>#N/A</v>
      </c>
      <c r="K56" s="50"/>
      <c r="Q56" s="53"/>
    </row>
    <row r="57" spans="1:17" ht="15" customHeight="1">
      <c r="A57" s="256" t="str">
        <f>A58</f>
        <v>삭제</v>
      </c>
      <c r="G57" s="53"/>
      <c r="H57" s="199"/>
      <c r="K57" s="50"/>
      <c r="Q57" s="53"/>
    </row>
    <row r="58" spans="1:17" ht="15" customHeight="1">
      <c r="A58" s="44" t="str">
        <f>IF(Calcu!B134=TRUE,"","삭제")</f>
        <v>삭제</v>
      </c>
      <c r="B58" s="43"/>
      <c r="C58" s="43"/>
      <c r="D58" s="43"/>
      <c r="E58" s="37" t="s">
        <v>656</v>
      </c>
      <c r="F58" s="51" t="str">
        <f>Calcu!S134</f>
        <v/>
      </c>
      <c r="G58" s="51" t="str">
        <f>Calcu!F134</f>
        <v/>
      </c>
      <c r="H58" s="51" t="str">
        <f>Calcu!AE134</f>
        <v/>
      </c>
      <c r="J58" s="37" t="str">
        <f ca="1">Calcu!AD134</f>
        <v/>
      </c>
      <c r="K58" s="37" t="str">
        <f ca="1">Calcu!AC134</f>
        <v/>
      </c>
      <c r="L58" s="37" t="str">
        <f>LEFT(Calcu!AF134,1)</f>
        <v/>
      </c>
      <c r="M58" s="37" t="s">
        <v>297</v>
      </c>
      <c r="N58" s="37" t="s">
        <v>297</v>
      </c>
      <c r="O58" s="37" t="s">
        <v>297</v>
      </c>
      <c r="Q58" s="37" t="e">
        <f ca="1">Calcu!AG134</f>
        <v>#VALUE!</v>
      </c>
    </row>
    <row r="59" spans="1:17" ht="15" customHeight="1">
      <c r="A59" s="44" t="str">
        <f>IF(Calcu!B135=TRUE,"","삭제")</f>
        <v>삭제</v>
      </c>
      <c r="B59" s="43"/>
      <c r="C59" s="43"/>
      <c r="D59" s="43"/>
      <c r="E59" s="37" t="s">
        <v>656</v>
      </c>
      <c r="F59" s="324" t="str">
        <f>Calcu!S135</f>
        <v/>
      </c>
      <c r="G59" s="324" t="str">
        <f>Calcu!F135</f>
        <v/>
      </c>
      <c r="H59" s="324" t="str">
        <f>Calcu!AE135</f>
        <v/>
      </c>
      <c r="J59" s="37" t="str">
        <f ca="1">Calcu!AD135</f>
        <v/>
      </c>
      <c r="K59" s="37" t="str">
        <f ca="1">Calcu!AC135</f>
        <v/>
      </c>
      <c r="L59" s="37" t="str">
        <f>LEFT(Calcu!AF135,1)</f>
        <v/>
      </c>
      <c r="M59" s="37" t="s">
        <v>297</v>
      </c>
      <c r="N59" s="37" t="s">
        <v>297</v>
      </c>
      <c r="O59" s="37" t="s">
        <v>297</v>
      </c>
      <c r="Q59" s="37" t="e">
        <f ca="1">Calcu!AG135</f>
        <v>#VALUE!</v>
      </c>
    </row>
    <row r="60" spans="1:17" ht="15" customHeight="1">
      <c r="A60" s="44" t="str">
        <f>IF(Calcu!B136=TRUE,"","삭제")</f>
        <v>삭제</v>
      </c>
      <c r="B60" s="43"/>
      <c r="C60" s="43"/>
      <c r="D60" s="43"/>
      <c r="E60" s="37" t="s">
        <v>656</v>
      </c>
      <c r="F60" s="324" t="str">
        <f>Calcu!S136</f>
        <v/>
      </c>
      <c r="G60" s="324" t="str">
        <f>Calcu!F136</f>
        <v/>
      </c>
      <c r="H60" s="324" t="str">
        <f>Calcu!AE136</f>
        <v/>
      </c>
      <c r="J60" s="37" t="str">
        <f ca="1">Calcu!AD136</f>
        <v/>
      </c>
      <c r="K60" s="37" t="str">
        <f ca="1">Calcu!AC136</f>
        <v/>
      </c>
      <c r="L60" s="37" t="str">
        <f>LEFT(Calcu!AF136,1)</f>
        <v/>
      </c>
      <c r="M60" s="37" t="s">
        <v>297</v>
      </c>
      <c r="N60" s="37" t="s">
        <v>297</v>
      </c>
      <c r="O60" s="37" t="s">
        <v>297</v>
      </c>
      <c r="Q60" s="37" t="e">
        <f ca="1">Calcu!AG136</f>
        <v>#VALUE!</v>
      </c>
    </row>
    <row r="61" spans="1:17" ht="15" customHeight="1">
      <c r="A61" s="44" t="str">
        <f>IF(Calcu!B137=TRUE,"","삭제")</f>
        <v>삭제</v>
      </c>
      <c r="B61" s="43"/>
      <c r="C61" s="43"/>
      <c r="D61" s="43"/>
      <c r="E61" s="37" t="s">
        <v>656</v>
      </c>
      <c r="F61" s="324" t="str">
        <f>Calcu!S137</f>
        <v/>
      </c>
      <c r="G61" s="324" t="str">
        <f>Calcu!F137</f>
        <v/>
      </c>
      <c r="H61" s="324" t="str">
        <f>Calcu!AE137</f>
        <v/>
      </c>
      <c r="J61" s="37" t="str">
        <f ca="1">Calcu!AD137</f>
        <v/>
      </c>
      <c r="K61" s="37" t="str">
        <f ca="1">Calcu!AC137</f>
        <v/>
      </c>
      <c r="L61" s="37" t="str">
        <f>LEFT(Calcu!AF137,1)</f>
        <v/>
      </c>
      <c r="M61" s="37" t="s">
        <v>297</v>
      </c>
      <c r="N61" s="37" t="s">
        <v>297</v>
      </c>
      <c r="O61" s="37" t="s">
        <v>297</v>
      </c>
      <c r="Q61" s="37" t="e">
        <f ca="1">Calcu!AG137</f>
        <v>#VALUE!</v>
      </c>
    </row>
    <row r="62" spans="1:17" ht="15" customHeight="1">
      <c r="A62" s="44" t="str">
        <f>IF(Calcu!B138=TRUE,"","삭제")</f>
        <v>삭제</v>
      </c>
      <c r="B62" s="43"/>
      <c r="C62" s="43"/>
      <c r="D62" s="43"/>
      <c r="E62" s="37" t="s">
        <v>656</v>
      </c>
      <c r="F62" s="324" t="str">
        <f>Calcu!S138</f>
        <v/>
      </c>
      <c r="G62" s="324" t="str">
        <f>Calcu!F138</f>
        <v/>
      </c>
      <c r="H62" s="324" t="str">
        <f>Calcu!AE138</f>
        <v/>
      </c>
      <c r="J62" s="37" t="str">
        <f ca="1">Calcu!AD138</f>
        <v/>
      </c>
      <c r="K62" s="37" t="str">
        <f ca="1">Calcu!AC138</f>
        <v/>
      </c>
      <c r="L62" s="37" t="str">
        <f>LEFT(Calcu!AF138,1)</f>
        <v/>
      </c>
      <c r="M62" s="37" t="s">
        <v>297</v>
      </c>
      <c r="N62" s="37" t="s">
        <v>297</v>
      </c>
      <c r="O62" s="37" t="s">
        <v>297</v>
      </c>
      <c r="Q62" s="37" t="e">
        <f ca="1">Calcu!AG138</f>
        <v>#VALUE!</v>
      </c>
    </row>
    <row r="63" spans="1:17" ht="15" customHeight="1">
      <c r="A63" s="44" t="str">
        <f>IF(Calcu!B139=TRUE,"","삭제")</f>
        <v>삭제</v>
      </c>
      <c r="B63" s="43"/>
      <c r="C63" s="43"/>
      <c r="D63" s="43"/>
      <c r="E63" s="37" t="s">
        <v>656</v>
      </c>
      <c r="F63" s="324" t="str">
        <f>Calcu!S139</f>
        <v/>
      </c>
      <c r="G63" s="324" t="str">
        <f>Calcu!F139</f>
        <v/>
      </c>
      <c r="H63" s="324" t="str">
        <f>Calcu!AE139</f>
        <v/>
      </c>
      <c r="J63" s="37" t="str">
        <f ca="1">Calcu!AD139</f>
        <v/>
      </c>
      <c r="K63" s="37" t="str">
        <f ca="1">Calcu!AC139</f>
        <v/>
      </c>
      <c r="L63" s="37" t="str">
        <f>LEFT(Calcu!AF139,1)</f>
        <v/>
      </c>
      <c r="M63" s="37" t="s">
        <v>297</v>
      </c>
      <c r="N63" s="37" t="s">
        <v>297</v>
      </c>
      <c r="O63" s="37" t="s">
        <v>297</v>
      </c>
      <c r="Q63" s="37" t="e">
        <f ca="1">Calcu!AG139</f>
        <v>#VALUE!</v>
      </c>
    </row>
    <row r="64" spans="1:17" ht="15" customHeight="1">
      <c r="A64" s="44" t="str">
        <f>IF(Calcu!B140=TRUE,"","삭제")</f>
        <v>삭제</v>
      </c>
      <c r="B64" s="43"/>
      <c r="C64" s="43"/>
      <c r="D64" s="43"/>
      <c r="E64" s="37" t="s">
        <v>656</v>
      </c>
      <c r="F64" s="324" t="str">
        <f>Calcu!S140</f>
        <v/>
      </c>
      <c r="G64" s="324" t="str">
        <f>Calcu!F140</f>
        <v/>
      </c>
      <c r="H64" s="324" t="str">
        <f>Calcu!AE140</f>
        <v/>
      </c>
      <c r="J64" s="37" t="str">
        <f ca="1">Calcu!AD140</f>
        <v/>
      </c>
      <c r="K64" s="37" t="str">
        <f ca="1">Calcu!AC140</f>
        <v/>
      </c>
      <c r="L64" s="37" t="str">
        <f>LEFT(Calcu!AF140,1)</f>
        <v/>
      </c>
      <c r="M64" s="37" t="s">
        <v>297</v>
      </c>
      <c r="N64" s="37" t="s">
        <v>297</v>
      </c>
      <c r="O64" s="37" t="s">
        <v>297</v>
      </c>
      <c r="Q64" s="37" t="e">
        <f ca="1">Calcu!AG140</f>
        <v>#VALUE!</v>
      </c>
    </row>
    <row r="65" spans="1:17" ht="15" customHeight="1">
      <c r="A65" s="44" t="str">
        <f>IF(Calcu!B141=TRUE,"","삭제")</f>
        <v>삭제</v>
      </c>
      <c r="B65" s="43"/>
      <c r="C65" s="43"/>
      <c r="D65" s="43"/>
      <c r="E65" s="37" t="s">
        <v>656</v>
      </c>
      <c r="F65" s="324" t="str">
        <f>Calcu!S141</f>
        <v/>
      </c>
      <c r="G65" s="324" t="str">
        <f>Calcu!F141</f>
        <v/>
      </c>
      <c r="H65" s="324" t="str">
        <f>Calcu!AE141</f>
        <v/>
      </c>
      <c r="J65" s="37" t="str">
        <f ca="1">Calcu!AD141</f>
        <v/>
      </c>
      <c r="K65" s="37" t="str">
        <f ca="1">Calcu!AC141</f>
        <v/>
      </c>
      <c r="L65" s="37" t="str">
        <f>LEFT(Calcu!AF141,1)</f>
        <v/>
      </c>
      <c r="M65" s="37" t="s">
        <v>297</v>
      </c>
      <c r="N65" s="37" t="s">
        <v>297</v>
      </c>
      <c r="O65" s="37" t="s">
        <v>297</v>
      </c>
      <c r="Q65" s="37" t="e">
        <f ca="1">Calcu!AG141</f>
        <v>#VALUE!</v>
      </c>
    </row>
    <row r="66" spans="1:17" ht="15" customHeight="1">
      <c r="A66" s="44" t="str">
        <f>IF(Calcu!B142=TRUE,"","삭제")</f>
        <v>삭제</v>
      </c>
      <c r="B66" s="43"/>
      <c r="C66" s="43"/>
      <c r="D66" s="43"/>
      <c r="E66" s="37" t="s">
        <v>656</v>
      </c>
      <c r="F66" s="324" t="str">
        <f>Calcu!S142</f>
        <v/>
      </c>
      <c r="G66" s="324" t="str">
        <f>Calcu!F142</f>
        <v/>
      </c>
      <c r="H66" s="324" t="str">
        <f>Calcu!AE142</f>
        <v/>
      </c>
      <c r="J66" s="37" t="str">
        <f ca="1">Calcu!AD142</f>
        <v/>
      </c>
      <c r="K66" s="37" t="str">
        <f ca="1">Calcu!AC142</f>
        <v/>
      </c>
      <c r="L66" s="37" t="str">
        <f>LEFT(Calcu!AF142,1)</f>
        <v/>
      </c>
      <c r="M66" s="37" t="s">
        <v>297</v>
      </c>
      <c r="N66" s="37" t="s">
        <v>297</v>
      </c>
      <c r="O66" s="37" t="s">
        <v>297</v>
      </c>
      <c r="Q66" s="37" t="e">
        <f ca="1">Calcu!AG142</f>
        <v>#VALUE!</v>
      </c>
    </row>
    <row r="67" spans="1:17" ht="15" customHeight="1">
      <c r="A67" s="44" t="str">
        <f>IF(Calcu!B143=TRUE,"","삭제")</f>
        <v>삭제</v>
      </c>
      <c r="B67" s="43"/>
      <c r="C67" s="43"/>
      <c r="D67" s="43"/>
      <c r="E67" s="37" t="s">
        <v>656</v>
      </c>
      <c r="F67" s="324" t="str">
        <f>Calcu!S143</f>
        <v/>
      </c>
      <c r="G67" s="324" t="str">
        <f>Calcu!F143</f>
        <v/>
      </c>
      <c r="H67" s="324" t="str">
        <f>Calcu!AE143</f>
        <v/>
      </c>
      <c r="J67" s="37" t="str">
        <f ca="1">Calcu!AD143</f>
        <v/>
      </c>
      <c r="K67" s="37" t="str">
        <f ca="1">Calcu!AC143</f>
        <v/>
      </c>
      <c r="L67" s="37" t="str">
        <f>LEFT(Calcu!AF143,1)</f>
        <v/>
      </c>
      <c r="M67" s="37" t="s">
        <v>297</v>
      </c>
      <c r="N67" s="37" t="s">
        <v>297</v>
      </c>
      <c r="O67" s="37" t="s">
        <v>297</v>
      </c>
      <c r="Q67" s="37" t="e">
        <f ca="1">Calcu!AG143</f>
        <v>#VALUE!</v>
      </c>
    </row>
    <row r="68" spans="1:17" ht="15" customHeight="1">
      <c r="A68" s="44" t="str">
        <f>IF(Calcu!B144=TRUE,"","삭제")</f>
        <v>삭제</v>
      </c>
      <c r="B68" s="43"/>
      <c r="C68" s="43"/>
      <c r="D68" s="43"/>
      <c r="E68" s="37" t="s">
        <v>656</v>
      </c>
      <c r="F68" s="324" t="str">
        <f>Calcu!S144</f>
        <v/>
      </c>
      <c r="G68" s="324" t="str">
        <f>Calcu!F144</f>
        <v/>
      </c>
      <c r="H68" s="324" t="str">
        <f>Calcu!AE144</f>
        <v/>
      </c>
      <c r="J68" s="37" t="str">
        <f ca="1">Calcu!AD144</f>
        <v/>
      </c>
      <c r="K68" s="37" t="str">
        <f ca="1">Calcu!AC144</f>
        <v/>
      </c>
      <c r="L68" s="37" t="str">
        <f>LEFT(Calcu!AF144,1)</f>
        <v/>
      </c>
      <c r="M68" s="37" t="s">
        <v>297</v>
      </c>
      <c r="N68" s="37" t="s">
        <v>297</v>
      </c>
      <c r="O68" s="37" t="s">
        <v>297</v>
      </c>
      <c r="Q68" s="37" t="e">
        <f ca="1">Calcu!AG144</f>
        <v>#VALUE!</v>
      </c>
    </row>
    <row r="69" spans="1:17" ht="15" customHeight="1">
      <c r="A69" s="44" t="str">
        <f>IF(Calcu!B145=TRUE,"","삭제")</f>
        <v>삭제</v>
      </c>
      <c r="B69" s="43"/>
      <c r="C69" s="43"/>
      <c r="D69" s="43"/>
      <c r="E69" s="37" t="s">
        <v>656</v>
      </c>
      <c r="F69" s="324" t="str">
        <f>Calcu!S145</f>
        <v/>
      </c>
      <c r="G69" s="324" t="str">
        <f>Calcu!F145</f>
        <v/>
      </c>
      <c r="H69" s="324" t="str">
        <f>Calcu!AE145</f>
        <v/>
      </c>
      <c r="J69" s="37" t="str">
        <f ca="1">Calcu!AD145</f>
        <v/>
      </c>
      <c r="K69" s="37" t="str">
        <f ca="1">Calcu!AC145</f>
        <v/>
      </c>
      <c r="L69" s="37" t="str">
        <f>LEFT(Calcu!AF145,1)</f>
        <v/>
      </c>
      <c r="M69" s="37" t="s">
        <v>297</v>
      </c>
      <c r="N69" s="37" t="s">
        <v>297</v>
      </c>
      <c r="O69" s="37" t="s">
        <v>297</v>
      </c>
      <c r="Q69" s="37" t="e">
        <f ca="1">Calcu!AG145</f>
        <v>#VALUE!</v>
      </c>
    </row>
    <row r="70" spans="1:17" ht="15" customHeight="1">
      <c r="A70" s="44" t="str">
        <f>IF(Calcu!B146=TRUE,"","삭제")</f>
        <v>삭제</v>
      </c>
      <c r="B70" s="43"/>
      <c r="C70" s="43"/>
      <c r="D70" s="43"/>
      <c r="E70" s="37" t="s">
        <v>656</v>
      </c>
      <c r="F70" s="324" t="str">
        <f>Calcu!S146</f>
        <v/>
      </c>
      <c r="G70" s="324" t="str">
        <f>Calcu!F146</f>
        <v/>
      </c>
      <c r="H70" s="324" t="str">
        <f>Calcu!AE146</f>
        <v/>
      </c>
      <c r="J70" s="37" t="str">
        <f ca="1">Calcu!AD146</f>
        <v/>
      </c>
      <c r="K70" s="37" t="str">
        <f ca="1">Calcu!AC146</f>
        <v/>
      </c>
      <c r="L70" s="37" t="str">
        <f>LEFT(Calcu!AF146,1)</f>
        <v/>
      </c>
      <c r="M70" s="37" t="s">
        <v>297</v>
      </c>
      <c r="N70" s="37" t="s">
        <v>297</v>
      </c>
      <c r="O70" s="37" t="s">
        <v>297</v>
      </c>
      <c r="Q70" s="37" t="e">
        <f ca="1">Calcu!AG146</f>
        <v>#VALUE!</v>
      </c>
    </row>
    <row r="71" spans="1:17" ht="15" customHeight="1">
      <c r="A71" s="44" t="str">
        <f>IF(Calcu!B147=TRUE,"","삭제")</f>
        <v>삭제</v>
      </c>
      <c r="B71" s="43"/>
      <c r="C71" s="43"/>
      <c r="D71" s="43"/>
      <c r="E71" s="37" t="s">
        <v>656</v>
      </c>
      <c r="F71" s="324" t="str">
        <f>Calcu!S147</f>
        <v/>
      </c>
      <c r="G71" s="324" t="str">
        <f>Calcu!F147</f>
        <v/>
      </c>
      <c r="H71" s="324" t="str">
        <f>Calcu!AE147</f>
        <v/>
      </c>
      <c r="J71" s="37" t="str">
        <f ca="1">Calcu!AD147</f>
        <v/>
      </c>
      <c r="K71" s="37" t="str">
        <f ca="1">Calcu!AC147</f>
        <v/>
      </c>
      <c r="L71" s="37" t="str">
        <f>LEFT(Calcu!AF147,1)</f>
        <v/>
      </c>
      <c r="M71" s="37" t="s">
        <v>297</v>
      </c>
      <c r="N71" s="37" t="s">
        <v>297</v>
      </c>
      <c r="O71" s="37" t="s">
        <v>297</v>
      </c>
      <c r="Q71" s="37" t="e">
        <f ca="1">Calcu!AG147</f>
        <v>#VALUE!</v>
      </c>
    </row>
    <row r="72" spans="1:17" ht="15" customHeight="1">
      <c r="A72" s="44" t="str">
        <f>IF(Calcu!B148=TRUE,"","삭제")</f>
        <v>삭제</v>
      </c>
      <c r="B72" s="43"/>
      <c r="C72" s="43"/>
      <c r="D72" s="43"/>
      <c r="E72" s="37" t="s">
        <v>656</v>
      </c>
      <c r="F72" s="324" t="str">
        <f>Calcu!S148</f>
        <v/>
      </c>
      <c r="G72" s="324" t="str">
        <f>Calcu!F148</f>
        <v/>
      </c>
      <c r="H72" s="324" t="str">
        <f>Calcu!AE148</f>
        <v/>
      </c>
      <c r="J72" s="37" t="str">
        <f ca="1">Calcu!AD148</f>
        <v/>
      </c>
      <c r="K72" s="37" t="str">
        <f ca="1">Calcu!AC148</f>
        <v/>
      </c>
      <c r="L72" s="37" t="str">
        <f>LEFT(Calcu!AF148,1)</f>
        <v/>
      </c>
      <c r="M72" s="37" t="s">
        <v>297</v>
      </c>
      <c r="N72" s="37" t="s">
        <v>297</v>
      </c>
      <c r="O72" s="37" t="s">
        <v>297</v>
      </c>
      <c r="Q72" s="37" t="e">
        <f ca="1">Calcu!AG148</f>
        <v>#VALUE!</v>
      </c>
    </row>
    <row r="73" spans="1:17" ht="15" customHeight="1">
      <c r="A73" s="44" t="str">
        <f>IF(Calcu!B149=TRUE,"","삭제")</f>
        <v>삭제</v>
      </c>
      <c r="B73" s="43"/>
      <c r="C73" s="43"/>
      <c r="D73" s="43"/>
      <c r="E73" s="37" t="s">
        <v>656</v>
      </c>
      <c r="F73" s="324" t="str">
        <f>Calcu!S149</f>
        <v/>
      </c>
      <c r="G73" s="324" t="str">
        <f>Calcu!F149</f>
        <v/>
      </c>
      <c r="H73" s="324" t="str">
        <f>Calcu!AE149</f>
        <v/>
      </c>
      <c r="J73" s="37" t="str">
        <f ca="1">Calcu!AD149</f>
        <v/>
      </c>
      <c r="K73" s="37" t="str">
        <f ca="1">Calcu!AC149</f>
        <v/>
      </c>
      <c r="L73" s="37" t="str">
        <f>LEFT(Calcu!AF149,1)</f>
        <v/>
      </c>
      <c r="M73" s="37" t="s">
        <v>297</v>
      </c>
      <c r="N73" s="37" t="s">
        <v>297</v>
      </c>
      <c r="O73" s="37" t="s">
        <v>297</v>
      </c>
      <c r="Q73" s="37" t="e">
        <f ca="1">Calcu!AG149</f>
        <v>#VALUE!</v>
      </c>
    </row>
    <row r="74" spans="1:17" ht="15" customHeight="1">
      <c r="A74" s="44" t="str">
        <f>IF(Calcu!B150=TRUE,"","삭제")</f>
        <v>삭제</v>
      </c>
      <c r="B74" s="43"/>
      <c r="C74" s="43"/>
      <c r="D74" s="43"/>
      <c r="E74" s="37" t="s">
        <v>656</v>
      </c>
      <c r="F74" s="324" t="str">
        <f>Calcu!S150</f>
        <v/>
      </c>
      <c r="G74" s="324" t="str">
        <f>Calcu!F150</f>
        <v/>
      </c>
      <c r="H74" s="324" t="str">
        <f>Calcu!AE150</f>
        <v/>
      </c>
      <c r="J74" s="37" t="str">
        <f ca="1">Calcu!AD150</f>
        <v/>
      </c>
      <c r="K74" s="37" t="str">
        <f ca="1">Calcu!AC150</f>
        <v/>
      </c>
      <c r="L74" s="37" t="str">
        <f>LEFT(Calcu!AF150,1)</f>
        <v/>
      </c>
      <c r="M74" s="37" t="s">
        <v>297</v>
      </c>
      <c r="N74" s="37" t="s">
        <v>297</v>
      </c>
      <c r="O74" s="37" t="s">
        <v>297</v>
      </c>
      <c r="Q74" s="37" t="e">
        <f ca="1">Calcu!AG150</f>
        <v>#VALUE!</v>
      </c>
    </row>
    <row r="75" spans="1:17" ht="15" customHeight="1">
      <c r="A75" s="44" t="str">
        <f>IF(Calcu!B151=TRUE,"","삭제")</f>
        <v>삭제</v>
      </c>
      <c r="B75" s="43"/>
      <c r="C75" s="43"/>
      <c r="D75" s="43"/>
      <c r="E75" s="37" t="s">
        <v>656</v>
      </c>
      <c r="F75" s="324" t="str">
        <f>Calcu!S151</f>
        <v/>
      </c>
      <c r="G75" s="324" t="str">
        <f>Calcu!F151</f>
        <v/>
      </c>
      <c r="H75" s="324" t="str">
        <f>Calcu!AE151</f>
        <v/>
      </c>
      <c r="J75" s="37" t="str">
        <f ca="1">Calcu!AD151</f>
        <v/>
      </c>
      <c r="K75" s="37" t="str">
        <f ca="1">Calcu!AC151</f>
        <v/>
      </c>
      <c r="L75" s="37" t="str">
        <f>LEFT(Calcu!AF151,1)</f>
        <v/>
      </c>
      <c r="M75" s="37" t="s">
        <v>297</v>
      </c>
      <c r="N75" s="37" t="s">
        <v>297</v>
      </c>
      <c r="O75" s="37" t="s">
        <v>297</v>
      </c>
      <c r="Q75" s="37" t="e">
        <f ca="1">Calcu!AG151</f>
        <v>#VALUE!</v>
      </c>
    </row>
    <row r="76" spans="1:17" ht="15" customHeight="1">
      <c r="A76" s="44" t="str">
        <f>IF(Calcu!B152=TRUE,"","삭제")</f>
        <v>삭제</v>
      </c>
      <c r="B76" s="43"/>
      <c r="C76" s="43"/>
      <c r="D76" s="43"/>
      <c r="E76" s="37" t="s">
        <v>656</v>
      </c>
      <c r="F76" s="324" t="str">
        <f>Calcu!S152</f>
        <v/>
      </c>
      <c r="G76" s="324" t="str">
        <f>Calcu!F152</f>
        <v/>
      </c>
      <c r="H76" s="324" t="str">
        <f>Calcu!AE152</f>
        <v/>
      </c>
      <c r="J76" s="37" t="str">
        <f ca="1">Calcu!AD152</f>
        <v/>
      </c>
      <c r="K76" s="37" t="str">
        <f ca="1">Calcu!AC152</f>
        <v/>
      </c>
      <c r="L76" s="37" t="str">
        <f>LEFT(Calcu!AF152,1)</f>
        <v/>
      </c>
      <c r="M76" s="37" t="s">
        <v>297</v>
      </c>
      <c r="N76" s="37" t="s">
        <v>297</v>
      </c>
      <c r="O76" s="37" t="s">
        <v>297</v>
      </c>
      <c r="Q76" s="37" t="e">
        <f ca="1">Calcu!AG152</f>
        <v>#VALUE!</v>
      </c>
    </row>
    <row r="77" spans="1:17" ht="15" customHeight="1">
      <c r="A77" s="44" t="str">
        <f>IF(Calcu!B153=TRUE,"","삭제")</f>
        <v>삭제</v>
      </c>
      <c r="B77" s="43"/>
      <c r="C77" s="43"/>
      <c r="D77" s="43"/>
      <c r="E77" s="37" t="s">
        <v>656</v>
      </c>
      <c r="F77" s="324" t="str">
        <f>Calcu!S153</f>
        <v/>
      </c>
      <c r="G77" s="324" t="str">
        <f>Calcu!F153</f>
        <v/>
      </c>
      <c r="H77" s="324" t="str">
        <f>Calcu!AE153</f>
        <v/>
      </c>
      <c r="J77" s="37" t="str">
        <f ca="1">Calcu!AD153</f>
        <v/>
      </c>
      <c r="K77" s="37" t="str">
        <f ca="1">Calcu!AC153</f>
        <v/>
      </c>
      <c r="L77" s="37" t="str">
        <f>LEFT(Calcu!AF153,1)</f>
        <v/>
      </c>
      <c r="M77" s="37" t="s">
        <v>297</v>
      </c>
      <c r="N77" s="37" t="s">
        <v>297</v>
      </c>
      <c r="O77" s="37" t="s">
        <v>297</v>
      </c>
      <c r="Q77" s="37" t="e">
        <f ca="1">Calcu!AG153</f>
        <v>#VALUE!</v>
      </c>
    </row>
    <row r="78" spans="1:17" ht="15" customHeight="1">
      <c r="A78" s="256" t="str">
        <f>A58</f>
        <v>삭제</v>
      </c>
      <c r="G78" s="53" t="e">
        <f ca="1">IF(Calcu!E176="사다리꼴","※ 신뢰수준 95 %,","※ 신뢰수준 약 95 %,")</f>
        <v>#N/A</v>
      </c>
      <c r="H78" s="199" t="e">
        <f ca="1">Calcu!E177&amp;IF(Calcu!E176="사다리꼴",", 사다리꼴 확률분포","")</f>
        <v>#N/A</v>
      </c>
      <c r="K78" s="50"/>
      <c r="Q78" s="53"/>
    </row>
    <row r="79" spans="1:17" ht="15" customHeight="1">
      <c r="A79" s="256" t="str">
        <f>A80</f>
        <v>삭제</v>
      </c>
      <c r="G79" s="53"/>
      <c r="H79" s="199"/>
      <c r="K79" s="50"/>
      <c r="Q79" s="53"/>
    </row>
    <row r="80" spans="1:17" ht="15" customHeight="1">
      <c r="A80" s="44" t="str">
        <f>IF(Calcu!B191=TRUE,"","삭제")</f>
        <v>삭제</v>
      </c>
      <c r="B80" s="43"/>
      <c r="C80" s="43"/>
      <c r="D80" s="43"/>
      <c r="E80" s="37" t="s">
        <v>776</v>
      </c>
      <c r="F80" s="334" t="str">
        <f>Calcu!AD191</f>
        <v/>
      </c>
      <c r="G80" s="334" t="str">
        <f>Calcu!AD$190</f>
        <v>˚</v>
      </c>
      <c r="H80" s="334" t="e">
        <f ca="1">Calcu!AH191</f>
        <v>#N/A</v>
      </c>
      <c r="J80" s="37" t="e">
        <f ca="1">Calcu!AG191</f>
        <v>#N/A</v>
      </c>
      <c r="K80" s="37" t="e">
        <f ca="1">Calcu!AE191</f>
        <v>#N/A</v>
      </c>
      <c r="L80" s="37" t="str">
        <f>LEFT(Calcu!AI191,1)</f>
        <v/>
      </c>
      <c r="M80" s="37" t="s">
        <v>297</v>
      </c>
      <c r="N80" s="37" t="s">
        <v>297</v>
      </c>
      <c r="O80" s="37" t="s">
        <v>297</v>
      </c>
      <c r="Q80" s="37" t="e">
        <f ca="1">Calcu!AJ191</f>
        <v>#N/A</v>
      </c>
    </row>
    <row r="81" spans="1:17" ht="15" customHeight="1">
      <c r="A81" s="44" t="str">
        <f>IF(Calcu!B192=TRUE,"","삭제")</f>
        <v>삭제</v>
      </c>
      <c r="B81" s="43"/>
      <c r="C81" s="43"/>
      <c r="D81" s="43"/>
      <c r="E81" s="37" t="s">
        <v>776</v>
      </c>
      <c r="F81" s="334" t="str">
        <f>Calcu!AD192</f>
        <v/>
      </c>
      <c r="G81" s="334" t="str">
        <f>Calcu!AD$190</f>
        <v>˚</v>
      </c>
      <c r="H81" s="334" t="e">
        <f ca="1">Calcu!AH192</f>
        <v>#N/A</v>
      </c>
      <c r="J81" s="37" t="e">
        <f ca="1">Calcu!AG192</f>
        <v>#N/A</v>
      </c>
      <c r="K81" s="37" t="e">
        <f ca="1">Calcu!AE192</f>
        <v>#N/A</v>
      </c>
      <c r="L81" s="37" t="str">
        <f>LEFT(Calcu!AI192,1)</f>
        <v/>
      </c>
      <c r="M81" s="37" t="s">
        <v>297</v>
      </c>
      <c r="N81" s="37" t="s">
        <v>297</v>
      </c>
      <c r="O81" s="37" t="s">
        <v>297</v>
      </c>
      <c r="Q81" s="37" t="e">
        <f ca="1">Calcu!AJ192</f>
        <v>#N/A</v>
      </c>
    </row>
    <row r="82" spans="1:17" ht="15" customHeight="1">
      <c r="A82" s="44" t="str">
        <f>IF(Calcu!B193=TRUE,"","삭제")</f>
        <v>삭제</v>
      </c>
      <c r="B82" s="43"/>
      <c r="C82" s="43"/>
      <c r="D82" s="43"/>
      <c r="E82" s="37" t="s">
        <v>776</v>
      </c>
      <c r="F82" s="334" t="str">
        <f>Calcu!AD193</f>
        <v/>
      </c>
      <c r="G82" s="334" t="str">
        <f>Calcu!AD$190</f>
        <v>˚</v>
      </c>
      <c r="H82" s="334" t="e">
        <f ca="1">Calcu!AH193</f>
        <v>#N/A</v>
      </c>
      <c r="J82" s="37" t="e">
        <f ca="1">Calcu!AG193</f>
        <v>#N/A</v>
      </c>
      <c r="K82" s="37" t="e">
        <f ca="1">Calcu!AE193</f>
        <v>#N/A</v>
      </c>
      <c r="L82" s="37" t="str">
        <f>LEFT(Calcu!AI193,1)</f>
        <v/>
      </c>
      <c r="M82" s="37" t="s">
        <v>297</v>
      </c>
      <c r="N82" s="37" t="s">
        <v>297</v>
      </c>
      <c r="O82" s="37" t="s">
        <v>297</v>
      </c>
      <c r="Q82" s="37" t="e">
        <f ca="1">Calcu!AJ193</f>
        <v>#N/A</v>
      </c>
    </row>
    <row r="83" spans="1:17" ht="15" customHeight="1">
      <c r="A83" s="44" t="str">
        <f>IF(Calcu!B194=TRUE,"","삭제")</f>
        <v>삭제</v>
      </c>
      <c r="B83" s="43"/>
      <c r="C83" s="43"/>
      <c r="D83" s="43"/>
      <c r="E83" s="37" t="s">
        <v>776</v>
      </c>
      <c r="F83" s="334" t="str">
        <f>Calcu!AD194</f>
        <v/>
      </c>
      <c r="G83" s="334" t="str">
        <f>Calcu!AD$190</f>
        <v>˚</v>
      </c>
      <c r="H83" s="334" t="e">
        <f ca="1">Calcu!AH194</f>
        <v>#N/A</v>
      </c>
      <c r="J83" s="37" t="e">
        <f ca="1">Calcu!AG194</f>
        <v>#N/A</v>
      </c>
      <c r="K83" s="37" t="e">
        <f ca="1">Calcu!AE194</f>
        <v>#N/A</v>
      </c>
      <c r="L83" s="37" t="str">
        <f>LEFT(Calcu!AI194,1)</f>
        <v/>
      </c>
      <c r="M83" s="37" t="s">
        <v>297</v>
      </c>
      <c r="N83" s="37" t="s">
        <v>297</v>
      </c>
      <c r="O83" s="37" t="s">
        <v>297</v>
      </c>
      <c r="Q83" s="37" t="e">
        <f ca="1">Calcu!AJ194</f>
        <v>#N/A</v>
      </c>
    </row>
    <row r="84" spans="1:17" ht="15" customHeight="1">
      <c r="A84" s="44" t="str">
        <f>IF(Calcu!B195=TRUE,"","삭제")</f>
        <v>삭제</v>
      </c>
      <c r="B84" s="43"/>
      <c r="C84" s="43"/>
      <c r="D84" s="43"/>
      <c r="E84" s="37" t="s">
        <v>776</v>
      </c>
      <c r="F84" s="334" t="str">
        <f>Calcu!AD195</f>
        <v/>
      </c>
      <c r="G84" s="334" t="str">
        <f>Calcu!AD$190</f>
        <v>˚</v>
      </c>
      <c r="H84" s="334" t="e">
        <f ca="1">Calcu!AH195</f>
        <v>#N/A</v>
      </c>
      <c r="J84" s="37" t="e">
        <f ca="1">Calcu!AG195</f>
        <v>#N/A</v>
      </c>
      <c r="K84" s="37" t="e">
        <f ca="1">Calcu!AE195</f>
        <v>#N/A</v>
      </c>
      <c r="L84" s="37" t="str">
        <f>LEFT(Calcu!AI195,1)</f>
        <v/>
      </c>
      <c r="M84" s="37" t="s">
        <v>297</v>
      </c>
      <c r="N84" s="37" t="s">
        <v>297</v>
      </c>
      <c r="O84" s="37" t="s">
        <v>297</v>
      </c>
      <c r="Q84" s="37" t="e">
        <f ca="1">Calcu!AJ195</f>
        <v>#N/A</v>
      </c>
    </row>
    <row r="85" spans="1:17" ht="15" customHeight="1">
      <c r="A85" s="44" t="str">
        <f>IF(Calcu!B196=TRUE,"","삭제")</f>
        <v>삭제</v>
      </c>
      <c r="B85" s="43"/>
      <c r="C85" s="43"/>
      <c r="D85" s="43"/>
      <c r="E85" s="37" t="s">
        <v>776</v>
      </c>
      <c r="F85" s="334" t="str">
        <f>Calcu!AD196</f>
        <v/>
      </c>
      <c r="G85" s="334" t="str">
        <f>Calcu!AD$190</f>
        <v>˚</v>
      </c>
      <c r="H85" s="334" t="e">
        <f ca="1">Calcu!AH196</f>
        <v>#N/A</v>
      </c>
      <c r="J85" s="37" t="e">
        <f ca="1">Calcu!AG196</f>
        <v>#N/A</v>
      </c>
      <c r="K85" s="37" t="e">
        <f ca="1">Calcu!AE196</f>
        <v>#N/A</v>
      </c>
      <c r="L85" s="37" t="str">
        <f>LEFT(Calcu!AI196,1)</f>
        <v/>
      </c>
      <c r="M85" s="37" t="s">
        <v>297</v>
      </c>
      <c r="N85" s="37" t="s">
        <v>297</v>
      </c>
      <c r="O85" s="37" t="s">
        <v>297</v>
      </c>
      <c r="Q85" s="37" t="e">
        <f ca="1">Calcu!AJ196</f>
        <v>#N/A</v>
      </c>
    </row>
    <row r="86" spans="1:17" ht="15" customHeight="1">
      <c r="A86" s="44" t="str">
        <f>IF(Calcu!B197=TRUE,"","삭제")</f>
        <v>삭제</v>
      </c>
      <c r="B86" s="43"/>
      <c r="C86" s="43"/>
      <c r="D86" s="43"/>
      <c r="E86" s="37" t="s">
        <v>776</v>
      </c>
      <c r="F86" s="334" t="str">
        <f>Calcu!AD197</f>
        <v/>
      </c>
      <c r="G86" s="334" t="str">
        <f>Calcu!AD$190</f>
        <v>˚</v>
      </c>
      <c r="H86" s="334" t="e">
        <f ca="1">Calcu!AH197</f>
        <v>#N/A</v>
      </c>
      <c r="J86" s="37" t="e">
        <f ca="1">Calcu!AG197</f>
        <v>#N/A</v>
      </c>
      <c r="K86" s="37" t="e">
        <f ca="1">Calcu!AE197</f>
        <v>#N/A</v>
      </c>
      <c r="L86" s="37" t="str">
        <f>LEFT(Calcu!AI197,1)</f>
        <v/>
      </c>
      <c r="M86" s="37" t="s">
        <v>297</v>
      </c>
      <c r="N86" s="37" t="s">
        <v>297</v>
      </c>
      <c r="O86" s="37" t="s">
        <v>297</v>
      </c>
      <c r="Q86" s="37" t="e">
        <f ca="1">Calcu!AJ197</f>
        <v>#N/A</v>
      </c>
    </row>
    <row r="87" spans="1:17" ht="15" customHeight="1">
      <c r="A87" s="44" t="str">
        <f>IF(Calcu!B198=TRUE,"","삭제")</f>
        <v>삭제</v>
      </c>
      <c r="B87" s="43"/>
      <c r="C87" s="43"/>
      <c r="D87" s="43"/>
      <c r="E87" s="37" t="s">
        <v>776</v>
      </c>
      <c r="F87" s="334" t="str">
        <f>Calcu!AD198</f>
        <v/>
      </c>
      <c r="G87" s="334" t="str">
        <f>Calcu!AD$190</f>
        <v>˚</v>
      </c>
      <c r="H87" s="334" t="e">
        <f ca="1">Calcu!AH198</f>
        <v>#N/A</v>
      </c>
      <c r="J87" s="37" t="e">
        <f ca="1">Calcu!AG198</f>
        <v>#N/A</v>
      </c>
      <c r="K87" s="37" t="e">
        <f ca="1">Calcu!AE198</f>
        <v>#N/A</v>
      </c>
      <c r="L87" s="37" t="str">
        <f>LEFT(Calcu!AI198,1)</f>
        <v/>
      </c>
      <c r="M87" s="37" t="s">
        <v>297</v>
      </c>
      <c r="N87" s="37" t="s">
        <v>297</v>
      </c>
      <c r="O87" s="37" t="s">
        <v>297</v>
      </c>
      <c r="Q87" s="37" t="e">
        <f ca="1">Calcu!AJ198</f>
        <v>#N/A</v>
      </c>
    </row>
    <row r="88" spans="1:17" ht="15" customHeight="1">
      <c r="A88" s="44" t="str">
        <f>IF(Calcu!B199=TRUE,"","삭제")</f>
        <v>삭제</v>
      </c>
      <c r="B88" s="43"/>
      <c r="C88" s="43"/>
      <c r="D88" s="43"/>
      <c r="E88" s="37" t="s">
        <v>776</v>
      </c>
      <c r="F88" s="334" t="str">
        <f>Calcu!AD199</f>
        <v/>
      </c>
      <c r="G88" s="334" t="str">
        <f>Calcu!AD$190</f>
        <v>˚</v>
      </c>
      <c r="H88" s="334" t="e">
        <f ca="1">Calcu!AH199</f>
        <v>#N/A</v>
      </c>
      <c r="J88" s="37" t="e">
        <f ca="1">Calcu!AG199</f>
        <v>#N/A</v>
      </c>
      <c r="K88" s="37" t="e">
        <f ca="1">Calcu!AE199</f>
        <v>#N/A</v>
      </c>
      <c r="L88" s="37" t="str">
        <f>LEFT(Calcu!AI199,1)</f>
        <v/>
      </c>
      <c r="M88" s="37" t="s">
        <v>297</v>
      </c>
      <c r="N88" s="37" t="s">
        <v>297</v>
      </c>
      <c r="O88" s="37" t="s">
        <v>297</v>
      </c>
      <c r="Q88" s="37" t="e">
        <f ca="1">Calcu!AJ199</f>
        <v>#N/A</v>
      </c>
    </row>
    <row r="89" spans="1:17" ht="15" customHeight="1">
      <c r="A89" s="44" t="str">
        <f>IF(Calcu!B200=TRUE,"","삭제")</f>
        <v>삭제</v>
      </c>
      <c r="B89" s="43"/>
      <c r="C89" s="43"/>
      <c r="D89" s="43"/>
      <c r="E89" s="37" t="s">
        <v>776</v>
      </c>
      <c r="F89" s="334" t="str">
        <f>Calcu!AD200</f>
        <v/>
      </c>
      <c r="G89" s="334" t="str">
        <f>Calcu!AD$190</f>
        <v>˚</v>
      </c>
      <c r="H89" s="334" t="e">
        <f ca="1">Calcu!AH200</f>
        <v>#N/A</v>
      </c>
      <c r="J89" s="37" t="e">
        <f ca="1">Calcu!AG200</f>
        <v>#N/A</v>
      </c>
      <c r="K89" s="37" t="e">
        <f ca="1">Calcu!AE200</f>
        <v>#N/A</v>
      </c>
      <c r="L89" s="37" t="str">
        <f>LEFT(Calcu!AI200,1)</f>
        <v/>
      </c>
      <c r="M89" s="37" t="s">
        <v>297</v>
      </c>
      <c r="N89" s="37" t="s">
        <v>297</v>
      </c>
      <c r="O89" s="37" t="s">
        <v>297</v>
      </c>
      <c r="Q89" s="37" t="e">
        <f ca="1">Calcu!AJ200</f>
        <v>#N/A</v>
      </c>
    </row>
    <row r="90" spans="1:17" ht="15" customHeight="1">
      <c r="A90" s="44" t="str">
        <f>IF(Calcu!B201=TRUE,"","삭제")</f>
        <v>삭제</v>
      </c>
      <c r="B90" s="43"/>
      <c r="C90" s="43"/>
      <c r="D90" s="43"/>
      <c r="E90" s="37" t="s">
        <v>776</v>
      </c>
      <c r="F90" s="334" t="str">
        <f>Calcu!AD201</f>
        <v/>
      </c>
      <c r="G90" s="334" t="str">
        <f>Calcu!AD$190</f>
        <v>˚</v>
      </c>
      <c r="H90" s="334" t="e">
        <f ca="1">Calcu!AH201</f>
        <v>#N/A</v>
      </c>
      <c r="J90" s="37" t="e">
        <f ca="1">Calcu!AG201</f>
        <v>#N/A</v>
      </c>
      <c r="K90" s="37" t="e">
        <f ca="1">Calcu!AE201</f>
        <v>#N/A</v>
      </c>
      <c r="L90" s="37" t="str">
        <f>LEFT(Calcu!AI201,1)</f>
        <v/>
      </c>
      <c r="M90" s="37" t="s">
        <v>297</v>
      </c>
      <c r="N90" s="37" t="s">
        <v>297</v>
      </c>
      <c r="O90" s="37" t="s">
        <v>297</v>
      </c>
      <c r="Q90" s="37" t="e">
        <f ca="1">Calcu!AJ201</f>
        <v>#N/A</v>
      </c>
    </row>
    <row r="91" spans="1:17" ht="15" customHeight="1">
      <c r="A91" s="44" t="str">
        <f>IF(Calcu!B202=TRUE,"","삭제")</f>
        <v>삭제</v>
      </c>
      <c r="B91" s="43"/>
      <c r="C91" s="43"/>
      <c r="D91" s="43"/>
      <c r="E91" s="37" t="s">
        <v>776</v>
      </c>
      <c r="F91" s="334" t="str">
        <f>Calcu!AD202</f>
        <v/>
      </c>
      <c r="G91" s="334" t="str">
        <f>Calcu!AD$190</f>
        <v>˚</v>
      </c>
      <c r="H91" s="334" t="e">
        <f ca="1">Calcu!AH202</f>
        <v>#N/A</v>
      </c>
      <c r="J91" s="37" t="e">
        <f ca="1">Calcu!AG202</f>
        <v>#N/A</v>
      </c>
      <c r="K91" s="37" t="e">
        <f ca="1">Calcu!AE202</f>
        <v>#N/A</v>
      </c>
      <c r="L91" s="37" t="str">
        <f>LEFT(Calcu!AI202,1)</f>
        <v/>
      </c>
      <c r="M91" s="37" t="s">
        <v>297</v>
      </c>
      <c r="N91" s="37" t="s">
        <v>297</v>
      </c>
      <c r="O91" s="37" t="s">
        <v>297</v>
      </c>
      <c r="Q91" s="37" t="e">
        <f ca="1">Calcu!AJ202</f>
        <v>#N/A</v>
      </c>
    </row>
    <row r="92" spans="1:17" ht="15" customHeight="1">
      <c r="A92" s="44" t="str">
        <f>IF(Calcu!B203=TRUE,"","삭제")</f>
        <v>삭제</v>
      </c>
      <c r="B92" s="43"/>
      <c r="C92" s="43"/>
      <c r="D92" s="43"/>
      <c r="E92" s="37" t="s">
        <v>776</v>
      </c>
      <c r="F92" s="334" t="str">
        <f>Calcu!AD203</f>
        <v/>
      </c>
      <c r="G92" s="334" t="str">
        <f>Calcu!AD$190</f>
        <v>˚</v>
      </c>
      <c r="H92" s="334" t="e">
        <f ca="1">Calcu!AH203</f>
        <v>#N/A</v>
      </c>
      <c r="J92" s="37" t="e">
        <f ca="1">Calcu!AG203</f>
        <v>#N/A</v>
      </c>
      <c r="K92" s="37" t="e">
        <f ca="1">Calcu!AE203</f>
        <v>#N/A</v>
      </c>
      <c r="L92" s="37" t="str">
        <f>LEFT(Calcu!AI203,1)</f>
        <v/>
      </c>
      <c r="M92" s="37" t="s">
        <v>297</v>
      </c>
      <c r="N92" s="37" t="s">
        <v>297</v>
      </c>
      <c r="O92" s="37" t="s">
        <v>297</v>
      </c>
      <c r="Q92" s="37" t="e">
        <f ca="1">Calcu!AJ203</f>
        <v>#N/A</v>
      </c>
    </row>
    <row r="93" spans="1:17" ht="15" customHeight="1">
      <c r="A93" s="44" t="str">
        <f>IF(Calcu!B204=TRUE,"","삭제")</f>
        <v>삭제</v>
      </c>
      <c r="B93" s="43"/>
      <c r="C93" s="43"/>
      <c r="D93" s="43"/>
      <c r="E93" s="37" t="s">
        <v>776</v>
      </c>
      <c r="F93" s="334" t="str">
        <f>Calcu!AD204</f>
        <v/>
      </c>
      <c r="G93" s="334" t="str">
        <f>Calcu!AD$190</f>
        <v>˚</v>
      </c>
      <c r="H93" s="334" t="e">
        <f ca="1">Calcu!AH204</f>
        <v>#N/A</v>
      </c>
      <c r="J93" s="37" t="e">
        <f ca="1">Calcu!AG204</f>
        <v>#N/A</v>
      </c>
      <c r="K93" s="37" t="e">
        <f ca="1">Calcu!AE204</f>
        <v>#N/A</v>
      </c>
      <c r="L93" s="37" t="str">
        <f>LEFT(Calcu!AI204,1)</f>
        <v/>
      </c>
      <c r="M93" s="37" t="s">
        <v>297</v>
      </c>
      <c r="N93" s="37" t="s">
        <v>297</v>
      </c>
      <c r="O93" s="37" t="s">
        <v>297</v>
      </c>
      <c r="Q93" s="37" t="e">
        <f ca="1">Calcu!AJ204</f>
        <v>#N/A</v>
      </c>
    </row>
    <row r="94" spans="1:17" ht="15" customHeight="1">
      <c r="A94" s="44" t="str">
        <f>IF(Calcu!B205=TRUE,"","삭제")</f>
        <v>삭제</v>
      </c>
      <c r="B94" s="43"/>
      <c r="C94" s="43"/>
      <c r="D94" s="43"/>
      <c r="E94" s="37" t="s">
        <v>776</v>
      </c>
      <c r="F94" s="334" t="str">
        <f>Calcu!AD205</f>
        <v/>
      </c>
      <c r="G94" s="334" t="str">
        <f>Calcu!AD$190</f>
        <v>˚</v>
      </c>
      <c r="H94" s="334" t="e">
        <f ca="1">Calcu!AH205</f>
        <v>#N/A</v>
      </c>
      <c r="J94" s="37" t="e">
        <f ca="1">Calcu!AG205</f>
        <v>#N/A</v>
      </c>
      <c r="K94" s="37" t="e">
        <f ca="1">Calcu!AE205</f>
        <v>#N/A</v>
      </c>
      <c r="L94" s="37" t="str">
        <f>LEFT(Calcu!AI205,1)</f>
        <v/>
      </c>
      <c r="M94" s="37" t="s">
        <v>297</v>
      </c>
      <c r="N94" s="37" t="s">
        <v>297</v>
      </c>
      <c r="O94" s="37" t="s">
        <v>297</v>
      </c>
      <c r="Q94" s="37" t="e">
        <f ca="1">Calcu!AJ205</f>
        <v>#N/A</v>
      </c>
    </row>
    <row r="95" spans="1:17" ht="15" customHeight="1">
      <c r="A95" s="44" t="str">
        <f>IF(Calcu!B206=TRUE,"","삭제")</f>
        <v>삭제</v>
      </c>
      <c r="B95" s="43"/>
      <c r="C95" s="43"/>
      <c r="D95" s="43"/>
      <c r="E95" s="37" t="s">
        <v>776</v>
      </c>
      <c r="F95" s="334" t="str">
        <f>Calcu!AD206</f>
        <v/>
      </c>
      <c r="G95" s="334" t="str">
        <f>Calcu!AD$190</f>
        <v>˚</v>
      </c>
      <c r="H95" s="334" t="e">
        <f ca="1">Calcu!AH206</f>
        <v>#N/A</v>
      </c>
      <c r="J95" s="37" t="e">
        <f ca="1">Calcu!AG206</f>
        <v>#N/A</v>
      </c>
      <c r="K95" s="37" t="e">
        <f ca="1">Calcu!AE206</f>
        <v>#N/A</v>
      </c>
      <c r="L95" s="37" t="str">
        <f>LEFT(Calcu!AI206,1)</f>
        <v/>
      </c>
      <c r="M95" s="37" t="s">
        <v>297</v>
      </c>
      <c r="N95" s="37" t="s">
        <v>297</v>
      </c>
      <c r="O95" s="37" t="s">
        <v>297</v>
      </c>
      <c r="Q95" s="37" t="e">
        <f ca="1">Calcu!AJ206</f>
        <v>#N/A</v>
      </c>
    </row>
    <row r="96" spans="1:17" ht="15" customHeight="1">
      <c r="A96" s="44" t="str">
        <f>IF(Calcu!B207=TRUE,"","삭제")</f>
        <v>삭제</v>
      </c>
      <c r="B96" s="43"/>
      <c r="C96" s="43"/>
      <c r="D96" s="43"/>
      <c r="E96" s="37" t="s">
        <v>776</v>
      </c>
      <c r="F96" s="334" t="str">
        <f>Calcu!AD207</f>
        <v/>
      </c>
      <c r="G96" s="334" t="str">
        <f>Calcu!AD$190</f>
        <v>˚</v>
      </c>
      <c r="H96" s="334" t="e">
        <f ca="1">Calcu!AH207</f>
        <v>#N/A</v>
      </c>
      <c r="J96" s="37" t="e">
        <f ca="1">Calcu!AG207</f>
        <v>#N/A</v>
      </c>
      <c r="K96" s="37" t="e">
        <f ca="1">Calcu!AE207</f>
        <v>#N/A</v>
      </c>
      <c r="L96" s="37" t="str">
        <f>LEFT(Calcu!AI207,1)</f>
        <v/>
      </c>
      <c r="M96" s="37" t="s">
        <v>297</v>
      </c>
      <c r="N96" s="37" t="s">
        <v>297</v>
      </c>
      <c r="O96" s="37" t="s">
        <v>297</v>
      </c>
      <c r="Q96" s="37" t="e">
        <f ca="1">Calcu!AJ207</f>
        <v>#N/A</v>
      </c>
    </row>
    <row r="97" spans="1:17" ht="15" customHeight="1">
      <c r="A97" s="44" t="str">
        <f>IF(Calcu!B208=TRUE,"","삭제")</f>
        <v>삭제</v>
      </c>
      <c r="B97" s="43"/>
      <c r="C97" s="43"/>
      <c r="D97" s="43"/>
      <c r="E97" s="37" t="s">
        <v>776</v>
      </c>
      <c r="F97" s="334" t="str">
        <f>Calcu!AD208</f>
        <v/>
      </c>
      <c r="G97" s="334" t="str">
        <f>Calcu!AD$190</f>
        <v>˚</v>
      </c>
      <c r="H97" s="334" t="e">
        <f ca="1">Calcu!AH208</f>
        <v>#N/A</v>
      </c>
      <c r="J97" s="37" t="e">
        <f ca="1">Calcu!AG208</f>
        <v>#N/A</v>
      </c>
      <c r="K97" s="37" t="e">
        <f ca="1">Calcu!AE208</f>
        <v>#N/A</v>
      </c>
      <c r="L97" s="37" t="str">
        <f>LEFT(Calcu!AI208,1)</f>
        <v/>
      </c>
      <c r="M97" s="37" t="s">
        <v>297</v>
      </c>
      <c r="N97" s="37" t="s">
        <v>297</v>
      </c>
      <c r="O97" s="37" t="s">
        <v>297</v>
      </c>
      <c r="Q97" s="37" t="e">
        <f ca="1">Calcu!AJ208</f>
        <v>#N/A</v>
      </c>
    </row>
    <row r="98" spans="1:17" ht="15" customHeight="1">
      <c r="A98" s="44" t="str">
        <f>IF(Calcu!B209=TRUE,"","삭제")</f>
        <v>삭제</v>
      </c>
      <c r="B98" s="43"/>
      <c r="C98" s="43"/>
      <c r="D98" s="43"/>
      <c r="E98" s="37" t="s">
        <v>776</v>
      </c>
      <c r="F98" s="334" t="str">
        <f>Calcu!AD209</f>
        <v/>
      </c>
      <c r="G98" s="334" t="str">
        <f>Calcu!AD$190</f>
        <v>˚</v>
      </c>
      <c r="H98" s="334" t="e">
        <f ca="1">Calcu!AH209</f>
        <v>#N/A</v>
      </c>
      <c r="J98" s="37" t="e">
        <f ca="1">Calcu!AG209</f>
        <v>#N/A</v>
      </c>
      <c r="K98" s="37" t="e">
        <f ca="1">Calcu!AE209</f>
        <v>#N/A</v>
      </c>
      <c r="L98" s="37" t="str">
        <f>LEFT(Calcu!AI209,1)</f>
        <v/>
      </c>
      <c r="M98" s="37" t="s">
        <v>297</v>
      </c>
      <c r="N98" s="37" t="s">
        <v>297</v>
      </c>
      <c r="O98" s="37" t="s">
        <v>297</v>
      </c>
      <c r="Q98" s="37" t="e">
        <f ca="1">Calcu!AJ209</f>
        <v>#N/A</v>
      </c>
    </row>
    <row r="99" spans="1:17" ht="15" customHeight="1">
      <c r="A99" s="44" t="str">
        <f>IF(Calcu!B210=TRUE,"","삭제")</f>
        <v>삭제</v>
      </c>
      <c r="B99" s="43"/>
      <c r="C99" s="43"/>
      <c r="D99" s="43"/>
      <c r="E99" s="37" t="s">
        <v>776</v>
      </c>
      <c r="F99" s="334" t="str">
        <f>Calcu!AD210</f>
        <v/>
      </c>
      <c r="G99" s="334" t="str">
        <f>Calcu!AD$190</f>
        <v>˚</v>
      </c>
      <c r="H99" s="334" t="e">
        <f ca="1">Calcu!AH210</f>
        <v>#N/A</v>
      </c>
      <c r="J99" s="37" t="e">
        <f ca="1">Calcu!AG210</f>
        <v>#N/A</v>
      </c>
      <c r="K99" s="37" t="e">
        <f ca="1">Calcu!AE210</f>
        <v>#N/A</v>
      </c>
      <c r="L99" s="37" t="str">
        <f>LEFT(Calcu!AI210,1)</f>
        <v/>
      </c>
      <c r="M99" s="37" t="s">
        <v>297</v>
      </c>
      <c r="N99" s="37" t="s">
        <v>297</v>
      </c>
      <c r="O99" s="37" t="s">
        <v>297</v>
      </c>
      <c r="Q99" s="37" t="e">
        <f ca="1">Calcu!AJ210</f>
        <v>#N/A</v>
      </c>
    </row>
    <row r="100" spans="1:17" ht="15" customHeight="1">
      <c r="A100" s="256" t="str">
        <f>A80</f>
        <v>삭제</v>
      </c>
      <c r="G100" s="53" t="e">
        <f ca="1">IF(Calcu!E234="사다리꼴","※ 신뢰수준 95 %,","※ 신뢰수준 약 95 %,")</f>
        <v>#N/A</v>
      </c>
      <c r="H100" s="199" t="e">
        <f ca="1">Calcu!E235&amp;IF(Calcu!E234="사다리꼴",", 사다리꼴 확률분포","")</f>
        <v>#N/A</v>
      </c>
      <c r="K100" s="50"/>
      <c r="Q100" s="53"/>
    </row>
    <row r="101" spans="1:17" ht="15" customHeight="1">
      <c r="A101" s="256" t="str">
        <f>A102</f>
        <v>삭제</v>
      </c>
      <c r="G101" s="53"/>
      <c r="H101" s="199"/>
      <c r="K101" s="50"/>
      <c r="Q101" s="53"/>
    </row>
    <row r="102" spans="1:17" ht="15" customHeight="1">
      <c r="A102" s="44" t="str">
        <f>IF(Calcu!B249=TRUE,"","삭제")</f>
        <v>삭제</v>
      </c>
      <c r="B102" s="43"/>
      <c r="C102" s="43"/>
      <c r="D102" s="43"/>
      <c r="E102" s="37" t="s">
        <v>776</v>
      </c>
      <c r="F102" s="334" t="str">
        <f>Calcu!W249</f>
        <v/>
      </c>
      <c r="G102" s="334">
        <f>Calcu!W$248</f>
        <v>0</v>
      </c>
      <c r="H102" s="334" t="str">
        <f>Calcu!AA249</f>
        <v/>
      </c>
      <c r="J102" s="37" t="e">
        <f ca="1">Calcu!Z249</f>
        <v>#DIV/0!</v>
      </c>
      <c r="K102" s="37" t="e">
        <f ca="1">Calcu!X249</f>
        <v>#DIV/0!</v>
      </c>
      <c r="L102" s="37" t="str">
        <f>LEFT(Calcu!AB249,1)</f>
        <v/>
      </c>
      <c r="M102" s="37" t="s">
        <v>297</v>
      </c>
      <c r="N102" s="37" t="s">
        <v>297</v>
      </c>
      <c r="O102" s="37" t="s">
        <v>297</v>
      </c>
      <c r="Q102" s="37" t="e">
        <f ca="1">Calcu!AC249</f>
        <v>#DIV/0!</v>
      </c>
    </row>
    <row r="103" spans="1:17" ht="15" customHeight="1">
      <c r="A103" s="44" t="str">
        <f>IF(Calcu!B250=TRUE,"","삭제")</f>
        <v>삭제</v>
      </c>
      <c r="B103" s="43"/>
      <c r="C103" s="43"/>
      <c r="D103" s="43"/>
      <c r="E103" s="37" t="s">
        <v>776</v>
      </c>
      <c r="F103" s="334" t="str">
        <f>Calcu!W250</f>
        <v/>
      </c>
      <c r="G103" s="334">
        <f>Calcu!W$248</f>
        <v>0</v>
      </c>
      <c r="H103" s="334" t="str">
        <f>Calcu!AA250</f>
        <v/>
      </c>
      <c r="J103" s="37" t="e">
        <f ca="1">Calcu!Z250</f>
        <v>#DIV/0!</v>
      </c>
      <c r="K103" s="37" t="e">
        <f ca="1">Calcu!X250</f>
        <v>#DIV/0!</v>
      </c>
      <c r="L103" s="37" t="str">
        <f>LEFT(Calcu!AB250,1)</f>
        <v/>
      </c>
      <c r="M103" s="37" t="s">
        <v>297</v>
      </c>
      <c r="N103" s="37" t="s">
        <v>297</v>
      </c>
      <c r="O103" s="37" t="s">
        <v>297</v>
      </c>
      <c r="Q103" s="37" t="e">
        <f ca="1">Calcu!AC250</f>
        <v>#DIV/0!</v>
      </c>
    </row>
    <row r="104" spans="1:17" ht="15" customHeight="1">
      <c r="A104" s="44" t="str">
        <f>IF(Calcu!B251=TRUE,"","삭제")</f>
        <v>삭제</v>
      </c>
      <c r="B104" s="43"/>
      <c r="C104" s="43"/>
      <c r="D104" s="43"/>
      <c r="E104" s="37" t="s">
        <v>776</v>
      </c>
      <c r="F104" s="334" t="str">
        <f>Calcu!W251</f>
        <v/>
      </c>
      <c r="G104" s="334">
        <f>Calcu!W$248</f>
        <v>0</v>
      </c>
      <c r="H104" s="334" t="str">
        <f>Calcu!AA251</f>
        <v/>
      </c>
      <c r="J104" s="37" t="e">
        <f ca="1">Calcu!Z251</f>
        <v>#DIV/0!</v>
      </c>
      <c r="K104" s="37" t="e">
        <f ca="1">Calcu!X251</f>
        <v>#DIV/0!</v>
      </c>
      <c r="L104" s="37" t="str">
        <f>LEFT(Calcu!AB251,1)</f>
        <v/>
      </c>
      <c r="M104" s="37" t="s">
        <v>297</v>
      </c>
      <c r="N104" s="37" t="s">
        <v>297</v>
      </c>
      <c r="O104" s="37" t="s">
        <v>297</v>
      </c>
      <c r="Q104" s="37" t="e">
        <f ca="1">Calcu!AC251</f>
        <v>#DIV/0!</v>
      </c>
    </row>
    <row r="105" spans="1:17" ht="15" customHeight="1">
      <c r="A105" s="44" t="str">
        <f>IF(Calcu!B252=TRUE,"","삭제")</f>
        <v>삭제</v>
      </c>
      <c r="B105" s="43"/>
      <c r="C105" s="43"/>
      <c r="D105" s="43"/>
      <c r="E105" s="37" t="s">
        <v>776</v>
      </c>
      <c r="F105" s="334" t="str">
        <f>Calcu!W252</f>
        <v/>
      </c>
      <c r="G105" s="334">
        <f>Calcu!W$248</f>
        <v>0</v>
      </c>
      <c r="H105" s="334" t="str">
        <f>Calcu!AA252</f>
        <v/>
      </c>
      <c r="J105" s="37" t="e">
        <f ca="1">Calcu!Z252</f>
        <v>#DIV/0!</v>
      </c>
      <c r="K105" s="37" t="e">
        <f ca="1">Calcu!X252</f>
        <v>#DIV/0!</v>
      </c>
      <c r="L105" s="37" t="str">
        <f>LEFT(Calcu!AB252,1)</f>
        <v/>
      </c>
      <c r="M105" s="37" t="s">
        <v>297</v>
      </c>
      <c r="N105" s="37" t="s">
        <v>297</v>
      </c>
      <c r="O105" s="37" t="s">
        <v>297</v>
      </c>
      <c r="Q105" s="37" t="e">
        <f ca="1">Calcu!AC252</f>
        <v>#DIV/0!</v>
      </c>
    </row>
    <row r="106" spans="1:17" ht="15" customHeight="1">
      <c r="A106" s="44" t="str">
        <f>IF(Calcu!B253=TRUE,"","삭제")</f>
        <v>삭제</v>
      </c>
      <c r="B106" s="43"/>
      <c r="C106" s="43"/>
      <c r="D106" s="43"/>
      <c r="E106" s="37" t="s">
        <v>776</v>
      </c>
      <c r="F106" s="334" t="str">
        <f>Calcu!W253</f>
        <v/>
      </c>
      <c r="G106" s="334">
        <f>Calcu!W$248</f>
        <v>0</v>
      </c>
      <c r="H106" s="334" t="str">
        <f>Calcu!AA253</f>
        <v/>
      </c>
      <c r="J106" s="37" t="e">
        <f ca="1">Calcu!Z253</f>
        <v>#DIV/0!</v>
      </c>
      <c r="K106" s="37" t="e">
        <f ca="1">Calcu!X253</f>
        <v>#DIV/0!</v>
      </c>
      <c r="L106" s="37" t="str">
        <f>LEFT(Calcu!AB253,1)</f>
        <v/>
      </c>
      <c r="M106" s="37" t="s">
        <v>297</v>
      </c>
      <c r="N106" s="37" t="s">
        <v>297</v>
      </c>
      <c r="O106" s="37" t="s">
        <v>297</v>
      </c>
      <c r="Q106" s="37" t="e">
        <f ca="1">Calcu!AC253</f>
        <v>#DIV/0!</v>
      </c>
    </row>
    <row r="107" spans="1:17" ht="15" customHeight="1">
      <c r="A107" s="44" t="str">
        <f>IF(Calcu!B254=TRUE,"","삭제")</f>
        <v>삭제</v>
      </c>
      <c r="B107" s="43"/>
      <c r="C107" s="43"/>
      <c r="D107" s="43"/>
      <c r="E107" s="37" t="s">
        <v>776</v>
      </c>
      <c r="F107" s="334" t="str">
        <f>Calcu!W254</f>
        <v/>
      </c>
      <c r="G107" s="334">
        <f>Calcu!W$248</f>
        <v>0</v>
      </c>
      <c r="H107" s="334" t="str">
        <f>Calcu!AA254</f>
        <v/>
      </c>
      <c r="J107" s="37" t="e">
        <f ca="1">Calcu!Z254</f>
        <v>#DIV/0!</v>
      </c>
      <c r="K107" s="37" t="e">
        <f ca="1">Calcu!X254</f>
        <v>#DIV/0!</v>
      </c>
      <c r="L107" s="37" t="str">
        <f>LEFT(Calcu!AB254,1)</f>
        <v/>
      </c>
      <c r="M107" s="37" t="s">
        <v>297</v>
      </c>
      <c r="N107" s="37" t="s">
        <v>297</v>
      </c>
      <c r="O107" s="37" t="s">
        <v>297</v>
      </c>
      <c r="Q107" s="37" t="e">
        <f ca="1">Calcu!AC254</f>
        <v>#DIV/0!</v>
      </c>
    </row>
    <row r="108" spans="1:17" ht="15" customHeight="1">
      <c r="A108" s="44" t="str">
        <f>IF(Calcu!B255=TRUE,"","삭제")</f>
        <v>삭제</v>
      </c>
      <c r="B108" s="43"/>
      <c r="C108" s="43"/>
      <c r="D108" s="43"/>
      <c r="E108" s="37" t="s">
        <v>776</v>
      </c>
      <c r="F108" s="334" t="str">
        <f>Calcu!W255</f>
        <v/>
      </c>
      <c r="G108" s="334">
        <f>Calcu!W$248</f>
        <v>0</v>
      </c>
      <c r="H108" s="334" t="str">
        <f>Calcu!AA255</f>
        <v/>
      </c>
      <c r="J108" s="37" t="e">
        <f ca="1">Calcu!Z255</f>
        <v>#DIV/0!</v>
      </c>
      <c r="K108" s="37" t="e">
        <f ca="1">Calcu!X255</f>
        <v>#DIV/0!</v>
      </c>
      <c r="L108" s="37" t="str">
        <f>LEFT(Calcu!AB255,1)</f>
        <v/>
      </c>
      <c r="M108" s="37" t="s">
        <v>297</v>
      </c>
      <c r="N108" s="37" t="s">
        <v>297</v>
      </c>
      <c r="O108" s="37" t="s">
        <v>297</v>
      </c>
      <c r="Q108" s="37" t="e">
        <f ca="1">Calcu!AC255</f>
        <v>#DIV/0!</v>
      </c>
    </row>
    <row r="109" spans="1:17" ht="15" customHeight="1">
      <c r="A109" s="44" t="str">
        <f>IF(Calcu!B256=TRUE,"","삭제")</f>
        <v>삭제</v>
      </c>
      <c r="B109" s="43"/>
      <c r="C109" s="43"/>
      <c r="D109" s="43"/>
      <c r="E109" s="37" t="s">
        <v>776</v>
      </c>
      <c r="F109" s="334" t="str">
        <f>Calcu!W256</f>
        <v/>
      </c>
      <c r="G109" s="334">
        <f>Calcu!W$248</f>
        <v>0</v>
      </c>
      <c r="H109" s="334" t="str">
        <f>Calcu!AA256</f>
        <v/>
      </c>
      <c r="J109" s="37" t="e">
        <f ca="1">Calcu!Z256</f>
        <v>#DIV/0!</v>
      </c>
      <c r="K109" s="37" t="e">
        <f ca="1">Calcu!X256</f>
        <v>#DIV/0!</v>
      </c>
      <c r="L109" s="37" t="str">
        <f>LEFT(Calcu!AB256,1)</f>
        <v/>
      </c>
      <c r="M109" s="37" t="s">
        <v>297</v>
      </c>
      <c r="N109" s="37" t="s">
        <v>297</v>
      </c>
      <c r="O109" s="37" t="s">
        <v>297</v>
      </c>
      <c r="Q109" s="37" t="e">
        <f ca="1">Calcu!AC256</f>
        <v>#DIV/0!</v>
      </c>
    </row>
    <row r="110" spans="1:17" ht="15" customHeight="1">
      <c r="A110" s="44" t="str">
        <f>IF(Calcu!B257=TRUE,"","삭제")</f>
        <v>삭제</v>
      </c>
      <c r="B110" s="43"/>
      <c r="C110" s="43"/>
      <c r="D110" s="43"/>
      <c r="E110" s="37" t="s">
        <v>776</v>
      </c>
      <c r="F110" s="334" t="str">
        <f>Calcu!W257</f>
        <v/>
      </c>
      <c r="G110" s="334">
        <f>Calcu!W$248</f>
        <v>0</v>
      </c>
      <c r="H110" s="334" t="str">
        <f>Calcu!AA257</f>
        <v/>
      </c>
      <c r="J110" s="37" t="e">
        <f ca="1">Calcu!Z257</f>
        <v>#DIV/0!</v>
      </c>
      <c r="K110" s="37" t="e">
        <f ca="1">Calcu!X257</f>
        <v>#DIV/0!</v>
      </c>
      <c r="L110" s="37" t="str">
        <f>LEFT(Calcu!AB257,1)</f>
        <v/>
      </c>
      <c r="M110" s="37" t="s">
        <v>297</v>
      </c>
      <c r="N110" s="37" t="s">
        <v>297</v>
      </c>
      <c r="O110" s="37" t="s">
        <v>297</v>
      </c>
      <c r="Q110" s="37" t="e">
        <f ca="1">Calcu!AC257</f>
        <v>#DIV/0!</v>
      </c>
    </row>
    <row r="111" spans="1:17" ht="15" customHeight="1">
      <c r="A111" s="44" t="str">
        <f>IF(Calcu!B258=TRUE,"","삭제")</f>
        <v>삭제</v>
      </c>
      <c r="B111" s="43"/>
      <c r="C111" s="43"/>
      <c r="D111" s="43"/>
      <c r="E111" s="37" t="s">
        <v>776</v>
      </c>
      <c r="F111" s="334" t="str">
        <f>Calcu!W258</f>
        <v/>
      </c>
      <c r="G111" s="334">
        <f>Calcu!W$248</f>
        <v>0</v>
      </c>
      <c r="H111" s="334" t="str">
        <f>Calcu!AA258</f>
        <v/>
      </c>
      <c r="J111" s="37" t="e">
        <f ca="1">Calcu!Z258</f>
        <v>#DIV/0!</v>
      </c>
      <c r="K111" s="37" t="e">
        <f ca="1">Calcu!X258</f>
        <v>#DIV/0!</v>
      </c>
      <c r="L111" s="37" t="str">
        <f>LEFT(Calcu!AB258,1)</f>
        <v/>
      </c>
      <c r="M111" s="37" t="s">
        <v>297</v>
      </c>
      <c r="N111" s="37" t="s">
        <v>297</v>
      </c>
      <c r="O111" s="37" t="s">
        <v>297</v>
      </c>
      <c r="Q111" s="37" t="e">
        <f ca="1">Calcu!AC258</f>
        <v>#DIV/0!</v>
      </c>
    </row>
    <row r="112" spans="1:17" ht="15" customHeight="1">
      <c r="A112" s="44" t="str">
        <f>IF(Calcu!B259=TRUE,"","삭제")</f>
        <v>삭제</v>
      </c>
      <c r="B112" s="43"/>
      <c r="C112" s="43"/>
      <c r="D112" s="43"/>
      <c r="E112" s="37" t="s">
        <v>776</v>
      </c>
      <c r="F112" s="334" t="str">
        <f>Calcu!W259</f>
        <v/>
      </c>
      <c r="G112" s="334">
        <f>Calcu!W$248</f>
        <v>0</v>
      </c>
      <c r="H112" s="334" t="str">
        <f>Calcu!AA259</f>
        <v/>
      </c>
      <c r="J112" s="37" t="e">
        <f ca="1">Calcu!Z259</f>
        <v>#DIV/0!</v>
      </c>
      <c r="K112" s="37" t="e">
        <f ca="1">Calcu!X259</f>
        <v>#DIV/0!</v>
      </c>
      <c r="L112" s="37" t="str">
        <f>LEFT(Calcu!AB259,1)</f>
        <v/>
      </c>
      <c r="M112" s="37" t="s">
        <v>297</v>
      </c>
      <c r="N112" s="37" t="s">
        <v>297</v>
      </c>
      <c r="O112" s="37" t="s">
        <v>297</v>
      </c>
      <c r="Q112" s="37" t="e">
        <f ca="1">Calcu!AC259</f>
        <v>#DIV/0!</v>
      </c>
    </row>
    <row r="113" spans="1:17" ht="15" customHeight="1">
      <c r="A113" s="44" t="str">
        <f>IF(Calcu!B260=TRUE,"","삭제")</f>
        <v>삭제</v>
      </c>
      <c r="B113" s="43"/>
      <c r="C113" s="43"/>
      <c r="D113" s="43"/>
      <c r="E113" s="37" t="s">
        <v>776</v>
      </c>
      <c r="F113" s="334" t="str">
        <f>Calcu!W260</f>
        <v/>
      </c>
      <c r="G113" s="334">
        <f>Calcu!W$248</f>
        <v>0</v>
      </c>
      <c r="H113" s="334" t="str">
        <f>Calcu!AA260</f>
        <v/>
      </c>
      <c r="J113" s="37" t="e">
        <f ca="1">Calcu!Z260</f>
        <v>#DIV/0!</v>
      </c>
      <c r="K113" s="37" t="e">
        <f ca="1">Calcu!X260</f>
        <v>#DIV/0!</v>
      </c>
      <c r="L113" s="37" t="str">
        <f>LEFT(Calcu!AB260,1)</f>
        <v/>
      </c>
      <c r="M113" s="37" t="s">
        <v>297</v>
      </c>
      <c r="N113" s="37" t="s">
        <v>297</v>
      </c>
      <c r="O113" s="37" t="s">
        <v>297</v>
      </c>
      <c r="Q113" s="37" t="e">
        <f ca="1">Calcu!AC260</f>
        <v>#DIV/0!</v>
      </c>
    </row>
    <row r="114" spans="1:17" ht="15" customHeight="1">
      <c r="A114" s="44" t="str">
        <f>IF(Calcu!B261=TRUE,"","삭제")</f>
        <v>삭제</v>
      </c>
      <c r="B114" s="43"/>
      <c r="C114" s="43"/>
      <c r="D114" s="43"/>
      <c r="E114" s="37" t="s">
        <v>776</v>
      </c>
      <c r="F114" s="334" t="str">
        <f>Calcu!W261</f>
        <v/>
      </c>
      <c r="G114" s="334">
        <f>Calcu!W$248</f>
        <v>0</v>
      </c>
      <c r="H114" s="334" t="str">
        <f>Calcu!AA261</f>
        <v/>
      </c>
      <c r="J114" s="37" t="e">
        <f ca="1">Calcu!Z261</f>
        <v>#DIV/0!</v>
      </c>
      <c r="K114" s="37" t="e">
        <f ca="1">Calcu!X261</f>
        <v>#DIV/0!</v>
      </c>
      <c r="L114" s="37" t="str">
        <f>LEFT(Calcu!AB261,1)</f>
        <v/>
      </c>
      <c r="M114" s="37" t="s">
        <v>297</v>
      </c>
      <c r="N114" s="37" t="s">
        <v>297</v>
      </c>
      <c r="O114" s="37" t="s">
        <v>297</v>
      </c>
      <c r="Q114" s="37" t="e">
        <f ca="1">Calcu!AC261</f>
        <v>#DIV/0!</v>
      </c>
    </row>
    <row r="115" spans="1:17" ht="15" customHeight="1">
      <c r="A115" s="44" t="str">
        <f>IF(Calcu!B262=TRUE,"","삭제")</f>
        <v>삭제</v>
      </c>
      <c r="B115" s="43"/>
      <c r="C115" s="43"/>
      <c r="D115" s="43"/>
      <c r="E115" s="37" t="s">
        <v>776</v>
      </c>
      <c r="F115" s="334" t="str">
        <f>Calcu!W262</f>
        <v/>
      </c>
      <c r="G115" s="334">
        <f>Calcu!W$248</f>
        <v>0</v>
      </c>
      <c r="H115" s="334" t="str">
        <f>Calcu!AA262</f>
        <v/>
      </c>
      <c r="J115" s="37" t="e">
        <f ca="1">Calcu!Z262</f>
        <v>#DIV/0!</v>
      </c>
      <c r="K115" s="37" t="e">
        <f ca="1">Calcu!X262</f>
        <v>#DIV/0!</v>
      </c>
      <c r="L115" s="37" t="str">
        <f>LEFT(Calcu!AB262,1)</f>
        <v/>
      </c>
      <c r="M115" s="37" t="s">
        <v>297</v>
      </c>
      <c r="N115" s="37" t="s">
        <v>297</v>
      </c>
      <c r="O115" s="37" t="s">
        <v>297</v>
      </c>
      <c r="Q115" s="37" t="e">
        <f ca="1">Calcu!AC262</f>
        <v>#DIV/0!</v>
      </c>
    </row>
    <row r="116" spans="1:17" ht="15" customHeight="1">
      <c r="A116" s="44" t="str">
        <f>IF(Calcu!B263=TRUE,"","삭제")</f>
        <v>삭제</v>
      </c>
      <c r="B116" s="43"/>
      <c r="C116" s="43"/>
      <c r="D116" s="43"/>
      <c r="E116" s="37" t="s">
        <v>776</v>
      </c>
      <c r="F116" s="334" t="str">
        <f>Calcu!W263</f>
        <v/>
      </c>
      <c r="G116" s="334">
        <f>Calcu!W$248</f>
        <v>0</v>
      </c>
      <c r="H116" s="334" t="str">
        <f>Calcu!AA263</f>
        <v/>
      </c>
      <c r="J116" s="37" t="e">
        <f ca="1">Calcu!Z263</f>
        <v>#DIV/0!</v>
      </c>
      <c r="K116" s="37" t="e">
        <f ca="1">Calcu!X263</f>
        <v>#DIV/0!</v>
      </c>
      <c r="L116" s="37" t="str">
        <f>LEFT(Calcu!AB263,1)</f>
        <v/>
      </c>
      <c r="M116" s="37" t="s">
        <v>297</v>
      </c>
      <c r="N116" s="37" t="s">
        <v>297</v>
      </c>
      <c r="O116" s="37" t="s">
        <v>297</v>
      </c>
      <c r="Q116" s="37" t="e">
        <f ca="1">Calcu!AC263</f>
        <v>#DIV/0!</v>
      </c>
    </row>
    <row r="117" spans="1:17" ht="15" customHeight="1">
      <c r="A117" s="44" t="str">
        <f>IF(Calcu!B264=TRUE,"","삭제")</f>
        <v>삭제</v>
      </c>
      <c r="B117" s="43"/>
      <c r="C117" s="43"/>
      <c r="D117" s="43"/>
      <c r="E117" s="37" t="s">
        <v>776</v>
      </c>
      <c r="F117" s="334" t="str">
        <f>Calcu!W264</f>
        <v/>
      </c>
      <c r="G117" s="334">
        <f>Calcu!W$248</f>
        <v>0</v>
      </c>
      <c r="H117" s="334" t="str">
        <f>Calcu!AA264</f>
        <v/>
      </c>
      <c r="J117" s="37" t="e">
        <f ca="1">Calcu!Z264</f>
        <v>#DIV/0!</v>
      </c>
      <c r="K117" s="37" t="e">
        <f ca="1">Calcu!X264</f>
        <v>#DIV/0!</v>
      </c>
      <c r="L117" s="37" t="str">
        <f>LEFT(Calcu!AB264,1)</f>
        <v/>
      </c>
      <c r="M117" s="37" t="s">
        <v>297</v>
      </c>
      <c r="N117" s="37" t="s">
        <v>297</v>
      </c>
      <c r="O117" s="37" t="s">
        <v>297</v>
      </c>
      <c r="Q117" s="37" t="e">
        <f ca="1">Calcu!AC264</f>
        <v>#DIV/0!</v>
      </c>
    </row>
    <row r="118" spans="1:17" ht="15" customHeight="1">
      <c r="A118" s="44" t="str">
        <f>IF(Calcu!B265=TRUE,"","삭제")</f>
        <v>삭제</v>
      </c>
      <c r="B118" s="43"/>
      <c r="C118" s="43"/>
      <c r="D118" s="43"/>
      <c r="E118" s="37" t="s">
        <v>776</v>
      </c>
      <c r="F118" s="334" t="str">
        <f>Calcu!W265</f>
        <v/>
      </c>
      <c r="G118" s="334">
        <f>Calcu!W$248</f>
        <v>0</v>
      </c>
      <c r="H118" s="334" t="str">
        <f>Calcu!AA265</f>
        <v/>
      </c>
      <c r="J118" s="37" t="e">
        <f ca="1">Calcu!Z265</f>
        <v>#DIV/0!</v>
      </c>
      <c r="K118" s="37" t="e">
        <f ca="1">Calcu!X265</f>
        <v>#DIV/0!</v>
      </c>
      <c r="L118" s="37" t="str">
        <f>LEFT(Calcu!AB265,1)</f>
        <v/>
      </c>
      <c r="M118" s="37" t="s">
        <v>297</v>
      </c>
      <c r="N118" s="37" t="s">
        <v>297</v>
      </c>
      <c r="O118" s="37" t="s">
        <v>297</v>
      </c>
      <c r="Q118" s="37" t="e">
        <f ca="1">Calcu!AC265</f>
        <v>#DIV/0!</v>
      </c>
    </row>
    <row r="119" spans="1:17" ht="15" customHeight="1">
      <c r="A119" s="44" t="str">
        <f>IF(Calcu!B266=TRUE,"","삭제")</f>
        <v>삭제</v>
      </c>
      <c r="B119" s="43"/>
      <c r="C119" s="43"/>
      <c r="D119" s="43"/>
      <c r="E119" s="37" t="s">
        <v>776</v>
      </c>
      <c r="F119" s="334" t="str">
        <f>Calcu!W266</f>
        <v/>
      </c>
      <c r="G119" s="334">
        <f>Calcu!W$248</f>
        <v>0</v>
      </c>
      <c r="H119" s="334" t="str">
        <f>Calcu!AA266</f>
        <v/>
      </c>
      <c r="J119" s="37" t="e">
        <f ca="1">Calcu!Z266</f>
        <v>#DIV/0!</v>
      </c>
      <c r="K119" s="37" t="e">
        <f ca="1">Calcu!X266</f>
        <v>#DIV/0!</v>
      </c>
      <c r="L119" s="37" t="str">
        <f>LEFT(Calcu!AB266,1)</f>
        <v/>
      </c>
      <c r="M119" s="37" t="s">
        <v>297</v>
      </c>
      <c r="N119" s="37" t="s">
        <v>297</v>
      </c>
      <c r="O119" s="37" t="s">
        <v>297</v>
      </c>
      <c r="Q119" s="37" t="e">
        <f ca="1">Calcu!AC266</f>
        <v>#DIV/0!</v>
      </c>
    </row>
    <row r="120" spans="1:17" ht="15" customHeight="1">
      <c r="A120" s="44" t="str">
        <f>IF(Calcu!B267=TRUE,"","삭제")</f>
        <v>삭제</v>
      </c>
      <c r="B120" s="43"/>
      <c r="C120" s="43"/>
      <c r="D120" s="43"/>
      <c r="E120" s="37" t="s">
        <v>776</v>
      </c>
      <c r="F120" s="334" t="str">
        <f>Calcu!W267</f>
        <v/>
      </c>
      <c r="G120" s="334">
        <f>Calcu!W$248</f>
        <v>0</v>
      </c>
      <c r="H120" s="334" t="str">
        <f>Calcu!AA267</f>
        <v/>
      </c>
      <c r="J120" s="37" t="e">
        <f ca="1">Calcu!Z267</f>
        <v>#DIV/0!</v>
      </c>
      <c r="K120" s="37" t="e">
        <f ca="1">Calcu!X267</f>
        <v>#DIV/0!</v>
      </c>
      <c r="L120" s="37" t="str">
        <f>LEFT(Calcu!AB267,1)</f>
        <v/>
      </c>
      <c r="M120" s="37" t="s">
        <v>297</v>
      </c>
      <c r="N120" s="37" t="s">
        <v>297</v>
      </c>
      <c r="O120" s="37" t="s">
        <v>297</v>
      </c>
      <c r="Q120" s="37" t="e">
        <f ca="1">Calcu!AC267</f>
        <v>#DIV/0!</v>
      </c>
    </row>
    <row r="121" spans="1:17" ht="15" customHeight="1">
      <c r="A121" s="44" t="str">
        <f>IF(Calcu!B268=TRUE,"","삭제")</f>
        <v>삭제</v>
      </c>
      <c r="B121" s="43"/>
      <c r="C121" s="43"/>
      <c r="D121" s="43"/>
      <c r="E121" s="37" t="s">
        <v>776</v>
      </c>
      <c r="F121" s="334" t="str">
        <f>Calcu!W268</f>
        <v/>
      </c>
      <c r="G121" s="334">
        <f>Calcu!W$248</f>
        <v>0</v>
      </c>
      <c r="H121" s="334" t="str">
        <f>Calcu!AA268</f>
        <v/>
      </c>
      <c r="J121" s="37" t="e">
        <f ca="1">Calcu!Z268</f>
        <v>#DIV/0!</v>
      </c>
      <c r="K121" s="37" t="e">
        <f ca="1">Calcu!X268</f>
        <v>#DIV/0!</v>
      </c>
      <c r="L121" s="37" t="str">
        <f>LEFT(Calcu!AB268,1)</f>
        <v/>
      </c>
      <c r="M121" s="37" t="s">
        <v>297</v>
      </c>
      <c r="N121" s="37" t="s">
        <v>297</v>
      </c>
      <c r="O121" s="37" t="s">
        <v>297</v>
      </c>
      <c r="Q121" s="37" t="e">
        <f ca="1">Calcu!AC268</f>
        <v>#DIV/0!</v>
      </c>
    </row>
    <row r="122" spans="1:17" ht="15" customHeight="1">
      <c r="A122" s="256" t="str">
        <f>A102</f>
        <v>삭제</v>
      </c>
      <c r="G122" s="53" t="e">
        <f>IF(Calcu!E292="사다리꼴","※ 신뢰수준 95 %,","※ 신뢰수준 약 95 %,")</f>
        <v>#DIV/0!</v>
      </c>
      <c r="H122" s="199" t="e">
        <f ca="1">Calcu!E293&amp;IF(Calcu!E292="사다리꼴",", 사다리꼴 확률분포","")</f>
        <v>#DIV/0!</v>
      </c>
      <c r="K122" s="50"/>
      <c r="Q122" s="53"/>
    </row>
    <row r="123" spans="1:17" ht="15" customHeight="1"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2"/>
    </row>
  </sheetData>
  <mergeCells count="13">
    <mergeCell ref="P12:P13"/>
    <mergeCell ref="Q12:Q13"/>
    <mergeCell ref="A1:Q2"/>
    <mergeCell ref="B12:B13"/>
    <mergeCell ref="C12:C13"/>
    <mergeCell ref="D12:D13"/>
    <mergeCell ref="E12:E13"/>
    <mergeCell ref="F12:F13"/>
    <mergeCell ref="G12:G13"/>
    <mergeCell ref="H12:H13"/>
    <mergeCell ref="I12:I13"/>
    <mergeCell ref="J12:L12"/>
    <mergeCell ref="M12:O12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79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4.77734375" style="37" customWidth="1"/>
    <col min="5" max="8" width="9.77734375" style="37" customWidth="1"/>
    <col min="9" max="11" width="4.77734375" style="37" customWidth="1"/>
    <col min="12" max="12" width="4.77734375" style="89" customWidth="1"/>
    <col min="13" max="13" width="6.77734375" style="104" customWidth="1"/>
    <col min="14" max="16384" width="10.77734375" style="89"/>
  </cols>
  <sheetData>
    <row r="1" spans="1:13" s="76" customFormat="1" ht="33" customHeight="1">
      <c r="A1" s="501" t="s">
        <v>74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78"/>
    </row>
    <row r="2" spans="1:13" s="76" customFormat="1" ht="33" customHeight="1">
      <c r="A2" s="501"/>
      <c r="B2" s="501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78"/>
    </row>
    <row r="3" spans="1:13" s="76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77"/>
      <c r="M3" s="103"/>
    </row>
    <row r="4" spans="1:13" s="78" customFormat="1" ht="13.5" customHeight="1">
      <c r="A4" s="86"/>
      <c r="B4" s="86"/>
      <c r="C4" s="86"/>
      <c r="D4" s="87"/>
      <c r="E4" s="87"/>
      <c r="F4" s="95"/>
      <c r="G4" s="87"/>
      <c r="H4" s="87"/>
      <c r="I4" s="96"/>
      <c r="J4" s="88"/>
      <c r="K4" s="95"/>
      <c r="L4" s="86"/>
      <c r="M4" s="36"/>
    </row>
    <row r="5" spans="1:13" s="79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1" customFormat="1" ht="15" customHeight="1">
      <c r="A6" s="251" t="str">
        <f>IF(Calcu!B10=TRUE,"","삭제")</f>
        <v>삭제</v>
      </c>
      <c r="D6" s="43"/>
      <c r="E6" s="38" t="s">
        <v>311</v>
      </c>
      <c r="F6" s="37"/>
      <c r="G6" s="52"/>
      <c r="H6" s="52"/>
      <c r="I6" s="52"/>
      <c r="J6" s="51"/>
      <c r="K6" s="37"/>
      <c r="L6" s="90"/>
    </row>
    <row r="7" spans="1:13" s="81" customFormat="1" ht="15" customHeight="1">
      <c r="A7" s="251" t="str">
        <f>A6</f>
        <v>삭제</v>
      </c>
      <c r="D7" s="43"/>
      <c r="E7" s="134" t="s">
        <v>117</v>
      </c>
      <c r="F7" s="134" t="s">
        <v>87</v>
      </c>
      <c r="G7" s="162" t="s">
        <v>86</v>
      </c>
      <c r="H7" s="476" t="s">
        <v>88</v>
      </c>
      <c r="I7" s="51"/>
    </row>
    <row r="8" spans="1:13" s="81" customFormat="1" ht="15" customHeight="1">
      <c r="A8" s="251" t="str">
        <f>A7</f>
        <v>삭제</v>
      </c>
      <c r="D8" s="43"/>
      <c r="E8" s="133" t="s">
        <v>122</v>
      </c>
      <c r="F8" s="133" t="s">
        <v>122</v>
      </c>
      <c r="G8" s="133" t="s">
        <v>121</v>
      </c>
      <c r="H8" s="500"/>
      <c r="I8" s="51"/>
    </row>
    <row r="9" spans="1:13" s="81" customFormat="1" ht="15" customHeight="1">
      <c r="A9" s="43" t="str">
        <f>IF(Calcu!B10=TRUE,"","삭제")</f>
        <v>삭제</v>
      </c>
      <c r="D9" s="43"/>
      <c r="E9" s="192" t="e">
        <f ca="1">Calcu!AA10</f>
        <v>#N/A</v>
      </c>
      <c r="F9" s="192" t="e">
        <f ca="1">Calcu!AC10</f>
        <v>#N/A</v>
      </c>
      <c r="G9" s="192" t="e">
        <f ca="1">Calcu!AD10</f>
        <v>#VALUE!</v>
      </c>
      <c r="H9" s="192" t="str">
        <f>Calcu!AE10</f>
        <v/>
      </c>
      <c r="I9" s="51"/>
    </row>
    <row r="10" spans="1:13" s="81" customFormat="1" ht="15" customHeight="1">
      <c r="A10" s="43" t="str">
        <f>IF(Calcu!B11=TRUE,"","삭제")</f>
        <v>삭제</v>
      </c>
      <c r="D10" s="43"/>
      <c r="E10" s="192" t="e">
        <f ca="1">Calcu!AA11</f>
        <v>#N/A</v>
      </c>
      <c r="F10" s="192" t="e">
        <f ca="1">Calcu!AC11</f>
        <v>#N/A</v>
      </c>
      <c r="G10" s="192" t="e">
        <f ca="1">Calcu!AD11</f>
        <v>#VALUE!</v>
      </c>
      <c r="H10" s="192" t="str">
        <f>Calcu!AE11</f>
        <v/>
      </c>
      <c r="I10" s="51"/>
    </row>
    <row r="11" spans="1:13" s="81" customFormat="1" ht="15" customHeight="1">
      <c r="A11" s="43" t="str">
        <f>IF(Calcu!B12=TRUE,"","삭제")</f>
        <v>삭제</v>
      </c>
      <c r="D11" s="43"/>
      <c r="E11" s="192" t="e">
        <f ca="1">Calcu!AA12</f>
        <v>#N/A</v>
      </c>
      <c r="F11" s="192" t="e">
        <f ca="1">Calcu!AC12</f>
        <v>#N/A</v>
      </c>
      <c r="G11" s="192" t="e">
        <f ca="1">Calcu!AD12</f>
        <v>#VALUE!</v>
      </c>
      <c r="H11" s="192" t="str">
        <f>Calcu!AE12</f>
        <v/>
      </c>
      <c r="I11" s="51"/>
    </row>
    <row r="12" spans="1:13" s="81" customFormat="1" ht="15" customHeight="1">
      <c r="A12" s="43" t="str">
        <f>IF(Calcu!B13=TRUE,"","삭제")</f>
        <v>삭제</v>
      </c>
      <c r="D12" s="43"/>
      <c r="E12" s="192" t="e">
        <f ca="1">Calcu!AA13</f>
        <v>#N/A</v>
      </c>
      <c r="F12" s="192" t="e">
        <f ca="1">Calcu!AC13</f>
        <v>#N/A</v>
      </c>
      <c r="G12" s="192" t="e">
        <f ca="1">Calcu!AD13</f>
        <v>#VALUE!</v>
      </c>
      <c r="H12" s="192" t="str">
        <f>Calcu!AE13</f>
        <v/>
      </c>
      <c r="I12" s="51"/>
    </row>
    <row r="13" spans="1:13" s="81" customFormat="1" ht="15" customHeight="1">
      <c r="A13" s="43" t="str">
        <f>IF(Calcu!B14=TRUE,"","삭제")</f>
        <v>삭제</v>
      </c>
      <c r="D13" s="43"/>
      <c r="E13" s="192" t="e">
        <f ca="1">Calcu!AA14</f>
        <v>#N/A</v>
      </c>
      <c r="F13" s="192" t="e">
        <f ca="1">Calcu!AC14</f>
        <v>#N/A</v>
      </c>
      <c r="G13" s="192" t="e">
        <f ca="1">Calcu!AD14</f>
        <v>#VALUE!</v>
      </c>
      <c r="H13" s="192" t="str">
        <f>Calcu!AE14</f>
        <v/>
      </c>
      <c r="I13" s="51"/>
    </row>
    <row r="14" spans="1:13" s="81" customFormat="1" ht="15" customHeight="1">
      <c r="A14" s="43" t="str">
        <f>IF(Calcu!B15=TRUE,"","삭제")</f>
        <v>삭제</v>
      </c>
      <c r="D14" s="43"/>
      <c r="E14" s="192" t="e">
        <f ca="1">Calcu!AA15</f>
        <v>#N/A</v>
      </c>
      <c r="F14" s="192" t="e">
        <f ca="1">Calcu!AC15</f>
        <v>#N/A</v>
      </c>
      <c r="G14" s="192" t="e">
        <f ca="1">Calcu!AD15</f>
        <v>#VALUE!</v>
      </c>
      <c r="H14" s="192" t="str">
        <f>Calcu!AE15</f>
        <v/>
      </c>
      <c r="I14" s="51"/>
    </row>
    <row r="15" spans="1:13" s="81" customFormat="1" ht="15" customHeight="1">
      <c r="A15" s="43" t="str">
        <f>IF(Calcu!B16=TRUE,"","삭제")</f>
        <v>삭제</v>
      </c>
      <c r="D15" s="43"/>
      <c r="E15" s="192" t="e">
        <f ca="1">Calcu!AA16</f>
        <v>#N/A</v>
      </c>
      <c r="F15" s="192" t="e">
        <f ca="1">Calcu!AC16</f>
        <v>#N/A</v>
      </c>
      <c r="G15" s="192" t="e">
        <f ca="1">Calcu!AD16</f>
        <v>#VALUE!</v>
      </c>
      <c r="H15" s="192" t="str">
        <f>Calcu!AE16</f>
        <v/>
      </c>
      <c r="I15" s="51"/>
    </row>
    <row r="16" spans="1:13" s="81" customFormat="1" ht="15" customHeight="1">
      <c r="A16" s="43" t="str">
        <f>IF(Calcu!B17=TRUE,"","삭제")</f>
        <v>삭제</v>
      </c>
      <c r="D16" s="43"/>
      <c r="E16" s="192" t="e">
        <f ca="1">Calcu!AA17</f>
        <v>#N/A</v>
      </c>
      <c r="F16" s="192" t="e">
        <f ca="1">Calcu!AC17</f>
        <v>#N/A</v>
      </c>
      <c r="G16" s="192" t="e">
        <f ca="1">Calcu!AD17</f>
        <v>#VALUE!</v>
      </c>
      <c r="H16" s="192" t="str">
        <f>Calcu!AE17</f>
        <v/>
      </c>
      <c r="I16" s="51"/>
    </row>
    <row r="17" spans="1:12" s="81" customFormat="1" ht="15" customHeight="1">
      <c r="A17" s="43" t="str">
        <f>IF(Calcu!B18=TRUE,"","삭제")</f>
        <v>삭제</v>
      </c>
      <c r="D17" s="43"/>
      <c r="E17" s="192" t="e">
        <f ca="1">Calcu!AA18</f>
        <v>#N/A</v>
      </c>
      <c r="F17" s="192" t="e">
        <f ca="1">Calcu!AC18</f>
        <v>#N/A</v>
      </c>
      <c r="G17" s="192" t="e">
        <f ca="1">Calcu!AD18</f>
        <v>#VALUE!</v>
      </c>
      <c r="H17" s="192" t="str">
        <f>Calcu!AE18</f>
        <v/>
      </c>
      <c r="I17" s="51"/>
    </row>
    <row r="18" spans="1:12" s="81" customFormat="1" ht="15" customHeight="1">
      <c r="A18" s="43" t="str">
        <f>IF(Calcu!B19=TRUE,"","삭제")</f>
        <v>삭제</v>
      </c>
      <c r="D18" s="43"/>
      <c r="E18" s="192" t="e">
        <f ca="1">Calcu!AA19</f>
        <v>#N/A</v>
      </c>
      <c r="F18" s="192" t="e">
        <f ca="1">Calcu!AC19</f>
        <v>#N/A</v>
      </c>
      <c r="G18" s="192" t="e">
        <f ca="1">Calcu!AD19</f>
        <v>#VALUE!</v>
      </c>
      <c r="H18" s="192" t="str">
        <f>Calcu!AE19</f>
        <v/>
      </c>
      <c r="I18" s="51"/>
    </row>
    <row r="19" spans="1:12" s="81" customFormat="1" ht="15" customHeight="1">
      <c r="A19" s="43" t="str">
        <f>IF(Calcu!B20=TRUE,"","삭제")</f>
        <v>삭제</v>
      </c>
      <c r="D19" s="43"/>
      <c r="E19" s="192" t="e">
        <f ca="1">Calcu!AA20</f>
        <v>#N/A</v>
      </c>
      <c r="F19" s="192" t="e">
        <f ca="1">Calcu!AC20</f>
        <v>#N/A</v>
      </c>
      <c r="G19" s="192" t="e">
        <f ca="1">Calcu!AD20</f>
        <v>#VALUE!</v>
      </c>
      <c r="H19" s="192" t="str">
        <f>Calcu!AE20</f>
        <v/>
      </c>
      <c r="I19" s="51"/>
    </row>
    <row r="20" spans="1:12" s="81" customFormat="1" ht="15" customHeight="1">
      <c r="A20" s="43" t="str">
        <f>IF(Calcu!B21=TRUE,"","삭제")</f>
        <v>삭제</v>
      </c>
      <c r="D20" s="43"/>
      <c r="E20" s="192" t="e">
        <f ca="1">Calcu!AA21</f>
        <v>#N/A</v>
      </c>
      <c r="F20" s="192" t="e">
        <f ca="1">Calcu!AC21</f>
        <v>#N/A</v>
      </c>
      <c r="G20" s="192" t="e">
        <f ca="1">Calcu!AD21</f>
        <v>#VALUE!</v>
      </c>
      <c r="H20" s="192" t="str">
        <f>Calcu!AE21</f>
        <v/>
      </c>
      <c r="I20" s="51"/>
    </row>
    <row r="21" spans="1:12" s="81" customFormat="1" ht="15" customHeight="1">
      <c r="A21" s="43" t="str">
        <f>IF(Calcu!B22=TRUE,"","삭제")</f>
        <v>삭제</v>
      </c>
      <c r="D21" s="43"/>
      <c r="E21" s="192" t="e">
        <f ca="1">Calcu!AA22</f>
        <v>#N/A</v>
      </c>
      <c r="F21" s="192" t="e">
        <f ca="1">Calcu!AC22</f>
        <v>#N/A</v>
      </c>
      <c r="G21" s="192" t="e">
        <f ca="1">Calcu!AD22</f>
        <v>#VALUE!</v>
      </c>
      <c r="H21" s="192" t="str">
        <f>Calcu!AE22</f>
        <v/>
      </c>
      <c r="I21" s="51"/>
    </row>
    <row r="22" spans="1:12" s="81" customFormat="1" ht="15" customHeight="1">
      <c r="A22" s="43" t="str">
        <f>IF(Calcu!B23=TRUE,"","삭제")</f>
        <v>삭제</v>
      </c>
      <c r="D22" s="43"/>
      <c r="E22" s="192" t="e">
        <f ca="1">Calcu!AA23</f>
        <v>#N/A</v>
      </c>
      <c r="F22" s="192" t="e">
        <f ca="1">Calcu!AC23</f>
        <v>#N/A</v>
      </c>
      <c r="G22" s="192" t="e">
        <f ca="1">Calcu!AD23</f>
        <v>#VALUE!</v>
      </c>
      <c r="H22" s="192" t="str">
        <f>Calcu!AE23</f>
        <v/>
      </c>
      <c r="I22" s="51"/>
    </row>
    <row r="23" spans="1:12" s="81" customFormat="1" ht="15" customHeight="1">
      <c r="A23" s="43" t="str">
        <f>IF(Calcu!B24=TRUE,"","삭제")</f>
        <v>삭제</v>
      </c>
      <c r="D23" s="43"/>
      <c r="E23" s="192" t="e">
        <f ca="1">Calcu!AA24</f>
        <v>#N/A</v>
      </c>
      <c r="F23" s="192" t="e">
        <f ca="1">Calcu!AC24</f>
        <v>#N/A</v>
      </c>
      <c r="G23" s="192" t="e">
        <f ca="1">Calcu!AD24</f>
        <v>#VALUE!</v>
      </c>
      <c r="H23" s="192" t="str">
        <f>Calcu!AE24</f>
        <v/>
      </c>
      <c r="I23" s="51"/>
    </row>
    <row r="24" spans="1:12" s="81" customFormat="1" ht="15" customHeight="1">
      <c r="A24" s="43" t="str">
        <f>IF(Calcu!B25=TRUE,"","삭제")</f>
        <v>삭제</v>
      </c>
      <c r="D24" s="43"/>
      <c r="E24" s="192" t="e">
        <f ca="1">Calcu!AA25</f>
        <v>#N/A</v>
      </c>
      <c r="F24" s="192" t="e">
        <f ca="1">Calcu!AC25</f>
        <v>#N/A</v>
      </c>
      <c r="G24" s="192" t="e">
        <f ca="1">Calcu!AD25</f>
        <v>#VALUE!</v>
      </c>
      <c r="H24" s="192" t="str">
        <f>Calcu!AE25</f>
        <v/>
      </c>
      <c r="I24" s="51"/>
    </row>
    <row r="25" spans="1:12" s="81" customFormat="1" ht="15" customHeight="1">
      <c r="A25" s="43" t="str">
        <f>IF(Calcu!B26=TRUE,"","삭제")</f>
        <v>삭제</v>
      </c>
      <c r="D25" s="43"/>
      <c r="E25" s="192" t="e">
        <f ca="1">Calcu!AA26</f>
        <v>#N/A</v>
      </c>
      <c r="F25" s="192" t="e">
        <f ca="1">Calcu!AC26</f>
        <v>#N/A</v>
      </c>
      <c r="G25" s="192" t="e">
        <f ca="1">Calcu!AD26</f>
        <v>#VALUE!</v>
      </c>
      <c r="H25" s="192" t="str">
        <f>Calcu!AE26</f>
        <v/>
      </c>
      <c r="I25" s="51"/>
    </row>
    <row r="26" spans="1:12" s="81" customFormat="1" ht="15" customHeight="1">
      <c r="A26" s="43" t="str">
        <f>IF(Calcu!B27=TRUE,"","삭제")</f>
        <v>삭제</v>
      </c>
      <c r="D26" s="43"/>
      <c r="E26" s="192" t="e">
        <f ca="1">Calcu!AA27</f>
        <v>#N/A</v>
      </c>
      <c r="F26" s="192" t="e">
        <f ca="1">Calcu!AC27</f>
        <v>#N/A</v>
      </c>
      <c r="G26" s="192" t="e">
        <f ca="1">Calcu!AD27</f>
        <v>#VALUE!</v>
      </c>
      <c r="H26" s="192" t="str">
        <f>Calcu!AE27</f>
        <v/>
      </c>
      <c r="I26" s="51"/>
    </row>
    <row r="27" spans="1:12" s="81" customFormat="1" ht="15" customHeight="1">
      <c r="A27" s="43" t="str">
        <f>IF(Calcu!B28=TRUE,"","삭제")</f>
        <v>삭제</v>
      </c>
      <c r="D27" s="43"/>
      <c r="E27" s="192" t="e">
        <f ca="1">Calcu!AA28</f>
        <v>#N/A</v>
      </c>
      <c r="F27" s="192" t="e">
        <f ca="1">Calcu!AC28</f>
        <v>#N/A</v>
      </c>
      <c r="G27" s="192" t="e">
        <f ca="1">Calcu!AD28</f>
        <v>#VALUE!</v>
      </c>
      <c r="H27" s="192" t="str">
        <f>Calcu!AE28</f>
        <v/>
      </c>
      <c r="I27" s="51"/>
    </row>
    <row r="28" spans="1:12" s="81" customFormat="1" ht="15" customHeight="1">
      <c r="A28" s="43" t="str">
        <f>IF(Calcu!B29=TRUE,"","삭제")</f>
        <v>삭제</v>
      </c>
      <c r="D28" s="43"/>
      <c r="E28" s="192" t="e">
        <f ca="1">Calcu!AA29</f>
        <v>#N/A</v>
      </c>
      <c r="F28" s="192" t="e">
        <f ca="1">Calcu!AC29</f>
        <v>#N/A</v>
      </c>
      <c r="G28" s="192" t="e">
        <f ca="1">Calcu!AD29</f>
        <v>#VALUE!</v>
      </c>
      <c r="H28" s="192" t="str">
        <f>Calcu!AE29</f>
        <v/>
      </c>
    </row>
    <row r="29" spans="1:12" s="79" customFormat="1" ht="15" customHeight="1">
      <c r="A29" s="252" t="str">
        <f>IF(Calcu!B72=TRUE,"","삭제")</f>
        <v>삭제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1:12" s="81" customFormat="1" ht="15" customHeight="1">
      <c r="A30" s="251" t="str">
        <f>A29</f>
        <v>삭제</v>
      </c>
      <c r="D30" s="43"/>
      <c r="E30" s="38" t="s">
        <v>312</v>
      </c>
      <c r="F30" s="37"/>
      <c r="G30" s="52"/>
      <c r="H30" s="52"/>
      <c r="I30" s="52"/>
      <c r="J30" s="51"/>
      <c r="K30" s="37"/>
      <c r="L30" s="90"/>
    </row>
    <row r="31" spans="1:12" s="81" customFormat="1" ht="15" customHeight="1">
      <c r="A31" s="251" t="str">
        <f>A30</f>
        <v>삭제</v>
      </c>
      <c r="D31" s="43"/>
      <c r="E31" s="134" t="s">
        <v>117</v>
      </c>
      <c r="F31" s="134" t="s">
        <v>87</v>
      </c>
      <c r="G31" s="250" t="s">
        <v>86</v>
      </c>
      <c r="H31" s="476" t="s">
        <v>88</v>
      </c>
      <c r="I31" s="51"/>
    </row>
    <row r="32" spans="1:12" s="81" customFormat="1" ht="15" customHeight="1">
      <c r="A32" s="251" t="str">
        <f>A31</f>
        <v>삭제</v>
      </c>
      <c r="D32" s="43"/>
      <c r="E32" s="133" t="s">
        <v>121</v>
      </c>
      <c r="F32" s="133" t="s">
        <v>121</v>
      </c>
      <c r="G32" s="133" t="s">
        <v>121</v>
      </c>
      <c r="H32" s="500"/>
      <c r="I32" s="51"/>
    </row>
    <row r="33" spans="1:9" s="81" customFormat="1" ht="15" customHeight="1">
      <c r="A33" s="43" t="str">
        <f>IF(Calcu!B72=TRUE,"","삭제")</f>
        <v>삭제</v>
      </c>
      <c r="D33" s="43"/>
      <c r="E33" s="192" t="e">
        <f ca="1">Calcu!AA72</f>
        <v>#N/A</v>
      </c>
      <c r="F33" s="192" t="e">
        <f ca="1">Calcu!AC72</f>
        <v>#N/A</v>
      </c>
      <c r="G33" s="192" t="e">
        <f ca="1">Calcu!AD72</f>
        <v>#VALUE!</v>
      </c>
      <c r="H33" s="192" t="str">
        <f>Calcu!AE72</f>
        <v/>
      </c>
      <c r="I33" s="51"/>
    </row>
    <row r="34" spans="1:9" s="81" customFormat="1" ht="15" customHeight="1">
      <c r="A34" s="43" t="str">
        <f>IF(Calcu!B73=TRUE,"","삭제")</f>
        <v>삭제</v>
      </c>
      <c r="D34" s="43"/>
      <c r="E34" s="192" t="e">
        <f ca="1">Calcu!AA73</f>
        <v>#N/A</v>
      </c>
      <c r="F34" s="192" t="e">
        <f ca="1">Calcu!AC73</f>
        <v>#N/A</v>
      </c>
      <c r="G34" s="192" t="e">
        <f ca="1">Calcu!AD73</f>
        <v>#VALUE!</v>
      </c>
      <c r="H34" s="192" t="str">
        <f>Calcu!AE73</f>
        <v/>
      </c>
      <c r="I34" s="51"/>
    </row>
    <row r="35" spans="1:9" s="81" customFormat="1" ht="15" customHeight="1">
      <c r="A35" s="43" t="str">
        <f>IF(Calcu!B74=TRUE,"","삭제")</f>
        <v>삭제</v>
      </c>
      <c r="D35" s="43"/>
      <c r="E35" s="192" t="e">
        <f ca="1">Calcu!AA74</f>
        <v>#N/A</v>
      </c>
      <c r="F35" s="192" t="e">
        <f ca="1">Calcu!AC74</f>
        <v>#N/A</v>
      </c>
      <c r="G35" s="192" t="e">
        <f ca="1">Calcu!AD74</f>
        <v>#VALUE!</v>
      </c>
      <c r="H35" s="192" t="str">
        <f>Calcu!AE74</f>
        <v/>
      </c>
      <c r="I35" s="51"/>
    </row>
    <row r="36" spans="1:9" s="81" customFormat="1" ht="15" customHeight="1">
      <c r="A36" s="43" t="str">
        <f>IF(Calcu!B75=TRUE,"","삭제")</f>
        <v>삭제</v>
      </c>
      <c r="D36" s="43"/>
      <c r="E36" s="192" t="e">
        <f ca="1">Calcu!AA75</f>
        <v>#N/A</v>
      </c>
      <c r="F36" s="192" t="e">
        <f ca="1">Calcu!AC75</f>
        <v>#N/A</v>
      </c>
      <c r="G36" s="192" t="e">
        <f ca="1">Calcu!AD75</f>
        <v>#VALUE!</v>
      </c>
      <c r="H36" s="192" t="str">
        <f>Calcu!AE75</f>
        <v/>
      </c>
      <c r="I36" s="51"/>
    </row>
    <row r="37" spans="1:9" s="81" customFormat="1" ht="15" customHeight="1">
      <c r="A37" s="43" t="str">
        <f>IF(Calcu!B76=TRUE,"","삭제")</f>
        <v>삭제</v>
      </c>
      <c r="D37" s="43"/>
      <c r="E37" s="192" t="e">
        <f ca="1">Calcu!AA76</f>
        <v>#N/A</v>
      </c>
      <c r="F37" s="192" t="e">
        <f ca="1">Calcu!AC76</f>
        <v>#N/A</v>
      </c>
      <c r="G37" s="192" t="e">
        <f ca="1">Calcu!AD76</f>
        <v>#VALUE!</v>
      </c>
      <c r="H37" s="192" t="str">
        <f>Calcu!AE76</f>
        <v/>
      </c>
      <c r="I37" s="51"/>
    </row>
    <row r="38" spans="1:9" s="81" customFormat="1" ht="15" customHeight="1">
      <c r="A38" s="43" t="str">
        <f>IF(Calcu!B77=TRUE,"","삭제")</f>
        <v>삭제</v>
      </c>
      <c r="D38" s="43"/>
      <c r="E38" s="192" t="e">
        <f ca="1">Calcu!AA77</f>
        <v>#N/A</v>
      </c>
      <c r="F38" s="192" t="e">
        <f ca="1">Calcu!AC77</f>
        <v>#N/A</v>
      </c>
      <c r="G38" s="192" t="e">
        <f ca="1">Calcu!AD77</f>
        <v>#VALUE!</v>
      </c>
      <c r="H38" s="192" t="str">
        <f>Calcu!AE77</f>
        <v/>
      </c>
      <c r="I38" s="51"/>
    </row>
    <row r="39" spans="1:9" s="81" customFormat="1" ht="15" customHeight="1">
      <c r="A39" s="43" t="str">
        <f>IF(Calcu!B78=TRUE,"","삭제")</f>
        <v>삭제</v>
      </c>
      <c r="D39" s="43"/>
      <c r="E39" s="192" t="e">
        <f ca="1">Calcu!AA78</f>
        <v>#N/A</v>
      </c>
      <c r="F39" s="192" t="e">
        <f ca="1">Calcu!AC78</f>
        <v>#N/A</v>
      </c>
      <c r="G39" s="192" t="e">
        <f ca="1">Calcu!AD78</f>
        <v>#VALUE!</v>
      </c>
      <c r="H39" s="192" t="str">
        <f>Calcu!AE78</f>
        <v/>
      </c>
      <c r="I39" s="51"/>
    </row>
    <row r="40" spans="1:9" s="81" customFormat="1" ht="15" customHeight="1">
      <c r="A40" s="43" t="str">
        <f>IF(Calcu!B79=TRUE,"","삭제")</f>
        <v>삭제</v>
      </c>
      <c r="D40" s="43"/>
      <c r="E40" s="192" t="e">
        <f ca="1">Calcu!AA79</f>
        <v>#N/A</v>
      </c>
      <c r="F40" s="192" t="e">
        <f ca="1">Calcu!AC79</f>
        <v>#N/A</v>
      </c>
      <c r="G40" s="192" t="e">
        <f ca="1">Calcu!AD79</f>
        <v>#VALUE!</v>
      </c>
      <c r="H40" s="192" t="str">
        <f>Calcu!AE79</f>
        <v/>
      </c>
      <c r="I40" s="51"/>
    </row>
    <row r="41" spans="1:9" s="81" customFormat="1" ht="15" customHeight="1">
      <c r="A41" s="43" t="str">
        <f>IF(Calcu!B80=TRUE,"","삭제")</f>
        <v>삭제</v>
      </c>
      <c r="D41" s="43"/>
      <c r="E41" s="192" t="e">
        <f ca="1">Calcu!AA80</f>
        <v>#N/A</v>
      </c>
      <c r="F41" s="192" t="e">
        <f ca="1">Calcu!AC80</f>
        <v>#N/A</v>
      </c>
      <c r="G41" s="192" t="e">
        <f ca="1">Calcu!AD80</f>
        <v>#VALUE!</v>
      </c>
      <c r="H41" s="192" t="str">
        <f>Calcu!AE80</f>
        <v/>
      </c>
      <c r="I41" s="51"/>
    </row>
    <row r="42" spans="1:9" s="81" customFormat="1" ht="15" customHeight="1">
      <c r="A42" s="43" t="str">
        <f>IF(Calcu!B81=TRUE,"","삭제")</f>
        <v>삭제</v>
      </c>
      <c r="D42" s="43"/>
      <c r="E42" s="192" t="e">
        <f ca="1">Calcu!AA81</f>
        <v>#N/A</v>
      </c>
      <c r="F42" s="192" t="e">
        <f ca="1">Calcu!AC81</f>
        <v>#N/A</v>
      </c>
      <c r="G42" s="192" t="e">
        <f ca="1">Calcu!AD81</f>
        <v>#VALUE!</v>
      </c>
      <c r="H42" s="192" t="str">
        <f>Calcu!AE81</f>
        <v/>
      </c>
      <c r="I42" s="51"/>
    </row>
    <row r="43" spans="1:9" s="81" customFormat="1" ht="15" customHeight="1">
      <c r="A43" s="43" t="str">
        <f>IF(Calcu!B82=TRUE,"","삭제")</f>
        <v>삭제</v>
      </c>
      <c r="D43" s="43"/>
      <c r="E43" s="192" t="e">
        <f ca="1">Calcu!AA82</f>
        <v>#N/A</v>
      </c>
      <c r="F43" s="192" t="e">
        <f ca="1">Calcu!AC82</f>
        <v>#N/A</v>
      </c>
      <c r="G43" s="192" t="e">
        <f ca="1">Calcu!AD82</f>
        <v>#VALUE!</v>
      </c>
      <c r="H43" s="192" t="str">
        <f>Calcu!AE82</f>
        <v/>
      </c>
      <c r="I43" s="51"/>
    </row>
    <row r="44" spans="1:9" s="81" customFormat="1" ht="15" customHeight="1">
      <c r="A44" s="43" t="str">
        <f>IF(Calcu!B83=TRUE,"","삭제")</f>
        <v>삭제</v>
      </c>
      <c r="D44" s="43"/>
      <c r="E44" s="192" t="e">
        <f ca="1">Calcu!AA83</f>
        <v>#N/A</v>
      </c>
      <c r="F44" s="192" t="e">
        <f ca="1">Calcu!AC83</f>
        <v>#N/A</v>
      </c>
      <c r="G44" s="192" t="e">
        <f ca="1">Calcu!AD83</f>
        <v>#VALUE!</v>
      </c>
      <c r="H44" s="192" t="str">
        <f>Calcu!AE83</f>
        <v/>
      </c>
      <c r="I44" s="51"/>
    </row>
    <row r="45" spans="1:9" s="81" customFormat="1" ht="15" customHeight="1">
      <c r="A45" s="43" t="str">
        <f>IF(Calcu!B84=TRUE,"","삭제")</f>
        <v>삭제</v>
      </c>
      <c r="D45" s="43"/>
      <c r="E45" s="192" t="e">
        <f ca="1">Calcu!AA84</f>
        <v>#N/A</v>
      </c>
      <c r="F45" s="192" t="e">
        <f ca="1">Calcu!AC84</f>
        <v>#N/A</v>
      </c>
      <c r="G45" s="192" t="e">
        <f ca="1">Calcu!AD84</f>
        <v>#VALUE!</v>
      </c>
      <c r="H45" s="192" t="str">
        <f>Calcu!AE84</f>
        <v/>
      </c>
      <c r="I45" s="51"/>
    </row>
    <row r="46" spans="1:9" s="81" customFormat="1" ht="15" customHeight="1">
      <c r="A46" s="43" t="str">
        <f>IF(Calcu!B85=TRUE,"","삭제")</f>
        <v>삭제</v>
      </c>
      <c r="D46" s="43"/>
      <c r="E46" s="192" t="e">
        <f ca="1">Calcu!AA85</f>
        <v>#N/A</v>
      </c>
      <c r="F46" s="192" t="e">
        <f ca="1">Calcu!AC85</f>
        <v>#N/A</v>
      </c>
      <c r="G46" s="192" t="e">
        <f ca="1">Calcu!AD85</f>
        <v>#VALUE!</v>
      </c>
      <c r="H46" s="192" t="str">
        <f>Calcu!AE85</f>
        <v/>
      </c>
      <c r="I46" s="51"/>
    </row>
    <row r="47" spans="1:9" s="81" customFormat="1" ht="15" customHeight="1">
      <c r="A47" s="43" t="str">
        <f>IF(Calcu!B86=TRUE,"","삭제")</f>
        <v>삭제</v>
      </c>
      <c r="D47" s="43"/>
      <c r="E47" s="192" t="e">
        <f ca="1">Calcu!AA86</f>
        <v>#N/A</v>
      </c>
      <c r="F47" s="192" t="e">
        <f ca="1">Calcu!AC86</f>
        <v>#N/A</v>
      </c>
      <c r="G47" s="192" t="e">
        <f ca="1">Calcu!AD86</f>
        <v>#VALUE!</v>
      </c>
      <c r="H47" s="192" t="str">
        <f>Calcu!AE86</f>
        <v/>
      </c>
      <c r="I47" s="51"/>
    </row>
    <row r="48" spans="1:9" s="81" customFormat="1" ht="15" customHeight="1">
      <c r="A48" s="43" t="str">
        <f>IF(Calcu!B87=TRUE,"","삭제")</f>
        <v>삭제</v>
      </c>
      <c r="D48" s="43"/>
      <c r="E48" s="192" t="e">
        <f ca="1">Calcu!AA87</f>
        <v>#N/A</v>
      </c>
      <c r="F48" s="192" t="e">
        <f ca="1">Calcu!AC87</f>
        <v>#N/A</v>
      </c>
      <c r="G48" s="192" t="e">
        <f ca="1">Calcu!AD87</f>
        <v>#VALUE!</v>
      </c>
      <c r="H48" s="192" t="str">
        <f>Calcu!AE87</f>
        <v/>
      </c>
      <c r="I48" s="51"/>
    </row>
    <row r="49" spans="1:12" s="81" customFormat="1" ht="15" customHeight="1">
      <c r="A49" s="43" t="str">
        <f>IF(Calcu!B88=TRUE,"","삭제")</f>
        <v>삭제</v>
      </c>
      <c r="D49" s="43"/>
      <c r="E49" s="192" t="e">
        <f ca="1">Calcu!AA88</f>
        <v>#N/A</v>
      </c>
      <c r="F49" s="192" t="e">
        <f ca="1">Calcu!AC88</f>
        <v>#N/A</v>
      </c>
      <c r="G49" s="192" t="e">
        <f ca="1">Calcu!AD88</f>
        <v>#VALUE!</v>
      </c>
      <c r="H49" s="192" t="str">
        <f>Calcu!AE88</f>
        <v/>
      </c>
      <c r="I49" s="51"/>
    </row>
    <row r="50" spans="1:12" s="81" customFormat="1" ht="15" customHeight="1">
      <c r="A50" s="43" t="str">
        <f>IF(Calcu!B89=TRUE,"","삭제")</f>
        <v>삭제</v>
      </c>
      <c r="D50" s="43"/>
      <c r="E50" s="192" t="e">
        <f ca="1">Calcu!AA89</f>
        <v>#N/A</v>
      </c>
      <c r="F50" s="192" t="e">
        <f ca="1">Calcu!AC89</f>
        <v>#N/A</v>
      </c>
      <c r="G50" s="192" t="e">
        <f ca="1">Calcu!AD89</f>
        <v>#VALUE!</v>
      </c>
      <c r="H50" s="192" t="str">
        <f>Calcu!AE89</f>
        <v/>
      </c>
      <c r="I50" s="51"/>
    </row>
    <row r="51" spans="1:12" s="81" customFormat="1" ht="15" customHeight="1">
      <c r="A51" s="43" t="str">
        <f>IF(Calcu!B90=TRUE,"","삭제")</f>
        <v>삭제</v>
      </c>
      <c r="D51" s="43"/>
      <c r="E51" s="192" t="e">
        <f ca="1">Calcu!AA90</f>
        <v>#N/A</v>
      </c>
      <c r="F51" s="192" t="e">
        <f ca="1">Calcu!AC90</f>
        <v>#N/A</v>
      </c>
      <c r="G51" s="192" t="e">
        <f ca="1">Calcu!AD90</f>
        <v>#VALUE!</v>
      </c>
      <c r="H51" s="192" t="str">
        <f>Calcu!AE90</f>
        <v/>
      </c>
      <c r="I51" s="51"/>
    </row>
    <row r="52" spans="1:12" s="81" customFormat="1" ht="15" customHeight="1">
      <c r="A52" s="43" t="str">
        <f>IF(Calcu!B91=TRUE,"","삭제")</f>
        <v>삭제</v>
      </c>
      <c r="D52" s="43"/>
      <c r="E52" s="192" t="e">
        <f ca="1">Calcu!AA91</f>
        <v>#N/A</v>
      </c>
      <c r="F52" s="192" t="e">
        <f ca="1">Calcu!AC91</f>
        <v>#N/A</v>
      </c>
      <c r="G52" s="192" t="e">
        <f ca="1">Calcu!AD91</f>
        <v>#VALUE!</v>
      </c>
      <c r="H52" s="192" t="str">
        <f>Calcu!AE91</f>
        <v/>
      </c>
    </row>
    <row r="53" spans="1:12" s="79" customFormat="1" ht="15" customHeight="1">
      <c r="A53" s="252" t="str">
        <f>IF(Calcu!B191=TRUE,"","삭제")</f>
        <v>삭제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</row>
    <row r="54" spans="1:12" s="81" customFormat="1" ht="15" customHeight="1">
      <c r="A54" s="251" t="str">
        <f>A53</f>
        <v>삭제</v>
      </c>
      <c r="D54" s="43"/>
      <c r="E54" s="38" t="s">
        <v>313</v>
      </c>
      <c r="F54" s="37"/>
      <c r="G54" s="52"/>
      <c r="H54" s="52"/>
      <c r="I54" s="52"/>
      <c r="J54" s="51"/>
      <c r="K54" s="37"/>
      <c r="L54" s="90"/>
    </row>
    <row r="55" spans="1:12" s="81" customFormat="1" ht="15" customHeight="1">
      <c r="A55" s="251" t="str">
        <f>A54</f>
        <v>삭제</v>
      </c>
      <c r="D55" s="43"/>
      <c r="E55" s="134" t="s">
        <v>117</v>
      </c>
      <c r="F55" s="134" t="s">
        <v>87</v>
      </c>
      <c r="G55" s="250" t="s">
        <v>86</v>
      </c>
      <c r="H55" s="476" t="s">
        <v>88</v>
      </c>
      <c r="I55" s="51"/>
    </row>
    <row r="56" spans="1:12" s="81" customFormat="1" ht="15" customHeight="1">
      <c r="A56" s="251" t="str">
        <f>A55</f>
        <v>삭제</v>
      </c>
      <c r="D56" s="43"/>
      <c r="E56" s="133" t="s">
        <v>121</v>
      </c>
      <c r="F56" s="133" t="s">
        <v>121</v>
      </c>
      <c r="G56" s="133" t="s">
        <v>121</v>
      </c>
      <c r="H56" s="500"/>
      <c r="I56" s="51"/>
    </row>
    <row r="57" spans="1:12" s="81" customFormat="1" ht="15" customHeight="1">
      <c r="A57" s="43" t="str">
        <f>IF(Calcu!B191=TRUE,"","삭제")</f>
        <v>삭제</v>
      </c>
      <c r="D57" s="43"/>
      <c r="E57" s="192" t="str">
        <f>Calcu!AD191</f>
        <v/>
      </c>
      <c r="F57" s="192" t="e">
        <f ca="1">Calcu!AG191</f>
        <v>#N/A</v>
      </c>
      <c r="G57" s="192" t="e">
        <f ca="1">Calcu!AH191</f>
        <v>#N/A</v>
      </c>
      <c r="H57" s="192" t="str">
        <f>Calcu!AI191</f>
        <v/>
      </c>
      <c r="I57" s="51"/>
    </row>
    <row r="58" spans="1:12" s="81" customFormat="1" ht="15" customHeight="1">
      <c r="A58" s="43" t="str">
        <f>IF(Calcu!B192=TRUE,"","삭제")</f>
        <v>삭제</v>
      </c>
      <c r="D58" s="43"/>
      <c r="E58" s="192" t="str">
        <f>Calcu!AD192</f>
        <v/>
      </c>
      <c r="F58" s="192" t="e">
        <f ca="1">Calcu!AG192</f>
        <v>#N/A</v>
      </c>
      <c r="G58" s="192" t="e">
        <f ca="1">Calcu!AH192</f>
        <v>#N/A</v>
      </c>
      <c r="H58" s="192" t="str">
        <f>Calcu!AI192</f>
        <v/>
      </c>
      <c r="I58" s="51"/>
    </row>
    <row r="59" spans="1:12" s="81" customFormat="1" ht="15" customHeight="1">
      <c r="A59" s="43" t="str">
        <f>IF(Calcu!B193=TRUE,"","삭제")</f>
        <v>삭제</v>
      </c>
      <c r="D59" s="43"/>
      <c r="E59" s="192" t="str">
        <f>Calcu!AD193</f>
        <v/>
      </c>
      <c r="F59" s="192" t="e">
        <f ca="1">Calcu!AG193</f>
        <v>#N/A</v>
      </c>
      <c r="G59" s="192" t="e">
        <f ca="1">Calcu!AH193</f>
        <v>#N/A</v>
      </c>
      <c r="H59" s="192" t="str">
        <f>Calcu!AI193</f>
        <v/>
      </c>
      <c r="I59" s="51"/>
    </row>
    <row r="60" spans="1:12" s="81" customFormat="1" ht="15" customHeight="1">
      <c r="A60" s="43" t="str">
        <f>IF(Calcu!B194=TRUE,"","삭제")</f>
        <v>삭제</v>
      </c>
      <c r="D60" s="43"/>
      <c r="E60" s="192" t="str">
        <f>Calcu!AD194</f>
        <v/>
      </c>
      <c r="F60" s="192" t="e">
        <f ca="1">Calcu!AG194</f>
        <v>#N/A</v>
      </c>
      <c r="G60" s="192" t="e">
        <f ca="1">Calcu!AH194</f>
        <v>#N/A</v>
      </c>
      <c r="H60" s="192" t="str">
        <f>Calcu!AI194</f>
        <v/>
      </c>
      <c r="I60" s="51"/>
    </row>
    <row r="61" spans="1:12" s="81" customFormat="1" ht="15" customHeight="1">
      <c r="A61" s="43" t="str">
        <f>IF(Calcu!B195=TRUE,"","삭제")</f>
        <v>삭제</v>
      </c>
      <c r="D61" s="43"/>
      <c r="E61" s="192" t="str">
        <f>Calcu!AD195</f>
        <v/>
      </c>
      <c r="F61" s="192" t="e">
        <f ca="1">Calcu!AG195</f>
        <v>#N/A</v>
      </c>
      <c r="G61" s="192" t="e">
        <f ca="1">Calcu!AH195</f>
        <v>#N/A</v>
      </c>
      <c r="H61" s="192" t="str">
        <f>Calcu!AI195</f>
        <v/>
      </c>
      <c r="I61" s="51"/>
    </row>
    <row r="62" spans="1:12" s="81" customFormat="1" ht="15" customHeight="1">
      <c r="A62" s="43" t="str">
        <f>IF(Calcu!B196=TRUE,"","삭제")</f>
        <v>삭제</v>
      </c>
      <c r="D62" s="43"/>
      <c r="E62" s="192" t="str">
        <f>Calcu!AD196</f>
        <v/>
      </c>
      <c r="F62" s="192" t="e">
        <f ca="1">Calcu!AG196</f>
        <v>#N/A</v>
      </c>
      <c r="G62" s="192" t="e">
        <f ca="1">Calcu!AH196</f>
        <v>#N/A</v>
      </c>
      <c r="H62" s="192" t="str">
        <f>Calcu!AI196</f>
        <v/>
      </c>
      <c r="I62" s="51"/>
    </row>
    <row r="63" spans="1:12" s="81" customFormat="1" ht="15" customHeight="1">
      <c r="A63" s="43" t="str">
        <f>IF(Calcu!B197=TRUE,"","삭제")</f>
        <v>삭제</v>
      </c>
      <c r="D63" s="43"/>
      <c r="E63" s="192" t="str">
        <f>Calcu!AD197</f>
        <v/>
      </c>
      <c r="F63" s="192" t="e">
        <f ca="1">Calcu!AG197</f>
        <v>#N/A</v>
      </c>
      <c r="G63" s="192" t="e">
        <f ca="1">Calcu!AH197</f>
        <v>#N/A</v>
      </c>
      <c r="H63" s="192" t="str">
        <f>Calcu!AI197</f>
        <v/>
      </c>
      <c r="I63" s="51"/>
    </row>
    <row r="64" spans="1:12" s="81" customFormat="1" ht="15" customHeight="1">
      <c r="A64" s="43" t="str">
        <f>IF(Calcu!B198=TRUE,"","삭제")</f>
        <v>삭제</v>
      </c>
      <c r="D64" s="43"/>
      <c r="E64" s="192" t="str">
        <f>Calcu!AD198</f>
        <v/>
      </c>
      <c r="F64" s="192" t="e">
        <f ca="1">Calcu!AG198</f>
        <v>#N/A</v>
      </c>
      <c r="G64" s="192" t="e">
        <f ca="1">Calcu!AH198</f>
        <v>#N/A</v>
      </c>
      <c r="H64" s="192" t="str">
        <f>Calcu!AI198</f>
        <v/>
      </c>
      <c r="I64" s="51"/>
    </row>
    <row r="65" spans="1:13" s="81" customFormat="1" ht="15" customHeight="1">
      <c r="A65" s="43" t="str">
        <f>IF(Calcu!B199=TRUE,"","삭제")</f>
        <v>삭제</v>
      </c>
      <c r="D65" s="43"/>
      <c r="E65" s="192" t="str">
        <f>Calcu!AD199</f>
        <v/>
      </c>
      <c r="F65" s="192" t="e">
        <f ca="1">Calcu!AG199</f>
        <v>#N/A</v>
      </c>
      <c r="G65" s="192" t="e">
        <f ca="1">Calcu!AH199</f>
        <v>#N/A</v>
      </c>
      <c r="H65" s="192" t="str">
        <f>Calcu!AI199</f>
        <v/>
      </c>
      <c r="I65" s="51"/>
    </row>
    <row r="66" spans="1:13" s="81" customFormat="1" ht="15" customHeight="1">
      <c r="A66" s="43" t="str">
        <f>IF(Calcu!B200=TRUE,"","삭제")</f>
        <v>삭제</v>
      </c>
      <c r="D66" s="43"/>
      <c r="E66" s="192" t="str">
        <f>Calcu!AD200</f>
        <v/>
      </c>
      <c r="F66" s="192" t="e">
        <f ca="1">Calcu!AG200</f>
        <v>#N/A</v>
      </c>
      <c r="G66" s="192" t="e">
        <f ca="1">Calcu!AH200</f>
        <v>#N/A</v>
      </c>
      <c r="H66" s="192" t="str">
        <f>Calcu!AI200</f>
        <v/>
      </c>
      <c r="I66" s="51"/>
    </row>
    <row r="67" spans="1:13" s="81" customFormat="1" ht="15" customHeight="1">
      <c r="A67" s="43" t="str">
        <f>IF(Calcu!B201=TRUE,"","삭제")</f>
        <v>삭제</v>
      </c>
      <c r="D67" s="43"/>
      <c r="E67" s="192" t="str">
        <f>Calcu!AD201</f>
        <v/>
      </c>
      <c r="F67" s="192" t="e">
        <f ca="1">Calcu!AG201</f>
        <v>#N/A</v>
      </c>
      <c r="G67" s="192" t="e">
        <f ca="1">Calcu!AH201</f>
        <v>#N/A</v>
      </c>
      <c r="H67" s="192" t="str">
        <f>Calcu!AI201</f>
        <v/>
      </c>
      <c r="I67" s="51"/>
    </row>
    <row r="68" spans="1:13" s="81" customFormat="1" ht="15" customHeight="1">
      <c r="A68" s="43" t="str">
        <f>IF(Calcu!B202=TRUE,"","삭제")</f>
        <v>삭제</v>
      </c>
      <c r="D68" s="43"/>
      <c r="E68" s="192" t="str">
        <f>Calcu!AD202</f>
        <v/>
      </c>
      <c r="F68" s="192" t="e">
        <f ca="1">Calcu!AG202</f>
        <v>#N/A</v>
      </c>
      <c r="G68" s="192" t="e">
        <f ca="1">Calcu!AH202</f>
        <v>#N/A</v>
      </c>
      <c r="H68" s="192" t="str">
        <f>Calcu!AI202</f>
        <v/>
      </c>
      <c r="I68" s="51"/>
    </row>
    <row r="69" spans="1:13" s="81" customFormat="1" ht="15" customHeight="1">
      <c r="A69" s="43" t="str">
        <f>IF(Calcu!B203=TRUE,"","삭제")</f>
        <v>삭제</v>
      </c>
      <c r="D69" s="43"/>
      <c r="E69" s="192" t="str">
        <f>Calcu!AD203</f>
        <v/>
      </c>
      <c r="F69" s="192" t="e">
        <f ca="1">Calcu!AG203</f>
        <v>#N/A</v>
      </c>
      <c r="G69" s="192" t="e">
        <f ca="1">Calcu!AH203</f>
        <v>#N/A</v>
      </c>
      <c r="H69" s="192" t="str">
        <f>Calcu!AI203</f>
        <v/>
      </c>
      <c r="I69" s="51"/>
    </row>
    <row r="70" spans="1:13" s="81" customFormat="1" ht="15" customHeight="1">
      <c r="A70" s="43" t="str">
        <f>IF(Calcu!B204=TRUE,"","삭제")</f>
        <v>삭제</v>
      </c>
      <c r="D70" s="43"/>
      <c r="E70" s="192" t="str">
        <f>Calcu!AD204</f>
        <v/>
      </c>
      <c r="F70" s="192" t="e">
        <f ca="1">Calcu!AG204</f>
        <v>#N/A</v>
      </c>
      <c r="G70" s="192" t="e">
        <f ca="1">Calcu!AH204</f>
        <v>#N/A</v>
      </c>
      <c r="H70" s="192" t="str">
        <f>Calcu!AI204</f>
        <v/>
      </c>
      <c r="I70" s="51"/>
    </row>
    <row r="71" spans="1:13" s="81" customFormat="1" ht="15" customHeight="1">
      <c r="A71" s="43" t="str">
        <f>IF(Calcu!B205=TRUE,"","삭제")</f>
        <v>삭제</v>
      </c>
      <c r="D71" s="43"/>
      <c r="E71" s="192" t="str">
        <f>Calcu!AD205</f>
        <v/>
      </c>
      <c r="F71" s="192" t="e">
        <f ca="1">Calcu!AG205</f>
        <v>#N/A</v>
      </c>
      <c r="G71" s="192" t="e">
        <f ca="1">Calcu!AH205</f>
        <v>#N/A</v>
      </c>
      <c r="H71" s="192" t="str">
        <f>Calcu!AI205</f>
        <v/>
      </c>
      <c r="I71" s="51"/>
    </row>
    <row r="72" spans="1:13" s="81" customFormat="1" ht="15" customHeight="1">
      <c r="A72" s="43" t="str">
        <f>IF(Calcu!B206=TRUE,"","삭제")</f>
        <v>삭제</v>
      </c>
      <c r="D72" s="43"/>
      <c r="E72" s="192" t="str">
        <f>Calcu!AD206</f>
        <v/>
      </c>
      <c r="F72" s="192" t="e">
        <f ca="1">Calcu!AG206</f>
        <v>#N/A</v>
      </c>
      <c r="G72" s="192" t="e">
        <f ca="1">Calcu!AH206</f>
        <v>#N/A</v>
      </c>
      <c r="H72" s="192" t="str">
        <f>Calcu!AI206</f>
        <v/>
      </c>
      <c r="I72" s="51"/>
    </row>
    <row r="73" spans="1:13" s="81" customFormat="1" ht="15" customHeight="1">
      <c r="A73" s="43" t="str">
        <f>IF(Calcu!B207=TRUE,"","삭제")</f>
        <v>삭제</v>
      </c>
      <c r="D73" s="43"/>
      <c r="E73" s="192" t="str">
        <f>Calcu!AD207</f>
        <v/>
      </c>
      <c r="F73" s="192" t="e">
        <f ca="1">Calcu!AG207</f>
        <v>#N/A</v>
      </c>
      <c r="G73" s="192" t="e">
        <f ca="1">Calcu!AH207</f>
        <v>#N/A</v>
      </c>
      <c r="H73" s="192" t="str">
        <f>Calcu!AI207</f>
        <v/>
      </c>
      <c r="I73" s="51"/>
    </row>
    <row r="74" spans="1:13" s="81" customFormat="1" ht="15" customHeight="1">
      <c r="A74" s="43" t="str">
        <f>IF(Calcu!B208=TRUE,"","삭제")</f>
        <v>삭제</v>
      </c>
      <c r="D74" s="43"/>
      <c r="E74" s="192" t="str">
        <f>Calcu!AD208</f>
        <v/>
      </c>
      <c r="F74" s="192" t="e">
        <f ca="1">Calcu!AG208</f>
        <v>#N/A</v>
      </c>
      <c r="G74" s="192" t="e">
        <f ca="1">Calcu!AH208</f>
        <v>#N/A</v>
      </c>
      <c r="H74" s="192" t="str">
        <f>Calcu!AI208</f>
        <v/>
      </c>
      <c r="I74" s="51"/>
    </row>
    <row r="75" spans="1:13" s="81" customFormat="1" ht="15" customHeight="1">
      <c r="A75" s="43" t="str">
        <f>IF(Calcu!B209=TRUE,"","삭제")</f>
        <v>삭제</v>
      </c>
      <c r="D75" s="43"/>
      <c r="E75" s="192" t="str">
        <f>Calcu!AD209</f>
        <v/>
      </c>
      <c r="F75" s="192" t="e">
        <f ca="1">Calcu!AG209</f>
        <v>#N/A</v>
      </c>
      <c r="G75" s="192" t="e">
        <f ca="1">Calcu!AH209</f>
        <v>#N/A</v>
      </c>
      <c r="H75" s="192" t="str">
        <f>Calcu!AI209</f>
        <v/>
      </c>
      <c r="I75" s="51"/>
    </row>
    <row r="76" spans="1:13" s="81" customFormat="1" ht="15" customHeight="1">
      <c r="A76" s="43" t="str">
        <f>IF(Calcu!B210=TRUE,"","삭제")</f>
        <v>삭제</v>
      </c>
      <c r="D76" s="43"/>
      <c r="E76" s="192" t="str">
        <f>Calcu!AD210</f>
        <v/>
      </c>
      <c r="F76" s="192" t="e">
        <f ca="1">Calcu!AG210</f>
        <v>#N/A</v>
      </c>
      <c r="G76" s="192" t="e">
        <f ca="1">Calcu!AH210</f>
        <v>#N/A</v>
      </c>
      <c r="H76" s="192" t="str">
        <f>Calcu!AI210</f>
        <v/>
      </c>
    </row>
    <row r="77" spans="1:13" ht="15" customHeight="1">
      <c r="B77" s="89"/>
      <c r="C77" s="89"/>
      <c r="E77" s="71"/>
      <c r="F77" s="105"/>
      <c r="G77" s="105"/>
      <c r="H77" s="105"/>
      <c r="I77" s="71"/>
      <c r="K77" s="104"/>
      <c r="M77" s="89"/>
    </row>
    <row r="78" spans="1:13" ht="15" customHeight="1">
      <c r="J78" s="89"/>
      <c r="K78" s="104"/>
      <c r="M78" s="89"/>
    </row>
    <row r="79" spans="1:13" ht="15" customHeight="1">
      <c r="J79" s="89"/>
      <c r="K79" s="104"/>
      <c r="M79" s="89"/>
    </row>
  </sheetData>
  <mergeCells count="4">
    <mergeCell ref="H55:H56"/>
    <mergeCell ref="H7:H8"/>
    <mergeCell ref="A1:L2"/>
    <mergeCell ref="H31:H3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89" customWidth="1"/>
    <col min="13" max="16384" width="10.77734375" style="81"/>
  </cols>
  <sheetData>
    <row r="1" spans="1:12" s="76" customFormat="1" ht="33" customHeight="1">
      <c r="A1" s="501" t="s">
        <v>59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501"/>
    </row>
    <row r="2" spans="1:12" s="76" customFormat="1" ht="33" customHeight="1">
      <c r="A2" s="501"/>
      <c r="B2" s="501"/>
      <c r="C2" s="501"/>
      <c r="D2" s="501"/>
      <c r="E2" s="501"/>
      <c r="F2" s="501"/>
      <c r="G2" s="501"/>
      <c r="H2" s="501"/>
      <c r="I2" s="501"/>
      <c r="J2" s="501"/>
      <c r="K2" s="501"/>
      <c r="L2" s="501"/>
    </row>
    <row r="3" spans="1:12" s="76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77"/>
    </row>
    <row r="4" spans="1:12" s="78" customFormat="1" ht="13.5" customHeight="1">
      <c r="A4" s="86"/>
      <c r="B4" s="86"/>
      <c r="C4" s="87"/>
      <c r="D4" s="87"/>
      <c r="E4" s="95"/>
      <c r="F4" s="87"/>
      <c r="G4" s="87"/>
      <c r="H4" s="96"/>
      <c r="I4" s="88"/>
      <c r="J4" s="95"/>
      <c r="K4" s="95"/>
      <c r="L4" s="86"/>
    </row>
    <row r="5" spans="1:12" s="80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79"/>
    </row>
    <row r="6" spans="1:12" s="37" customFormat="1" ht="15" customHeight="1">
      <c r="C6" s="54" t="str">
        <f>"○ 품명 : "&amp;기본정보!C$5</f>
        <v xml:space="preserve">○ 품명 : </v>
      </c>
      <c r="L6" s="89"/>
    </row>
    <row r="7" spans="1:12" s="37" customFormat="1" ht="15" customHeight="1">
      <c r="C7" s="54" t="str">
        <f>"○ 제작회사 : "&amp;기본정보!C$6</f>
        <v xml:space="preserve">○ 제작회사 : </v>
      </c>
      <c r="L7" s="89"/>
    </row>
    <row r="8" spans="1:12" s="37" customFormat="1" ht="15" customHeight="1">
      <c r="C8" s="54" t="str">
        <f>"○ 형식 : "&amp;기본정보!C$7</f>
        <v xml:space="preserve">○ 형식 : </v>
      </c>
      <c r="L8" s="89"/>
    </row>
    <row r="9" spans="1:12" s="37" customFormat="1" ht="15" customHeight="1">
      <c r="C9" s="54" t="str">
        <f>"○ 기기번호 : "&amp;기본정보!C$8</f>
        <v xml:space="preserve">○ 기기번호 : </v>
      </c>
      <c r="L9" s="89"/>
    </row>
    <row r="10" spans="1:12" s="37" customFormat="1" ht="15" customHeight="1">
      <c r="L10" s="89"/>
    </row>
    <row r="11" spans="1:12" ht="15" customHeight="1">
      <c r="B11" s="71"/>
      <c r="C11" s="105"/>
      <c r="D11" s="105"/>
      <c r="E11" s="105"/>
      <c r="F11" s="105"/>
      <c r="G11" s="105"/>
      <c r="H11" s="106"/>
      <c r="I11" s="106"/>
      <c r="J11" s="105"/>
      <c r="K11" s="71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102"/>
  <sheetViews>
    <sheetView showGridLines="0" zoomScaleNormal="100" workbookViewId="0"/>
  </sheetViews>
  <sheetFormatPr defaultColWidth="8.77734375" defaultRowHeight="13.5" customHeight="1"/>
  <cols>
    <col min="1" max="1" width="3.77734375" style="30" customWidth="1"/>
    <col min="2" max="2" width="8.77734375" style="30"/>
    <col min="3" max="4" width="8.77734375" style="31"/>
    <col min="5" max="5" width="8.77734375" style="26"/>
    <col min="6" max="8" width="8.77734375" style="27"/>
    <col min="9" max="9" width="8.77734375" style="27" customWidth="1"/>
    <col min="10" max="15" width="8.77734375" style="45"/>
    <col min="16" max="16" width="3.77734375" style="45" customWidth="1"/>
    <col min="17" max="19" width="8.77734375" style="45"/>
    <col min="20" max="16384" width="8.77734375" style="29"/>
  </cols>
  <sheetData>
    <row r="1" spans="1:30" s="66" customFormat="1" ht="25.5">
      <c r="A1" s="62" t="s">
        <v>61</v>
      </c>
      <c r="B1" s="31"/>
      <c r="C1" s="31"/>
      <c r="D1" s="31"/>
      <c r="E1" s="63"/>
      <c r="F1" s="27"/>
      <c r="G1" s="27"/>
      <c r="H1" s="27"/>
      <c r="I1" s="27"/>
      <c r="J1" s="27"/>
      <c r="K1" s="64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97" t="s">
        <v>2</v>
      </c>
      <c r="C3" s="98">
        <f>기본정보!C3</f>
        <v>0</v>
      </c>
      <c r="D3" s="97" t="s">
        <v>82</v>
      </c>
      <c r="E3" s="509">
        <f>기본정보!H3</f>
        <v>0</v>
      </c>
      <c r="F3" s="510"/>
      <c r="G3" s="97" t="s">
        <v>85</v>
      </c>
      <c r="H3" s="100">
        <f>기본정보!H8</f>
        <v>0</v>
      </c>
      <c r="I3" s="25"/>
    </row>
    <row r="4" spans="1:30" s="28" customFormat="1" ht="15" customHeight="1">
      <c r="A4" s="46"/>
      <c r="B4" s="97" t="s">
        <v>32</v>
      </c>
      <c r="C4" s="99">
        <f>기본정보!C8</f>
        <v>0</v>
      </c>
      <c r="D4" s="97" t="s">
        <v>83</v>
      </c>
      <c r="E4" s="507">
        <f>기본정보!H4</f>
        <v>0</v>
      </c>
      <c r="F4" s="508"/>
      <c r="G4" s="97" t="s">
        <v>14</v>
      </c>
      <c r="H4" s="100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633</v>
      </c>
      <c r="D6" s="25"/>
      <c r="E6" s="25"/>
      <c r="F6" s="25"/>
      <c r="G6" s="25"/>
      <c r="H6" s="25"/>
      <c r="I6" s="25"/>
      <c r="J6" s="46" t="s">
        <v>634</v>
      </c>
      <c r="L6" s="25"/>
      <c r="M6" s="25"/>
      <c r="N6" s="25"/>
      <c r="O6" s="25"/>
    </row>
    <row r="7" spans="1:30" s="28" customFormat="1" ht="15" customHeight="1">
      <c r="A7" s="46"/>
      <c r="B7" s="97" t="s">
        <v>106</v>
      </c>
      <c r="C7" s="97" t="s">
        <v>62</v>
      </c>
      <c r="D7" s="97" t="s">
        <v>60</v>
      </c>
      <c r="E7" s="25"/>
      <c r="F7" s="25"/>
      <c r="G7" s="25"/>
      <c r="H7" s="25"/>
      <c r="I7" s="25"/>
      <c r="J7" s="97" t="s">
        <v>106</v>
      </c>
      <c r="K7" s="97" t="s">
        <v>62</v>
      </c>
      <c r="L7" s="97" t="s">
        <v>60</v>
      </c>
      <c r="M7" s="25"/>
      <c r="N7" s="25"/>
      <c r="O7" s="25"/>
    </row>
    <row r="8" spans="1:30" s="28" customFormat="1" ht="15" customHeight="1">
      <c r="A8" s="46"/>
      <c r="B8" s="98">
        <f>Calcu!E4</f>
        <v>0</v>
      </c>
      <c r="C8" s="98">
        <f>Calcu!F4</f>
        <v>0</v>
      </c>
      <c r="D8" s="98">
        <f>Calcu!H4</f>
        <v>0</v>
      </c>
      <c r="E8" s="25"/>
      <c r="F8" s="25"/>
      <c r="G8" s="25"/>
      <c r="H8" s="25"/>
      <c r="I8" s="25"/>
      <c r="J8" s="98">
        <f>Calcu!E66</f>
        <v>0</v>
      </c>
      <c r="K8" s="98">
        <f>Calcu!F66</f>
        <v>0</v>
      </c>
      <c r="L8" s="98">
        <f>Calcu!H66</f>
        <v>0</v>
      </c>
      <c r="M8" s="25"/>
      <c r="N8" s="25"/>
      <c r="O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30" s="28" customFormat="1" ht="15" customHeight="1">
      <c r="A10" s="46"/>
      <c r="B10" s="101" t="s">
        <v>84</v>
      </c>
      <c r="C10" s="25"/>
      <c r="D10" s="25"/>
      <c r="E10" s="25"/>
      <c r="F10" s="25"/>
      <c r="G10" s="25"/>
      <c r="H10" s="25"/>
      <c r="I10" s="25"/>
      <c r="J10" s="101" t="s">
        <v>84</v>
      </c>
      <c r="K10" s="25"/>
      <c r="L10" s="25"/>
      <c r="M10" s="25"/>
      <c r="N10" s="25"/>
      <c r="O10" s="25"/>
    </row>
    <row r="11" spans="1:30" ht="13.5" customHeight="1">
      <c r="A11" s="29"/>
      <c r="B11" s="102" t="s">
        <v>118</v>
      </c>
      <c r="F11" s="25"/>
      <c r="G11" s="25"/>
      <c r="H11" s="25"/>
      <c r="I11" s="25"/>
      <c r="J11" s="102" t="s">
        <v>118</v>
      </c>
      <c r="K11" s="31"/>
      <c r="L11" s="31"/>
      <c r="M11" s="26"/>
      <c r="N11" s="25"/>
      <c r="O11" s="25"/>
    </row>
    <row r="12" spans="1:30" ht="13.5" customHeight="1">
      <c r="B12" s="505" t="s">
        <v>123</v>
      </c>
      <c r="C12" s="502" t="str">
        <f>Calcu!E7</f>
        <v>측정투영기 지시값</v>
      </c>
      <c r="D12" s="503"/>
      <c r="E12" s="503"/>
      <c r="F12" s="503"/>
      <c r="G12" s="504"/>
      <c r="H12" s="25"/>
      <c r="I12" s="25"/>
      <c r="J12" s="505" t="s">
        <v>90</v>
      </c>
      <c r="K12" s="502" t="str">
        <f>Calcu!E69</f>
        <v>측정투영기 지시값</v>
      </c>
      <c r="L12" s="503"/>
      <c r="M12" s="503"/>
      <c r="N12" s="503"/>
      <c r="O12" s="504"/>
    </row>
    <row r="13" spans="1:30" ht="13.5" customHeight="1">
      <c r="B13" s="506"/>
      <c r="C13" s="97" t="s">
        <v>79</v>
      </c>
      <c r="D13" s="97" t="s">
        <v>77</v>
      </c>
      <c r="E13" s="97" t="s">
        <v>78</v>
      </c>
      <c r="F13" s="97" t="s">
        <v>119</v>
      </c>
      <c r="G13" s="97" t="s">
        <v>120</v>
      </c>
      <c r="H13" s="25"/>
      <c r="I13" s="25"/>
      <c r="J13" s="506"/>
      <c r="K13" s="97" t="s">
        <v>79</v>
      </c>
      <c r="L13" s="97" t="s">
        <v>77</v>
      </c>
      <c r="M13" s="97" t="s">
        <v>78</v>
      </c>
      <c r="N13" s="97" t="s">
        <v>119</v>
      </c>
      <c r="O13" s="97" t="s">
        <v>120</v>
      </c>
    </row>
    <row r="14" spans="1:30" ht="13.5" customHeight="1">
      <c r="B14" s="97">
        <f>D8</f>
        <v>0</v>
      </c>
      <c r="C14" s="97">
        <f t="shared" ref="C14:G14" si="0">B14</f>
        <v>0</v>
      </c>
      <c r="D14" s="97">
        <f t="shared" si="0"/>
        <v>0</v>
      </c>
      <c r="E14" s="97">
        <f t="shared" si="0"/>
        <v>0</v>
      </c>
      <c r="F14" s="97">
        <f t="shared" si="0"/>
        <v>0</v>
      </c>
      <c r="G14" s="97">
        <f t="shared" si="0"/>
        <v>0</v>
      </c>
      <c r="H14" s="25"/>
      <c r="I14" s="25"/>
      <c r="J14" s="97">
        <f>L8</f>
        <v>0</v>
      </c>
      <c r="K14" s="97">
        <f>J14</f>
        <v>0</v>
      </c>
      <c r="L14" s="97">
        <f>K14</f>
        <v>0</v>
      </c>
      <c r="M14" s="97">
        <f>L14</f>
        <v>0</v>
      </c>
      <c r="N14" s="97">
        <f>M14</f>
        <v>0</v>
      </c>
      <c r="O14" s="97">
        <f>N14</f>
        <v>0</v>
      </c>
    </row>
    <row r="15" spans="1:30" ht="13.5" customHeight="1">
      <c r="B15" s="98" t="str">
        <f>Calcu!C10</f>
        <v/>
      </c>
      <c r="C15" s="98" t="str">
        <f>IF(Calcu!$B10=FALSE,"",TEXT(Calcu!E10,Calcu!$Q$47))</f>
        <v/>
      </c>
      <c r="D15" s="98" t="str">
        <f>IF(Calcu!$B10=FALSE,"",TEXT(Calcu!F10,Calcu!$Q$47))</f>
        <v/>
      </c>
      <c r="E15" s="98" t="str">
        <f>IF(Calcu!$B10=FALSE,"",TEXT(Calcu!G10,Calcu!$Q$47))</f>
        <v/>
      </c>
      <c r="F15" s="98" t="str">
        <f>IF(Calcu!$B10=FALSE,"",TEXT(Calcu!H10,Calcu!$Q$47))</f>
        <v/>
      </c>
      <c r="G15" s="98" t="str">
        <f>IF(Calcu!$B10=FALSE,"",TEXT(Calcu!I10,Calcu!$Q$47))</f>
        <v/>
      </c>
      <c r="H15" s="25"/>
      <c r="I15" s="25"/>
      <c r="J15" s="98" t="str">
        <f>Calcu!C72</f>
        <v/>
      </c>
      <c r="K15" s="98" t="str">
        <f>IF(Calcu!$B72=FALSE,"",TEXT(Calcu!E72,Calcu!$Q$109))</f>
        <v/>
      </c>
      <c r="L15" s="98" t="str">
        <f>IF(Calcu!$B72=FALSE,"",TEXT(Calcu!F72,Calcu!$Q$109))</f>
        <v/>
      </c>
      <c r="M15" s="98" t="str">
        <f>IF(Calcu!$B72=FALSE,"",TEXT(Calcu!G72,Calcu!$Q$109))</f>
        <v/>
      </c>
      <c r="N15" s="98" t="str">
        <f>IF(Calcu!$B72=FALSE,"",TEXT(Calcu!H72,Calcu!$Q$109))</f>
        <v/>
      </c>
      <c r="O15" s="98" t="str">
        <f>IF(Calcu!$B72=FALSE,"",TEXT(Calcu!I72,Calcu!$Q$109))</f>
        <v/>
      </c>
    </row>
    <row r="16" spans="1:30" ht="13.5" customHeight="1">
      <c r="B16" s="98" t="str">
        <f>Calcu!C11</f>
        <v/>
      </c>
      <c r="C16" s="98" t="str">
        <f>IF(Calcu!$B11=FALSE,"",TEXT(Calcu!E11,Calcu!$Q$47))</f>
        <v/>
      </c>
      <c r="D16" s="98" t="str">
        <f>IF(Calcu!$B11=FALSE,"",TEXT(Calcu!F11,Calcu!$Q$47))</f>
        <v/>
      </c>
      <c r="E16" s="98" t="str">
        <f>IF(Calcu!$B11=FALSE,"",TEXT(Calcu!G11,Calcu!$Q$47))</f>
        <v/>
      </c>
      <c r="F16" s="98" t="str">
        <f>IF(Calcu!$B11=FALSE,"",TEXT(Calcu!H11,Calcu!$Q$47))</f>
        <v/>
      </c>
      <c r="G16" s="98" t="str">
        <f>IF(Calcu!$B11=FALSE,"",TEXT(Calcu!I11,Calcu!$Q$47))</f>
        <v/>
      </c>
      <c r="H16" s="25"/>
      <c r="I16" s="25"/>
      <c r="J16" s="98" t="str">
        <f>Calcu!C73</f>
        <v/>
      </c>
      <c r="K16" s="98" t="str">
        <f>IF(Calcu!$B73=FALSE,"",TEXT(Calcu!E73,Calcu!$Q$109))</f>
        <v/>
      </c>
      <c r="L16" s="98" t="str">
        <f>IF(Calcu!$B73=FALSE,"",TEXT(Calcu!F73,Calcu!$Q$109))</f>
        <v/>
      </c>
      <c r="M16" s="98" t="str">
        <f>IF(Calcu!$B73=FALSE,"",TEXT(Calcu!G73,Calcu!$Q$109))</f>
        <v/>
      </c>
      <c r="N16" s="98" t="str">
        <f>IF(Calcu!$B73=FALSE,"",TEXT(Calcu!H73,Calcu!$Q$109))</f>
        <v/>
      </c>
      <c r="O16" s="98" t="str">
        <f>IF(Calcu!$B73=FALSE,"",TEXT(Calcu!I73,Calcu!$Q$109))</f>
        <v/>
      </c>
    </row>
    <row r="17" spans="2:15" ht="13.5" customHeight="1">
      <c r="B17" s="98" t="str">
        <f>Calcu!C12</f>
        <v/>
      </c>
      <c r="C17" s="98" t="str">
        <f>IF(Calcu!$B12=FALSE,"",TEXT(Calcu!E12,Calcu!$Q$47))</f>
        <v/>
      </c>
      <c r="D17" s="98" t="str">
        <f>IF(Calcu!$B12=FALSE,"",TEXT(Calcu!F12,Calcu!$Q$47))</f>
        <v/>
      </c>
      <c r="E17" s="98" t="str">
        <f>IF(Calcu!$B12=FALSE,"",TEXT(Calcu!G12,Calcu!$Q$47))</f>
        <v/>
      </c>
      <c r="F17" s="98" t="str">
        <f>IF(Calcu!$B12=FALSE,"",TEXT(Calcu!H12,Calcu!$Q$47))</f>
        <v/>
      </c>
      <c r="G17" s="98" t="str">
        <f>IF(Calcu!$B12=FALSE,"",TEXT(Calcu!I12,Calcu!$Q$47))</f>
        <v/>
      </c>
      <c r="H17" s="25"/>
      <c r="I17" s="25"/>
      <c r="J17" s="98" t="str">
        <f>Calcu!C74</f>
        <v/>
      </c>
      <c r="K17" s="98" t="str">
        <f>IF(Calcu!$B74=FALSE,"",TEXT(Calcu!E74,Calcu!$Q$109))</f>
        <v/>
      </c>
      <c r="L17" s="98" t="str">
        <f>IF(Calcu!$B74=FALSE,"",TEXT(Calcu!F74,Calcu!$Q$109))</f>
        <v/>
      </c>
      <c r="M17" s="98" t="str">
        <f>IF(Calcu!$B74=FALSE,"",TEXT(Calcu!G74,Calcu!$Q$109))</f>
        <v/>
      </c>
      <c r="N17" s="98" t="str">
        <f>IF(Calcu!$B74=FALSE,"",TEXT(Calcu!H74,Calcu!$Q$109))</f>
        <v/>
      </c>
      <c r="O17" s="98" t="str">
        <f>IF(Calcu!$B74=FALSE,"",TEXT(Calcu!I74,Calcu!$Q$109))</f>
        <v/>
      </c>
    </row>
    <row r="18" spans="2:15" ht="13.5" customHeight="1">
      <c r="B18" s="98" t="str">
        <f>Calcu!C13</f>
        <v/>
      </c>
      <c r="C18" s="98" t="str">
        <f>IF(Calcu!$B13=FALSE,"",TEXT(Calcu!E13,Calcu!$Q$47))</f>
        <v/>
      </c>
      <c r="D18" s="98" t="str">
        <f>IF(Calcu!$B13=FALSE,"",TEXT(Calcu!F13,Calcu!$Q$47))</f>
        <v/>
      </c>
      <c r="E18" s="98" t="str">
        <f>IF(Calcu!$B13=FALSE,"",TEXT(Calcu!G13,Calcu!$Q$47))</f>
        <v/>
      </c>
      <c r="F18" s="98" t="str">
        <f>IF(Calcu!$B13=FALSE,"",TEXT(Calcu!H13,Calcu!$Q$47))</f>
        <v/>
      </c>
      <c r="G18" s="98" t="str">
        <f>IF(Calcu!$B13=FALSE,"",TEXT(Calcu!I13,Calcu!$Q$47))</f>
        <v/>
      </c>
      <c r="H18" s="25"/>
      <c r="I18" s="25"/>
      <c r="J18" s="98" t="str">
        <f>Calcu!C75</f>
        <v/>
      </c>
      <c r="K18" s="98" t="str">
        <f>IF(Calcu!$B75=FALSE,"",TEXT(Calcu!E75,Calcu!$Q$109))</f>
        <v/>
      </c>
      <c r="L18" s="98" t="str">
        <f>IF(Calcu!$B75=FALSE,"",TEXT(Calcu!F75,Calcu!$Q$109))</f>
        <v/>
      </c>
      <c r="M18" s="98" t="str">
        <f>IF(Calcu!$B75=FALSE,"",TEXT(Calcu!G75,Calcu!$Q$109))</f>
        <v/>
      </c>
      <c r="N18" s="98" t="str">
        <f>IF(Calcu!$B75=FALSE,"",TEXT(Calcu!H75,Calcu!$Q$109))</f>
        <v/>
      </c>
      <c r="O18" s="98" t="str">
        <f>IF(Calcu!$B75=FALSE,"",TEXT(Calcu!I75,Calcu!$Q$109))</f>
        <v/>
      </c>
    </row>
    <row r="19" spans="2:15" ht="13.5" customHeight="1">
      <c r="B19" s="98" t="str">
        <f>Calcu!C14</f>
        <v/>
      </c>
      <c r="C19" s="98" t="str">
        <f>IF(Calcu!$B14=FALSE,"",TEXT(Calcu!E14,Calcu!$Q$47))</f>
        <v/>
      </c>
      <c r="D19" s="98" t="str">
        <f>IF(Calcu!$B14=FALSE,"",TEXT(Calcu!F14,Calcu!$Q$47))</f>
        <v/>
      </c>
      <c r="E19" s="98" t="str">
        <f>IF(Calcu!$B14=FALSE,"",TEXT(Calcu!G14,Calcu!$Q$47))</f>
        <v/>
      </c>
      <c r="F19" s="98" t="str">
        <f>IF(Calcu!$B14=FALSE,"",TEXT(Calcu!H14,Calcu!$Q$47))</f>
        <v/>
      </c>
      <c r="G19" s="98" t="str">
        <f>IF(Calcu!$B14=FALSE,"",TEXT(Calcu!I14,Calcu!$Q$47))</f>
        <v/>
      </c>
      <c r="H19" s="25"/>
      <c r="I19" s="25"/>
      <c r="J19" s="98" t="str">
        <f>Calcu!C76</f>
        <v/>
      </c>
      <c r="K19" s="98" t="str">
        <f>IF(Calcu!$B76=FALSE,"",TEXT(Calcu!E76,Calcu!$Q$109))</f>
        <v/>
      </c>
      <c r="L19" s="98" t="str">
        <f>IF(Calcu!$B76=FALSE,"",TEXT(Calcu!F76,Calcu!$Q$109))</f>
        <v/>
      </c>
      <c r="M19" s="98" t="str">
        <f>IF(Calcu!$B76=FALSE,"",TEXT(Calcu!G76,Calcu!$Q$109))</f>
        <v/>
      </c>
      <c r="N19" s="98" t="str">
        <f>IF(Calcu!$B76=FALSE,"",TEXT(Calcu!H76,Calcu!$Q$109))</f>
        <v/>
      </c>
      <c r="O19" s="98" t="str">
        <f>IF(Calcu!$B76=FALSE,"",TEXT(Calcu!I76,Calcu!$Q$109))</f>
        <v/>
      </c>
    </row>
    <row r="20" spans="2:15" ht="13.5" customHeight="1">
      <c r="B20" s="98" t="str">
        <f>Calcu!C15</f>
        <v/>
      </c>
      <c r="C20" s="98" t="str">
        <f>IF(Calcu!$B15=FALSE,"",TEXT(Calcu!E15,Calcu!$Q$47))</f>
        <v/>
      </c>
      <c r="D20" s="98" t="str">
        <f>IF(Calcu!$B15=FALSE,"",TEXT(Calcu!F15,Calcu!$Q$47))</f>
        <v/>
      </c>
      <c r="E20" s="98" t="str">
        <f>IF(Calcu!$B15=FALSE,"",TEXT(Calcu!G15,Calcu!$Q$47))</f>
        <v/>
      </c>
      <c r="F20" s="98" t="str">
        <f>IF(Calcu!$B15=FALSE,"",TEXT(Calcu!H15,Calcu!$Q$47))</f>
        <v/>
      </c>
      <c r="G20" s="98" t="str">
        <f>IF(Calcu!$B15=FALSE,"",TEXT(Calcu!I15,Calcu!$Q$47))</f>
        <v/>
      </c>
      <c r="H20" s="25"/>
      <c r="I20" s="25"/>
      <c r="J20" s="98" t="str">
        <f>Calcu!C77</f>
        <v/>
      </c>
      <c r="K20" s="98" t="str">
        <f>IF(Calcu!$B77=FALSE,"",TEXT(Calcu!E77,Calcu!$Q$109))</f>
        <v/>
      </c>
      <c r="L20" s="98" t="str">
        <f>IF(Calcu!$B77=FALSE,"",TEXT(Calcu!F77,Calcu!$Q$109))</f>
        <v/>
      </c>
      <c r="M20" s="98" t="str">
        <f>IF(Calcu!$B77=FALSE,"",TEXT(Calcu!G77,Calcu!$Q$109))</f>
        <v/>
      </c>
      <c r="N20" s="98" t="str">
        <f>IF(Calcu!$B77=FALSE,"",TEXT(Calcu!H77,Calcu!$Q$109))</f>
        <v/>
      </c>
      <c r="O20" s="98" t="str">
        <f>IF(Calcu!$B77=FALSE,"",TEXT(Calcu!I77,Calcu!$Q$109))</f>
        <v/>
      </c>
    </row>
    <row r="21" spans="2:15" ht="13.5" customHeight="1">
      <c r="B21" s="98" t="str">
        <f>Calcu!C16</f>
        <v/>
      </c>
      <c r="C21" s="98" t="str">
        <f>IF(Calcu!$B16=FALSE,"",TEXT(Calcu!E16,Calcu!$Q$47))</f>
        <v/>
      </c>
      <c r="D21" s="98" t="str">
        <f>IF(Calcu!$B16=FALSE,"",TEXT(Calcu!F16,Calcu!$Q$47))</f>
        <v/>
      </c>
      <c r="E21" s="98" t="str">
        <f>IF(Calcu!$B16=FALSE,"",TEXT(Calcu!G16,Calcu!$Q$47))</f>
        <v/>
      </c>
      <c r="F21" s="98" t="str">
        <f>IF(Calcu!$B16=FALSE,"",TEXT(Calcu!H16,Calcu!$Q$47))</f>
        <v/>
      </c>
      <c r="G21" s="98" t="str">
        <f>IF(Calcu!$B16=FALSE,"",TEXT(Calcu!I16,Calcu!$Q$47))</f>
        <v/>
      </c>
      <c r="J21" s="98" t="str">
        <f>Calcu!C78</f>
        <v/>
      </c>
      <c r="K21" s="98" t="str">
        <f>IF(Calcu!$B78=FALSE,"",TEXT(Calcu!E78,Calcu!$Q$109))</f>
        <v/>
      </c>
      <c r="L21" s="98" t="str">
        <f>IF(Calcu!$B78=FALSE,"",TEXT(Calcu!F78,Calcu!$Q$109))</f>
        <v/>
      </c>
      <c r="M21" s="98" t="str">
        <f>IF(Calcu!$B78=FALSE,"",TEXT(Calcu!G78,Calcu!$Q$109))</f>
        <v/>
      </c>
      <c r="N21" s="98" t="str">
        <f>IF(Calcu!$B78=FALSE,"",TEXT(Calcu!H78,Calcu!$Q$109))</f>
        <v/>
      </c>
      <c r="O21" s="98" t="str">
        <f>IF(Calcu!$B78=FALSE,"",TEXT(Calcu!I78,Calcu!$Q$109))</f>
        <v/>
      </c>
    </row>
    <row r="22" spans="2:15" ht="13.5" customHeight="1">
      <c r="B22" s="98" t="str">
        <f>Calcu!C17</f>
        <v/>
      </c>
      <c r="C22" s="98" t="str">
        <f>IF(Calcu!$B17=FALSE,"",TEXT(Calcu!E17,Calcu!$Q$47))</f>
        <v/>
      </c>
      <c r="D22" s="98" t="str">
        <f>IF(Calcu!$B17=FALSE,"",TEXT(Calcu!F17,Calcu!$Q$47))</f>
        <v/>
      </c>
      <c r="E22" s="98" t="str">
        <f>IF(Calcu!$B17=FALSE,"",TEXT(Calcu!G17,Calcu!$Q$47))</f>
        <v/>
      </c>
      <c r="F22" s="98" t="str">
        <f>IF(Calcu!$B17=FALSE,"",TEXT(Calcu!H17,Calcu!$Q$47))</f>
        <v/>
      </c>
      <c r="G22" s="98" t="str">
        <f>IF(Calcu!$B17=FALSE,"",TEXT(Calcu!I17,Calcu!$Q$47))</f>
        <v/>
      </c>
      <c r="J22" s="98" t="str">
        <f>Calcu!C79</f>
        <v/>
      </c>
      <c r="K22" s="98" t="str">
        <f>IF(Calcu!$B79=FALSE,"",TEXT(Calcu!E79,Calcu!$Q$109))</f>
        <v/>
      </c>
      <c r="L22" s="98" t="str">
        <f>IF(Calcu!$B79=FALSE,"",TEXT(Calcu!F79,Calcu!$Q$109))</f>
        <v/>
      </c>
      <c r="M22" s="98" t="str">
        <f>IF(Calcu!$B79=FALSE,"",TEXT(Calcu!G79,Calcu!$Q$109))</f>
        <v/>
      </c>
      <c r="N22" s="98" t="str">
        <f>IF(Calcu!$B79=FALSE,"",TEXT(Calcu!H79,Calcu!$Q$109))</f>
        <v/>
      </c>
      <c r="O22" s="98" t="str">
        <f>IF(Calcu!$B79=FALSE,"",TEXT(Calcu!I79,Calcu!$Q$109))</f>
        <v/>
      </c>
    </row>
    <row r="23" spans="2:15" ht="13.5" customHeight="1">
      <c r="B23" s="98" t="str">
        <f>Calcu!C18</f>
        <v/>
      </c>
      <c r="C23" s="98" t="str">
        <f>IF(Calcu!$B18=FALSE,"",TEXT(Calcu!E18,Calcu!$Q$47))</f>
        <v/>
      </c>
      <c r="D23" s="98" t="str">
        <f>IF(Calcu!$B18=FALSE,"",TEXT(Calcu!F18,Calcu!$Q$47))</f>
        <v/>
      </c>
      <c r="E23" s="98" t="str">
        <f>IF(Calcu!$B18=FALSE,"",TEXT(Calcu!G18,Calcu!$Q$47))</f>
        <v/>
      </c>
      <c r="F23" s="98" t="str">
        <f>IF(Calcu!$B18=FALSE,"",TEXT(Calcu!H18,Calcu!$Q$47))</f>
        <v/>
      </c>
      <c r="G23" s="98" t="str">
        <f>IF(Calcu!$B18=FALSE,"",TEXT(Calcu!I18,Calcu!$Q$47))</f>
        <v/>
      </c>
      <c r="J23" s="98" t="str">
        <f>Calcu!C80</f>
        <v/>
      </c>
      <c r="K23" s="98" t="str">
        <f>IF(Calcu!$B80=FALSE,"",TEXT(Calcu!E80,Calcu!$Q$109))</f>
        <v/>
      </c>
      <c r="L23" s="98" t="str">
        <f>IF(Calcu!$B80=FALSE,"",TEXT(Calcu!F80,Calcu!$Q$109))</f>
        <v/>
      </c>
      <c r="M23" s="98" t="str">
        <f>IF(Calcu!$B80=FALSE,"",TEXT(Calcu!G80,Calcu!$Q$109))</f>
        <v/>
      </c>
      <c r="N23" s="98" t="str">
        <f>IF(Calcu!$B80=FALSE,"",TEXT(Calcu!H80,Calcu!$Q$109))</f>
        <v/>
      </c>
      <c r="O23" s="98" t="str">
        <f>IF(Calcu!$B80=FALSE,"",TEXT(Calcu!I80,Calcu!$Q$109))</f>
        <v/>
      </c>
    </row>
    <row r="24" spans="2:15" ht="13.5" customHeight="1">
      <c r="B24" s="98" t="str">
        <f>Calcu!C19</f>
        <v/>
      </c>
      <c r="C24" s="98" t="str">
        <f>IF(Calcu!$B19=FALSE,"",TEXT(Calcu!E19,Calcu!$Q$47))</f>
        <v/>
      </c>
      <c r="D24" s="98" t="str">
        <f>IF(Calcu!$B19=FALSE,"",TEXT(Calcu!F19,Calcu!$Q$47))</f>
        <v/>
      </c>
      <c r="E24" s="98" t="str">
        <f>IF(Calcu!$B19=FALSE,"",TEXT(Calcu!G19,Calcu!$Q$47))</f>
        <v/>
      </c>
      <c r="F24" s="98" t="str">
        <f>IF(Calcu!$B19=FALSE,"",TEXT(Calcu!H19,Calcu!$Q$47))</f>
        <v/>
      </c>
      <c r="G24" s="98" t="str">
        <f>IF(Calcu!$B19=FALSE,"",TEXT(Calcu!I19,Calcu!$Q$47))</f>
        <v/>
      </c>
      <c r="J24" s="98" t="str">
        <f>Calcu!C81</f>
        <v/>
      </c>
      <c r="K24" s="98" t="str">
        <f>IF(Calcu!$B81=FALSE,"",TEXT(Calcu!E81,Calcu!$Q$109))</f>
        <v/>
      </c>
      <c r="L24" s="98" t="str">
        <f>IF(Calcu!$B81=FALSE,"",TEXT(Calcu!F81,Calcu!$Q$109))</f>
        <v/>
      </c>
      <c r="M24" s="98" t="str">
        <f>IF(Calcu!$B81=FALSE,"",TEXT(Calcu!G81,Calcu!$Q$109))</f>
        <v/>
      </c>
      <c r="N24" s="98" t="str">
        <f>IF(Calcu!$B81=FALSE,"",TEXT(Calcu!H81,Calcu!$Q$109))</f>
        <v/>
      </c>
      <c r="O24" s="98" t="str">
        <f>IF(Calcu!$B81=FALSE,"",TEXT(Calcu!I81,Calcu!$Q$109))</f>
        <v/>
      </c>
    </row>
    <row r="25" spans="2:15" ht="13.5" customHeight="1">
      <c r="B25" s="98" t="str">
        <f>Calcu!C20</f>
        <v/>
      </c>
      <c r="C25" s="98" t="str">
        <f>IF(Calcu!$B20=FALSE,"",TEXT(Calcu!E20,Calcu!$Q$47))</f>
        <v/>
      </c>
      <c r="D25" s="98" t="str">
        <f>IF(Calcu!$B20=FALSE,"",TEXT(Calcu!F20,Calcu!$Q$47))</f>
        <v/>
      </c>
      <c r="E25" s="98" t="str">
        <f>IF(Calcu!$B20=FALSE,"",TEXT(Calcu!G20,Calcu!$Q$47))</f>
        <v/>
      </c>
      <c r="F25" s="98" t="str">
        <f>IF(Calcu!$B20=FALSE,"",TEXT(Calcu!H20,Calcu!$Q$47))</f>
        <v/>
      </c>
      <c r="G25" s="98" t="str">
        <f>IF(Calcu!$B20=FALSE,"",TEXT(Calcu!I20,Calcu!$Q$47))</f>
        <v/>
      </c>
      <c r="J25" s="98" t="str">
        <f>Calcu!C82</f>
        <v/>
      </c>
      <c r="K25" s="98" t="str">
        <f>IF(Calcu!$B82=FALSE,"",TEXT(Calcu!E82,Calcu!$Q$109))</f>
        <v/>
      </c>
      <c r="L25" s="98" t="str">
        <f>IF(Calcu!$B82=FALSE,"",TEXT(Calcu!F82,Calcu!$Q$109))</f>
        <v/>
      </c>
      <c r="M25" s="98" t="str">
        <f>IF(Calcu!$B82=FALSE,"",TEXT(Calcu!G82,Calcu!$Q$109))</f>
        <v/>
      </c>
      <c r="N25" s="98" t="str">
        <f>IF(Calcu!$B82=FALSE,"",TEXT(Calcu!H82,Calcu!$Q$109))</f>
        <v/>
      </c>
      <c r="O25" s="98" t="str">
        <f>IF(Calcu!$B82=FALSE,"",TEXT(Calcu!I82,Calcu!$Q$109))</f>
        <v/>
      </c>
    </row>
    <row r="26" spans="2:15" ht="13.5" customHeight="1">
      <c r="B26" s="98" t="str">
        <f>Calcu!C21</f>
        <v/>
      </c>
      <c r="C26" s="98" t="str">
        <f>IF(Calcu!$B21=FALSE,"",TEXT(Calcu!E21,Calcu!$Q$47))</f>
        <v/>
      </c>
      <c r="D26" s="98" t="str">
        <f>IF(Calcu!$B21=FALSE,"",TEXT(Calcu!F21,Calcu!$Q$47))</f>
        <v/>
      </c>
      <c r="E26" s="98" t="str">
        <f>IF(Calcu!$B21=FALSE,"",TEXT(Calcu!G21,Calcu!$Q$47))</f>
        <v/>
      </c>
      <c r="F26" s="98" t="str">
        <f>IF(Calcu!$B21=FALSE,"",TEXT(Calcu!H21,Calcu!$Q$47))</f>
        <v/>
      </c>
      <c r="G26" s="98" t="str">
        <f>IF(Calcu!$B21=FALSE,"",TEXT(Calcu!I21,Calcu!$Q$47))</f>
        <v/>
      </c>
      <c r="J26" s="98" t="str">
        <f>Calcu!C83</f>
        <v/>
      </c>
      <c r="K26" s="98" t="str">
        <f>IF(Calcu!$B83=FALSE,"",TEXT(Calcu!E83,Calcu!$Q$109))</f>
        <v/>
      </c>
      <c r="L26" s="98" t="str">
        <f>IF(Calcu!$B83=FALSE,"",TEXT(Calcu!F83,Calcu!$Q$109))</f>
        <v/>
      </c>
      <c r="M26" s="98" t="str">
        <f>IF(Calcu!$B83=FALSE,"",TEXT(Calcu!G83,Calcu!$Q$109))</f>
        <v/>
      </c>
      <c r="N26" s="98" t="str">
        <f>IF(Calcu!$B83=FALSE,"",TEXT(Calcu!H83,Calcu!$Q$109))</f>
        <v/>
      </c>
      <c r="O26" s="98" t="str">
        <f>IF(Calcu!$B83=FALSE,"",TEXT(Calcu!I83,Calcu!$Q$109))</f>
        <v/>
      </c>
    </row>
    <row r="27" spans="2:15" ht="13.5" customHeight="1">
      <c r="B27" s="98" t="str">
        <f>Calcu!C22</f>
        <v/>
      </c>
      <c r="C27" s="98" t="str">
        <f>IF(Calcu!$B22=FALSE,"",TEXT(Calcu!E22,Calcu!$Q$47))</f>
        <v/>
      </c>
      <c r="D27" s="98" t="str">
        <f>IF(Calcu!$B22=FALSE,"",TEXT(Calcu!F22,Calcu!$Q$47))</f>
        <v/>
      </c>
      <c r="E27" s="98" t="str">
        <f>IF(Calcu!$B22=FALSE,"",TEXT(Calcu!G22,Calcu!$Q$47))</f>
        <v/>
      </c>
      <c r="F27" s="98" t="str">
        <f>IF(Calcu!$B22=FALSE,"",TEXT(Calcu!H22,Calcu!$Q$47))</f>
        <v/>
      </c>
      <c r="G27" s="98" t="str">
        <f>IF(Calcu!$B22=FALSE,"",TEXT(Calcu!I22,Calcu!$Q$47))</f>
        <v/>
      </c>
      <c r="J27" s="98" t="str">
        <f>Calcu!C84</f>
        <v/>
      </c>
      <c r="K27" s="98" t="str">
        <f>IF(Calcu!$B84=FALSE,"",TEXT(Calcu!E84,Calcu!$Q$109))</f>
        <v/>
      </c>
      <c r="L27" s="98" t="str">
        <f>IF(Calcu!$B84=FALSE,"",TEXT(Calcu!F84,Calcu!$Q$109))</f>
        <v/>
      </c>
      <c r="M27" s="98" t="str">
        <f>IF(Calcu!$B84=FALSE,"",TEXT(Calcu!G84,Calcu!$Q$109))</f>
        <v/>
      </c>
      <c r="N27" s="98" t="str">
        <f>IF(Calcu!$B84=FALSE,"",TEXT(Calcu!H84,Calcu!$Q$109))</f>
        <v/>
      </c>
      <c r="O27" s="98" t="str">
        <f>IF(Calcu!$B84=FALSE,"",TEXT(Calcu!I84,Calcu!$Q$109))</f>
        <v/>
      </c>
    </row>
    <row r="28" spans="2:15" ht="13.5" customHeight="1">
      <c r="B28" s="98" t="str">
        <f>Calcu!C23</f>
        <v/>
      </c>
      <c r="C28" s="98" t="str">
        <f>IF(Calcu!$B23=FALSE,"",TEXT(Calcu!E23,Calcu!$Q$47))</f>
        <v/>
      </c>
      <c r="D28" s="98" t="str">
        <f>IF(Calcu!$B23=FALSE,"",TEXT(Calcu!F23,Calcu!$Q$47))</f>
        <v/>
      </c>
      <c r="E28" s="98" t="str">
        <f>IF(Calcu!$B23=FALSE,"",TEXT(Calcu!G23,Calcu!$Q$47))</f>
        <v/>
      </c>
      <c r="F28" s="98" t="str">
        <f>IF(Calcu!$B23=FALSE,"",TEXT(Calcu!H23,Calcu!$Q$47))</f>
        <v/>
      </c>
      <c r="G28" s="98" t="str">
        <f>IF(Calcu!$B23=FALSE,"",TEXT(Calcu!I23,Calcu!$Q$47))</f>
        <v/>
      </c>
      <c r="J28" s="98" t="str">
        <f>Calcu!C85</f>
        <v/>
      </c>
      <c r="K28" s="98" t="str">
        <f>IF(Calcu!$B85=FALSE,"",TEXT(Calcu!E85,Calcu!$Q$109))</f>
        <v/>
      </c>
      <c r="L28" s="98" t="str">
        <f>IF(Calcu!$B85=FALSE,"",TEXT(Calcu!F85,Calcu!$Q$109))</f>
        <v/>
      </c>
      <c r="M28" s="98" t="str">
        <f>IF(Calcu!$B85=FALSE,"",TEXT(Calcu!G85,Calcu!$Q$109))</f>
        <v/>
      </c>
      <c r="N28" s="98" t="str">
        <f>IF(Calcu!$B85=FALSE,"",TEXT(Calcu!H85,Calcu!$Q$109))</f>
        <v/>
      </c>
      <c r="O28" s="98" t="str">
        <f>IF(Calcu!$B85=FALSE,"",TEXT(Calcu!I85,Calcu!$Q$109))</f>
        <v/>
      </c>
    </row>
    <row r="29" spans="2:15" ht="13.5" customHeight="1">
      <c r="B29" s="98" t="str">
        <f>Calcu!C24</f>
        <v/>
      </c>
      <c r="C29" s="98" t="str">
        <f>IF(Calcu!$B24=FALSE,"",TEXT(Calcu!E24,Calcu!$Q$47))</f>
        <v/>
      </c>
      <c r="D29" s="98" t="str">
        <f>IF(Calcu!$B24=FALSE,"",TEXT(Calcu!F24,Calcu!$Q$47))</f>
        <v/>
      </c>
      <c r="E29" s="98" t="str">
        <f>IF(Calcu!$B24=FALSE,"",TEXT(Calcu!G24,Calcu!$Q$47))</f>
        <v/>
      </c>
      <c r="F29" s="98" t="str">
        <f>IF(Calcu!$B24=FALSE,"",TEXT(Calcu!H24,Calcu!$Q$47))</f>
        <v/>
      </c>
      <c r="G29" s="98" t="str">
        <f>IF(Calcu!$B24=FALSE,"",TEXT(Calcu!I24,Calcu!$Q$47))</f>
        <v/>
      </c>
      <c r="J29" s="98" t="str">
        <f>Calcu!C86</f>
        <v/>
      </c>
      <c r="K29" s="98" t="str">
        <f>IF(Calcu!$B86=FALSE,"",TEXT(Calcu!E86,Calcu!$Q$109))</f>
        <v/>
      </c>
      <c r="L29" s="98" t="str">
        <f>IF(Calcu!$B86=FALSE,"",TEXT(Calcu!F86,Calcu!$Q$109))</f>
        <v/>
      </c>
      <c r="M29" s="98" t="str">
        <f>IF(Calcu!$B86=FALSE,"",TEXT(Calcu!G86,Calcu!$Q$109))</f>
        <v/>
      </c>
      <c r="N29" s="98" t="str">
        <f>IF(Calcu!$B86=FALSE,"",TEXT(Calcu!H86,Calcu!$Q$109))</f>
        <v/>
      </c>
      <c r="O29" s="98" t="str">
        <f>IF(Calcu!$B86=FALSE,"",TEXT(Calcu!I86,Calcu!$Q$109))</f>
        <v/>
      </c>
    </row>
    <row r="30" spans="2:15" ht="13.5" customHeight="1">
      <c r="B30" s="98" t="str">
        <f>Calcu!C25</f>
        <v/>
      </c>
      <c r="C30" s="98" t="str">
        <f>IF(Calcu!$B25=FALSE,"",TEXT(Calcu!E25,Calcu!$Q$47))</f>
        <v/>
      </c>
      <c r="D30" s="98" t="str">
        <f>IF(Calcu!$B25=FALSE,"",TEXT(Calcu!F25,Calcu!$Q$47))</f>
        <v/>
      </c>
      <c r="E30" s="98" t="str">
        <f>IF(Calcu!$B25=FALSE,"",TEXT(Calcu!G25,Calcu!$Q$47))</f>
        <v/>
      </c>
      <c r="F30" s="98" t="str">
        <f>IF(Calcu!$B25=FALSE,"",TEXT(Calcu!H25,Calcu!$Q$47))</f>
        <v/>
      </c>
      <c r="G30" s="98" t="str">
        <f>IF(Calcu!$B25=FALSE,"",TEXT(Calcu!I25,Calcu!$Q$47))</f>
        <v/>
      </c>
      <c r="J30" s="98" t="str">
        <f>Calcu!C87</f>
        <v/>
      </c>
      <c r="K30" s="98" t="str">
        <f>IF(Calcu!$B87=FALSE,"",TEXT(Calcu!E87,Calcu!$Q$109))</f>
        <v/>
      </c>
      <c r="L30" s="98" t="str">
        <f>IF(Calcu!$B87=FALSE,"",TEXT(Calcu!F87,Calcu!$Q$109))</f>
        <v/>
      </c>
      <c r="M30" s="98" t="str">
        <f>IF(Calcu!$B87=FALSE,"",TEXT(Calcu!G87,Calcu!$Q$109))</f>
        <v/>
      </c>
      <c r="N30" s="98" t="str">
        <f>IF(Calcu!$B87=FALSE,"",TEXT(Calcu!H87,Calcu!$Q$109))</f>
        <v/>
      </c>
      <c r="O30" s="98" t="str">
        <f>IF(Calcu!$B87=FALSE,"",TEXT(Calcu!I87,Calcu!$Q$109))</f>
        <v/>
      </c>
    </row>
    <row r="31" spans="2:15" ht="13.5" customHeight="1">
      <c r="B31" s="98" t="str">
        <f>Calcu!C26</f>
        <v/>
      </c>
      <c r="C31" s="98" t="str">
        <f>IF(Calcu!$B26=FALSE,"",TEXT(Calcu!E26,Calcu!$Q$47))</f>
        <v/>
      </c>
      <c r="D31" s="98" t="str">
        <f>IF(Calcu!$B26=FALSE,"",TEXT(Calcu!F26,Calcu!$Q$47))</f>
        <v/>
      </c>
      <c r="E31" s="98" t="str">
        <f>IF(Calcu!$B26=FALSE,"",TEXT(Calcu!G26,Calcu!$Q$47))</f>
        <v/>
      </c>
      <c r="F31" s="98" t="str">
        <f>IF(Calcu!$B26=FALSE,"",TEXT(Calcu!H26,Calcu!$Q$47))</f>
        <v/>
      </c>
      <c r="G31" s="98" t="str">
        <f>IF(Calcu!$B26=FALSE,"",TEXT(Calcu!I26,Calcu!$Q$47))</f>
        <v/>
      </c>
      <c r="J31" s="98" t="str">
        <f>Calcu!C88</f>
        <v/>
      </c>
      <c r="K31" s="98" t="str">
        <f>IF(Calcu!$B88=FALSE,"",TEXT(Calcu!E88,Calcu!$Q$109))</f>
        <v/>
      </c>
      <c r="L31" s="98" t="str">
        <f>IF(Calcu!$B88=FALSE,"",TEXT(Calcu!F88,Calcu!$Q$109))</f>
        <v/>
      </c>
      <c r="M31" s="98" t="str">
        <f>IF(Calcu!$B88=FALSE,"",TEXT(Calcu!G88,Calcu!$Q$109))</f>
        <v/>
      </c>
      <c r="N31" s="98" t="str">
        <f>IF(Calcu!$B88=FALSE,"",TEXT(Calcu!H88,Calcu!$Q$109))</f>
        <v/>
      </c>
      <c r="O31" s="98" t="str">
        <f>IF(Calcu!$B88=FALSE,"",TEXT(Calcu!I88,Calcu!$Q$109))</f>
        <v/>
      </c>
    </row>
    <row r="32" spans="2:15" ht="13.5" customHeight="1">
      <c r="B32" s="98" t="str">
        <f>Calcu!C27</f>
        <v/>
      </c>
      <c r="C32" s="98" t="str">
        <f>IF(Calcu!$B27=FALSE,"",TEXT(Calcu!E27,Calcu!$Q$47))</f>
        <v/>
      </c>
      <c r="D32" s="98" t="str">
        <f>IF(Calcu!$B27=FALSE,"",TEXT(Calcu!F27,Calcu!$Q$47))</f>
        <v/>
      </c>
      <c r="E32" s="98" t="str">
        <f>IF(Calcu!$B27=FALSE,"",TEXT(Calcu!G27,Calcu!$Q$47))</f>
        <v/>
      </c>
      <c r="F32" s="98" t="str">
        <f>IF(Calcu!$B27=FALSE,"",TEXT(Calcu!H27,Calcu!$Q$47))</f>
        <v/>
      </c>
      <c r="G32" s="98" t="str">
        <f>IF(Calcu!$B27=FALSE,"",TEXT(Calcu!I27,Calcu!$Q$47))</f>
        <v/>
      </c>
      <c r="J32" s="98" t="str">
        <f>Calcu!C89</f>
        <v/>
      </c>
      <c r="K32" s="98" t="str">
        <f>IF(Calcu!$B89=FALSE,"",TEXT(Calcu!E89,Calcu!$Q$109))</f>
        <v/>
      </c>
      <c r="L32" s="98" t="str">
        <f>IF(Calcu!$B89=FALSE,"",TEXT(Calcu!F89,Calcu!$Q$109))</f>
        <v/>
      </c>
      <c r="M32" s="98" t="str">
        <f>IF(Calcu!$B89=FALSE,"",TEXT(Calcu!G89,Calcu!$Q$109))</f>
        <v/>
      </c>
      <c r="N32" s="98" t="str">
        <f>IF(Calcu!$B89=FALSE,"",TEXT(Calcu!H89,Calcu!$Q$109))</f>
        <v/>
      </c>
      <c r="O32" s="98" t="str">
        <f>IF(Calcu!$B89=FALSE,"",TEXT(Calcu!I89,Calcu!$Q$109))</f>
        <v/>
      </c>
    </row>
    <row r="33" spans="2:19" ht="13.5" customHeight="1">
      <c r="B33" s="98" t="str">
        <f>Calcu!C28</f>
        <v/>
      </c>
      <c r="C33" s="98" t="str">
        <f>IF(Calcu!$B28=FALSE,"",TEXT(Calcu!E28,Calcu!$Q$47))</f>
        <v/>
      </c>
      <c r="D33" s="98" t="str">
        <f>IF(Calcu!$B28=FALSE,"",TEXT(Calcu!F28,Calcu!$Q$47))</f>
        <v/>
      </c>
      <c r="E33" s="98" t="str">
        <f>IF(Calcu!$B28=FALSE,"",TEXT(Calcu!G28,Calcu!$Q$47))</f>
        <v/>
      </c>
      <c r="F33" s="98" t="str">
        <f>IF(Calcu!$B28=FALSE,"",TEXT(Calcu!H28,Calcu!$Q$47))</f>
        <v/>
      </c>
      <c r="G33" s="98" t="str">
        <f>IF(Calcu!$B28=FALSE,"",TEXT(Calcu!I28,Calcu!$Q$47))</f>
        <v/>
      </c>
      <c r="J33" s="98" t="str">
        <f>Calcu!C90</f>
        <v/>
      </c>
      <c r="K33" s="98" t="str">
        <f>IF(Calcu!$B90=FALSE,"",TEXT(Calcu!E90,Calcu!$Q$109))</f>
        <v/>
      </c>
      <c r="L33" s="98" t="str">
        <f>IF(Calcu!$B90=FALSE,"",TEXT(Calcu!F90,Calcu!$Q$109))</f>
        <v/>
      </c>
      <c r="M33" s="98" t="str">
        <f>IF(Calcu!$B90=FALSE,"",TEXT(Calcu!G90,Calcu!$Q$109))</f>
        <v/>
      </c>
      <c r="N33" s="98" t="str">
        <f>IF(Calcu!$B90=FALSE,"",TEXT(Calcu!H90,Calcu!$Q$109))</f>
        <v/>
      </c>
      <c r="O33" s="98" t="str">
        <f>IF(Calcu!$B90=FALSE,"",TEXT(Calcu!I90,Calcu!$Q$109))</f>
        <v/>
      </c>
    </row>
    <row r="34" spans="2:19" ht="13.5" customHeight="1">
      <c r="B34" s="98" t="str">
        <f>Calcu!C29</f>
        <v/>
      </c>
      <c r="C34" s="98" t="str">
        <f>IF(Calcu!$B29=FALSE,"",TEXT(Calcu!E29,Calcu!$Q$47))</f>
        <v/>
      </c>
      <c r="D34" s="98" t="str">
        <f>IF(Calcu!$B29=FALSE,"",TEXT(Calcu!F29,Calcu!$Q$47))</f>
        <v/>
      </c>
      <c r="E34" s="98" t="str">
        <f>IF(Calcu!$B29=FALSE,"",TEXT(Calcu!G29,Calcu!$Q$47))</f>
        <v/>
      </c>
      <c r="F34" s="98" t="str">
        <f>IF(Calcu!$B29=FALSE,"",TEXT(Calcu!H29,Calcu!$Q$47))</f>
        <v/>
      </c>
      <c r="G34" s="98" t="str">
        <f>IF(Calcu!$B29=FALSE,"",TEXT(Calcu!I29,Calcu!$Q$47))</f>
        <v/>
      </c>
      <c r="J34" s="98" t="str">
        <f>Calcu!C91</f>
        <v/>
      </c>
      <c r="K34" s="98" t="str">
        <f>IF(Calcu!$B91=FALSE,"",TEXT(Calcu!E91,Calcu!$Q$109))</f>
        <v/>
      </c>
      <c r="L34" s="98" t="str">
        <f>IF(Calcu!$B91=FALSE,"",TEXT(Calcu!F91,Calcu!$Q$109))</f>
        <v/>
      </c>
      <c r="M34" s="98" t="str">
        <f>IF(Calcu!$B91=FALSE,"",TEXT(Calcu!G91,Calcu!$Q$109))</f>
        <v/>
      </c>
      <c r="N34" s="98" t="str">
        <f>IF(Calcu!$B91=FALSE,"",TEXT(Calcu!H91,Calcu!$Q$109))</f>
        <v/>
      </c>
      <c r="O34" s="98" t="str">
        <f>IF(Calcu!$B91=FALSE,"",TEXT(Calcu!I91,Calcu!$Q$109))</f>
        <v/>
      </c>
    </row>
    <row r="40" spans="2:19" ht="13.5" customHeight="1">
      <c r="B40" s="46" t="s">
        <v>635</v>
      </c>
      <c r="C40" s="28"/>
      <c r="D40" s="25"/>
      <c r="E40" s="25"/>
      <c r="F40" s="25"/>
      <c r="G40" s="25"/>
    </row>
    <row r="41" spans="2:19" ht="13.5" customHeight="1">
      <c r="B41" s="97" t="s">
        <v>106</v>
      </c>
      <c r="C41" s="97" t="s">
        <v>62</v>
      </c>
      <c r="D41" s="97" t="s">
        <v>60</v>
      </c>
      <c r="E41" s="25"/>
      <c r="F41" s="25"/>
      <c r="G41" s="25"/>
    </row>
    <row r="42" spans="2:19" ht="13.5" customHeight="1">
      <c r="B42" s="98">
        <f>Calcu!E128</f>
        <v>0</v>
      </c>
      <c r="C42" s="98">
        <f>Calcu!G128</f>
        <v>0</v>
      </c>
      <c r="D42" s="98">
        <f>Calcu!I128</f>
        <v>0</v>
      </c>
      <c r="E42" s="25"/>
      <c r="F42" s="25"/>
      <c r="G42" s="25"/>
    </row>
    <row r="43" spans="2:19" ht="13.5" customHeight="1">
      <c r="B43" s="25"/>
      <c r="C43" s="25"/>
      <c r="D43" s="25"/>
      <c r="E43" s="25"/>
      <c r="F43" s="25"/>
      <c r="G43" s="25"/>
    </row>
    <row r="44" spans="2:19" ht="13.5" customHeight="1">
      <c r="B44" s="101" t="s">
        <v>84</v>
      </c>
      <c r="C44" s="25"/>
      <c r="D44" s="25"/>
      <c r="E44" s="25"/>
      <c r="F44" s="25"/>
      <c r="G44" s="25"/>
    </row>
    <row r="45" spans="2:19" ht="13.5" customHeight="1">
      <c r="B45" s="102" t="s">
        <v>118</v>
      </c>
      <c r="F45" s="25"/>
      <c r="G45" s="25"/>
    </row>
    <row r="46" spans="2:19" ht="13.5" customHeight="1">
      <c r="B46" s="505" t="s">
        <v>468</v>
      </c>
      <c r="C46" s="505" t="s">
        <v>636</v>
      </c>
      <c r="D46" s="505" t="s">
        <v>217</v>
      </c>
      <c r="E46" s="502" t="str">
        <f>Calcu!I131</f>
        <v>투영된 투영상의 눈금 길이 측정값 (mm)</v>
      </c>
      <c r="F46" s="503"/>
      <c r="G46" s="503"/>
      <c r="H46" s="503"/>
      <c r="I46" s="504"/>
      <c r="R46" s="29"/>
      <c r="S46" s="29"/>
    </row>
    <row r="47" spans="2:19" ht="13.5" customHeight="1">
      <c r="B47" s="506"/>
      <c r="C47" s="506"/>
      <c r="D47" s="506"/>
      <c r="E47" s="97" t="s">
        <v>79</v>
      </c>
      <c r="F47" s="97" t="s">
        <v>77</v>
      </c>
      <c r="G47" s="97" t="s">
        <v>78</v>
      </c>
      <c r="H47" s="97" t="s">
        <v>119</v>
      </c>
      <c r="I47" s="97" t="s">
        <v>120</v>
      </c>
      <c r="R47" s="29"/>
      <c r="S47" s="29"/>
    </row>
    <row r="48" spans="2:19" ht="13.5" customHeight="1">
      <c r="B48" s="97" t="str">
        <f>Calcu!D134</f>
        <v/>
      </c>
      <c r="C48" s="97" t="str">
        <f>Calcu!F134</f>
        <v/>
      </c>
      <c r="D48" s="97" t="str">
        <f>Calcu!H134</f>
        <v/>
      </c>
      <c r="E48" s="97" t="str">
        <f>D48</f>
        <v/>
      </c>
      <c r="F48" s="97" t="str">
        <f>E48</f>
        <v/>
      </c>
      <c r="G48" s="97" t="str">
        <f>F48</f>
        <v/>
      </c>
      <c r="H48" s="97" t="str">
        <f>G48</f>
        <v/>
      </c>
      <c r="I48" s="97" t="str">
        <f>H48</f>
        <v/>
      </c>
      <c r="R48" s="29"/>
      <c r="S48" s="29"/>
    </row>
    <row r="49" spans="2:19" ht="13.5" customHeight="1">
      <c r="B49" s="98" t="str">
        <f>Calcu!C134</f>
        <v/>
      </c>
      <c r="C49" s="98" t="str">
        <f>Calcu!E134</f>
        <v/>
      </c>
      <c r="D49" s="98" t="str">
        <f>Calcu!G134</f>
        <v/>
      </c>
      <c r="E49" s="98" t="str">
        <f>IF(Calcu!$B134=FALSE,"",TEXT(Calcu!I134,Calcu!$Q$166))</f>
        <v/>
      </c>
      <c r="F49" s="98" t="str">
        <f>IF(Calcu!$B134=FALSE,"",TEXT(Calcu!J134,Calcu!$Q$166))</f>
        <v/>
      </c>
      <c r="G49" s="98" t="str">
        <f>IF(Calcu!$B134=FALSE,"",TEXT(Calcu!K134,Calcu!$Q$166))</f>
        <v/>
      </c>
      <c r="H49" s="98" t="str">
        <f>IF(Calcu!$B134=FALSE,"",TEXT(Calcu!L134,Calcu!$Q$166))</f>
        <v/>
      </c>
      <c r="I49" s="98" t="str">
        <f>IF(Calcu!$B134=FALSE,"",TEXT(Calcu!M134,Calcu!$Q$166))</f>
        <v/>
      </c>
      <c r="R49" s="29"/>
      <c r="S49" s="29"/>
    </row>
    <row r="50" spans="2:19" ht="13.5" customHeight="1">
      <c r="B50" s="98" t="str">
        <f>Calcu!C135</f>
        <v/>
      </c>
      <c r="C50" s="98" t="str">
        <f>Calcu!E135</f>
        <v/>
      </c>
      <c r="D50" s="98" t="str">
        <f>Calcu!G135</f>
        <v/>
      </c>
      <c r="E50" s="98" t="str">
        <f>IF(Calcu!$B135=FALSE,"",TEXT(Calcu!I135,Calcu!$Q$166))</f>
        <v/>
      </c>
      <c r="F50" s="98" t="str">
        <f>IF(Calcu!$B135=FALSE,"",TEXT(Calcu!J135,Calcu!$Q$166))</f>
        <v/>
      </c>
      <c r="G50" s="98" t="str">
        <f>IF(Calcu!$B135=FALSE,"",TEXT(Calcu!K135,Calcu!$Q$166))</f>
        <v/>
      </c>
      <c r="H50" s="98" t="str">
        <f>IF(Calcu!$B135=FALSE,"",TEXT(Calcu!L135,Calcu!$Q$166))</f>
        <v/>
      </c>
      <c r="I50" s="98" t="str">
        <f>IF(Calcu!$B135=FALSE,"",TEXT(Calcu!M135,Calcu!$Q$166))</f>
        <v/>
      </c>
      <c r="R50" s="29"/>
      <c r="S50" s="29"/>
    </row>
    <row r="51" spans="2:19" ht="13.5" customHeight="1">
      <c r="B51" s="98" t="str">
        <f>Calcu!C136</f>
        <v/>
      </c>
      <c r="C51" s="98" t="str">
        <f>Calcu!E136</f>
        <v/>
      </c>
      <c r="D51" s="98" t="str">
        <f>Calcu!G136</f>
        <v/>
      </c>
      <c r="E51" s="98" t="str">
        <f>IF(Calcu!$B136=FALSE,"",TEXT(Calcu!I136,Calcu!$Q$166))</f>
        <v/>
      </c>
      <c r="F51" s="98" t="str">
        <f>IF(Calcu!$B136=FALSE,"",TEXT(Calcu!J136,Calcu!$Q$166))</f>
        <v/>
      </c>
      <c r="G51" s="98" t="str">
        <f>IF(Calcu!$B136=FALSE,"",TEXT(Calcu!K136,Calcu!$Q$166))</f>
        <v/>
      </c>
      <c r="H51" s="98" t="str">
        <f>IF(Calcu!$B136=FALSE,"",TEXT(Calcu!L136,Calcu!$Q$166))</f>
        <v/>
      </c>
      <c r="I51" s="98" t="str">
        <f>IF(Calcu!$B136=FALSE,"",TEXT(Calcu!M136,Calcu!$Q$166))</f>
        <v/>
      </c>
      <c r="R51" s="29"/>
      <c r="S51" s="29"/>
    </row>
    <row r="52" spans="2:19" ht="13.5" customHeight="1">
      <c r="B52" s="98" t="str">
        <f>Calcu!C137</f>
        <v/>
      </c>
      <c r="C52" s="98" t="str">
        <f>Calcu!E137</f>
        <v/>
      </c>
      <c r="D52" s="98" t="str">
        <f>Calcu!G137</f>
        <v/>
      </c>
      <c r="E52" s="98" t="str">
        <f>IF(Calcu!$B137=FALSE,"",TEXT(Calcu!I137,Calcu!$Q$166))</f>
        <v/>
      </c>
      <c r="F52" s="98" t="str">
        <f>IF(Calcu!$B137=FALSE,"",TEXT(Calcu!J137,Calcu!$Q$166))</f>
        <v/>
      </c>
      <c r="G52" s="98" t="str">
        <f>IF(Calcu!$B137=FALSE,"",TEXT(Calcu!K137,Calcu!$Q$166))</f>
        <v/>
      </c>
      <c r="H52" s="98" t="str">
        <f>IF(Calcu!$B137=FALSE,"",TEXT(Calcu!L137,Calcu!$Q$166))</f>
        <v/>
      </c>
      <c r="I52" s="98" t="str">
        <f>IF(Calcu!$B137=FALSE,"",TEXT(Calcu!M137,Calcu!$Q$166))</f>
        <v/>
      </c>
      <c r="R52" s="29"/>
      <c r="S52" s="29"/>
    </row>
    <row r="53" spans="2:19" ht="13.5" customHeight="1">
      <c r="B53" s="98" t="str">
        <f>Calcu!C138</f>
        <v/>
      </c>
      <c r="C53" s="98" t="str">
        <f>Calcu!E138</f>
        <v/>
      </c>
      <c r="D53" s="98" t="str">
        <f>Calcu!G138</f>
        <v/>
      </c>
      <c r="E53" s="98" t="str">
        <f>IF(Calcu!$B138=FALSE,"",TEXT(Calcu!I138,Calcu!$Q$166))</f>
        <v/>
      </c>
      <c r="F53" s="98" t="str">
        <f>IF(Calcu!$B138=FALSE,"",TEXT(Calcu!J138,Calcu!$Q$166))</f>
        <v/>
      </c>
      <c r="G53" s="98" t="str">
        <f>IF(Calcu!$B138=FALSE,"",TEXT(Calcu!K138,Calcu!$Q$166))</f>
        <v/>
      </c>
      <c r="H53" s="98" t="str">
        <f>IF(Calcu!$B138=FALSE,"",TEXT(Calcu!L138,Calcu!$Q$166))</f>
        <v/>
      </c>
      <c r="I53" s="98" t="str">
        <f>IF(Calcu!$B138=FALSE,"",TEXT(Calcu!M138,Calcu!$Q$166))</f>
        <v/>
      </c>
      <c r="R53" s="29"/>
      <c r="S53" s="29"/>
    </row>
    <row r="54" spans="2:19" ht="13.5" customHeight="1">
      <c r="B54" s="98" t="str">
        <f>Calcu!C139</f>
        <v/>
      </c>
      <c r="C54" s="98" t="str">
        <f>Calcu!E139</f>
        <v/>
      </c>
      <c r="D54" s="98" t="str">
        <f>Calcu!G139</f>
        <v/>
      </c>
      <c r="E54" s="98" t="str">
        <f>IF(Calcu!$B139=FALSE,"",TEXT(Calcu!I139,Calcu!$Q$166))</f>
        <v/>
      </c>
      <c r="F54" s="98" t="str">
        <f>IF(Calcu!$B139=FALSE,"",TEXT(Calcu!J139,Calcu!$Q$166))</f>
        <v/>
      </c>
      <c r="G54" s="98" t="str">
        <f>IF(Calcu!$B139=FALSE,"",TEXT(Calcu!K139,Calcu!$Q$166))</f>
        <v/>
      </c>
      <c r="H54" s="98" t="str">
        <f>IF(Calcu!$B139=FALSE,"",TEXT(Calcu!L139,Calcu!$Q$166))</f>
        <v/>
      </c>
      <c r="I54" s="98" t="str">
        <f>IF(Calcu!$B139=FALSE,"",TEXT(Calcu!M139,Calcu!$Q$166))</f>
        <v/>
      </c>
      <c r="R54" s="29"/>
      <c r="S54" s="29"/>
    </row>
    <row r="55" spans="2:19" ht="13.5" customHeight="1">
      <c r="B55" s="98" t="str">
        <f>Calcu!C140</f>
        <v/>
      </c>
      <c r="C55" s="98" t="str">
        <f>Calcu!E140</f>
        <v/>
      </c>
      <c r="D55" s="98" t="str">
        <f>Calcu!G140</f>
        <v/>
      </c>
      <c r="E55" s="98" t="str">
        <f>IF(Calcu!$B140=FALSE,"",TEXT(Calcu!I140,Calcu!$Q$166))</f>
        <v/>
      </c>
      <c r="F55" s="98" t="str">
        <f>IF(Calcu!$B140=FALSE,"",TEXT(Calcu!J140,Calcu!$Q$166))</f>
        <v/>
      </c>
      <c r="G55" s="98" t="str">
        <f>IF(Calcu!$B140=FALSE,"",TEXT(Calcu!K140,Calcu!$Q$166))</f>
        <v/>
      </c>
      <c r="H55" s="98" t="str">
        <f>IF(Calcu!$B140=FALSE,"",TEXT(Calcu!L140,Calcu!$Q$166))</f>
        <v/>
      </c>
      <c r="I55" s="98" t="str">
        <f>IF(Calcu!$B140=FALSE,"",TEXT(Calcu!M140,Calcu!$Q$166))</f>
        <v/>
      </c>
      <c r="R55" s="29"/>
      <c r="S55" s="29"/>
    </row>
    <row r="56" spans="2:19" ht="13.5" customHeight="1">
      <c r="B56" s="98" t="str">
        <f>Calcu!C141</f>
        <v/>
      </c>
      <c r="C56" s="98" t="str">
        <f>Calcu!E141</f>
        <v/>
      </c>
      <c r="D56" s="98" t="str">
        <f>Calcu!G141</f>
        <v/>
      </c>
      <c r="E56" s="98" t="str">
        <f>IF(Calcu!$B141=FALSE,"",TEXT(Calcu!I141,Calcu!$Q$166))</f>
        <v/>
      </c>
      <c r="F56" s="98" t="str">
        <f>IF(Calcu!$B141=FALSE,"",TEXT(Calcu!J141,Calcu!$Q$166))</f>
        <v/>
      </c>
      <c r="G56" s="98" t="str">
        <f>IF(Calcu!$B141=FALSE,"",TEXT(Calcu!K141,Calcu!$Q$166))</f>
        <v/>
      </c>
      <c r="H56" s="98" t="str">
        <f>IF(Calcu!$B141=FALSE,"",TEXT(Calcu!L141,Calcu!$Q$166))</f>
        <v/>
      </c>
      <c r="I56" s="98" t="str">
        <f>IF(Calcu!$B141=FALSE,"",TEXT(Calcu!M141,Calcu!$Q$166))</f>
        <v/>
      </c>
      <c r="R56" s="29"/>
      <c r="S56" s="29"/>
    </row>
    <row r="57" spans="2:19" ht="13.5" customHeight="1">
      <c r="B57" s="98" t="str">
        <f>Calcu!C142</f>
        <v/>
      </c>
      <c r="C57" s="98" t="str">
        <f>Calcu!E142</f>
        <v/>
      </c>
      <c r="D57" s="98" t="str">
        <f>Calcu!G142</f>
        <v/>
      </c>
      <c r="E57" s="98" t="str">
        <f>IF(Calcu!$B142=FALSE,"",TEXT(Calcu!I142,Calcu!$Q$166))</f>
        <v/>
      </c>
      <c r="F57" s="98" t="str">
        <f>IF(Calcu!$B142=FALSE,"",TEXT(Calcu!J142,Calcu!$Q$166))</f>
        <v/>
      </c>
      <c r="G57" s="98" t="str">
        <f>IF(Calcu!$B142=FALSE,"",TEXT(Calcu!K142,Calcu!$Q$166))</f>
        <v/>
      </c>
      <c r="H57" s="98" t="str">
        <f>IF(Calcu!$B142=FALSE,"",TEXT(Calcu!L142,Calcu!$Q$166))</f>
        <v/>
      </c>
      <c r="I57" s="98" t="str">
        <f>IF(Calcu!$B142=FALSE,"",TEXT(Calcu!M142,Calcu!$Q$166))</f>
        <v/>
      </c>
      <c r="R57" s="29"/>
      <c r="S57" s="29"/>
    </row>
    <row r="58" spans="2:19" ht="13.5" customHeight="1">
      <c r="B58" s="98" t="str">
        <f>Calcu!C143</f>
        <v/>
      </c>
      <c r="C58" s="98" t="str">
        <f>Calcu!E143</f>
        <v/>
      </c>
      <c r="D58" s="98" t="str">
        <f>Calcu!G143</f>
        <v/>
      </c>
      <c r="E58" s="98" t="str">
        <f>IF(Calcu!$B143=FALSE,"",TEXT(Calcu!I143,Calcu!$Q$166))</f>
        <v/>
      </c>
      <c r="F58" s="98" t="str">
        <f>IF(Calcu!$B143=FALSE,"",TEXT(Calcu!J143,Calcu!$Q$166))</f>
        <v/>
      </c>
      <c r="G58" s="98" t="str">
        <f>IF(Calcu!$B143=FALSE,"",TEXT(Calcu!K143,Calcu!$Q$166))</f>
        <v/>
      </c>
      <c r="H58" s="98" t="str">
        <f>IF(Calcu!$B143=FALSE,"",TEXT(Calcu!L143,Calcu!$Q$166))</f>
        <v/>
      </c>
      <c r="I58" s="98" t="str">
        <f>IF(Calcu!$B143=FALSE,"",TEXT(Calcu!M143,Calcu!$Q$166))</f>
        <v/>
      </c>
      <c r="R58" s="29"/>
      <c r="S58" s="29"/>
    </row>
    <row r="59" spans="2:19" ht="13.5" customHeight="1">
      <c r="B59" s="98" t="str">
        <f>Calcu!C144</f>
        <v/>
      </c>
      <c r="C59" s="98" t="str">
        <f>Calcu!E144</f>
        <v/>
      </c>
      <c r="D59" s="98" t="str">
        <f>Calcu!G144</f>
        <v/>
      </c>
      <c r="E59" s="98" t="str">
        <f>IF(Calcu!$B144=FALSE,"",TEXT(Calcu!I144,Calcu!$Q$166))</f>
        <v/>
      </c>
      <c r="F59" s="98" t="str">
        <f>IF(Calcu!$B144=FALSE,"",TEXT(Calcu!J144,Calcu!$Q$166))</f>
        <v/>
      </c>
      <c r="G59" s="98" t="str">
        <f>IF(Calcu!$B144=FALSE,"",TEXT(Calcu!K144,Calcu!$Q$166))</f>
        <v/>
      </c>
      <c r="H59" s="98" t="str">
        <f>IF(Calcu!$B144=FALSE,"",TEXT(Calcu!L144,Calcu!$Q$166))</f>
        <v/>
      </c>
      <c r="I59" s="98" t="str">
        <f>IF(Calcu!$B144=FALSE,"",TEXT(Calcu!M144,Calcu!$Q$166))</f>
        <v/>
      </c>
      <c r="R59" s="29"/>
      <c r="S59" s="29"/>
    </row>
    <row r="60" spans="2:19" ht="13.5" customHeight="1">
      <c r="B60" s="98" t="str">
        <f>Calcu!C145</f>
        <v/>
      </c>
      <c r="C60" s="98" t="str">
        <f>Calcu!E145</f>
        <v/>
      </c>
      <c r="D60" s="98" t="str">
        <f>Calcu!G145</f>
        <v/>
      </c>
      <c r="E60" s="98" t="str">
        <f>IF(Calcu!$B145=FALSE,"",TEXT(Calcu!I145,Calcu!$Q$166))</f>
        <v/>
      </c>
      <c r="F60" s="98" t="str">
        <f>IF(Calcu!$B145=FALSE,"",TEXT(Calcu!J145,Calcu!$Q$166))</f>
        <v/>
      </c>
      <c r="G60" s="98" t="str">
        <f>IF(Calcu!$B145=FALSE,"",TEXT(Calcu!K145,Calcu!$Q$166))</f>
        <v/>
      </c>
      <c r="H60" s="98" t="str">
        <f>IF(Calcu!$B145=FALSE,"",TEXT(Calcu!L145,Calcu!$Q$166))</f>
        <v/>
      </c>
      <c r="I60" s="98" t="str">
        <f>IF(Calcu!$B145=FALSE,"",TEXT(Calcu!M145,Calcu!$Q$166))</f>
        <v/>
      </c>
      <c r="R60" s="29"/>
      <c r="S60" s="29"/>
    </row>
    <row r="61" spans="2:19" ht="13.5" customHeight="1">
      <c r="B61" s="98" t="str">
        <f>Calcu!C146</f>
        <v/>
      </c>
      <c r="C61" s="98" t="str">
        <f>Calcu!E146</f>
        <v/>
      </c>
      <c r="D61" s="98" t="str">
        <f>Calcu!G146</f>
        <v/>
      </c>
      <c r="E61" s="98" t="str">
        <f>IF(Calcu!$B146=FALSE,"",TEXT(Calcu!I146,Calcu!$Q$166))</f>
        <v/>
      </c>
      <c r="F61" s="98" t="str">
        <f>IF(Calcu!$B146=FALSE,"",TEXT(Calcu!J146,Calcu!$Q$166))</f>
        <v/>
      </c>
      <c r="G61" s="98" t="str">
        <f>IF(Calcu!$B146=FALSE,"",TEXT(Calcu!K146,Calcu!$Q$166))</f>
        <v/>
      </c>
      <c r="H61" s="98" t="str">
        <f>IF(Calcu!$B146=FALSE,"",TEXT(Calcu!L146,Calcu!$Q$166))</f>
        <v/>
      </c>
      <c r="I61" s="98" t="str">
        <f>IF(Calcu!$B146=FALSE,"",TEXT(Calcu!M146,Calcu!$Q$166))</f>
        <v/>
      </c>
      <c r="R61" s="29"/>
      <c r="S61" s="29"/>
    </row>
    <row r="62" spans="2:19" ht="13.5" customHeight="1">
      <c r="B62" s="98" t="str">
        <f>Calcu!C147</f>
        <v/>
      </c>
      <c r="C62" s="98" t="str">
        <f>Calcu!E147</f>
        <v/>
      </c>
      <c r="D62" s="98" t="str">
        <f>Calcu!G147</f>
        <v/>
      </c>
      <c r="E62" s="98" t="str">
        <f>IF(Calcu!$B147=FALSE,"",TEXT(Calcu!I147,Calcu!$Q$166))</f>
        <v/>
      </c>
      <c r="F62" s="98" t="str">
        <f>IF(Calcu!$B147=FALSE,"",TEXT(Calcu!J147,Calcu!$Q$166))</f>
        <v/>
      </c>
      <c r="G62" s="98" t="str">
        <f>IF(Calcu!$B147=FALSE,"",TEXT(Calcu!K147,Calcu!$Q$166))</f>
        <v/>
      </c>
      <c r="H62" s="98" t="str">
        <f>IF(Calcu!$B147=FALSE,"",TEXT(Calcu!L147,Calcu!$Q$166))</f>
        <v/>
      </c>
      <c r="I62" s="98" t="str">
        <f>IF(Calcu!$B147=FALSE,"",TEXT(Calcu!M147,Calcu!$Q$166))</f>
        <v/>
      </c>
      <c r="R62" s="29"/>
      <c r="S62" s="29"/>
    </row>
    <row r="63" spans="2:19" ht="13.5" customHeight="1">
      <c r="B63" s="98" t="str">
        <f>Calcu!C148</f>
        <v/>
      </c>
      <c r="C63" s="98" t="str">
        <f>Calcu!E148</f>
        <v/>
      </c>
      <c r="D63" s="98" t="str">
        <f>Calcu!G148</f>
        <v/>
      </c>
      <c r="E63" s="98" t="str">
        <f>IF(Calcu!$B148=FALSE,"",TEXT(Calcu!I148,Calcu!$Q$166))</f>
        <v/>
      </c>
      <c r="F63" s="98" t="str">
        <f>IF(Calcu!$B148=FALSE,"",TEXT(Calcu!J148,Calcu!$Q$166))</f>
        <v/>
      </c>
      <c r="G63" s="98" t="str">
        <f>IF(Calcu!$B148=FALSE,"",TEXT(Calcu!K148,Calcu!$Q$166))</f>
        <v/>
      </c>
      <c r="H63" s="98" t="str">
        <f>IF(Calcu!$B148=FALSE,"",TEXT(Calcu!L148,Calcu!$Q$166))</f>
        <v/>
      </c>
      <c r="I63" s="98" t="str">
        <f>IF(Calcu!$B148=FALSE,"",TEXT(Calcu!M148,Calcu!$Q$166))</f>
        <v/>
      </c>
      <c r="R63" s="29"/>
      <c r="S63" s="29"/>
    </row>
    <row r="64" spans="2:19" ht="13.5" customHeight="1">
      <c r="B64" s="98" t="str">
        <f>Calcu!C149</f>
        <v/>
      </c>
      <c r="C64" s="98" t="str">
        <f>Calcu!E149</f>
        <v/>
      </c>
      <c r="D64" s="98" t="str">
        <f>Calcu!G149</f>
        <v/>
      </c>
      <c r="E64" s="98" t="str">
        <f>IF(Calcu!$B149=FALSE,"",TEXT(Calcu!I149,Calcu!$Q$166))</f>
        <v/>
      </c>
      <c r="F64" s="98" t="str">
        <f>IF(Calcu!$B149=FALSE,"",TEXT(Calcu!J149,Calcu!$Q$166))</f>
        <v/>
      </c>
      <c r="G64" s="98" t="str">
        <f>IF(Calcu!$B149=FALSE,"",TEXT(Calcu!K149,Calcu!$Q$166))</f>
        <v/>
      </c>
      <c r="H64" s="98" t="str">
        <f>IF(Calcu!$B149=FALSE,"",TEXT(Calcu!L149,Calcu!$Q$166))</f>
        <v/>
      </c>
      <c r="I64" s="98" t="str">
        <f>IF(Calcu!$B149=FALSE,"",TEXT(Calcu!M149,Calcu!$Q$166))</f>
        <v/>
      </c>
      <c r="R64" s="29"/>
      <c r="S64" s="29"/>
    </row>
    <row r="65" spans="2:19" ht="13.5" customHeight="1">
      <c r="B65" s="98" t="str">
        <f>Calcu!C150</f>
        <v/>
      </c>
      <c r="C65" s="98" t="str">
        <f>Calcu!E150</f>
        <v/>
      </c>
      <c r="D65" s="98" t="str">
        <f>Calcu!G150</f>
        <v/>
      </c>
      <c r="E65" s="98" t="str">
        <f>IF(Calcu!$B150=FALSE,"",TEXT(Calcu!I150,Calcu!$Q$166))</f>
        <v/>
      </c>
      <c r="F65" s="98" t="str">
        <f>IF(Calcu!$B150=FALSE,"",TEXT(Calcu!J150,Calcu!$Q$166))</f>
        <v/>
      </c>
      <c r="G65" s="98" t="str">
        <f>IF(Calcu!$B150=FALSE,"",TEXT(Calcu!K150,Calcu!$Q$166))</f>
        <v/>
      </c>
      <c r="H65" s="98" t="str">
        <f>IF(Calcu!$B150=FALSE,"",TEXT(Calcu!L150,Calcu!$Q$166))</f>
        <v/>
      </c>
      <c r="I65" s="98" t="str">
        <f>IF(Calcu!$B150=FALSE,"",TEXT(Calcu!M150,Calcu!$Q$166))</f>
        <v/>
      </c>
      <c r="R65" s="29"/>
      <c r="S65" s="29"/>
    </row>
    <row r="66" spans="2:19" ht="13.5" customHeight="1">
      <c r="B66" s="98" t="str">
        <f>Calcu!C151</f>
        <v/>
      </c>
      <c r="C66" s="98" t="str">
        <f>Calcu!E151</f>
        <v/>
      </c>
      <c r="D66" s="98" t="str">
        <f>Calcu!G151</f>
        <v/>
      </c>
      <c r="E66" s="98" t="str">
        <f>IF(Calcu!$B151=FALSE,"",TEXT(Calcu!I151,Calcu!$Q$166))</f>
        <v/>
      </c>
      <c r="F66" s="98" t="str">
        <f>IF(Calcu!$B151=FALSE,"",TEXT(Calcu!J151,Calcu!$Q$166))</f>
        <v/>
      </c>
      <c r="G66" s="98" t="str">
        <f>IF(Calcu!$B151=FALSE,"",TEXT(Calcu!K151,Calcu!$Q$166))</f>
        <v/>
      </c>
      <c r="H66" s="98" t="str">
        <f>IF(Calcu!$B151=FALSE,"",TEXT(Calcu!L151,Calcu!$Q$166))</f>
        <v/>
      </c>
      <c r="I66" s="98" t="str">
        <f>IF(Calcu!$B151=FALSE,"",TEXT(Calcu!M151,Calcu!$Q$166))</f>
        <v/>
      </c>
      <c r="R66" s="29"/>
      <c r="S66" s="29"/>
    </row>
    <row r="67" spans="2:19" ht="13.5" customHeight="1">
      <c r="B67" s="98" t="str">
        <f>Calcu!C152</f>
        <v/>
      </c>
      <c r="C67" s="98" t="str">
        <f>Calcu!E152</f>
        <v/>
      </c>
      <c r="D67" s="98" t="str">
        <f>Calcu!G152</f>
        <v/>
      </c>
      <c r="E67" s="98" t="str">
        <f>IF(Calcu!$B152=FALSE,"",TEXT(Calcu!I152,Calcu!$Q$166))</f>
        <v/>
      </c>
      <c r="F67" s="98" t="str">
        <f>IF(Calcu!$B152=FALSE,"",TEXT(Calcu!J152,Calcu!$Q$166))</f>
        <v/>
      </c>
      <c r="G67" s="98" t="str">
        <f>IF(Calcu!$B152=FALSE,"",TEXT(Calcu!K152,Calcu!$Q$166))</f>
        <v/>
      </c>
      <c r="H67" s="98" t="str">
        <f>IF(Calcu!$B152=FALSE,"",TEXT(Calcu!L152,Calcu!$Q$166))</f>
        <v/>
      </c>
      <c r="I67" s="98" t="str">
        <f>IF(Calcu!$B152=FALSE,"",TEXT(Calcu!M152,Calcu!$Q$166))</f>
        <v/>
      </c>
      <c r="R67" s="29"/>
      <c r="S67" s="29"/>
    </row>
    <row r="68" spans="2:19" ht="13.5" customHeight="1">
      <c r="B68" s="98" t="str">
        <f>Calcu!C153</f>
        <v/>
      </c>
      <c r="C68" s="98" t="str">
        <f>Calcu!E153</f>
        <v/>
      </c>
      <c r="D68" s="98" t="str">
        <f>Calcu!G153</f>
        <v/>
      </c>
      <c r="E68" s="98" t="str">
        <f>IF(Calcu!$B153=FALSE,"",TEXT(Calcu!I153,Calcu!$Q$166))</f>
        <v/>
      </c>
      <c r="F68" s="98" t="str">
        <f>IF(Calcu!$B153=FALSE,"",TEXT(Calcu!J153,Calcu!$Q$166))</f>
        <v/>
      </c>
      <c r="G68" s="98" t="str">
        <f>IF(Calcu!$B153=FALSE,"",TEXT(Calcu!K153,Calcu!$Q$166))</f>
        <v/>
      </c>
      <c r="H68" s="98" t="str">
        <f>IF(Calcu!$B153=FALSE,"",TEXT(Calcu!L153,Calcu!$Q$166))</f>
        <v/>
      </c>
      <c r="I68" s="98" t="str">
        <f>IF(Calcu!$B153=FALSE,"",TEXT(Calcu!M153,Calcu!$Q$166))</f>
        <v/>
      </c>
      <c r="R68" s="29"/>
      <c r="S68" s="29"/>
    </row>
    <row r="74" spans="2:19" ht="13.5" customHeight="1">
      <c r="B74" s="46" t="s">
        <v>637</v>
      </c>
      <c r="C74" s="28"/>
      <c r="D74" s="25"/>
      <c r="E74" s="25"/>
      <c r="F74" s="25"/>
      <c r="G74" s="25"/>
      <c r="I74" s="46" t="s">
        <v>638</v>
      </c>
      <c r="J74" s="28"/>
      <c r="K74" s="25"/>
      <c r="L74" s="25"/>
      <c r="M74" s="25"/>
      <c r="N74" s="25"/>
    </row>
    <row r="75" spans="2:19" ht="13.5" customHeight="1">
      <c r="B75" s="97" t="s">
        <v>106</v>
      </c>
      <c r="C75" s="97" t="s">
        <v>62</v>
      </c>
      <c r="D75" s="97" t="s">
        <v>60</v>
      </c>
      <c r="E75" s="25"/>
      <c r="F75" s="25"/>
      <c r="G75" s="25"/>
      <c r="I75" s="97" t="s">
        <v>106</v>
      </c>
      <c r="J75" s="97" t="s">
        <v>62</v>
      </c>
      <c r="K75" s="97" t="s">
        <v>60</v>
      </c>
      <c r="L75" s="25"/>
      <c r="M75" s="25"/>
      <c r="N75" s="25"/>
    </row>
    <row r="76" spans="2:19" ht="13.5" customHeight="1">
      <c r="B76" s="98">
        <f>Calcu!E185</f>
        <v>0</v>
      </c>
      <c r="C76" s="98">
        <f>Calcu!F185</f>
        <v>0</v>
      </c>
      <c r="D76" s="98">
        <f>Calcu!I185</f>
        <v>0</v>
      </c>
      <c r="E76" s="25"/>
      <c r="F76" s="25"/>
      <c r="G76" s="25"/>
      <c r="I76" s="98">
        <f>Calcu!E243</f>
        <v>0</v>
      </c>
      <c r="J76" s="98">
        <f>Calcu!F243</f>
        <v>0</v>
      </c>
      <c r="K76" s="98">
        <f>Calcu!I243</f>
        <v>0</v>
      </c>
      <c r="L76" s="25"/>
      <c r="M76" s="25"/>
      <c r="N76" s="25"/>
    </row>
    <row r="77" spans="2:19" ht="13.5" customHeight="1">
      <c r="B77" s="25"/>
      <c r="C77" s="25"/>
      <c r="D77" s="25"/>
      <c r="E77" s="25"/>
      <c r="F77" s="25"/>
      <c r="G77" s="25"/>
      <c r="I77" s="25"/>
      <c r="J77" s="25"/>
      <c r="K77" s="25"/>
      <c r="L77" s="25"/>
      <c r="M77" s="25"/>
      <c r="N77" s="25"/>
    </row>
    <row r="78" spans="2:19" ht="13.5" customHeight="1">
      <c r="B78" s="101" t="s">
        <v>84</v>
      </c>
      <c r="C78" s="25"/>
      <c r="D78" s="25"/>
      <c r="E78" s="25"/>
      <c r="F78" s="25"/>
      <c r="G78" s="25"/>
      <c r="I78" s="101" t="s">
        <v>84</v>
      </c>
      <c r="J78" s="25"/>
      <c r="K78" s="25"/>
      <c r="L78" s="25"/>
      <c r="M78" s="25"/>
      <c r="N78" s="25"/>
    </row>
    <row r="79" spans="2:19" ht="13.5" customHeight="1">
      <c r="B79" s="102" t="s">
        <v>118</v>
      </c>
      <c r="F79" s="25"/>
      <c r="G79" s="25"/>
      <c r="I79" s="102" t="s">
        <v>118</v>
      </c>
      <c r="J79" s="31"/>
      <c r="K79" s="31"/>
      <c r="L79" s="26"/>
      <c r="M79" s="25"/>
      <c r="N79" s="25"/>
    </row>
    <row r="80" spans="2:19" ht="13.5" customHeight="1">
      <c r="B80" s="505" t="s">
        <v>90</v>
      </c>
      <c r="C80" s="502" t="str">
        <f>Calcu!E188</f>
        <v>측정투영기 각도 지시오차</v>
      </c>
      <c r="D80" s="503"/>
      <c r="E80" s="503"/>
      <c r="F80" s="503"/>
      <c r="G80" s="504"/>
      <c r="I80" s="505" t="s">
        <v>90</v>
      </c>
      <c r="J80" s="502" t="str">
        <f>Calcu!E246</f>
        <v>측정투영기 지시값</v>
      </c>
      <c r="K80" s="503"/>
      <c r="L80" s="503"/>
      <c r="M80" s="503"/>
      <c r="N80" s="504"/>
    </row>
    <row r="81" spans="2:14" ht="13.5" customHeight="1">
      <c r="B81" s="506"/>
      <c r="C81" s="97" t="s">
        <v>79</v>
      </c>
      <c r="D81" s="97" t="s">
        <v>77</v>
      </c>
      <c r="E81" s="97" t="s">
        <v>78</v>
      </c>
      <c r="F81" s="97" t="s">
        <v>119</v>
      </c>
      <c r="G81" s="97" t="s">
        <v>120</v>
      </c>
      <c r="I81" s="506"/>
      <c r="J81" s="97" t="s">
        <v>79</v>
      </c>
      <c r="K81" s="97" t="s">
        <v>77</v>
      </c>
      <c r="L81" s="97" t="s">
        <v>78</v>
      </c>
      <c r="M81" s="97" t="s">
        <v>119</v>
      </c>
      <c r="N81" s="97" t="s">
        <v>120</v>
      </c>
    </row>
    <row r="82" spans="2:14" ht="13.5" customHeight="1">
      <c r="B82" s="97" t="s">
        <v>777</v>
      </c>
      <c r="C82" s="97" t="str">
        <f>B82</f>
        <v>˚</v>
      </c>
      <c r="D82" s="97" t="str">
        <f>C82</f>
        <v>˚</v>
      </c>
      <c r="E82" s="97" t="str">
        <f>D82</f>
        <v>˚</v>
      </c>
      <c r="F82" s="97" t="str">
        <f>E82</f>
        <v>˚</v>
      </c>
      <c r="G82" s="97" t="str">
        <f>F82</f>
        <v>˚</v>
      </c>
      <c r="I82" s="97" t="str">
        <f>Calcu!D249</f>
        <v/>
      </c>
      <c r="J82" s="97" t="str">
        <f>I82</f>
        <v/>
      </c>
      <c r="K82" s="97" t="str">
        <f>J82</f>
        <v/>
      </c>
      <c r="L82" s="97" t="str">
        <f>K82</f>
        <v/>
      </c>
      <c r="M82" s="97" t="str">
        <f>L82</f>
        <v/>
      </c>
      <c r="N82" s="97" t="str">
        <f>M82</f>
        <v/>
      </c>
    </row>
    <row r="83" spans="2:14" ht="13.5" customHeight="1">
      <c r="B83" s="98" t="str">
        <f>Calcu!C191</f>
        <v/>
      </c>
      <c r="C83" s="306" t="str">
        <f>Calcu!BD191</f>
        <v/>
      </c>
      <c r="D83" s="306" t="str">
        <f>Calcu!BE191</f>
        <v/>
      </c>
      <c r="E83" s="306" t="str">
        <f>Calcu!BF191</f>
        <v/>
      </c>
      <c r="F83" s="306" t="str">
        <f>Calcu!BG191</f>
        <v/>
      </c>
      <c r="G83" s="306" t="str">
        <f>Calcu!BH191</f>
        <v/>
      </c>
      <c r="I83" s="98" t="str">
        <f>Calcu!C249</f>
        <v/>
      </c>
      <c r="J83" s="306" t="str">
        <f>IF($K$76="˚",TEXT(Calcu!E249,Calcu!$R$282),Calcu!BD249)</f>
        <v/>
      </c>
      <c r="K83" s="306" t="str">
        <f>IF($K$76="˚",TEXT(Calcu!F249,Calcu!$R$282),Calcu!BE249)</f>
        <v/>
      </c>
      <c r="L83" s="306" t="str">
        <f>IF($K$76="˚",TEXT(Calcu!G249,Calcu!$R$282),Calcu!BF249)</f>
        <v/>
      </c>
      <c r="M83" s="306" t="str">
        <f>IF($K$76="˚",TEXT(Calcu!H249,Calcu!$R$282),Calcu!BG249)</f>
        <v/>
      </c>
      <c r="N83" s="306" t="str">
        <f>IF($K$76="˚",TEXT(Calcu!I249,Calcu!$R$282),Calcu!BH249)</f>
        <v/>
      </c>
    </row>
    <row r="84" spans="2:14" ht="13.5" customHeight="1">
      <c r="B84" s="98" t="str">
        <f>Calcu!C192</f>
        <v/>
      </c>
      <c r="C84" s="306" t="str">
        <f>Calcu!BD192</f>
        <v/>
      </c>
      <c r="D84" s="306" t="str">
        <f>Calcu!BE192</f>
        <v/>
      </c>
      <c r="E84" s="306" t="str">
        <f>Calcu!BF192</f>
        <v/>
      </c>
      <c r="F84" s="306" t="str">
        <f>Calcu!BG192</f>
        <v/>
      </c>
      <c r="G84" s="306" t="str">
        <f>Calcu!BH192</f>
        <v/>
      </c>
      <c r="I84" s="98" t="str">
        <f>Calcu!C250</f>
        <v/>
      </c>
      <c r="J84" s="306" t="str">
        <f>IF($K$76="˚",TEXT(Calcu!E250,Calcu!$R$282),Calcu!BD250)</f>
        <v/>
      </c>
      <c r="K84" s="306" t="str">
        <f>IF($K$76="˚",TEXT(Calcu!F250,Calcu!$R$282),Calcu!BE250)</f>
        <v/>
      </c>
      <c r="L84" s="306" t="str">
        <f>IF($K$76="˚",TEXT(Calcu!G250,Calcu!$R$282),Calcu!BF250)</f>
        <v/>
      </c>
      <c r="M84" s="306" t="str">
        <f>IF($K$76="˚",TEXT(Calcu!H250,Calcu!$R$282),Calcu!BG250)</f>
        <v/>
      </c>
      <c r="N84" s="306" t="str">
        <f>IF($K$76="˚",TEXT(Calcu!I250,Calcu!$R$282),Calcu!BH250)</f>
        <v/>
      </c>
    </row>
    <row r="85" spans="2:14" ht="13.5" customHeight="1">
      <c r="B85" s="98" t="str">
        <f>Calcu!C193</f>
        <v/>
      </c>
      <c r="C85" s="306" t="str">
        <f>Calcu!BD193</f>
        <v/>
      </c>
      <c r="D85" s="306" t="str">
        <f>Calcu!BE193</f>
        <v/>
      </c>
      <c r="E85" s="306" t="str">
        <f>Calcu!BF193</f>
        <v/>
      </c>
      <c r="F85" s="306" t="str">
        <f>Calcu!BG193</f>
        <v/>
      </c>
      <c r="G85" s="306" t="str">
        <f>Calcu!BH193</f>
        <v/>
      </c>
      <c r="I85" s="98" t="str">
        <f>Calcu!C251</f>
        <v/>
      </c>
      <c r="J85" s="306" t="str">
        <f>IF($K$76="˚",TEXT(Calcu!E251,Calcu!$R$282),Calcu!BD251)</f>
        <v/>
      </c>
      <c r="K85" s="306" t="str">
        <f>IF($K$76="˚",TEXT(Calcu!F251,Calcu!$R$282),Calcu!BE251)</f>
        <v/>
      </c>
      <c r="L85" s="306" t="str">
        <f>IF($K$76="˚",TEXT(Calcu!G251,Calcu!$R$282),Calcu!BF251)</f>
        <v/>
      </c>
      <c r="M85" s="306" t="str">
        <f>IF($K$76="˚",TEXT(Calcu!H251,Calcu!$R$282),Calcu!BG251)</f>
        <v/>
      </c>
      <c r="N85" s="306" t="str">
        <f>IF($K$76="˚",TEXT(Calcu!I251,Calcu!$R$282),Calcu!BH251)</f>
        <v/>
      </c>
    </row>
    <row r="86" spans="2:14" ht="13.5" customHeight="1">
      <c r="B86" s="98" t="str">
        <f>Calcu!C194</f>
        <v/>
      </c>
      <c r="C86" s="306" t="str">
        <f>Calcu!BD194</f>
        <v/>
      </c>
      <c r="D86" s="306" t="str">
        <f>Calcu!BE194</f>
        <v/>
      </c>
      <c r="E86" s="306" t="str">
        <f>Calcu!BF194</f>
        <v/>
      </c>
      <c r="F86" s="306" t="str">
        <f>Calcu!BG194</f>
        <v/>
      </c>
      <c r="G86" s="306" t="str">
        <f>Calcu!BH194</f>
        <v/>
      </c>
      <c r="I86" s="98" t="str">
        <f>Calcu!C252</f>
        <v/>
      </c>
      <c r="J86" s="306" t="str">
        <f>IF($K$76="˚",TEXT(Calcu!E252,Calcu!$R$282),Calcu!BD252)</f>
        <v/>
      </c>
      <c r="K86" s="306" t="str">
        <f>IF($K$76="˚",TEXT(Calcu!F252,Calcu!$R$282),Calcu!BE252)</f>
        <v/>
      </c>
      <c r="L86" s="306" t="str">
        <f>IF($K$76="˚",TEXT(Calcu!G252,Calcu!$R$282),Calcu!BF252)</f>
        <v/>
      </c>
      <c r="M86" s="306" t="str">
        <f>IF($K$76="˚",TEXT(Calcu!H252,Calcu!$R$282),Calcu!BG252)</f>
        <v/>
      </c>
      <c r="N86" s="306" t="str">
        <f>IF($K$76="˚",TEXT(Calcu!I252,Calcu!$R$282),Calcu!BH252)</f>
        <v/>
      </c>
    </row>
    <row r="87" spans="2:14" ht="13.5" customHeight="1">
      <c r="B87" s="98" t="str">
        <f>Calcu!C195</f>
        <v/>
      </c>
      <c r="C87" s="306" t="str">
        <f>Calcu!BD195</f>
        <v/>
      </c>
      <c r="D87" s="306" t="str">
        <f>Calcu!BE195</f>
        <v/>
      </c>
      <c r="E87" s="306" t="str">
        <f>Calcu!BF195</f>
        <v/>
      </c>
      <c r="F87" s="306" t="str">
        <f>Calcu!BG195</f>
        <v/>
      </c>
      <c r="G87" s="306" t="str">
        <f>Calcu!BH195</f>
        <v/>
      </c>
      <c r="I87" s="98" t="str">
        <f>Calcu!C253</f>
        <v/>
      </c>
      <c r="J87" s="306" t="str">
        <f>IF($K$76="˚",TEXT(Calcu!E253,Calcu!$R$282),Calcu!BD253)</f>
        <v/>
      </c>
      <c r="K87" s="306" t="str">
        <f>IF($K$76="˚",TEXT(Calcu!F253,Calcu!$R$282),Calcu!BE253)</f>
        <v/>
      </c>
      <c r="L87" s="306" t="str">
        <f>IF($K$76="˚",TEXT(Calcu!G253,Calcu!$R$282),Calcu!BF253)</f>
        <v/>
      </c>
      <c r="M87" s="306" t="str">
        <f>IF($K$76="˚",TEXT(Calcu!H253,Calcu!$R$282),Calcu!BG253)</f>
        <v/>
      </c>
      <c r="N87" s="306" t="str">
        <f>IF($K$76="˚",TEXT(Calcu!I253,Calcu!$R$282),Calcu!BH253)</f>
        <v/>
      </c>
    </row>
    <row r="88" spans="2:14" ht="13.5" customHeight="1">
      <c r="B88" s="98" t="str">
        <f>Calcu!C196</f>
        <v/>
      </c>
      <c r="C88" s="306" t="str">
        <f>Calcu!BD196</f>
        <v/>
      </c>
      <c r="D88" s="306" t="str">
        <f>Calcu!BE196</f>
        <v/>
      </c>
      <c r="E88" s="306" t="str">
        <f>Calcu!BF196</f>
        <v/>
      </c>
      <c r="F88" s="306" t="str">
        <f>Calcu!BG196</f>
        <v/>
      </c>
      <c r="G88" s="306" t="str">
        <f>Calcu!BH196</f>
        <v/>
      </c>
      <c r="I88" s="98" t="str">
        <f>Calcu!C254</f>
        <v/>
      </c>
      <c r="J88" s="306" t="str">
        <f>IF($K$76="˚",TEXT(Calcu!E254,Calcu!$R$282),Calcu!BD254)</f>
        <v/>
      </c>
      <c r="K88" s="306" t="str">
        <f>IF($K$76="˚",TEXT(Calcu!F254,Calcu!$R$282),Calcu!BE254)</f>
        <v/>
      </c>
      <c r="L88" s="306" t="str">
        <f>IF($K$76="˚",TEXT(Calcu!G254,Calcu!$R$282),Calcu!BF254)</f>
        <v/>
      </c>
      <c r="M88" s="306" t="str">
        <f>IF($K$76="˚",TEXT(Calcu!H254,Calcu!$R$282),Calcu!BG254)</f>
        <v/>
      </c>
      <c r="N88" s="306" t="str">
        <f>IF($K$76="˚",TEXT(Calcu!I254,Calcu!$R$282),Calcu!BH254)</f>
        <v/>
      </c>
    </row>
    <row r="89" spans="2:14" ht="13.5" customHeight="1">
      <c r="B89" s="98" t="str">
        <f>Calcu!C197</f>
        <v/>
      </c>
      <c r="C89" s="306" t="str">
        <f>Calcu!BD197</f>
        <v/>
      </c>
      <c r="D89" s="306" t="str">
        <f>Calcu!BE197</f>
        <v/>
      </c>
      <c r="E89" s="306" t="str">
        <f>Calcu!BF197</f>
        <v/>
      </c>
      <c r="F89" s="306" t="str">
        <f>Calcu!BG197</f>
        <v/>
      </c>
      <c r="G89" s="306" t="str">
        <f>Calcu!BH197</f>
        <v/>
      </c>
      <c r="I89" s="98" t="str">
        <f>Calcu!C255</f>
        <v/>
      </c>
      <c r="J89" s="306" t="str">
        <f>IF($K$76="˚",TEXT(Calcu!E255,Calcu!$R$282),Calcu!BD255)</f>
        <v/>
      </c>
      <c r="K89" s="306" t="str">
        <f>IF($K$76="˚",TEXT(Calcu!F255,Calcu!$R$282),Calcu!BE255)</f>
        <v/>
      </c>
      <c r="L89" s="306" t="str">
        <f>IF($K$76="˚",TEXT(Calcu!G255,Calcu!$R$282),Calcu!BF255)</f>
        <v/>
      </c>
      <c r="M89" s="306" t="str">
        <f>IF($K$76="˚",TEXT(Calcu!H255,Calcu!$R$282),Calcu!BG255)</f>
        <v/>
      </c>
      <c r="N89" s="306" t="str">
        <f>IF($K$76="˚",TEXT(Calcu!I255,Calcu!$R$282),Calcu!BH255)</f>
        <v/>
      </c>
    </row>
    <row r="90" spans="2:14" ht="13.5" customHeight="1">
      <c r="B90" s="98" t="str">
        <f>Calcu!C198</f>
        <v/>
      </c>
      <c r="C90" s="306" t="str">
        <f>Calcu!BD198</f>
        <v/>
      </c>
      <c r="D90" s="306" t="str">
        <f>Calcu!BE198</f>
        <v/>
      </c>
      <c r="E90" s="306" t="str">
        <f>Calcu!BF198</f>
        <v/>
      </c>
      <c r="F90" s="306" t="str">
        <f>Calcu!BG198</f>
        <v/>
      </c>
      <c r="G90" s="306" t="str">
        <f>Calcu!BH198</f>
        <v/>
      </c>
      <c r="I90" s="98" t="str">
        <f>Calcu!C256</f>
        <v/>
      </c>
      <c r="J90" s="306" t="str">
        <f>IF($K$76="˚",TEXT(Calcu!E256,Calcu!$R$282),Calcu!BD256)</f>
        <v/>
      </c>
      <c r="K90" s="306" t="str">
        <f>IF($K$76="˚",TEXT(Calcu!F256,Calcu!$R$282),Calcu!BE256)</f>
        <v/>
      </c>
      <c r="L90" s="306" t="str">
        <f>IF($K$76="˚",TEXT(Calcu!G256,Calcu!$R$282),Calcu!BF256)</f>
        <v/>
      </c>
      <c r="M90" s="306" t="str">
        <f>IF($K$76="˚",TEXT(Calcu!H256,Calcu!$R$282),Calcu!BG256)</f>
        <v/>
      </c>
      <c r="N90" s="306" t="str">
        <f>IF($K$76="˚",TEXT(Calcu!I256,Calcu!$R$282),Calcu!BH256)</f>
        <v/>
      </c>
    </row>
    <row r="91" spans="2:14" ht="13.5" customHeight="1">
      <c r="B91" s="98" t="str">
        <f>Calcu!C199</f>
        <v/>
      </c>
      <c r="C91" s="306" t="str">
        <f>Calcu!BD199</f>
        <v/>
      </c>
      <c r="D91" s="306" t="str">
        <f>Calcu!BE199</f>
        <v/>
      </c>
      <c r="E91" s="306" t="str">
        <f>Calcu!BF199</f>
        <v/>
      </c>
      <c r="F91" s="306" t="str">
        <f>Calcu!BG199</f>
        <v/>
      </c>
      <c r="G91" s="306" t="str">
        <f>Calcu!BH199</f>
        <v/>
      </c>
      <c r="I91" s="98" t="str">
        <f>Calcu!C257</f>
        <v/>
      </c>
      <c r="J91" s="306" t="str">
        <f>IF($K$76="˚",TEXT(Calcu!E257,Calcu!$R$282),Calcu!BD257)</f>
        <v/>
      </c>
      <c r="K91" s="306" t="str">
        <f>IF($K$76="˚",TEXT(Calcu!F257,Calcu!$R$282),Calcu!BE257)</f>
        <v/>
      </c>
      <c r="L91" s="306" t="str">
        <f>IF($K$76="˚",TEXT(Calcu!G257,Calcu!$R$282),Calcu!BF257)</f>
        <v/>
      </c>
      <c r="M91" s="306" t="str">
        <f>IF($K$76="˚",TEXT(Calcu!H257,Calcu!$R$282),Calcu!BG257)</f>
        <v/>
      </c>
      <c r="N91" s="306" t="str">
        <f>IF($K$76="˚",TEXT(Calcu!I257,Calcu!$R$282),Calcu!BH257)</f>
        <v/>
      </c>
    </row>
    <row r="92" spans="2:14" ht="13.5" customHeight="1">
      <c r="B92" s="98" t="str">
        <f>Calcu!C200</f>
        <v/>
      </c>
      <c r="C92" s="306" t="str">
        <f>Calcu!BD200</f>
        <v/>
      </c>
      <c r="D92" s="306" t="str">
        <f>Calcu!BE200</f>
        <v/>
      </c>
      <c r="E92" s="306" t="str">
        <f>Calcu!BF200</f>
        <v/>
      </c>
      <c r="F92" s="306" t="str">
        <f>Calcu!BG200</f>
        <v/>
      </c>
      <c r="G92" s="306" t="str">
        <f>Calcu!BH200</f>
        <v/>
      </c>
      <c r="I92" s="98" t="str">
        <f>Calcu!C258</f>
        <v/>
      </c>
      <c r="J92" s="306" t="str">
        <f>IF($K$76="˚",TEXT(Calcu!E258,Calcu!$R$282),Calcu!BD258)</f>
        <v/>
      </c>
      <c r="K92" s="306" t="str">
        <f>IF($K$76="˚",TEXT(Calcu!F258,Calcu!$R$282),Calcu!BE258)</f>
        <v/>
      </c>
      <c r="L92" s="306" t="str">
        <f>IF($K$76="˚",TEXT(Calcu!G258,Calcu!$R$282),Calcu!BF258)</f>
        <v/>
      </c>
      <c r="M92" s="306" t="str">
        <f>IF($K$76="˚",TEXT(Calcu!H258,Calcu!$R$282),Calcu!BG258)</f>
        <v/>
      </c>
      <c r="N92" s="306" t="str">
        <f>IF($K$76="˚",TEXT(Calcu!I258,Calcu!$R$282),Calcu!BH258)</f>
        <v/>
      </c>
    </row>
    <row r="93" spans="2:14" ht="13.5" customHeight="1">
      <c r="B93" s="98" t="str">
        <f>Calcu!C201</f>
        <v/>
      </c>
      <c r="C93" s="306" t="str">
        <f>Calcu!BD201</f>
        <v/>
      </c>
      <c r="D93" s="306" t="str">
        <f>Calcu!BE201</f>
        <v/>
      </c>
      <c r="E93" s="306" t="str">
        <f>Calcu!BF201</f>
        <v/>
      </c>
      <c r="F93" s="306" t="str">
        <f>Calcu!BG201</f>
        <v/>
      </c>
      <c r="G93" s="306" t="str">
        <f>Calcu!BH201</f>
        <v/>
      </c>
      <c r="I93" s="98" t="str">
        <f>Calcu!C259</f>
        <v/>
      </c>
      <c r="J93" s="306" t="str">
        <f>IF($K$76="˚",TEXT(Calcu!E259,Calcu!$R$282),Calcu!BD259)</f>
        <v/>
      </c>
      <c r="K93" s="306" t="str">
        <f>IF($K$76="˚",TEXT(Calcu!F259,Calcu!$R$282),Calcu!BE259)</f>
        <v/>
      </c>
      <c r="L93" s="306" t="str">
        <f>IF($K$76="˚",TEXT(Calcu!G259,Calcu!$R$282),Calcu!BF259)</f>
        <v/>
      </c>
      <c r="M93" s="306" t="str">
        <f>IF($K$76="˚",TEXT(Calcu!H259,Calcu!$R$282),Calcu!BG259)</f>
        <v/>
      </c>
      <c r="N93" s="306" t="str">
        <f>IF($K$76="˚",TEXT(Calcu!I259,Calcu!$R$282),Calcu!BH259)</f>
        <v/>
      </c>
    </row>
    <row r="94" spans="2:14" ht="13.5" customHeight="1">
      <c r="B94" s="98" t="str">
        <f>Calcu!C202</f>
        <v/>
      </c>
      <c r="C94" s="306" t="str">
        <f>Calcu!BD202</f>
        <v/>
      </c>
      <c r="D94" s="306" t="str">
        <f>Calcu!BE202</f>
        <v/>
      </c>
      <c r="E94" s="306" t="str">
        <f>Calcu!BF202</f>
        <v/>
      </c>
      <c r="F94" s="306" t="str">
        <f>Calcu!BG202</f>
        <v/>
      </c>
      <c r="G94" s="306" t="str">
        <f>Calcu!BH202</f>
        <v/>
      </c>
      <c r="I94" s="98" t="str">
        <f>Calcu!C260</f>
        <v/>
      </c>
      <c r="J94" s="306" t="str">
        <f>IF($K$76="˚",TEXT(Calcu!E260,Calcu!$R$282),Calcu!BD260)</f>
        <v/>
      </c>
      <c r="K94" s="306" t="str">
        <f>IF($K$76="˚",TEXT(Calcu!F260,Calcu!$R$282),Calcu!BE260)</f>
        <v/>
      </c>
      <c r="L94" s="306" t="str">
        <f>IF($K$76="˚",TEXT(Calcu!G260,Calcu!$R$282),Calcu!BF260)</f>
        <v/>
      </c>
      <c r="M94" s="306" t="str">
        <f>IF($K$76="˚",TEXT(Calcu!H260,Calcu!$R$282),Calcu!BG260)</f>
        <v/>
      </c>
      <c r="N94" s="306" t="str">
        <f>IF($K$76="˚",TEXT(Calcu!I260,Calcu!$R$282),Calcu!BH260)</f>
        <v/>
      </c>
    </row>
    <row r="95" spans="2:14" ht="13.5" customHeight="1">
      <c r="B95" s="98" t="str">
        <f>Calcu!C203</f>
        <v/>
      </c>
      <c r="C95" s="306" t="str">
        <f>Calcu!BD203</f>
        <v/>
      </c>
      <c r="D95" s="306" t="str">
        <f>Calcu!BE203</f>
        <v/>
      </c>
      <c r="E95" s="306" t="str">
        <f>Calcu!BF203</f>
        <v/>
      </c>
      <c r="F95" s="306" t="str">
        <f>Calcu!BG203</f>
        <v/>
      </c>
      <c r="G95" s="306" t="str">
        <f>Calcu!BH203</f>
        <v/>
      </c>
      <c r="I95" s="98" t="str">
        <f>Calcu!C261</f>
        <v/>
      </c>
      <c r="J95" s="306" t="str">
        <f>IF($K$76="˚",TEXT(Calcu!E261,Calcu!$R$282),Calcu!BD261)</f>
        <v/>
      </c>
      <c r="K95" s="306" t="str">
        <f>IF($K$76="˚",TEXT(Calcu!F261,Calcu!$R$282),Calcu!BE261)</f>
        <v/>
      </c>
      <c r="L95" s="306" t="str">
        <f>IF($K$76="˚",TEXT(Calcu!G261,Calcu!$R$282),Calcu!BF261)</f>
        <v/>
      </c>
      <c r="M95" s="306" t="str">
        <f>IF($K$76="˚",TEXT(Calcu!H261,Calcu!$R$282),Calcu!BG261)</f>
        <v/>
      </c>
      <c r="N95" s="306" t="str">
        <f>IF($K$76="˚",TEXT(Calcu!I261,Calcu!$R$282),Calcu!BH261)</f>
        <v/>
      </c>
    </row>
    <row r="96" spans="2:14" ht="13.5" customHeight="1">
      <c r="B96" s="98" t="str">
        <f>Calcu!C204</f>
        <v/>
      </c>
      <c r="C96" s="306" t="str">
        <f>Calcu!BD204</f>
        <v/>
      </c>
      <c r="D96" s="306" t="str">
        <f>Calcu!BE204</f>
        <v/>
      </c>
      <c r="E96" s="306" t="str">
        <f>Calcu!BF204</f>
        <v/>
      </c>
      <c r="F96" s="306" t="str">
        <f>Calcu!BG204</f>
        <v/>
      </c>
      <c r="G96" s="306" t="str">
        <f>Calcu!BH204</f>
        <v/>
      </c>
      <c r="I96" s="98" t="str">
        <f>Calcu!C262</f>
        <v/>
      </c>
      <c r="J96" s="306" t="str">
        <f>IF($K$76="˚",TEXT(Calcu!E262,Calcu!$R$282),Calcu!BD262)</f>
        <v/>
      </c>
      <c r="K96" s="306" t="str">
        <f>IF($K$76="˚",TEXT(Calcu!F262,Calcu!$R$282),Calcu!BE262)</f>
        <v/>
      </c>
      <c r="L96" s="306" t="str">
        <f>IF($K$76="˚",TEXT(Calcu!G262,Calcu!$R$282),Calcu!BF262)</f>
        <v/>
      </c>
      <c r="M96" s="306" t="str">
        <f>IF($K$76="˚",TEXT(Calcu!H262,Calcu!$R$282),Calcu!BG262)</f>
        <v/>
      </c>
      <c r="N96" s="306" t="str">
        <f>IF($K$76="˚",TEXT(Calcu!I262,Calcu!$R$282),Calcu!BH262)</f>
        <v/>
      </c>
    </row>
    <row r="97" spans="2:14" ht="13.5" customHeight="1">
      <c r="B97" s="98" t="str">
        <f>Calcu!C205</f>
        <v/>
      </c>
      <c r="C97" s="306" t="str">
        <f>Calcu!BD205</f>
        <v/>
      </c>
      <c r="D97" s="306" t="str">
        <f>Calcu!BE205</f>
        <v/>
      </c>
      <c r="E97" s="306" t="str">
        <f>Calcu!BF205</f>
        <v/>
      </c>
      <c r="F97" s="306" t="str">
        <f>Calcu!BG205</f>
        <v/>
      </c>
      <c r="G97" s="306" t="str">
        <f>Calcu!BH205</f>
        <v/>
      </c>
      <c r="I97" s="98" t="str">
        <f>Calcu!C263</f>
        <v/>
      </c>
      <c r="J97" s="306" t="str">
        <f>IF($K$76="˚",TEXT(Calcu!E263,Calcu!$R$282),Calcu!BD263)</f>
        <v/>
      </c>
      <c r="K97" s="306" t="str">
        <f>IF($K$76="˚",TEXT(Calcu!F263,Calcu!$R$282),Calcu!BE263)</f>
        <v/>
      </c>
      <c r="L97" s="306" t="str">
        <f>IF($K$76="˚",TEXT(Calcu!G263,Calcu!$R$282),Calcu!BF263)</f>
        <v/>
      </c>
      <c r="M97" s="306" t="str">
        <f>IF($K$76="˚",TEXT(Calcu!H263,Calcu!$R$282),Calcu!BG263)</f>
        <v/>
      </c>
      <c r="N97" s="306" t="str">
        <f>IF($K$76="˚",TEXT(Calcu!I263,Calcu!$R$282),Calcu!BH263)</f>
        <v/>
      </c>
    </row>
    <row r="98" spans="2:14" ht="13.5" customHeight="1">
      <c r="B98" s="98" t="str">
        <f>Calcu!C206</f>
        <v/>
      </c>
      <c r="C98" s="306" t="str">
        <f>Calcu!BD206</f>
        <v/>
      </c>
      <c r="D98" s="306" t="str">
        <f>Calcu!BE206</f>
        <v/>
      </c>
      <c r="E98" s="306" t="str">
        <f>Calcu!BF206</f>
        <v/>
      </c>
      <c r="F98" s="306" t="str">
        <f>Calcu!BG206</f>
        <v/>
      </c>
      <c r="G98" s="306" t="str">
        <f>Calcu!BH206</f>
        <v/>
      </c>
      <c r="I98" s="98" t="str">
        <f>Calcu!C264</f>
        <v/>
      </c>
      <c r="J98" s="306" t="str">
        <f>IF($K$76="˚",TEXT(Calcu!E264,Calcu!$R$282),Calcu!BD264)</f>
        <v/>
      </c>
      <c r="K98" s="306" t="str">
        <f>IF($K$76="˚",TEXT(Calcu!F264,Calcu!$R$282),Calcu!BE264)</f>
        <v/>
      </c>
      <c r="L98" s="306" t="str">
        <f>IF($K$76="˚",TEXT(Calcu!G264,Calcu!$R$282),Calcu!BF264)</f>
        <v/>
      </c>
      <c r="M98" s="306" t="str">
        <f>IF($K$76="˚",TEXT(Calcu!H264,Calcu!$R$282),Calcu!BG264)</f>
        <v/>
      </c>
      <c r="N98" s="306" t="str">
        <f>IF($K$76="˚",TEXT(Calcu!I264,Calcu!$R$282),Calcu!BH264)</f>
        <v/>
      </c>
    </row>
    <row r="99" spans="2:14" ht="13.5" customHeight="1">
      <c r="B99" s="98" t="str">
        <f>Calcu!C207</f>
        <v/>
      </c>
      <c r="C99" s="306" t="str">
        <f>Calcu!BD207</f>
        <v/>
      </c>
      <c r="D99" s="306" t="str">
        <f>Calcu!BE207</f>
        <v/>
      </c>
      <c r="E99" s="306" t="str">
        <f>Calcu!BF207</f>
        <v/>
      </c>
      <c r="F99" s="306" t="str">
        <f>Calcu!BG207</f>
        <v/>
      </c>
      <c r="G99" s="306" t="str">
        <f>Calcu!BH207</f>
        <v/>
      </c>
      <c r="I99" s="98" t="str">
        <f>Calcu!C265</f>
        <v/>
      </c>
      <c r="J99" s="306" t="str">
        <f>IF($K$76="˚",TEXT(Calcu!E265,Calcu!$R$282),Calcu!BD265)</f>
        <v/>
      </c>
      <c r="K99" s="306" t="str">
        <f>IF($K$76="˚",TEXT(Calcu!F265,Calcu!$R$282),Calcu!BE265)</f>
        <v/>
      </c>
      <c r="L99" s="306" t="str">
        <f>IF($K$76="˚",TEXT(Calcu!G265,Calcu!$R$282),Calcu!BF265)</f>
        <v/>
      </c>
      <c r="M99" s="306" t="str">
        <f>IF($K$76="˚",TEXT(Calcu!H265,Calcu!$R$282),Calcu!BG265)</f>
        <v/>
      </c>
      <c r="N99" s="306" t="str">
        <f>IF($K$76="˚",TEXT(Calcu!I265,Calcu!$R$282),Calcu!BH265)</f>
        <v/>
      </c>
    </row>
    <row r="100" spans="2:14" ht="13.5" customHeight="1">
      <c r="B100" s="98" t="str">
        <f>Calcu!C208</f>
        <v/>
      </c>
      <c r="C100" s="306" t="str">
        <f>Calcu!BD208</f>
        <v/>
      </c>
      <c r="D100" s="306" t="str">
        <f>Calcu!BE208</f>
        <v/>
      </c>
      <c r="E100" s="306" t="str">
        <f>Calcu!BF208</f>
        <v/>
      </c>
      <c r="F100" s="306" t="str">
        <f>Calcu!BG208</f>
        <v/>
      </c>
      <c r="G100" s="306" t="str">
        <f>Calcu!BH208</f>
        <v/>
      </c>
      <c r="I100" s="98" t="str">
        <f>Calcu!C266</f>
        <v/>
      </c>
      <c r="J100" s="306" t="str">
        <f>IF($K$76="˚",TEXT(Calcu!E266,Calcu!$R$282),Calcu!BD266)</f>
        <v/>
      </c>
      <c r="K100" s="306" t="str">
        <f>IF($K$76="˚",TEXT(Calcu!F266,Calcu!$R$282),Calcu!BE266)</f>
        <v/>
      </c>
      <c r="L100" s="306" t="str">
        <f>IF($K$76="˚",TEXT(Calcu!G266,Calcu!$R$282),Calcu!BF266)</f>
        <v/>
      </c>
      <c r="M100" s="306" t="str">
        <f>IF($K$76="˚",TEXT(Calcu!H266,Calcu!$R$282),Calcu!BG266)</f>
        <v/>
      </c>
      <c r="N100" s="306" t="str">
        <f>IF($K$76="˚",TEXT(Calcu!I266,Calcu!$R$282),Calcu!BH266)</f>
        <v/>
      </c>
    </row>
    <row r="101" spans="2:14" ht="13.5" customHeight="1">
      <c r="B101" s="98" t="str">
        <f>Calcu!C209</f>
        <v/>
      </c>
      <c r="C101" s="306" t="str">
        <f>Calcu!BD209</f>
        <v/>
      </c>
      <c r="D101" s="306" t="str">
        <f>Calcu!BE209</f>
        <v/>
      </c>
      <c r="E101" s="306" t="str">
        <f>Calcu!BF209</f>
        <v/>
      </c>
      <c r="F101" s="306" t="str">
        <f>Calcu!BG209</f>
        <v/>
      </c>
      <c r="G101" s="306" t="str">
        <f>Calcu!BH209</f>
        <v/>
      </c>
      <c r="I101" s="98" t="str">
        <f>Calcu!C267</f>
        <v/>
      </c>
      <c r="J101" s="306" t="str">
        <f>IF($K$76="˚",TEXT(Calcu!E267,Calcu!$R$282),Calcu!BD267)</f>
        <v/>
      </c>
      <c r="K101" s="306" t="str">
        <f>IF($K$76="˚",TEXT(Calcu!F267,Calcu!$R$282),Calcu!BE267)</f>
        <v/>
      </c>
      <c r="L101" s="306" t="str">
        <f>IF($K$76="˚",TEXT(Calcu!G267,Calcu!$R$282),Calcu!BF267)</f>
        <v/>
      </c>
      <c r="M101" s="306" t="str">
        <f>IF($K$76="˚",TEXT(Calcu!H267,Calcu!$R$282),Calcu!BG267)</f>
        <v/>
      </c>
      <c r="N101" s="306" t="str">
        <f>IF($K$76="˚",TEXT(Calcu!I267,Calcu!$R$282),Calcu!BH267)</f>
        <v/>
      </c>
    </row>
    <row r="102" spans="2:14" ht="13.5" customHeight="1">
      <c r="B102" s="98" t="str">
        <f>Calcu!C210</f>
        <v/>
      </c>
      <c r="C102" s="306" t="str">
        <f>Calcu!BD210</f>
        <v/>
      </c>
      <c r="D102" s="306" t="str">
        <f>Calcu!BE210</f>
        <v/>
      </c>
      <c r="E102" s="306" t="str">
        <f>Calcu!BF210</f>
        <v/>
      </c>
      <c r="F102" s="306" t="str">
        <f>Calcu!BG210</f>
        <v/>
      </c>
      <c r="G102" s="306" t="str">
        <f>Calcu!BH210</f>
        <v/>
      </c>
      <c r="I102" s="98" t="str">
        <f>Calcu!C268</f>
        <v/>
      </c>
      <c r="J102" s="306" t="str">
        <f>IF($K$76="˚",TEXT(Calcu!E268,Calcu!$R$282),Calcu!BD268)</f>
        <v/>
      </c>
      <c r="K102" s="306" t="str">
        <f>IF($K$76="˚",TEXT(Calcu!F268,Calcu!$R$282),Calcu!BE268)</f>
        <v/>
      </c>
      <c r="L102" s="306" t="str">
        <f>IF($K$76="˚",TEXT(Calcu!G268,Calcu!$R$282),Calcu!BF268)</f>
        <v/>
      </c>
      <c r="M102" s="306" t="str">
        <f>IF($K$76="˚",TEXT(Calcu!H268,Calcu!$R$282),Calcu!BG268)</f>
        <v/>
      </c>
      <c r="N102" s="306" t="str">
        <f>IF($K$76="˚",TEXT(Calcu!I268,Calcu!$R$282),Calcu!BH268)</f>
        <v/>
      </c>
    </row>
  </sheetData>
  <sortState ref="R5:S14">
    <sortCondition descending="1" ref="R5"/>
  </sortState>
  <mergeCells count="14">
    <mergeCell ref="E4:F4"/>
    <mergeCell ref="E3:F3"/>
    <mergeCell ref="J12:J13"/>
    <mergeCell ref="B46:B47"/>
    <mergeCell ref="E46:I46"/>
    <mergeCell ref="C46:C47"/>
    <mergeCell ref="D46:D47"/>
    <mergeCell ref="K12:O12"/>
    <mergeCell ref="C80:G80"/>
    <mergeCell ref="B80:B81"/>
    <mergeCell ref="B12:B13"/>
    <mergeCell ref="C12:G12"/>
    <mergeCell ref="I80:I81"/>
    <mergeCell ref="J80:N80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657"/>
  <sheetViews>
    <sheetView showGridLines="0" zoomScaleNormal="100" zoomScaleSheetLayoutView="100" workbookViewId="0"/>
  </sheetViews>
  <sheetFormatPr defaultColWidth="1.77734375" defaultRowHeight="18.75" customHeight="1"/>
  <cols>
    <col min="1" max="9" width="1.77734375" style="56"/>
    <col min="10" max="10" width="1.77734375" style="56" customWidth="1"/>
    <col min="11" max="11" width="1.77734375" style="56"/>
    <col min="12" max="12" width="1.77734375" style="56" customWidth="1"/>
    <col min="13" max="18" width="1.77734375" style="56"/>
    <col min="19" max="20" width="1.77734375" style="56" customWidth="1"/>
    <col min="21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44" s="382" customFormat="1" ht="31.5">
      <c r="A1" s="67" t="s">
        <v>794</v>
      </c>
    </row>
    <row r="2" spans="1:44" s="382" customFormat="1" ht="18.75" customHeight="1"/>
    <row r="3" spans="1:44" s="382" customFormat="1" ht="18.75" customHeight="1">
      <c r="A3" s="68" t="s">
        <v>968</v>
      </c>
    </row>
    <row r="4" spans="1:44" s="382" customFormat="1" ht="18.75" customHeight="1">
      <c r="B4" s="552" t="s">
        <v>795</v>
      </c>
      <c r="C4" s="552"/>
      <c r="D4" s="552"/>
      <c r="E4" s="552"/>
      <c r="F4" s="552"/>
      <c r="G4" s="552"/>
      <c r="H4" s="553" t="s">
        <v>796</v>
      </c>
      <c r="I4" s="553"/>
      <c r="J4" s="553"/>
      <c r="K4" s="553"/>
      <c r="L4" s="553"/>
      <c r="M4" s="553"/>
      <c r="N4" s="552" t="s">
        <v>797</v>
      </c>
      <c r="O4" s="552"/>
      <c r="P4" s="552"/>
      <c r="Q4" s="552"/>
      <c r="R4" s="552"/>
      <c r="S4" s="552"/>
      <c r="T4" s="552" t="s">
        <v>798</v>
      </c>
      <c r="U4" s="552"/>
      <c r="V4" s="552"/>
      <c r="W4" s="552"/>
      <c r="X4" s="552"/>
      <c r="Y4" s="552"/>
    </row>
    <row r="5" spans="1:44" s="382" customFormat="1" ht="18.75" customHeight="1">
      <c r="B5" s="554">
        <f>Calcu!H4</f>
        <v>0</v>
      </c>
      <c r="C5" s="554"/>
      <c r="D5" s="554"/>
      <c r="E5" s="554"/>
      <c r="F5" s="554"/>
      <c r="G5" s="554"/>
      <c r="H5" s="555">
        <f>Calcu!I4</f>
        <v>1</v>
      </c>
      <c r="I5" s="555"/>
      <c r="J5" s="555"/>
      <c r="K5" s="555"/>
      <c r="L5" s="555"/>
      <c r="M5" s="555"/>
      <c r="N5" s="554" t="s">
        <v>970</v>
      </c>
      <c r="O5" s="554"/>
      <c r="P5" s="554"/>
      <c r="Q5" s="554"/>
      <c r="R5" s="554"/>
      <c r="S5" s="554"/>
      <c r="T5" s="554" t="s">
        <v>971</v>
      </c>
      <c r="U5" s="554"/>
      <c r="V5" s="554"/>
      <c r="W5" s="554"/>
      <c r="X5" s="554"/>
      <c r="Y5" s="554"/>
    </row>
    <row r="6" spans="1:44" s="382" customFormat="1" ht="18.75" customHeight="1"/>
    <row r="7" spans="1:44" ht="18.75" customHeight="1">
      <c r="A7" s="57" t="s">
        <v>972</v>
      </c>
      <c r="B7" s="341"/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  <c r="R7" s="341"/>
      <c r="S7" s="341"/>
      <c r="T7" s="341"/>
      <c r="U7" s="341"/>
      <c r="V7" s="341"/>
      <c r="W7" s="341"/>
      <c r="X7" s="341"/>
      <c r="Y7" s="341"/>
      <c r="Z7" s="341"/>
      <c r="AA7" s="341"/>
      <c r="AB7" s="341"/>
      <c r="AC7" s="341"/>
      <c r="AD7" s="341"/>
      <c r="AE7" s="341"/>
      <c r="AF7" s="341"/>
      <c r="AG7" s="341"/>
      <c r="AH7" s="341"/>
      <c r="AI7" s="341"/>
      <c r="AJ7" s="341"/>
      <c r="AK7" s="341"/>
      <c r="AL7" s="341"/>
      <c r="AM7" s="341"/>
      <c r="AN7" s="341"/>
      <c r="AO7" s="341"/>
      <c r="AP7" s="341"/>
      <c r="AQ7" s="341"/>
      <c r="AR7" s="341"/>
    </row>
    <row r="8" spans="1:44" ht="18.75" customHeight="1">
      <c r="A8" s="57"/>
      <c r="B8" s="546" t="s">
        <v>917</v>
      </c>
      <c r="C8" s="547"/>
      <c r="D8" s="547"/>
      <c r="E8" s="547"/>
      <c r="F8" s="548"/>
      <c r="G8" s="511" t="str">
        <f>N5&amp;" 지시값"</f>
        <v>측정투영기 지시값</v>
      </c>
      <c r="H8" s="512"/>
      <c r="I8" s="512"/>
      <c r="J8" s="512"/>
      <c r="K8" s="512"/>
      <c r="L8" s="512"/>
      <c r="M8" s="512"/>
      <c r="N8" s="512"/>
      <c r="O8" s="512"/>
      <c r="P8" s="512"/>
      <c r="Q8" s="512"/>
      <c r="R8" s="512"/>
      <c r="S8" s="512"/>
      <c r="T8" s="512"/>
      <c r="U8" s="512"/>
      <c r="V8" s="512"/>
      <c r="W8" s="512"/>
      <c r="X8" s="512"/>
      <c r="Y8" s="512"/>
      <c r="Z8" s="512"/>
      <c r="AA8" s="512"/>
      <c r="AB8" s="512"/>
      <c r="AC8" s="512"/>
      <c r="AD8" s="512"/>
      <c r="AE8" s="513"/>
      <c r="AF8" s="546" t="s">
        <v>800</v>
      </c>
      <c r="AG8" s="547"/>
      <c r="AH8" s="547"/>
      <c r="AI8" s="547"/>
      <c r="AJ8" s="548"/>
      <c r="AK8" s="546" t="s">
        <v>918</v>
      </c>
      <c r="AL8" s="547"/>
      <c r="AM8" s="547"/>
      <c r="AN8" s="547"/>
      <c r="AO8" s="548"/>
    </row>
    <row r="9" spans="1:44" ht="18.75" customHeight="1">
      <c r="A9" s="57"/>
      <c r="B9" s="549"/>
      <c r="C9" s="550"/>
      <c r="D9" s="550"/>
      <c r="E9" s="550"/>
      <c r="F9" s="551"/>
      <c r="G9" s="511" t="s">
        <v>973</v>
      </c>
      <c r="H9" s="512"/>
      <c r="I9" s="512"/>
      <c r="J9" s="512"/>
      <c r="K9" s="513"/>
      <c r="L9" s="511" t="s">
        <v>974</v>
      </c>
      <c r="M9" s="512"/>
      <c r="N9" s="512"/>
      <c r="O9" s="512"/>
      <c r="P9" s="513"/>
      <c r="Q9" s="511" t="s">
        <v>975</v>
      </c>
      <c r="R9" s="512"/>
      <c r="S9" s="512"/>
      <c r="T9" s="512"/>
      <c r="U9" s="513"/>
      <c r="V9" s="511" t="s">
        <v>920</v>
      </c>
      <c r="W9" s="512"/>
      <c r="X9" s="512"/>
      <c r="Y9" s="512"/>
      <c r="Z9" s="513"/>
      <c r="AA9" s="511" t="s">
        <v>803</v>
      </c>
      <c r="AB9" s="512"/>
      <c r="AC9" s="512"/>
      <c r="AD9" s="512"/>
      <c r="AE9" s="513"/>
      <c r="AF9" s="549"/>
      <c r="AG9" s="550"/>
      <c r="AH9" s="550"/>
      <c r="AI9" s="550"/>
      <c r="AJ9" s="551"/>
      <c r="AK9" s="549"/>
      <c r="AL9" s="550"/>
      <c r="AM9" s="550"/>
      <c r="AN9" s="550"/>
      <c r="AO9" s="551"/>
    </row>
    <row r="10" spans="1:44" ht="18.75" customHeight="1">
      <c r="A10" s="57"/>
      <c r="B10" s="511" t="s">
        <v>976</v>
      </c>
      <c r="C10" s="512"/>
      <c r="D10" s="512"/>
      <c r="E10" s="512"/>
      <c r="F10" s="513"/>
      <c r="G10" s="511" t="str">
        <f>B10</f>
        <v>mm</v>
      </c>
      <c r="H10" s="512"/>
      <c r="I10" s="512"/>
      <c r="J10" s="512"/>
      <c r="K10" s="513"/>
      <c r="L10" s="511" t="str">
        <f>G10</f>
        <v>mm</v>
      </c>
      <c r="M10" s="512"/>
      <c r="N10" s="512"/>
      <c r="O10" s="512"/>
      <c r="P10" s="513"/>
      <c r="Q10" s="511" t="str">
        <f>L10</f>
        <v>mm</v>
      </c>
      <c r="R10" s="512"/>
      <c r="S10" s="512"/>
      <c r="T10" s="512"/>
      <c r="U10" s="513"/>
      <c r="V10" s="511" t="str">
        <f>Q10</f>
        <v>mm</v>
      </c>
      <c r="W10" s="512"/>
      <c r="X10" s="512"/>
      <c r="Y10" s="512"/>
      <c r="Z10" s="513"/>
      <c r="AA10" s="511" t="str">
        <f>V10</f>
        <v>mm</v>
      </c>
      <c r="AB10" s="512"/>
      <c r="AC10" s="512"/>
      <c r="AD10" s="512"/>
      <c r="AE10" s="513"/>
      <c r="AF10" s="511" t="s">
        <v>976</v>
      </c>
      <c r="AG10" s="512"/>
      <c r="AH10" s="512"/>
      <c r="AI10" s="512"/>
      <c r="AJ10" s="513"/>
      <c r="AK10" s="511" t="s">
        <v>976</v>
      </c>
      <c r="AL10" s="512"/>
      <c r="AM10" s="512"/>
      <c r="AN10" s="512"/>
      <c r="AO10" s="513"/>
    </row>
    <row r="11" spans="1:44" ht="18.75" customHeight="1">
      <c r="A11" s="57"/>
      <c r="B11" s="540" t="str">
        <f>Calcu!T10</f>
        <v/>
      </c>
      <c r="C11" s="541"/>
      <c r="D11" s="541"/>
      <c r="E11" s="541"/>
      <c r="F11" s="542"/>
      <c r="G11" s="540" t="str">
        <f>IF(Calcu!B10=TRUE,Calcu!E10*$H$5,"")</f>
        <v/>
      </c>
      <c r="H11" s="541"/>
      <c r="I11" s="541"/>
      <c r="J11" s="541"/>
      <c r="K11" s="542"/>
      <c r="L11" s="540" t="str">
        <f>IF(Calcu!B10=TRUE,Calcu!F10*H$5,"")</f>
        <v/>
      </c>
      <c r="M11" s="541"/>
      <c r="N11" s="541"/>
      <c r="O11" s="541"/>
      <c r="P11" s="542"/>
      <c r="Q11" s="540" t="str">
        <f>IF(Calcu!B10=TRUE,Calcu!G10*H$5,"")</f>
        <v/>
      </c>
      <c r="R11" s="541"/>
      <c r="S11" s="541"/>
      <c r="T11" s="541"/>
      <c r="U11" s="542"/>
      <c r="V11" s="540" t="str">
        <f>IF(Calcu!B10=TRUE,Calcu!H10*H$5,"")</f>
        <v/>
      </c>
      <c r="W11" s="541"/>
      <c r="X11" s="541"/>
      <c r="Y11" s="541"/>
      <c r="Z11" s="542"/>
      <c r="AA11" s="540" t="str">
        <f>IF(Calcu!B10=TRUE,Calcu!I10*H$5,"")</f>
        <v/>
      </c>
      <c r="AB11" s="541"/>
      <c r="AC11" s="541"/>
      <c r="AD11" s="541"/>
      <c r="AE11" s="542"/>
      <c r="AF11" s="540" t="str">
        <f>Calcu!M10</f>
        <v/>
      </c>
      <c r="AG11" s="541"/>
      <c r="AH11" s="541"/>
      <c r="AI11" s="541"/>
      <c r="AJ11" s="542"/>
      <c r="AK11" s="540" t="str">
        <f>Calcu!K10</f>
        <v/>
      </c>
      <c r="AL11" s="541"/>
      <c r="AM11" s="541"/>
      <c r="AN11" s="541"/>
      <c r="AO11" s="542"/>
    </row>
    <row r="12" spans="1:44" ht="18.75" customHeight="1">
      <c r="A12" s="57"/>
      <c r="B12" s="540" t="str">
        <f>Calcu!T11</f>
        <v/>
      </c>
      <c r="C12" s="541"/>
      <c r="D12" s="541"/>
      <c r="E12" s="541"/>
      <c r="F12" s="542"/>
      <c r="G12" s="540" t="str">
        <f>IF(Calcu!B11=TRUE,Calcu!E11*$H$5,"")</f>
        <v/>
      </c>
      <c r="H12" s="541"/>
      <c r="I12" s="541"/>
      <c r="J12" s="541"/>
      <c r="K12" s="542"/>
      <c r="L12" s="540" t="str">
        <f>IF(Calcu!B11=TRUE,Calcu!F11*H$5,"")</f>
        <v/>
      </c>
      <c r="M12" s="541"/>
      <c r="N12" s="541"/>
      <c r="O12" s="541"/>
      <c r="P12" s="542"/>
      <c r="Q12" s="540" t="str">
        <f>IF(Calcu!B11=TRUE,Calcu!G11*H$5,"")</f>
        <v/>
      </c>
      <c r="R12" s="541"/>
      <c r="S12" s="541"/>
      <c r="T12" s="541"/>
      <c r="U12" s="542"/>
      <c r="V12" s="540" t="str">
        <f>IF(Calcu!B11=TRUE,Calcu!H11*H$5,"")</f>
        <v/>
      </c>
      <c r="W12" s="541"/>
      <c r="X12" s="541"/>
      <c r="Y12" s="541"/>
      <c r="Z12" s="542"/>
      <c r="AA12" s="540" t="str">
        <f>IF(Calcu!B11=TRUE,Calcu!I11*H$5,"")</f>
        <v/>
      </c>
      <c r="AB12" s="541"/>
      <c r="AC12" s="541"/>
      <c r="AD12" s="541"/>
      <c r="AE12" s="542"/>
      <c r="AF12" s="540" t="str">
        <f>Calcu!M11</f>
        <v/>
      </c>
      <c r="AG12" s="541"/>
      <c r="AH12" s="541"/>
      <c r="AI12" s="541"/>
      <c r="AJ12" s="542"/>
      <c r="AK12" s="540" t="str">
        <f>Calcu!K11</f>
        <v/>
      </c>
      <c r="AL12" s="541"/>
      <c r="AM12" s="541"/>
      <c r="AN12" s="541"/>
      <c r="AO12" s="542"/>
    </row>
    <row r="13" spans="1:44" ht="18.75" customHeight="1">
      <c r="A13" s="57"/>
      <c r="B13" s="540" t="str">
        <f>Calcu!T12</f>
        <v/>
      </c>
      <c r="C13" s="541"/>
      <c r="D13" s="541"/>
      <c r="E13" s="541"/>
      <c r="F13" s="542"/>
      <c r="G13" s="540" t="str">
        <f>IF(Calcu!B12=TRUE,Calcu!E12*$H$5,"")</f>
        <v/>
      </c>
      <c r="H13" s="541"/>
      <c r="I13" s="541"/>
      <c r="J13" s="541"/>
      <c r="K13" s="542"/>
      <c r="L13" s="540" t="str">
        <f>IF(Calcu!B12=TRUE,Calcu!F12*H$5,"")</f>
        <v/>
      </c>
      <c r="M13" s="541"/>
      <c r="N13" s="541"/>
      <c r="O13" s="541"/>
      <c r="P13" s="542"/>
      <c r="Q13" s="540" t="str">
        <f>IF(Calcu!B12=TRUE,Calcu!G12*H$5,"")</f>
        <v/>
      </c>
      <c r="R13" s="541"/>
      <c r="S13" s="541"/>
      <c r="T13" s="541"/>
      <c r="U13" s="542"/>
      <c r="V13" s="540" t="str">
        <f>IF(Calcu!B12=TRUE,Calcu!H12*H$5,"")</f>
        <v/>
      </c>
      <c r="W13" s="541"/>
      <c r="X13" s="541"/>
      <c r="Y13" s="541"/>
      <c r="Z13" s="542"/>
      <c r="AA13" s="540" t="str">
        <f>IF(Calcu!B12=TRUE,Calcu!I12*H$5,"")</f>
        <v/>
      </c>
      <c r="AB13" s="541"/>
      <c r="AC13" s="541"/>
      <c r="AD13" s="541"/>
      <c r="AE13" s="542"/>
      <c r="AF13" s="540" t="str">
        <f>Calcu!M12</f>
        <v/>
      </c>
      <c r="AG13" s="541"/>
      <c r="AH13" s="541"/>
      <c r="AI13" s="541"/>
      <c r="AJ13" s="542"/>
      <c r="AK13" s="540" t="str">
        <f>Calcu!K12</f>
        <v/>
      </c>
      <c r="AL13" s="541"/>
      <c r="AM13" s="541"/>
      <c r="AN13" s="541"/>
      <c r="AO13" s="542"/>
    </row>
    <row r="14" spans="1:44" ht="18.75" customHeight="1">
      <c r="A14" s="57"/>
      <c r="B14" s="540" t="str">
        <f>Calcu!T13</f>
        <v/>
      </c>
      <c r="C14" s="541"/>
      <c r="D14" s="541"/>
      <c r="E14" s="541"/>
      <c r="F14" s="542"/>
      <c r="G14" s="540" t="str">
        <f>IF(Calcu!B13=TRUE,Calcu!E13*$H$5,"")</f>
        <v/>
      </c>
      <c r="H14" s="541"/>
      <c r="I14" s="541"/>
      <c r="J14" s="541"/>
      <c r="K14" s="542"/>
      <c r="L14" s="540" t="str">
        <f>IF(Calcu!B13=TRUE,Calcu!F13*H$5,"")</f>
        <v/>
      </c>
      <c r="M14" s="541"/>
      <c r="N14" s="541"/>
      <c r="O14" s="541"/>
      <c r="P14" s="542"/>
      <c r="Q14" s="540" t="str">
        <f>IF(Calcu!B13=TRUE,Calcu!G13*H$5,"")</f>
        <v/>
      </c>
      <c r="R14" s="541"/>
      <c r="S14" s="541"/>
      <c r="T14" s="541"/>
      <c r="U14" s="542"/>
      <c r="V14" s="540" t="str">
        <f>IF(Calcu!B13=TRUE,Calcu!H13*H$5,"")</f>
        <v/>
      </c>
      <c r="W14" s="541"/>
      <c r="X14" s="541"/>
      <c r="Y14" s="541"/>
      <c r="Z14" s="542"/>
      <c r="AA14" s="540" t="str">
        <f>IF(Calcu!B13=TRUE,Calcu!I13*H$5,"")</f>
        <v/>
      </c>
      <c r="AB14" s="541"/>
      <c r="AC14" s="541"/>
      <c r="AD14" s="541"/>
      <c r="AE14" s="542"/>
      <c r="AF14" s="540" t="str">
        <f>Calcu!M13</f>
        <v/>
      </c>
      <c r="AG14" s="541"/>
      <c r="AH14" s="541"/>
      <c r="AI14" s="541"/>
      <c r="AJ14" s="542"/>
      <c r="AK14" s="540" t="str">
        <f>Calcu!K13</f>
        <v/>
      </c>
      <c r="AL14" s="541"/>
      <c r="AM14" s="541"/>
      <c r="AN14" s="541"/>
      <c r="AO14" s="542"/>
    </row>
    <row r="15" spans="1:44" ht="18.75" customHeight="1">
      <c r="A15" s="57"/>
      <c r="B15" s="540" t="str">
        <f>Calcu!T14</f>
        <v/>
      </c>
      <c r="C15" s="541"/>
      <c r="D15" s="541"/>
      <c r="E15" s="541"/>
      <c r="F15" s="542"/>
      <c r="G15" s="540" t="str">
        <f>IF(Calcu!B14=TRUE,Calcu!E14*$H$5,"")</f>
        <v/>
      </c>
      <c r="H15" s="541"/>
      <c r="I15" s="541"/>
      <c r="J15" s="541"/>
      <c r="K15" s="542"/>
      <c r="L15" s="540" t="str">
        <f>IF(Calcu!B14=TRUE,Calcu!F14*H$5,"")</f>
        <v/>
      </c>
      <c r="M15" s="541"/>
      <c r="N15" s="541"/>
      <c r="O15" s="541"/>
      <c r="P15" s="542"/>
      <c r="Q15" s="540" t="str">
        <f>IF(Calcu!B14=TRUE,Calcu!G14*H$5,"")</f>
        <v/>
      </c>
      <c r="R15" s="541"/>
      <c r="S15" s="541"/>
      <c r="T15" s="541"/>
      <c r="U15" s="542"/>
      <c r="V15" s="540" t="str">
        <f>IF(Calcu!B14=TRUE,Calcu!H14*H$5,"")</f>
        <v/>
      </c>
      <c r="W15" s="541"/>
      <c r="X15" s="541"/>
      <c r="Y15" s="541"/>
      <c r="Z15" s="542"/>
      <c r="AA15" s="540" t="str">
        <f>IF(Calcu!B14=TRUE,Calcu!I14*H$5,"")</f>
        <v/>
      </c>
      <c r="AB15" s="541"/>
      <c r="AC15" s="541"/>
      <c r="AD15" s="541"/>
      <c r="AE15" s="542"/>
      <c r="AF15" s="540" t="str">
        <f>Calcu!M14</f>
        <v/>
      </c>
      <c r="AG15" s="541"/>
      <c r="AH15" s="541"/>
      <c r="AI15" s="541"/>
      <c r="AJ15" s="542"/>
      <c r="AK15" s="540" t="str">
        <f>Calcu!K14</f>
        <v/>
      </c>
      <c r="AL15" s="541"/>
      <c r="AM15" s="541"/>
      <c r="AN15" s="541"/>
      <c r="AO15" s="542"/>
    </row>
    <row r="16" spans="1:44" ht="18.75" customHeight="1">
      <c r="A16" s="57"/>
      <c r="B16" s="540" t="str">
        <f>Calcu!T15</f>
        <v/>
      </c>
      <c r="C16" s="541"/>
      <c r="D16" s="541"/>
      <c r="E16" s="541"/>
      <c r="F16" s="542"/>
      <c r="G16" s="540" t="str">
        <f>IF(Calcu!B15=TRUE,Calcu!E15*$H$5,"")</f>
        <v/>
      </c>
      <c r="H16" s="541"/>
      <c r="I16" s="541"/>
      <c r="J16" s="541"/>
      <c r="K16" s="542"/>
      <c r="L16" s="540" t="str">
        <f>IF(Calcu!B15=TRUE,Calcu!F15*H$5,"")</f>
        <v/>
      </c>
      <c r="M16" s="541"/>
      <c r="N16" s="541"/>
      <c r="O16" s="541"/>
      <c r="P16" s="542"/>
      <c r="Q16" s="540" t="str">
        <f>IF(Calcu!B15=TRUE,Calcu!G15*H$5,"")</f>
        <v/>
      </c>
      <c r="R16" s="541"/>
      <c r="S16" s="541"/>
      <c r="T16" s="541"/>
      <c r="U16" s="542"/>
      <c r="V16" s="540" t="str">
        <f>IF(Calcu!B15=TRUE,Calcu!H15*H$5,"")</f>
        <v/>
      </c>
      <c r="W16" s="541"/>
      <c r="X16" s="541"/>
      <c r="Y16" s="541"/>
      <c r="Z16" s="542"/>
      <c r="AA16" s="540" t="str">
        <f>IF(Calcu!B15=TRUE,Calcu!I15*H$5,"")</f>
        <v/>
      </c>
      <c r="AB16" s="541"/>
      <c r="AC16" s="541"/>
      <c r="AD16" s="541"/>
      <c r="AE16" s="542"/>
      <c r="AF16" s="540" t="str">
        <f>Calcu!M15</f>
        <v/>
      </c>
      <c r="AG16" s="541"/>
      <c r="AH16" s="541"/>
      <c r="AI16" s="541"/>
      <c r="AJ16" s="542"/>
      <c r="AK16" s="540" t="str">
        <f>Calcu!K15</f>
        <v/>
      </c>
      <c r="AL16" s="541"/>
      <c r="AM16" s="541"/>
      <c r="AN16" s="541"/>
      <c r="AO16" s="542"/>
    </row>
    <row r="17" spans="1:46" ht="18.75" customHeight="1">
      <c r="A17" s="57"/>
      <c r="B17" s="540" t="str">
        <f>Calcu!T16</f>
        <v/>
      </c>
      <c r="C17" s="541"/>
      <c r="D17" s="541"/>
      <c r="E17" s="541"/>
      <c r="F17" s="542"/>
      <c r="G17" s="540" t="str">
        <f>IF(Calcu!B16=TRUE,Calcu!E16*$H$5,"")</f>
        <v/>
      </c>
      <c r="H17" s="541"/>
      <c r="I17" s="541"/>
      <c r="J17" s="541"/>
      <c r="K17" s="542"/>
      <c r="L17" s="540" t="str">
        <f>IF(Calcu!B16=TRUE,Calcu!F16*H$5,"")</f>
        <v/>
      </c>
      <c r="M17" s="541"/>
      <c r="N17" s="541"/>
      <c r="O17" s="541"/>
      <c r="P17" s="542"/>
      <c r="Q17" s="540" t="str">
        <f>IF(Calcu!B16=TRUE,Calcu!G16*H$5,"")</f>
        <v/>
      </c>
      <c r="R17" s="541"/>
      <c r="S17" s="541"/>
      <c r="T17" s="541"/>
      <c r="U17" s="542"/>
      <c r="V17" s="540" t="str">
        <f>IF(Calcu!B16=TRUE,Calcu!H16*H$5,"")</f>
        <v/>
      </c>
      <c r="W17" s="541"/>
      <c r="X17" s="541"/>
      <c r="Y17" s="541"/>
      <c r="Z17" s="542"/>
      <c r="AA17" s="540" t="str">
        <f>IF(Calcu!B16=TRUE,Calcu!I16*H$5,"")</f>
        <v/>
      </c>
      <c r="AB17" s="541"/>
      <c r="AC17" s="541"/>
      <c r="AD17" s="541"/>
      <c r="AE17" s="542"/>
      <c r="AF17" s="540" t="str">
        <f>Calcu!M16</f>
        <v/>
      </c>
      <c r="AG17" s="541"/>
      <c r="AH17" s="541"/>
      <c r="AI17" s="541"/>
      <c r="AJ17" s="542"/>
      <c r="AK17" s="540" t="str">
        <f>Calcu!K16</f>
        <v/>
      </c>
      <c r="AL17" s="541"/>
      <c r="AM17" s="541"/>
      <c r="AN17" s="541"/>
      <c r="AO17" s="542"/>
    </row>
    <row r="18" spans="1:46" ht="18.75" customHeight="1">
      <c r="A18" s="57"/>
      <c r="B18" s="540" t="str">
        <f>Calcu!T17</f>
        <v/>
      </c>
      <c r="C18" s="541"/>
      <c r="D18" s="541"/>
      <c r="E18" s="541"/>
      <c r="F18" s="542"/>
      <c r="G18" s="540" t="str">
        <f>IF(Calcu!B17=TRUE,Calcu!E17*$H$5,"")</f>
        <v/>
      </c>
      <c r="H18" s="541"/>
      <c r="I18" s="541"/>
      <c r="J18" s="541"/>
      <c r="K18" s="542"/>
      <c r="L18" s="540" t="str">
        <f>IF(Calcu!B17=TRUE,Calcu!F17*H$5,"")</f>
        <v/>
      </c>
      <c r="M18" s="541"/>
      <c r="N18" s="541"/>
      <c r="O18" s="541"/>
      <c r="P18" s="542"/>
      <c r="Q18" s="540" t="str">
        <f>IF(Calcu!B17=TRUE,Calcu!G17*H$5,"")</f>
        <v/>
      </c>
      <c r="R18" s="541"/>
      <c r="S18" s="541"/>
      <c r="T18" s="541"/>
      <c r="U18" s="542"/>
      <c r="V18" s="540" t="str">
        <f>IF(Calcu!B17=TRUE,Calcu!H17*H$5,"")</f>
        <v/>
      </c>
      <c r="W18" s="541"/>
      <c r="X18" s="541"/>
      <c r="Y18" s="541"/>
      <c r="Z18" s="542"/>
      <c r="AA18" s="540" t="str">
        <f>IF(Calcu!B17=TRUE,Calcu!I17*H$5,"")</f>
        <v/>
      </c>
      <c r="AB18" s="541"/>
      <c r="AC18" s="541"/>
      <c r="AD18" s="541"/>
      <c r="AE18" s="542"/>
      <c r="AF18" s="540" t="str">
        <f>Calcu!M17</f>
        <v/>
      </c>
      <c r="AG18" s="541"/>
      <c r="AH18" s="541"/>
      <c r="AI18" s="541"/>
      <c r="AJ18" s="542"/>
      <c r="AK18" s="540" t="str">
        <f>Calcu!K17</f>
        <v/>
      </c>
      <c r="AL18" s="541"/>
      <c r="AM18" s="541"/>
      <c r="AN18" s="541"/>
      <c r="AO18" s="542"/>
    </row>
    <row r="19" spans="1:46" ht="18.75" customHeight="1">
      <c r="A19" s="57"/>
      <c r="B19" s="540" t="str">
        <f>Calcu!T18</f>
        <v/>
      </c>
      <c r="C19" s="541"/>
      <c r="D19" s="541"/>
      <c r="E19" s="541"/>
      <c r="F19" s="542"/>
      <c r="G19" s="540" t="str">
        <f>IF(Calcu!B18=TRUE,Calcu!E18*$H$5,"")</f>
        <v/>
      </c>
      <c r="H19" s="541"/>
      <c r="I19" s="541"/>
      <c r="J19" s="541"/>
      <c r="K19" s="542"/>
      <c r="L19" s="540" t="str">
        <f>IF(Calcu!B18=TRUE,Calcu!F18*H$5,"")</f>
        <v/>
      </c>
      <c r="M19" s="541"/>
      <c r="N19" s="541"/>
      <c r="O19" s="541"/>
      <c r="P19" s="542"/>
      <c r="Q19" s="540" t="str">
        <f>IF(Calcu!B18=TRUE,Calcu!G18*H$5,"")</f>
        <v/>
      </c>
      <c r="R19" s="541"/>
      <c r="S19" s="541"/>
      <c r="T19" s="541"/>
      <c r="U19" s="542"/>
      <c r="V19" s="540" t="str">
        <f>IF(Calcu!B18=TRUE,Calcu!H18*H$5,"")</f>
        <v/>
      </c>
      <c r="W19" s="541"/>
      <c r="X19" s="541"/>
      <c r="Y19" s="541"/>
      <c r="Z19" s="542"/>
      <c r="AA19" s="540" t="str">
        <f>IF(Calcu!B18=TRUE,Calcu!I18*H$5,"")</f>
        <v/>
      </c>
      <c r="AB19" s="541"/>
      <c r="AC19" s="541"/>
      <c r="AD19" s="541"/>
      <c r="AE19" s="542"/>
      <c r="AF19" s="540" t="str">
        <f>Calcu!M18</f>
        <v/>
      </c>
      <c r="AG19" s="541"/>
      <c r="AH19" s="541"/>
      <c r="AI19" s="541"/>
      <c r="AJ19" s="542"/>
      <c r="AK19" s="540" t="str">
        <f>Calcu!K18</f>
        <v/>
      </c>
      <c r="AL19" s="541"/>
      <c r="AM19" s="541"/>
      <c r="AN19" s="541"/>
      <c r="AO19" s="542"/>
    </row>
    <row r="20" spans="1:46" ht="18.75" customHeight="1">
      <c r="A20" s="57"/>
      <c r="B20" s="540" t="str">
        <f>Calcu!T19</f>
        <v/>
      </c>
      <c r="C20" s="541"/>
      <c r="D20" s="541"/>
      <c r="E20" s="541"/>
      <c r="F20" s="542"/>
      <c r="G20" s="540" t="str">
        <f>IF(Calcu!B19=TRUE,Calcu!E19*$H$5,"")</f>
        <v/>
      </c>
      <c r="H20" s="541"/>
      <c r="I20" s="541"/>
      <c r="J20" s="541"/>
      <c r="K20" s="542"/>
      <c r="L20" s="540" t="str">
        <f>IF(Calcu!B19=TRUE,Calcu!F19*H$5,"")</f>
        <v/>
      </c>
      <c r="M20" s="541"/>
      <c r="N20" s="541"/>
      <c r="O20" s="541"/>
      <c r="P20" s="542"/>
      <c r="Q20" s="540" t="str">
        <f>IF(Calcu!B19=TRUE,Calcu!G19*H$5,"")</f>
        <v/>
      </c>
      <c r="R20" s="541"/>
      <c r="S20" s="541"/>
      <c r="T20" s="541"/>
      <c r="U20" s="542"/>
      <c r="V20" s="540" t="str">
        <f>IF(Calcu!B19=TRUE,Calcu!H19*H$5,"")</f>
        <v/>
      </c>
      <c r="W20" s="541"/>
      <c r="X20" s="541"/>
      <c r="Y20" s="541"/>
      <c r="Z20" s="542"/>
      <c r="AA20" s="540" t="str">
        <f>IF(Calcu!B19=TRUE,Calcu!I19*H$5,"")</f>
        <v/>
      </c>
      <c r="AB20" s="541"/>
      <c r="AC20" s="541"/>
      <c r="AD20" s="541"/>
      <c r="AE20" s="542"/>
      <c r="AF20" s="540" t="str">
        <f>Calcu!M19</f>
        <v/>
      </c>
      <c r="AG20" s="541"/>
      <c r="AH20" s="541"/>
      <c r="AI20" s="541"/>
      <c r="AJ20" s="542"/>
      <c r="AK20" s="540" t="str">
        <f>Calcu!K19</f>
        <v/>
      </c>
      <c r="AL20" s="541"/>
      <c r="AM20" s="541"/>
      <c r="AN20" s="541"/>
      <c r="AO20" s="542"/>
    </row>
    <row r="21" spans="1:46" ht="18.75" customHeight="1">
      <c r="A21" s="57"/>
      <c r="B21" s="540" t="str">
        <f>Calcu!T20</f>
        <v/>
      </c>
      <c r="C21" s="541"/>
      <c r="D21" s="541"/>
      <c r="E21" s="541"/>
      <c r="F21" s="542"/>
      <c r="G21" s="540" t="str">
        <f>IF(Calcu!B20=TRUE,Calcu!E20*$H$5,"")</f>
        <v/>
      </c>
      <c r="H21" s="541"/>
      <c r="I21" s="541"/>
      <c r="J21" s="541"/>
      <c r="K21" s="542"/>
      <c r="L21" s="540" t="str">
        <f>IF(Calcu!B20=TRUE,Calcu!F20*H$5,"")</f>
        <v/>
      </c>
      <c r="M21" s="541"/>
      <c r="N21" s="541"/>
      <c r="O21" s="541"/>
      <c r="P21" s="542"/>
      <c r="Q21" s="540" t="str">
        <f>IF(Calcu!B20=TRUE,Calcu!G20*H$5,"")</f>
        <v/>
      </c>
      <c r="R21" s="541"/>
      <c r="S21" s="541"/>
      <c r="T21" s="541"/>
      <c r="U21" s="542"/>
      <c r="V21" s="540" t="str">
        <f>IF(Calcu!B20=TRUE,Calcu!H20*H$5,"")</f>
        <v/>
      </c>
      <c r="W21" s="541"/>
      <c r="X21" s="541"/>
      <c r="Y21" s="541"/>
      <c r="Z21" s="542"/>
      <c r="AA21" s="540" t="str">
        <f>IF(Calcu!B20=TRUE,Calcu!I20*H$5,"")</f>
        <v/>
      </c>
      <c r="AB21" s="541"/>
      <c r="AC21" s="541"/>
      <c r="AD21" s="541"/>
      <c r="AE21" s="542"/>
      <c r="AF21" s="540" t="str">
        <f>Calcu!M20</f>
        <v/>
      </c>
      <c r="AG21" s="541"/>
      <c r="AH21" s="541"/>
      <c r="AI21" s="541"/>
      <c r="AJ21" s="542"/>
      <c r="AK21" s="540" t="str">
        <f>Calcu!K20</f>
        <v/>
      </c>
      <c r="AL21" s="541"/>
      <c r="AM21" s="541"/>
      <c r="AN21" s="541"/>
      <c r="AO21" s="542"/>
    </row>
    <row r="22" spans="1:46" ht="18.75" customHeight="1">
      <c r="A22" s="57"/>
      <c r="B22" s="540" t="str">
        <f>Calcu!T21</f>
        <v/>
      </c>
      <c r="C22" s="541"/>
      <c r="D22" s="541"/>
      <c r="E22" s="541"/>
      <c r="F22" s="542"/>
      <c r="G22" s="540" t="str">
        <f>IF(Calcu!B21=TRUE,Calcu!E21*$H$5,"")</f>
        <v/>
      </c>
      <c r="H22" s="541"/>
      <c r="I22" s="541"/>
      <c r="J22" s="541"/>
      <c r="K22" s="542"/>
      <c r="L22" s="540" t="str">
        <f>IF(Calcu!B21=TRUE,Calcu!F21*H$5,"")</f>
        <v/>
      </c>
      <c r="M22" s="541"/>
      <c r="N22" s="541"/>
      <c r="O22" s="541"/>
      <c r="P22" s="542"/>
      <c r="Q22" s="540" t="str">
        <f>IF(Calcu!B21=TRUE,Calcu!G21*H$5,"")</f>
        <v/>
      </c>
      <c r="R22" s="541"/>
      <c r="S22" s="541"/>
      <c r="T22" s="541"/>
      <c r="U22" s="542"/>
      <c r="V22" s="540" t="str">
        <f>IF(Calcu!B21=TRUE,Calcu!H21*H$5,"")</f>
        <v/>
      </c>
      <c r="W22" s="541"/>
      <c r="X22" s="541"/>
      <c r="Y22" s="541"/>
      <c r="Z22" s="542"/>
      <c r="AA22" s="540" t="str">
        <f>IF(Calcu!B21=TRUE,Calcu!I21*H$5,"")</f>
        <v/>
      </c>
      <c r="AB22" s="541"/>
      <c r="AC22" s="541"/>
      <c r="AD22" s="541"/>
      <c r="AE22" s="542"/>
      <c r="AF22" s="540" t="str">
        <f>Calcu!M21</f>
        <v/>
      </c>
      <c r="AG22" s="541"/>
      <c r="AH22" s="541"/>
      <c r="AI22" s="541"/>
      <c r="AJ22" s="542"/>
      <c r="AK22" s="540" t="str">
        <f>Calcu!K21</f>
        <v/>
      </c>
      <c r="AL22" s="541"/>
      <c r="AM22" s="541"/>
      <c r="AN22" s="541"/>
      <c r="AO22" s="542"/>
    </row>
    <row r="23" spans="1:46" ht="18.75" customHeight="1">
      <c r="A23" s="57"/>
      <c r="B23" s="540" t="str">
        <f>Calcu!T22</f>
        <v/>
      </c>
      <c r="C23" s="541"/>
      <c r="D23" s="541"/>
      <c r="E23" s="541"/>
      <c r="F23" s="542"/>
      <c r="G23" s="540" t="str">
        <f>IF(Calcu!B22=TRUE,Calcu!E22*$H$5,"")</f>
        <v/>
      </c>
      <c r="H23" s="541"/>
      <c r="I23" s="541"/>
      <c r="J23" s="541"/>
      <c r="K23" s="542"/>
      <c r="L23" s="540" t="str">
        <f>IF(Calcu!B22=TRUE,Calcu!F22*H$5,"")</f>
        <v/>
      </c>
      <c r="M23" s="541"/>
      <c r="N23" s="541"/>
      <c r="O23" s="541"/>
      <c r="P23" s="542"/>
      <c r="Q23" s="540" t="str">
        <f>IF(Calcu!B22=TRUE,Calcu!G22*H$5,"")</f>
        <v/>
      </c>
      <c r="R23" s="541"/>
      <c r="S23" s="541"/>
      <c r="T23" s="541"/>
      <c r="U23" s="542"/>
      <c r="V23" s="540" t="str">
        <f>IF(Calcu!B22=TRUE,Calcu!H22*H$5,"")</f>
        <v/>
      </c>
      <c r="W23" s="541"/>
      <c r="X23" s="541"/>
      <c r="Y23" s="541"/>
      <c r="Z23" s="542"/>
      <c r="AA23" s="540" t="str">
        <f>IF(Calcu!B22=TRUE,Calcu!I22*H$5,"")</f>
        <v/>
      </c>
      <c r="AB23" s="541"/>
      <c r="AC23" s="541"/>
      <c r="AD23" s="541"/>
      <c r="AE23" s="542"/>
      <c r="AF23" s="540" t="str">
        <f>Calcu!M22</f>
        <v/>
      </c>
      <c r="AG23" s="541"/>
      <c r="AH23" s="541"/>
      <c r="AI23" s="541"/>
      <c r="AJ23" s="542"/>
      <c r="AK23" s="540" t="str">
        <f>Calcu!K22</f>
        <v/>
      </c>
      <c r="AL23" s="541"/>
      <c r="AM23" s="541"/>
      <c r="AN23" s="541"/>
      <c r="AO23" s="542"/>
    </row>
    <row r="24" spans="1:46" ht="18.75" customHeight="1">
      <c r="A24" s="57"/>
      <c r="B24" s="540" t="str">
        <f>Calcu!T23</f>
        <v/>
      </c>
      <c r="C24" s="541"/>
      <c r="D24" s="541"/>
      <c r="E24" s="541"/>
      <c r="F24" s="542"/>
      <c r="G24" s="540" t="str">
        <f>IF(Calcu!B23=TRUE,Calcu!E23*$H$5,"")</f>
        <v/>
      </c>
      <c r="H24" s="541"/>
      <c r="I24" s="541"/>
      <c r="J24" s="541"/>
      <c r="K24" s="542"/>
      <c r="L24" s="540" t="str">
        <f>IF(Calcu!B23=TRUE,Calcu!F23*H$5,"")</f>
        <v/>
      </c>
      <c r="M24" s="541"/>
      <c r="N24" s="541"/>
      <c r="O24" s="541"/>
      <c r="P24" s="542"/>
      <c r="Q24" s="540" t="str">
        <f>IF(Calcu!B23=TRUE,Calcu!G23*H$5,"")</f>
        <v/>
      </c>
      <c r="R24" s="541"/>
      <c r="S24" s="541"/>
      <c r="T24" s="541"/>
      <c r="U24" s="542"/>
      <c r="V24" s="540" t="str">
        <f>IF(Calcu!B23=TRUE,Calcu!H23*H$5,"")</f>
        <v/>
      </c>
      <c r="W24" s="541"/>
      <c r="X24" s="541"/>
      <c r="Y24" s="541"/>
      <c r="Z24" s="542"/>
      <c r="AA24" s="540" t="str">
        <f>IF(Calcu!B23=TRUE,Calcu!I23*H$5,"")</f>
        <v/>
      </c>
      <c r="AB24" s="541"/>
      <c r="AC24" s="541"/>
      <c r="AD24" s="541"/>
      <c r="AE24" s="542"/>
      <c r="AF24" s="540" t="str">
        <f>Calcu!M23</f>
        <v/>
      </c>
      <c r="AG24" s="541"/>
      <c r="AH24" s="541"/>
      <c r="AI24" s="541"/>
      <c r="AJ24" s="542"/>
      <c r="AK24" s="540" t="str">
        <f>Calcu!K23</f>
        <v/>
      </c>
      <c r="AL24" s="541"/>
      <c r="AM24" s="541"/>
      <c r="AN24" s="541"/>
      <c r="AO24" s="542"/>
    </row>
    <row r="25" spans="1:46" ht="18.75" customHeight="1">
      <c r="A25" s="57"/>
      <c r="B25" s="540" t="str">
        <f>Calcu!T24</f>
        <v/>
      </c>
      <c r="C25" s="541"/>
      <c r="D25" s="541"/>
      <c r="E25" s="541"/>
      <c r="F25" s="542"/>
      <c r="G25" s="540" t="str">
        <f>IF(Calcu!B24=TRUE,Calcu!E24*$H$5,"")</f>
        <v/>
      </c>
      <c r="H25" s="541"/>
      <c r="I25" s="541"/>
      <c r="J25" s="541"/>
      <c r="K25" s="542"/>
      <c r="L25" s="540" t="str">
        <f>IF(Calcu!B24=TRUE,Calcu!F24*H$5,"")</f>
        <v/>
      </c>
      <c r="M25" s="541"/>
      <c r="N25" s="541"/>
      <c r="O25" s="541"/>
      <c r="P25" s="542"/>
      <c r="Q25" s="540" t="str">
        <f>IF(Calcu!B24=TRUE,Calcu!G24*H$5,"")</f>
        <v/>
      </c>
      <c r="R25" s="541"/>
      <c r="S25" s="541"/>
      <c r="T25" s="541"/>
      <c r="U25" s="542"/>
      <c r="V25" s="540" t="str">
        <f>IF(Calcu!B24=TRUE,Calcu!H24*H$5,"")</f>
        <v/>
      </c>
      <c r="W25" s="541"/>
      <c r="X25" s="541"/>
      <c r="Y25" s="541"/>
      <c r="Z25" s="542"/>
      <c r="AA25" s="540" t="str">
        <f>IF(Calcu!B24=TRUE,Calcu!I24*H$5,"")</f>
        <v/>
      </c>
      <c r="AB25" s="541"/>
      <c r="AC25" s="541"/>
      <c r="AD25" s="541"/>
      <c r="AE25" s="542"/>
      <c r="AF25" s="540" t="str">
        <f>Calcu!M24</f>
        <v/>
      </c>
      <c r="AG25" s="541"/>
      <c r="AH25" s="541"/>
      <c r="AI25" s="541"/>
      <c r="AJ25" s="542"/>
      <c r="AK25" s="540" t="str">
        <f>Calcu!K24</f>
        <v/>
      </c>
      <c r="AL25" s="541"/>
      <c r="AM25" s="541"/>
      <c r="AN25" s="541"/>
      <c r="AO25" s="542"/>
    </row>
    <row r="26" spans="1:46" ht="18.75" customHeight="1">
      <c r="A26" s="57"/>
      <c r="B26" s="540" t="str">
        <f>Calcu!T25</f>
        <v/>
      </c>
      <c r="C26" s="541"/>
      <c r="D26" s="541"/>
      <c r="E26" s="541"/>
      <c r="F26" s="542"/>
      <c r="G26" s="540" t="str">
        <f>IF(Calcu!B25=TRUE,Calcu!E25*$H$5,"")</f>
        <v/>
      </c>
      <c r="H26" s="541"/>
      <c r="I26" s="541"/>
      <c r="J26" s="541"/>
      <c r="K26" s="542"/>
      <c r="L26" s="540" t="str">
        <f>IF(Calcu!B25=TRUE,Calcu!F25*H$5,"")</f>
        <v/>
      </c>
      <c r="M26" s="541"/>
      <c r="N26" s="541"/>
      <c r="O26" s="541"/>
      <c r="P26" s="542"/>
      <c r="Q26" s="540" t="str">
        <f>IF(Calcu!B25=TRUE,Calcu!G25*H$5,"")</f>
        <v/>
      </c>
      <c r="R26" s="541"/>
      <c r="S26" s="541"/>
      <c r="T26" s="541"/>
      <c r="U26" s="542"/>
      <c r="V26" s="540" t="str">
        <f>IF(Calcu!B25=TRUE,Calcu!H25*H$5,"")</f>
        <v/>
      </c>
      <c r="W26" s="541"/>
      <c r="X26" s="541"/>
      <c r="Y26" s="541"/>
      <c r="Z26" s="542"/>
      <c r="AA26" s="540" t="str">
        <f>IF(Calcu!B25=TRUE,Calcu!I25*H$5,"")</f>
        <v/>
      </c>
      <c r="AB26" s="541"/>
      <c r="AC26" s="541"/>
      <c r="AD26" s="541"/>
      <c r="AE26" s="542"/>
      <c r="AF26" s="540" t="str">
        <f>Calcu!M25</f>
        <v/>
      </c>
      <c r="AG26" s="541"/>
      <c r="AH26" s="541"/>
      <c r="AI26" s="541"/>
      <c r="AJ26" s="542"/>
      <c r="AK26" s="540" t="str">
        <f>Calcu!K25</f>
        <v/>
      </c>
      <c r="AL26" s="541"/>
      <c r="AM26" s="541"/>
      <c r="AN26" s="541"/>
      <c r="AO26" s="542"/>
    </row>
    <row r="27" spans="1:46" ht="18.75" customHeight="1">
      <c r="A27" s="57"/>
      <c r="B27" s="540" t="str">
        <f>Calcu!T26</f>
        <v/>
      </c>
      <c r="C27" s="541"/>
      <c r="D27" s="541"/>
      <c r="E27" s="541"/>
      <c r="F27" s="542"/>
      <c r="G27" s="540" t="str">
        <f>IF(Calcu!B26=TRUE,Calcu!E26*$H$5,"")</f>
        <v/>
      </c>
      <c r="H27" s="541"/>
      <c r="I27" s="541"/>
      <c r="J27" s="541"/>
      <c r="K27" s="542"/>
      <c r="L27" s="540" t="str">
        <f>IF(Calcu!B26=TRUE,Calcu!F26*H$5,"")</f>
        <v/>
      </c>
      <c r="M27" s="541"/>
      <c r="N27" s="541"/>
      <c r="O27" s="541"/>
      <c r="P27" s="542"/>
      <c r="Q27" s="540" t="str">
        <f>IF(Calcu!B26=TRUE,Calcu!G26*H$5,"")</f>
        <v/>
      </c>
      <c r="R27" s="541"/>
      <c r="S27" s="541"/>
      <c r="T27" s="541"/>
      <c r="U27" s="542"/>
      <c r="V27" s="540" t="str">
        <f>IF(Calcu!B26=TRUE,Calcu!H26*H$5,"")</f>
        <v/>
      </c>
      <c r="W27" s="541"/>
      <c r="X27" s="541"/>
      <c r="Y27" s="541"/>
      <c r="Z27" s="542"/>
      <c r="AA27" s="540" t="str">
        <f>IF(Calcu!B26=TRUE,Calcu!I26*H$5,"")</f>
        <v/>
      </c>
      <c r="AB27" s="541"/>
      <c r="AC27" s="541"/>
      <c r="AD27" s="541"/>
      <c r="AE27" s="542"/>
      <c r="AF27" s="540" t="str">
        <f>Calcu!M26</f>
        <v/>
      </c>
      <c r="AG27" s="541"/>
      <c r="AH27" s="541"/>
      <c r="AI27" s="541"/>
      <c r="AJ27" s="542"/>
      <c r="AK27" s="540" t="str">
        <f>Calcu!K26</f>
        <v/>
      </c>
      <c r="AL27" s="541"/>
      <c r="AM27" s="541"/>
      <c r="AN27" s="541"/>
      <c r="AO27" s="542"/>
    </row>
    <row r="28" spans="1:46" ht="18.75" customHeight="1">
      <c r="A28" s="57"/>
      <c r="B28" s="540" t="str">
        <f>Calcu!T27</f>
        <v/>
      </c>
      <c r="C28" s="541"/>
      <c r="D28" s="541"/>
      <c r="E28" s="541"/>
      <c r="F28" s="542"/>
      <c r="G28" s="540" t="str">
        <f>IF(Calcu!B27=TRUE,Calcu!E27*$H$5,"")</f>
        <v/>
      </c>
      <c r="H28" s="541"/>
      <c r="I28" s="541"/>
      <c r="J28" s="541"/>
      <c r="K28" s="542"/>
      <c r="L28" s="540" t="str">
        <f>IF(Calcu!B27=TRUE,Calcu!F27*H$5,"")</f>
        <v/>
      </c>
      <c r="M28" s="541"/>
      <c r="N28" s="541"/>
      <c r="O28" s="541"/>
      <c r="P28" s="542"/>
      <c r="Q28" s="540" t="str">
        <f>IF(Calcu!B27=TRUE,Calcu!G27*H$5,"")</f>
        <v/>
      </c>
      <c r="R28" s="541"/>
      <c r="S28" s="541"/>
      <c r="T28" s="541"/>
      <c r="U28" s="542"/>
      <c r="V28" s="540" t="str">
        <f>IF(Calcu!B27=TRUE,Calcu!H27*H$5,"")</f>
        <v/>
      </c>
      <c r="W28" s="541"/>
      <c r="X28" s="541"/>
      <c r="Y28" s="541"/>
      <c r="Z28" s="542"/>
      <c r="AA28" s="540" t="str">
        <f>IF(Calcu!B27=TRUE,Calcu!I27*H$5,"")</f>
        <v/>
      </c>
      <c r="AB28" s="541"/>
      <c r="AC28" s="541"/>
      <c r="AD28" s="541"/>
      <c r="AE28" s="542"/>
      <c r="AF28" s="540" t="str">
        <f>Calcu!M27</f>
        <v/>
      </c>
      <c r="AG28" s="541"/>
      <c r="AH28" s="541"/>
      <c r="AI28" s="541"/>
      <c r="AJ28" s="542"/>
      <c r="AK28" s="540" t="str">
        <f>Calcu!K27</f>
        <v/>
      </c>
      <c r="AL28" s="541"/>
      <c r="AM28" s="541"/>
      <c r="AN28" s="541"/>
      <c r="AO28" s="542"/>
    </row>
    <row r="29" spans="1:46" ht="18.75" customHeight="1">
      <c r="A29" s="57"/>
      <c r="B29" s="540" t="str">
        <f>Calcu!T28</f>
        <v/>
      </c>
      <c r="C29" s="541"/>
      <c r="D29" s="541"/>
      <c r="E29" s="541"/>
      <c r="F29" s="542"/>
      <c r="G29" s="540" t="str">
        <f>IF(Calcu!B28=TRUE,Calcu!E28*$H$5,"")</f>
        <v/>
      </c>
      <c r="H29" s="541"/>
      <c r="I29" s="541"/>
      <c r="J29" s="541"/>
      <c r="K29" s="542"/>
      <c r="L29" s="540" t="str">
        <f>IF(Calcu!B28=TRUE,Calcu!F28*H$5,"")</f>
        <v/>
      </c>
      <c r="M29" s="541"/>
      <c r="N29" s="541"/>
      <c r="O29" s="541"/>
      <c r="P29" s="542"/>
      <c r="Q29" s="540" t="str">
        <f>IF(Calcu!B28=TRUE,Calcu!G28*H$5,"")</f>
        <v/>
      </c>
      <c r="R29" s="541"/>
      <c r="S29" s="541"/>
      <c r="T29" s="541"/>
      <c r="U29" s="542"/>
      <c r="V29" s="540" t="str">
        <f>IF(Calcu!B28=TRUE,Calcu!H28*H$5,"")</f>
        <v/>
      </c>
      <c r="W29" s="541"/>
      <c r="X29" s="541"/>
      <c r="Y29" s="541"/>
      <c r="Z29" s="542"/>
      <c r="AA29" s="540" t="str">
        <f>IF(Calcu!B28=TRUE,Calcu!I28*H$5,"")</f>
        <v/>
      </c>
      <c r="AB29" s="541"/>
      <c r="AC29" s="541"/>
      <c r="AD29" s="541"/>
      <c r="AE29" s="542"/>
      <c r="AF29" s="540" t="str">
        <f>Calcu!M28</f>
        <v/>
      </c>
      <c r="AG29" s="541"/>
      <c r="AH29" s="541"/>
      <c r="AI29" s="541"/>
      <c r="AJ29" s="542"/>
      <c r="AK29" s="540" t="str">
        <f>Calcu!K28</f>
        <v/>
      </c>
      <c r="AL29" s="541"/>
      <c r="AM29" s="541"/>
      <c r="AN29" s="541"/>
      <c r="AO29" s="542"/>
    </row>
    <row r="30" spans="1:46" ht="18.75" customHeight="1">
      <c r="A30" s="57"/>
      <c r="B30" s="540" t="str">
        <f>Calcu!T29</f>
        <v/>
      </c>
      <c r="C30" s="541"/>
      <c r="D30" s="541"/>
      <c r="E30" s="541"/>
      <c r="F30" s="542"/>
      <c r="G30" s="540" t="str">
        <f>IF(Calcu!B29=TRUE,Calcu!E29*$H$5,"")</f>
        <v/>
      </c>
      <c r="H30" s="541"/>
      <c r="I30" s="541"/>
      <c r="J30" s="541"/>
      <c r="K30" s="542"/>
      <c r="L30" s="540" t="str">
        <f>IF(Calcu!B29=TRUE,Calcu!F29*H$5,"")</f>
        <v/>
      </c>
      <c r="M30" s="541"/>
      <c r="N30" s="541"/>
      <c r="O30" s="541"/>
      <c r="P30" s="542"/>
      <c r="Q30" s="540" t="str">
        <f>IF(Calcu!B29=TRUE,Calcu!G29*H$5,"")</f>
        <v/>
      </c>
      <c r="R30" s="541"/>
      <c r="S30" s="541"/>
      <c r="T30" s="541"/>
      <c r="U30" s="542"/>
      <c r="V30" s="540" t="str">
        <f>IF(Calcu!B29=TRUE,Calcu!H29*H$5,"")</f>
        <v/>
      </c>
      <c r="W30" s="541"/>
      <c r="X30" s="541"/>
      <c r="Y30" s="541"/>
      <c r="Z30" s="542"/>
      <c r="AA30" s="540" t="str">
        <f>IF(Calcu!B29=TRUE,Calcu!I29*H$5,"")</f>
        <v/>
      </c>
      <c r="AB30" s="541"/>
      <c r="AC30" s="541"/>
      <c r="AD30" s="541"/>
      <c r="AE30" s="542"/>
      <c r="AF30" s="540" t="str">
        <f>Calcu!M29</f>
        <v/>
      </c>
      <c r="AG30" s="541"/>
      <c r="AH30" s="541"/>
      <c r="AI30" s="541"/>
      <c r="AJ30" s="542"/>
      <c r="AK30" s="540" t="str">
        <f>Calcu!K29</f>
        <v/>
      </c>
      <c r="AL30" s="541"/>
      <c r="AM30" s="541"/>
      <c r="AN30" s="541"/>
      <c r="AO30" s="542"/>
    </row>
    <row r="31" spans="1:46" ht="18.75" customHeight="1">
      <c r="A31" s="57"/>
      <c r="B31" s="341"/>
      <c r="C31" s="341"/>
      <c r="D31" s="341"/>
      <c r="E31" s="341"/>
      <c r="F31" s="341"/>
      <c r="G31" s="341"/>
      <c r="H31" s="341"/>
      <c r="I31" s="341"/>
      <c r="J31" s="341"/>
      <c r="K31" s="341"/>
      <c r="L31" s="341"/>
      <c r="M31" s="341"/>
      <c r="N31" s="341"/>
      <c r="O31" s="341"/>
      <c r="P31" s="341"/>
      <c r="Q31" s="341"/>
      <c r="R31" s="341"/>
      <c r="S31" s="341"/>
      <c r="T31" s="341"/>
      <c r="U31" s="341"/>
      <c r="V31" s="341"/>
      <c r="W31" s="341"/>
      <c r="X31" s="341"/>
      <c r="Y31" s="341"/>
      <c r="Z31" s="341"/>
      <c r="AA31" s="341"/>
      <c r="AB31" s="341"/>
      <c r="AC31" s="341"/>
      <c r="AD31" s="341"/>
      <c r="AE31" s="341"/>
      <c r="AF31" s="341"/>
      <c r="AG31" s="341"/>
      <c r="AH31" s="341"/>
      <c r="AI31" s="341"/>
      <c r="AJ31" s="341"/>
      <c r="AK31" s="341"/>
      <c r="AL31" s="341"/>
      <c r="AM31" s="341"/>
      <c r="AN31" s="341"/>
      <c r="AO31" s="341"/>
      <c r="AP31" s="341"/>
      <c r="AQ31" s="341"/>
      <c r="AR31" s="341"/>
      <c r="AS31" s="341"/>
      <c r="AT31" s="341"/>
    </row>
    <row r="32" spans="1:46" ht="18.75" customHeight="1">
      <c r="A32" s="57" t="s">
        <v>977</v>
      </c>
      <c r="B32" s="370"/>
      <c r="C32" s="370"/>
      <c r="D32" s="370"/>
      <c r="E32" s="370"/>
      <c r="F32" s="370"/>
      <c r="G32" s="370"/>
      <c r="H32" s="370"/>
      <c r="I32" s="370"/>
      <c r="J32" s="370"/>
      <c r="K32" s="370"/>
      <c r="L32" s="370"/>
      <c r="M32" s="370"/>
      <c r="N32" s="370"/>
      <c r="O32" s="370"/>
      <c r="P32" s="370"/>
      <c r="Q32" s="370"/>
      <c r="R32" s="370"/>
      <c r="S32" s="370"/>
      <c r="T32" s="370"/>
      <c r="U32" s="370"/>
      <c r="V32" s="370"/>
      <c r="W32" s="370"/>
      <c r="X32" s="370"/>
      <c r="Y32" s="370"/>
      <c r="Z32" s="370"/>
      <c r="AA32" s="370"/>
      <c r="AB32" s="370"/>
      <c r="AC32" s="370"/>
      <c r="AD32" s="370"/>
      <c r="AE32" s="370"/>
      <c r="AF32" s="370"/>
      <c r="AG32" s="370"/>
      <c r="AH32" s="370"/>
      <c r="AI32" s="370"/>
      <c r="AJ32" s="370"/>
      <c r="AK32" s="370"/>
      <c r="AL32" s="370"/>
      <c r="AM32" s="370"/>
      <c r="AN32" s="370"/>
      <c r="AO32" s="370"/>
      <c r="AP32" s="370"/>
      <c r="AQ32" s="370"/>
      <c r="AR32" s="370"/>
      <c r="AS32" s="370"/>
      <c r="AT32" s="370"/>
    </row>
    <row r="33" spans="1:69" ht="18.75" customHeight="1">
      <c r="A33" s="69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70"/>
      <c r="N33" s="370"/>
      <c r="O33" s="370"/>
      <c r="P33" s="370"/>
      <c r="Q33" s="370"/>
      <c r="R33" s="370"/>
      <c r="S33" s="370"/>
      <c r="T33" s="370"/>
      <c r="U33" s="370"/>
      <c r="V33" s="370"/>
      <c r="W33" s="370"/>
      <c r="X33" s="370"/>
      <c r="Y33" s="370"/>
      <c r="Z33" s="370"/>
      <c r="AA33" s="370"/>
      <c r="AB33" s="370"/>
      <c r="AC33" s="370"/>
      <c r="AD33" s="370"/>
      <c r="AE33" s="370"/>
      <c r="AF33" s="370"/>
      <c r="AG33" s="370"/>
      <c r="AH33" s="370"/>
      <c r="AI33" s="370"/>
      <c r="AJ33" s="370"/>
      <c r="AK33" s="370"/>
      <c r="AL33" s="370"/>
      <c r="AM33" s="370"/>
      <c r="AN33" s="370"/>
      <c r="AO33" s="370"/>
      <c r="AP33" s="370"/>
      <c r="AQ33" s="370"/>
      <c r="AR33" s="370"/>
      <c r="AS33" s="370"/>
      <c r="AT33" s="370"/>
    </row>
    <row r="34" spans="1:69" ht="18.75" customHeight="1">
      <c r="A34" s="69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0"/>
      <c r="O34" s="370"/>
      <c r="P34" s="370"/>
      <c r="Q34" s="370"/>
      <c r="R34" s="370"/>
      <c r="S34" s="370"/>
      <c r="T34" s="370"/>
      <c r="U34" s="370"/>
      <c r="V34" s="370"/>
      <c r="W34" s="370"/>
      <c r="X34" s="370"/>
      <c r="Y34" s="370"/>
      <c r="Z34" s="370"/>
      <c r="AA34" s="370"/>
      <c r="AB34" s="370"/>
      <c r="AC34" s="370"/>
      <c r="AD34" s="370"/>
      <c r="AE34" s="370"/>
      <c r="AF34" s="370"/>
      <c r="AG34" s="370"/>
      <c r="AH34" s="370"/>
      <c r="AI34" s="370"/>
      <c r="AJ34" s="370"/>
      <c r="AK34" s="370"/>
      <c r="AL34" s="370"/>
      <c r="AM34" s="370"/>
      <c r="AN34" s="370"/>
      <c r="AO34" s="370"/>
      <c r="AP34" s="370"/>
      <c r="AQ34" s="370"/>
      <c r="AR34" s="370"/>
      <c r="AS34" s="370"/>
      <c r="AT34" s="370"/>
    </row>
    <row r="35" spans="1:69" ht="18.75" customHeight="1">
      <c r="A35" s="69"/>
      <c r="B35" s="370"/>
      <c r="C35" s="545" t="s">
        <v>978</v>
      </c>
      <c r="D35" s="545"/>
      <c r="E35" s="545"/>
      <c r="F35" s="341" t="s">
        <v>979</v>
      </c>
      <c r="G35" s="370" t="str">
        <f>"표준온도에서 "&amp;N5&amp;"의 보정값"</f>
        <v>표준온도에서 측정투영기의 보정값</v>
      </c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W35" s="59"/>
      <c r="X35" s="59"/>
      <c r="Y35" s="59"/>
      <c r="Z35" s="370"/>
      <c r="AA35" s="370"/>
      <c r="AB35" s="370"/>
      <c r="AC35" s="370"/>
      <c r="AD35" s="370"/>
      <c r="AE35" s="370"/>
      <c r="AF35" s="370"/>
      <c r="AG35" s="370"/>
      <c r="AH35" s="370"/>
      <c r="AI35" s="370"/>
      <c r="AJ35" s="370"/>
      <c r="AK35" s="370"/>
      <c r="AL35" s="370"/>
      <c r="AM35" s="370"/>
      <c r="AN35" s="370"/>
      <c r="AO35" s="370"/>
      <c r="AP35" s="370"/>
      <c r="AQ35" s="370"/>
      <c r="AR35" s="370"/>
      <c r="AS35" s="370"/>
      <c r="AT35" s="370"/>
    </row>
    <row r="36" spans="1:69" ht="18.75" customHeight="1">
      <c r="A36" s="69"/>
      <c r="B36" s="370"/>
      <c r="C36" s="545" t="s">
        <v>980</v>
      </c>
      <c r="D36" s="545"/>
      <c r="E36" s="545"/>
      <c r="F36" s="341" t="s">
        <v>979</v>
      </c>
      <c r="G36" s="370" t="str">
        <f>T5&amp;"의 교정값"</f>
        <v>표준자의 교정값</v>
      </c>
      <c r="H36" s="370"/>
      <c r="I36" s="370"/>
      <c r="J36" s="370"/>
      <c r="K36" s="370"/>
      <c r="L36" s="370"/>
      <c r="M36" s="370"/>
      <c r="N36" s="370"/>
      <c r="O36" s="370"/>
      <c r="P36" s="370"/>
      <c r="Q36" s="370"/>
      <c r="R36" s="370"/>
      <c r="S36" s="370"/>
      <c r="T36" s="370"/>
      <c r="U36" s="370"/>
      <c r="V36" s="370"/>
      <c r="W36" s="370"/>
      <c r="X36" s="370"/>
      <c r="Y36" s="370"/>
      <c r="Z36" s="370"/>
      <c r="AA36" s="370"/>
      <c r="AB36" s="370"/>
      <c r="AC36" s="370"/>
      <c r="AD36" s="370"/>
      <c r="AE36" s="370"/>
      <c r="AF36" s="370"/>
      <c r="AG36" s="370"/>
      <c r="AH36" s="370"/>
      <c r="AI36" s="370"/>
      <c r="AJ36" s="370"/>
      <c r="AK36" s="370"/>
      <c r="AL36" s="370"/>
      <c r="AM36" s="370"/>
      <c r="AN36" s="370"/>
      <c r="AO36" s="370"/>
      <c r="AP36" s="370"/>
      <c r="AQ36" s="370"/>
      <c r="AR36" s="370"/>
      <c r="AS36" s="370"/>
      <c r="AT36" s="370"/>
      <c r="AU36" s="370"/>
      <c r="AV36" s="370"/>
      <c r="AW36" s="370"/>
      <c r="AX36" s="370"/>
      <c r="AY36" s="370"/>
      <c r="AZ36" s="370"/>
      <c r="BA36" s="370"/>
      <c r="BB36" s="370"/>
    </row>
    <row r="37" spans="1:69" ht="18.75" customHeight="1">
      <c r="A37" s="69"/>
      <c r="B37" s="370"/>
      <c r="C37" s="545" t="s">
        <v>981</v>
      </c>
      <c r="D37" s="545"/>
      <c r="E37" s="545"/>
      <c r="F37" s="341" t="s">
        <v>979</v>
      </c>
      <c r="G37" s="370" t="str">
        <f>N5&amp;"의 지시값"</f>
        <v>측정투영기의 지시값</v>
      </c>
      <c r="H37" s="370"/>
      <c r="I37" s="370"/>
      <c r="J37" s="370"/>
      <c r="K37" s="370"/>
      <c r="L37" s="370"/>
      <c r="M37" s="370"/>
      <c r="N37" s="370"/>
      <c r="O37" s="370"/>
      <c r="P37" s="370"/>
      <c r="Q37" s="370"/>
      <c r="U37" s="370"/>
      <c r="V37" s="370"/>
      <c r="W37" s="370"/>
      <c r="X37" s="370"/>
      <c r="Y37" s="370"/>
      <c r="Z37" s="370"/>
      <c r="AA37" s="370"/>
      <c r="AB37" s="370"/>
      <c r="AC37" s="370"/>
      <c r="AD37" s="370"/>
      <c r="AE37" s="370"/>
      <c r="AF37" s="370"/>
      <c r="AG37" s="370"/>
      <c r="AH37" s="370"/>
      <c r="AI37" s="370"/>
      <c r="AJ37" s="370"/>
      <c r="AK37" s="370"/>
      <c r="AL37" s="370"/>
      <c r="AM37" s="370"/>
      <c r="AN37" s="370"/>
      <c r="AO37" s="370"/>
      <c r="AP37" s="370"/>
      <c r="AQ37" s="370"/>
      <c r="AR37" s="370"/>
      <c r="AS37" s="370"/>
      <c r="AT37" s="370"/>
      <c r="AU37" s="370"/>
      <c r="AV37" s="370"/>
      <c r="AW37" s="370"/>
      <c r="AX37" s="370"/>
      <c r="AY37" s="370"/>
      <c r="AZ37" s="370"/>
      <c r="BA37" s="370"/>
      <c r="BB37" s="370"/>
    </row>
    <row r="38" spans="1:69" ht="18.75" customHeight="1">
      <c r="A38" s="69"/>
      <c r="B38" s="370"/>
      <c r="C38" s="545" t="s">
        <v>982</v>
      </c>
      <c r="D38" s="545"/>
      <c r="E38" s="545"/>
      <c r="F38" s="341" t="s">
        <v>979</v>
      </c>
      <c r="G38" s="370" t="str">
        <f>T5&amp;"의 명목값"</f>
        <v>표준자의 명목값</v>
      </c>
      <c r="H38" s="370"/>
      <c r="I38" s="370"/>
      <c r="J38" s="370"/>
      <c r="K38" s="370"/>
      <c r="L38" s="370"/>
      <c r="M38" s="370"/>
      <c r="N38" s="370"/>
      <c r="O38" s="370"/>
      <c r="P38" s="370"/>
      <c r="Q38" s="370"/>
      <c r="R38" s="370"/>
      <c r="S38" s="370"/>
      <c r="T38" s="370"/>
      <c r="U38" s="370"/>
      <c r="V38" s="370"/>
      <c r="W38" s="370"/>
      <c r="X38" s="370"/>
      <c r="Y38" s="370"/>
      <c r="Z38" s="370"/>
      <c r="AA38" s="370"/>
      <c r="AB38" s="370"/>
      <c r="AC38" s="370"/>
      <c r="AD38" s="370"/>
      <c r="AE38" s="370"/>
      <c r="AF38" s="370"/>
      <c r="AG38" s="370"/>
      <c r="AH38" s="370"/>
      <c r="AI38" s="370"/>
      <c r="AJ38" s="370"/>
      <c r="AK38" s="370"/>
      <c r="AL38" s="370"/>
      <c r="AM38" s="370"/>
      <c r="AN38" s="370"/>
      <c r="AO38" s="370"/>
      <c r="AP38" s="370"/>
      <c r="AQ38" s="370"/>
      <c r="AR38" s="370"/>
      <c r="AS38" s="370"/>
      <c r="AT38" s="370"/>
      <c r="AU38" s="370"/>
      <c r="AV38" s="370"/>
      <c r="AW38" s="370"/>
      <c r="AX38" s="370"/>
      <c r="AY38" s="370"/>
      <c r="AZ38" s="370"/>
      <c r="BA38" s="370"/>
      <c r="BB38" s="370"/>
    </row>
    <row r="39" spans="1:69" ht="18.75" customHeight="1">
      <c r="A39" s="69"/>
      <c r="B39" s="370"/>
      <c r="C39" s="545"/>
      <c r="D39" s="545"/>
      <c r="E39" s="545"/>
      <c r="F39" s="341" t="s">
        <v>979</v>
      </c>
      <c r="G39" s="370" t="str">
        <f>N5&amp;"와 "&amp;T5&amp;"의 평균열팽창계수"</f>
        <v>측정투영기와 표준자의 평균열팽창계수</v>
      </c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70"/>
      <c r="Z39" s="370"/>
      <c r="AA39" s="370"/>
      <c r="AB39" s="370"/>
      <c r="AC39" s="370"/>
      <c r="AD39" s="370"/>
      <c r="AE39" s="370"/>
      <c r="AF39" s="370"/>
      <c r="AG39" s="370"/>
      <c r="AH39" s="370"/>
      <c r="AI39" s="370"/>
      <c r="AJ39" s="370"/>
      <c r="AK39" s="370"/>
      <c r="AL39" s="370"/>
      <c r="AM39" s="370"/>
      <c r="AN39" s="370"/>
      <c r="AO39" s="370"/>
      <c r="AP39" s="370"/>
      <c r="AQ39" s="370"/>
      <c r="AR39" s="370"/>
      <c r="AS39" s="370"/>
      <c r="AT39" s="370"/>
      <c r="AU39" s="370"/>
      <c r="AV39" s="370"/>
      <c r="AW39" s="370"/>
      <c r="AX39" s="370"/>
      <c r="AY39" s="370"/>
      <c r="AZ39" s="370"/>
      <c r="BA39" s="370"/>
      <c r="BB39" s="370"/>
    </row>
    <row r="40" spans="1:69" ht="18.75" customHeight="1">
      <c r="A40" s="69"/>
      <c r="B40" s="370"/>
      <c r="C40" s="545" t="s">
        <v>809</v>
      </c>
      <c r="D40" s="545"/>
      <c r="E40" s="545"/>
      <c r="F40" s="341" t="s">
        <v>979</v>
      </c>
      <c r="G40" s="370" t="str">
        <f>N5&amp;"와 "&amp;T5&amp;"의 온도차이"</f>
        <v>측정투영기와 표준자의 온도차이</v>
      </c>
      <c r="H40" s="370"/>
      <c r="I40" s="370"/>
      <c r="J40" s="370"/>
      <c r="K40" s="370"/>
      <c r="L40" s="370"/>
      <c r="M40" s="370"/>
      <c r="N40" s="370"/>
      <c r="O40" s="370"/>
      <c r="P40" s="370"/>
      <c r="Q40" s="370"/>
      <c r="R40" s="370"/>
      <c r="S40" s="370"/>
      <c r="T40" s="370"/>
      <c r="U40" s="370"/>
      <c r="V40" s="370"/>
      <c r="W40" s="370"/>
      <c r="X40" s="370"/>
      <c r="Y40" s="370"/>
      <c r="Z40" s="370"/>
      <c r="AA40" s="370"/>
      <c r="AB40" s="370"/>
      <c r="AC40" s="370"/>
      <c r="AD40" s="370"/>
      <c r="AE40" s="370"/>
      <c r="AF40" s="370"/>
      <c r="AG40" s="370"/>
      <c r="AH40" s="370"/>
      <c r="AI40" s="370"/>
      <c r="AJ40" s="370"/>
      <c r="AK40" s="370"/>
      <c r="AL40" s="370"/>
      <c r="AM40" s="370"/>
      <c r="AN40" s="370"/>
      <c r="AO40" s="370"/>
      <c r="AP40" s="370"/>
      <c r="AQ40" s="370"/>
      <c r="AR40" s="370"/>
      <c r="AS40" s="370"/>
      <c r="AT40" s="370"/>
      <c r="AU40" s="370"/>
      <c r="AV40" s="370"/>
      <c r="AW40" s="370"/>
      <c r="AX40" s="370"/>
      <c r="AY40" s="370"/>
      <c r="AZ40" s="370"/>
      <c r="BA40" s="370"/>
      <c r="BB40" s="370"/>
    </row>
    <row r="41" spans="1:69" ht="18.75" customHeight="1">
      <c r="A41" s="69"/>
      <c r="B41" s="370"/>
      <c r="C41" s="545" t="s">
        <v>810</v>
      </c>
      <c r="D41" s="545"/>
      <c r="E41" s="545"/>
      <c r="F41" s="341" t="s">
        <v>979</v>
      </c>
      <c r="G41" s="370" t="str">
        <f>N5&amp;"와 "&amp;T5&amp;"의 열팽창계수 차이"</f>
        <v>측정투영기와 표준자의 열팽창계수 차이</v>
      </c>
      <c r="H41" s="370"/>
      <c r="I41" s="370"/>
      <c r="J41" s="370"/>
      <c r="K41" s="370"/>
      <c r="L41" s="370"/>
      <c r="M41" s="370"/>
      <c r="N41" s="370"/>
      <c r="O41" s="370"/>
      <c r="P41" s="370"/>
      <c r="Q41" s="370"/>
      <c r="R41" s="370"/>
      <c r="S41" s="370"/>
      <c r="T41" s="370"/>
      <c r="U41" s="370"/>
      <c r="V41" s="370"/>
      <c r="W41" s="370"/>
      <c r="X41" s="370"/>
      <c r="Y41" s="370"/>
      <c r="Z41" s="370"/>
      <c r="AA41" s="370"/>
      <c r="AB41" s="370"/>
      <c r="AC41" s="370"/>
      <c r="AD41" s="370"/>
      <c r="AE41" s="370"/>
      <c r="AF41" s="370"/>
      <c r="AG41" s="370"/>
      <c r="AH41" s="370"/>
      <c r="AI41" s="370"/>
      <c r="AJ41" s="370"/>
      <c r="AK41" s="370"/>
      <c r="AL41" s="370"/>
      <c r="AM41" s="370"/>
      <c r="AN41" s="370"/>
      <c r="AO41" s="370"/>
      <c r="AP41" s="370"/>
      <c r="AQ41" s="370"/>
      <c r="AR41" s="370"/>
      <c r="AS41" s="370"/>
      <c r="AT41" s="370"/>
      <c r="AU41" s="370"/>
      <c r="AV41" s="370"/>
      <c r="AW41" s="370"/>
      <c r="AX41" s="370"/>
      <c r="AY41" s="370"/>
      <c r="AZ41" s="370"/>
      <c r="BA41" s="370"/>
      <c r="BB41" s="370"/>
    </row>
    <row r="42" spans="1:69" ht="18.75" customHeight="1">
      <c r="A42" s="69"/>
      <c r="B42" s="370"/>
      <c r="C42" s="545" t="s">
        <v>983</v>
      </c>
      <c r="D42" s="545"/>
      <c r="E42" s="545"/>
      <c r="F42" s="341" t="s">
        <v>984</v>
      </c>
      <c r="G42" s="370" t="str">
        <f>N5&amp;"와 "&amp;T5&amp;"의 평균 온도값과 기준온도와의 차"</f>
        <v>측정투영기와 표준자의 평균 온도값과 기준온도와의 차</v>
      </c>
      <c r="H42" s="370"/>
      <c r="I42" s="370"/>
      <c r="J42" s="370"/>
      <c r="K42" s="370"/>
      <c r="L42" s="370"/>
      <c r="M42" s="370"/>
      <c r="N42" s="370"/>
      <c r="O42" s="370"/>
      <c r="P42" s="370"/>
      <c r="Q42" s="370"/>
      <c r="R42" s="370"/>
      <c r="S42" s="370"/>
      <c r="T42" s="370"/>
      <c r="U42" s="370"/>
      <c r="V42" s="370"/>
      <c r="W42" s="370"/>
      <c r="X42" s="370"/>
      <c r="Y42" s="370"/>
      <c r="Z42" s="370"/>
      <c r="AA42" s="370"/>
      <c r="AB42" s="370"/>
      <c r="AC42" s="370"/>
      <c r="AD42" s="370"/>
      <c r="AE42" s="370"/>
      <c r="AF42" s="370"/>
      <c r="AG42" s="370"/>
      <c r="AH42" s="370"/>
      <c r="AI42" s="370"/>
      <c r="AJ42" s="370"/>
      <c r="AK42" s="370"/>
      <c r="AL42" s="370"/>
      <c r="AM42" s="370"/>
      <c r="AN42" s="370"/>
      <c r="AO42" s="370"/>
      <c r="AP42" s="370"/>
      <c r="AQ42" s="370"/>
      <c r="AR42" s="370"/>
      <c r="AS42" s="370"/>
      <c r="AT42" s="370"/>
      <c r="AU42" s="370"/>
      <c r="AV42" s="370"/>
      <c r="AW42" s="370"/>
      <c r="AX42" s="370"/>
      <c r="AY42" s="370"/>
      <c r="AZ42" s="370"/>
      <c r="BA42" s="370"/>
      <c r="BB42" s="370"/>
    </row>
    <row r="43" spans="1:69" ht="18.75" customHeight="1">
      <c r="A43" s="69"/>
      <c r="B43" s="370"/>
      <c r="C43" s="545" t="s">
        <v>1279</v>
      </c>
      <c r="D43" s="545"/>
      <c r="E43" s="545"/>
      <c r="F43" s="341" t="s">
        <v>979</v>
      </c>
      <c r="G43" s="370" t="str">
        <f>N5&amp;"의 분해능 한계에 대한 보정값 (기대값=0)"</f>
        <v>측정투영기의 분해능 한계에 대한 보정값 (기대값=0)</v>
      </c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70"/>
      <c r="Z43" s="370"/>
      <c r="AA43" s="370"/>
      <c r="AB43" s="370"/>
      <c r="AC43" s="370"/>
      <c r="AD43" s="370"/>
      <c r="AE43" s="370"/>
      <c r="AF43" s="370"/>
      <c r="AG43" s="370"/>
      <c r="AH43" s="370"/>
      <c r="AI43" s="370"/>
      <c r="AJ43" s="370"/>
      <c r="AK43" s="370"/>
      <c r="AL43" s="370"/>
      <c r="AM43" s="370"/>
      <c r="AN43" s="370"/>
      <c r="AO43" s="370"/>
      <c r="AP43" s="370"/>
      <c r="AQ43" s="370"/>
      <c r="AR43" s="370"/>
      <c r="AS43" s="370"/>
      <c r="AT43" s="370"/>
      <c r="AU43" s="370"/>
      <c r="AV43" s="370"/>
      <c r="AW43" s="370"/>
      <c r="AX43" s="370"/>
      <c r="AY43" s="370"/>
      <c r="AZ43" s="370"/>
      <c r="BA43" s="370"/>
      <c r="BB43" s="370"/>
    </row>
    <row r="44" spans="1:69" ht="18.75" customHeight="1">
      <c r="A44" s="69"/>
      <c r="B44" s="370"/>
      <c r="C44" s="545" t="s">
        <v>1280</v>
      </c>
      <c r="D44" s="545"/>
      <c r="E44" s="545"/>
      <c r="F44" s="341" t="s">
        <v>808</v>
      </c>
      <c r="G44" s="370" t="s">
        <v>985</v>
      </c>
      <c r="H44" s="370"/>
      <c r="I44" s="370"/>
      <c r="J44" s="370"/>
      <c r="K44" s="370"/>
      <c r="L44" s="370"/>
      <c r="M44" s="370"/>
      <c r="N44" s="370"/>
      <c r="O44" s="370"/>
      <c r="P44" s="370"/>
      <c r="Q44" s="370"/>
      <c r="R44" s="370"/>
      <c r="S44" s="370"/>
      <c r="T44" s="370"/>
      <c r="U44" s="370"/>
      <c r="V44" s="370"/>
      <c r="W44" s="370"/>
      <c r="X44" s="370"/>
      <c r="Y44" s="370"/>
      <c r="Z44" s="370"/>
      <c r="AA44" s="370"/>
      <c r="AB44" s="370"/>
      <c r="AC44" s="370"/>
      <c r="AD44" s="370"/>
      <c r="AE44" s="370"/>
      <c r="AF44" s="370"/>
      <c r="AG44" s="370"/>
      <c r="AH44" s="370"/>
      <c r="AI44" s="370"/>
      <c r="AJ44" s="370"/>
      <c r="AK44" s="370"/>
      <c r="AL44" s="370"/>
      <c r="AM44" s="370"/>
      <c r="AN44" s="370"/>
      <c r="AO44" s="370"/>
      <c r="AP44" s="370"/>
      <c r="AQ44" s="370"/>
      <c r="AR44" s="370"/>
      <c r="AS44" s="370"/>
      <c r="AT44" s="370"/>
      <c r="AU44" s="370"/>
      <c r="AV44" s="370"/>
      <c r="AW44" s="370"/>
      <c r="AX44" s="370"/>
      <c r="AY44" s="370"/>
      <c r="AZ44" s="370"/>
      <c r="BA44" s="370"/>
      <c r="BB44" s="370"/>
    </row>
    <row r="45" spans="1:69" ht="18.75" customHeight="1">
      <c r="A45" s="69"/>
      <c r="B45" s="370"/>
      <c r="C45" s="545" t="s">
        <v>986</v>
      </c>
      <c r="D45" s="545"/>
      <c r="E45" s="545"/>
      <c r="F45" s="341" t="s">
        <v>808</v>
      </c>
      <c r="G45" s="370" t="str">
        <f>T5&amp;"의 설치시 여현오차에 의한 보정값"</f>
        <v>표준자의 설치시 여현오차에 의한 보정값</v>
      </c>
      <c r="H45" s="370"/>
      <c r="I45" s="370"/>
      <c r="J45" s="370"/>
      <c r="K45" s="370"/>
      <c r="L45" s="370"/>
      <c r="M45" s="370"/>
      <c r="N45" s="370"/>
      <c r="O45" s="370"/>
      <c r="P45" s="370"/>
      <c r="Q45" s="370"/>
      <c r="R45" s="370"/>
      <c r="S45" s="370"/>
      <c r="T45" s="370"/>
      <c r="U45" s="370"/>
      <c r="V45" s="370"/>
      <c r="W45" s="370"/>
      <c r="X45" s="370"/>
      <c r="Y45" s="370"/>
      <c r="Z45" s="370"/>
      <c r="AA45" s="370"/>
      <c r="AB45" s="370"/>
      <c r="AC45" s="370"/>
      <c r="AD45" s="370"/>
      <c r="AE45" s="370"/>
      <c r="AF45" s="370"/>
      <c r="AG45" s="370"/>
      <c r="AH45" s="370"/>
      <c r="AI45" s="370"/>
      <c r="AJ45" s="370"/>
      <c r="AK45" s="370"/>
      <c r="AL45" s="370"/>
      <c r="AM45" s="370"/>
      <c r="AN45" s="370"/>
      <c r="AO45" s="370"/>
      <c r="AP45" s="370"/>
      <c r="AQ45" s="370"/>
      <c r="AR45" s="370"/>
      <c r="AS45" s="370"/>
      <c r="AT45" s="370"/>
      <c r="AU45" s="370"/>
      <c r="AV45" s="370"/>
      <c r="AW45" s="370"/>
      <c r="AX45" s="370"/>
      <c r="AY45" s="370"/>
      <c r="AZ45" s="370"/>
      <c r="BA45" s="370"/>
      <c r="BB45" s="370"/>
    </row>
    <row r="46" spans="1:69" ht="18.75" customHeight="1">
      <c r="A46" s="69"/>
      <c r="B46" s="370"/>
      <c r="C46" s="545"/>
      <c r="D46" s="545"/>
      <c r="E46" s="545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370"/>
      <c r="Z46" s="370"/>
      <c r="AA46" s="370"/>
      <c r="AB46" s="370"/>
      <c r="AC46" s="370"/>
      <c r="AD46" s="370"/>
      <c r="AE46" s="370"/>
      <c r="AF46" s="370"/>
      <c r="AG46" s="370"/>
      <c r="AH46" s="370"/>
      <c r="AI46" s="370"/>
      <c r="AJ46" s="370"/>
      <c r="AK46" s="370"/>
      <c r="AL46" s="370"/>
      <c r="AM46" s="370"/>
      <c r="AN46" s="370"/>
      <c r="AO46" s="370"/>
      <c r="AP46" s="370"/>
      <c r="AQ46" s="370"/>
      <c r="AR46" s="370"/>
      <c r="AS46" s="370"/>
      <c r="AT46" s="370"/>
      <c r="AU46" s="370"/>
      <c r="AV46" s="370"/>
      <c r="AW46" s="370"/>
      <c r="AX46" s="370"/>
      <c r="AY46" s="370"/>
      <c r="AZ46" s="370"/>
      <c r="BA46" s="370"/>
      <c r="BB46" s="370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</row>
    <row r="47" spans="1:69" ht="18.75" customHeight="1">
      <c r="A47" s="57" t="s">
        <v>987</v>
      </c>
      <c r="B47" s="370"/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370"/>
      <c r="Z47" s="370"/>
      <c r="AA47" s="370"/>
      <c r="AB47" s="370"/>
      <c r="AC47" s="370"/>
      <c r="AD47" s="370"/>
      <c r="AE47" s="370"/>
      <c r="AF47" s="370"/>
      <c r="AG47" s="370"/>
      <c r="AH47" s="370"/>
      <c r="AI47" s="370"/>
      <c r="AJ47" s="370"/>
      <c r="AK47" s="370"/>
      <c r="AL47" s="370"/>
      <c r="AM47" s="370"/>
      <c r="AN47" s="370"/>
      <c r="AO47" s="370"/>
      <c r="AP47" s="370"/>
      <c r="AQ47" s="370"/>
      <c r="AR47" s="370"/>
      <c r="AS47" s="370"/>
      <c r="AT47" s="370"/>
    </row>
    <row r="48" spans="1:69" ht="18.75" customHeight="1">
      <c r="A48" s="370"/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70"/>
      <c r="Z48" s="370"/>
      <c r="AA48" s="370"/>
      <c r="AB48" s="370"/>
      <c r="AC48" s="370"/>
      <c r="AD48" s="370"/>
      <c r="AE48" s="370"/>
      <c r="AF48" s="370"/>
      <c r="AG48" s="370"/>
      <c r="AH48" s="370"/>
      <c r="AI48" s="370"/>
      <c r="AJ48" s="370"/>
      <c r="AK48" s="370"/>
      <c r="AL48" s="370"/>
      <c r="AM48" s="370"/>
      <c r="AN48" s="370"/>
      <c r="AO48" s="370"/>
      <c r="AP48" s="370"/>
      <c r="AQ48" s="370"/>
      <c r="AR48" s="370"/>
      <c r="AS48" s="370"/>
      <c r="AT48" s="370"/>
    </row>
    <row r="49" spans="1:58" ht="18.75" customHeight="1">
      <c r="A49" s="370"/>
      <c r="B49" s="370"/>
      <c r="C49" s="370" t="s">
        <v>814</v>
      </c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  <c r="AD49" s="370"/>
      <c r="AE49" s="370"/>
      <c r="AF49" s="370"/>
      <c r="AG49" s="370"/>
      <c r="AH49" s="370"/>
      <c r="AI49" s="370"/>
      <c r="AJ49" s="370"/>
      <c r="AK49" s="370"/>
      <c r="AL49" s="370"/>
      <c r="AM49" s="370"/>
      <c r="AN49" s="370"/>
      <c r="AO49" s="370"/>
      <c r="AP49" s="370"/>
      <c r="AQ49" s="370"/>
      <c r="AR49" s="370"/>
      <c r="AS49" s="370"/>
      <c r="AT49" s="370"/>
    </row>
    <row r="50" spans="1:58" ht="18.75" customHeight="1">
      <c r="A50" s="370"/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370"/>
      <c r="Z50" s="370"/>
      <c r="AA50" s="370"/>
      <c r="AB50" s="370"/>
      <c r="AC50" s="370"/>
      <c r="AD50" s="370"/>
      <c r="AE50" s="370"/>
      <c r="AF50" s="370"/>
      <c r="AG50" s="370"/>
      <c r="AH50" s="370"/>
      <c r="AI50" s="370"/>
      <c r="AJ50" s="370"/>
      <c r="AK50" s="370"/>
      <c r="AL50" s="370"/>
      <c r="AM50" s="370"/>
      <c r="AN50" s="370"/>
      <c r="AO50" s="370"/>
      <c r="AP50" s="370"/>
      <c r="AQ50" s="370"/>
      <c r="AR50" s="370"/>
      <c r="AS50" s="370"/>
      <c r="AT50" s="370"/>
    </row>
    <row r="51" spans="1:58" ht="18.75" customHeight="1">
      <c r="A51" s="370"/>
      <c r="B51" s="370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0"/>
      <c r="N51" s="370"/>
      <c r="O51" s="370"/>
      <c r="P51" s="370"/>
      <c r="Q51" s="370"/>
      <c r="R51" s="370"/>
      <c r="S51" s="370"/>
      <c r="T51" s="370"/>
      <c r="U51" s="370"/>
      <c r="V51" s="370"/>
      <c r="W51" s="370"/>
      <c r="X51" s="370"/>
      <c r="Y51" s="370"/>
      <c r="Z51" s="370"/>
      <c r="AA51" s="370"/>
      <c r="AB51" s="370"/>
      <c r="AC51" s="370"/>
      <c r="AD51" s="370"/>
      <c r="AE51" s="370"/>
      <c r="AF51" s="370"/>
      <c r="AG51" s="370"/>
      <c r="AH51" s="370"/>
      <c r="AI51" s="370"/>
      <c r="AJ51" s="370"/>
      <c r="AK51" s="370"/>
      <c r="AL51" s="370"/>
      <c r="AM51" s="370"/>
      <c r="AN51" s="370"/>
      <c r="AO51" s="370"/>
      <c r="AP51" s="370"/>
      <c r="AQ51" s="370"/>
      <c r="AR51" s="370"/>
      <c r="AS51" s="370"/>
      <c r="AT51" s="370"/>
    </row>
    <row r="52" spans="1:58" ht="18.75" customHeight="1">
      <c r="A52" s="370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70"/>
      <c r="N52" s="370"/>
      <c r="O52" s="370"/>
      <c r="P52" s="370"/>
      <c r="Q52" s="370"/>
      <c r="R52" s="370"/>
      <c r="S52" s="370"/>
      <c r="T52" s="370"/>
      <c r="U52" s="370"/>
      <c r="V52" s="370"/>
      <c r="W52" s="370"/>
      <c r="X52" s="370"/>
      <c r="Y52" s="370"/>
      <c r="Z52" s="370"/>
      <c r="AA52" s="370"/>
      <c r="AB52" s="370"/>
      <c r="AC52" s="370"/>
      <c r="AD52" s="370"/>
      <c r="AE52" s="370"/>
      <c r="AF52" s="370"/>
      <c r="AG52" s="370"/>
      <c r="AH52" s="370"/>
      <c r="AI52" s="370"/>
      <c r="AJ52" s="370"/>
      <c r="AK52" s="370"/>
      <c r="AL52" s="370"/>
      <c r="AM52" s="370"/>
      <c r="AN52" s="370"/>
      <c r="AO52" s="370"/>
      <c r="AP52" s="370"/>
      <c r="AQ52" s="370"/>
      <c r="AR52" s="370"/>
      <c r="AS52" s="370"/>
      <c r="AT52" s="370"/>
    </row>
    <row r="53" spans="1:58" ht="18.75" customHeight="1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0"/>
      <c r="N53" s="370"/>
      <c r="O53" s="370"/>
      <c r="P53" s="370"/>
      <c r="Q53" s="370"/>
      <c r="R53" s="370"/>
      <c r="S53" s="370"/>
      <c r="T53" s="370"/>
      <c r="U53" s="370"/>
      <c r="V53" s="370"/>
      <c r="W53" s="370"/>
      <c r="X53" s="370"/>
      <c r="Y53" s="370"/>
      <c r="Z53" s="370"/>
      <c r="AA53" s="370"/>
      <c r="AB53" s="370"/>
      <c r="AC53" s="370"/>
      <c r="AD53" s="370"/>
      <c r="AE53" s="370"/>
      <c r="AF53" s="370"/>
      <c r="AG53" s="370"/>
      <c r="AH53" s="370"/>
      <c r="AI53" s="370"/>
      <c r="AJ53" s="370"/>
      <c r="AK53" s="370"/>
      <c r="AL53" s="370"/>
      <c r="AM53" s="370"/>
      <c r="AN53" s="370"/>
      <c r="AO53" s="370"/>
      <c r="AP53" s="370"/>
      <c r="AQ53" s="370"/>
      <c r="AR53" s="370"/>
      <c r="AS53" s="370"/>
      <c r="AT53" s="370"/>
    </row>
    <row r="54" spans="1:58" ht="18.75" customHeight="1">
      <c r="A54" s="60" t="s">
        <v>988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70"/>
      <c r="Z54" s="370"/>
      <c r="AA54" s="370"/>
      <c r="AB54" s="370"/>
      <c r="AC54" s="370"/>
      <c r="AD54" s="370"/>
      <c r="AE54" s="370"/>
      <c r="AF54" s="370"/>
      <c r="AG54" s="370"/>
      <c r="AH54" s="370"/>
      <c r="AI54" s="370"/>
      <c r="AJ54" s="370"/>
      <c r="AK54" s="370"/>
      <c r="AL54" s="370"/>
      <c r="AM54" s="370"/>
      <c r="AN54" s="370"/>
      <c r="AO54" s="370"/>
      <c r="AP54" s="370"/>
      <c r="AQ54" s="370"/>
      <c r="AR54" s="370"/>
      <c r="AS54" s="370"/>
      <c r="AT54" s="370"/>
    </row>
    <row r="55" spans="1:58" ht="18.75" customHeight="1">
      <c r="A55" s="370"/>
      <c r="B55" s="558"/>
      <c r="C55" s="560"/>
      <c r="D55" s="537"/>
      <c r="E55" s="538"/>
      <c r="F55" s="538"/>
      <c r="G55" s="539"/>
      <c r="H55" s="522">
        <v>1</v>
      </c>
      <c r="I55" s="522"/>
      <c r="J55" s="522"/>
      <c r="K55" s="522"/>
      <c r="L55" s="522"/>
      <c r="M55" s="522"/>
      <c r="N55" s="522"/>
      <c r="O55" s="537">
        <v>2</v>
      </c>
      <c r="P55" s="538"/>
      <c r="Q55" s="538"/>
      <c r="R55" s="538"/>
      <c r="S55" s="538"/>
      <c r="T55" s="538"/>
      <c r="U55" s="538"/>
      <c r="V55" s="538"/>
      <c r="W55" s="538"/>
      <c r="X55" s="538"/>
      <c r="Y55" s="538"/>
      <c r="Z55" s="538"/>
      <c r="AA55" s="539"/>
      <c r="AB55" s="522">
        <v>3</v>
      </c>
      <c r="AC55" s="522"/>
      <c r="AD55" s="522"/>
      <c r="AE55" s="522"/>
      <c r="AF55" s="522"/>
      <c r="AG55" s="537">
        <v>4</v>
      </c>
      <c r="AH55" s="538"/>
      <c r="AI55" s="538"/>
      <c r="AJ55" s="538"/>
      <c r="AK55" s="538"/>
      <c r="AL55" s="538"/>
      <c r="AM55" s="538"/>
      <c r="AN55" s="538"/>
      <c r="AO55" s="539"/>
      <c r="AP55" s="537">
        <v>5</v>
      </c>
      <c r="AQ55" s="538"/>
      <c r="AR55" s="538"/>
      <c r="AS55" s="538"/>
      <c r="AT55" s="538"/>
      <c r="AU55" s="538"/>
      <c r="AV55" s="538"/>
      <c r="AW55" s="538"/>
      <c r="AX55" s="538"/>
      <c r="AY55" s="538"/>
      <c r="AZ55" s="538"/>
      <c r="BA55" s="538"/>
      <c r="BB55" s="539"/>
      <c r="BC55" s="522">
        <v>6</v>
      </c>
      <c r="BD55" s="522"/>
      <c r="BE55" s="522"/>
      <c r="BF55" s="522"/>
    </row>
    <row r="56" spans="1:58" ht="18.75" customHeight="1">
      <c r="A56" s="370"/>
      <c r="B56" s="563"/>
      <c r="C56" s="564"/>
      <c r="D56" s="558" t="s">
        <v>989</v>
      </c>
      <c r="E56" s="559"/>
      <c r="F56" s="559"/>
      <c r="G56" s="560"/>
      <c r="H56" s="557" t="s">
        <v>149</v>
      </c>
      <c r="I56" s="557"/>
      <c r="J56" s="557"/>
      <c r="K56" s="557"/>
      <c r="L56" s="557"/>
      <c r="M56" s="557"/>
      <c r="N56" s="557"/>
      <c r="O56" s="558" t="s">
        <v>990</v>
      </c>
      <c r="P56" s="559"/>
      <c r="Q56" s="559"/>
      <c r="R56" s="559"/>
      <c r="S56" s="559"/>
      <c r="T56" s="559"/>
      <c r="U56" s="559"/>
      <c r="V56" s="559"/>
      <c r="W56" s="559"/>
      <c r="X56" s="559"/>
      <c r="Y56" s="559"/>
      <c r="Z56" s="559"/>
      <c r="AA56" s="560"/>
      <c r="AB56" s="557" t="s">
        <v>991</v>
      </c>
      <c r="AC56" s="557"/>
      <c r="AD56" s="557"/>
      <c r="AE56" s="557"/>
      <c r="AF56" s="557"/>
      <c r="AG56" s="558" t="s">
        <v>992</v>
      </c>
      <c r="AH56" s="559"/>
      <c r="AI56" s="559"/>
      <c r="AJ56" s="559"/>
      <c r="AK56" s="559"/>
      <c r="AL56" s="559"/>
      <c r="AM56" s="559"/>
      <c r="AN56" s="559"/>
      <c r="AO56" s="560"/>
      <c r="AP56" s="558" t="s">
        <v>993</v>
      </c>
      <c r="AQ56" s="559"/>
      <c r="AR56" s="559"/>
      <c r="AS56" s="559"/>
      <c r="AT56" s="559"/>
      <c r="AU56" s="559"/>
      <c r="AV56" s="559"/>
      <c r="AW56" s="559"/>
      <c r="AX56" s="559"/>
      <c r="AY56" s="559"/>
      <c r="AZ56" s="559"/>
      <c r="BA56" s="559"/>
      <c r="BB56" s="560"/>
      <c r="BC56" s="557" t="s">
        <v>994</v>
      </c>
      <c r="BD56" s="557"/>
      <c r="BE56" s="557"/>
      <c r="BF56" s="557"/>
    </row>
    <row r="57" spans="1:58" ht="18.75" customHeight="1">
      <c r="A57" s="370"/>
      <c r="B57" s="565"/>
      <c r="C57" s="566"/>
      <c r="D57" s="572" t="s">
        <v>995</v>
      </c>
      <c r="E57" s="573"/>
      <c r="F57" s="573"/>
      <c r="G57" s="574"/>
      <c r="H57" s="556" t="s">
        <v>996</v>
      </c>
      <c r="I57" s="556"/>
      <c r="J57" s="556"/>
      <c r="K57" s="556"/>
      <c r="L57" s="556"/>
      <c r="M57" s="556"/>
      <c r="N57" s="556"/>
      <c r="O57" s="567" t="s">
        <v>997</v>
      </c>
      <c r="P57" s="568"/>
      <c r="Q57" s="568"/>
      <c r="R57" s="568"/>
      <c r="S57" s="568"/>
      <c r="T57" s="568"/>
      <c r="U57" s="568"/>
      <c r="V57" s="568"/>
      <c r="W57" s="568"/>
      <c r="X57" s="568"/>
      <c r="Y57" s="568"/>
      <c r="Z57" s="568"/>
      <c r="AA57" s="569"/>
      <c r="AB57" s="556"/>
      <c r="AC57" s="556"/>
      <c r="AD57" s="556"/>
      <c r="AE57" s="556"/>
      <c r="AF57" s="556"/>
      <c r="AG57" s="567" t="s">
        <v>998</v>
      </c>
      <c r="AH57" s="568"/>
      <c r="AI57" s="568"/>
      <c r="AJ57" s="568"/>
      <c r="AK57" s="568"/>
      <c r="AL57" s="568"/>
      <c r="AM57" s="568"/>
      <c r="AN57" s="568"/>
      <c r="AO57" s="569"/>
      <c r="AP57" s="567" t="s">
        <v>999</v>
      </c>
      <c r="AQ57" s="568"/>
      <c r="AR57" s="568"/>
      <c r="AS57" s="568"/>
      <c r="AT57" s="568"/>
      <c r="AU57" s="568"/>
      <c r="AV57" s="568"/>
      <c r="AW57" s="568"/>
      <c r="AX57" s="568"/>
      <c r="AY57" s="568"/>
      <c r="AZ57" s="568"/>
      <c r="BA57" s="568"/>
      <c r="BB57" s="569"/>
      <c r="BC57" s="556"/>
      <c r="BD57" s="556"/>
      <c r="BE57" s="556"/>
      <c r="BF57" s="556"/>
    </row>
    <row r="58" spans="1:58" ht="18.75" customHeight="1">
      <c r="A58" s="370"/>
      <c r="B58" s="522" t="s">
        <v>1000</v>
      </c>
      <c r="C58" s="522"/>
      <c r="D58" s="523" t="s">
        <v>980</v>
      </c>
      <c r="E58" s="524"/>
      <c r="F58" s="524"/>
      <c r="G58" s="525"/>
      <c r="H58" s="526" t="e">
        <f ca="1">Calcu!E34</f>
        <v>#N/A</v>
      </c>
      <c r="I58" s="527"/>
      <c r="J58" s="527"/>
      <c r="K58" s="527"/>
      <c r="L58" s="527"/>
      <c r="M58" s="528" t="str">
        <f>Calcu!F34</f>
        <v>mm</v>
      </c>
      <c r="N58" s="529"/>
      <c r="O58" s="570" t="e">
        <f ca="1">Calcu!K34</f>
        <v>#N/A</v>
      </c>
      <c r="P58" s="571"/>
      <c r="Q58" s="571"/>
      <c r="R58" s="374"/>
      <c r="S58" s="338"/>
      <c r="T58" s="541" t="e">
        <f ca="1">Calcu!L34</f>
        <v>#N/A</v>
      </c>
      <c r="U58" s="541"/>
      <c r="V58" s="541"/>
      <c r="W58" s="339"/>
      <c r="X58" s="339"/>
      <c r="Y58" s="339"/>
      <c r="Z58" s="520" t="str">
        <f>Calcu!M34</f>
        <v>μm</v>
      </c>
      <c r="AA58" s="521"/>
      <c r="AB58" s="522" t="str">
        <f>Calcu!N34</f>
        <v>정규</v>
      </c>
      <c r="AC58" s="522"/>
      <c r="AD58" s="522"/>
      <c r="AE58" s="522"/>
      <c r="AF58" s="522"/>
      <c r="AG58" s="537">
        <f>Calcu!Q34</f>
        <v>1</v>
      </c>
      <c r="AH58" s="538"/>
      <c r="AI58" s="538"/>
      <c r="AJ58" s="538"/>
      <c r="AK58" s="538"/>
      <c r="AL58" s="538"/>
      <c r="AM58" s="538"/>
      <c r="AN58" s="538"/>
      <c r="AO58" s="539"/>
      <c r="AP58" s="570" t="e">
        <f ca="1">Calcu!S34</f>
        <v>#N/A</v>
      </c>
      <c r="AQ58" s="571"/>
      <c r="AR58" s="571"/>
      <c r="AS58" s="374"/>
      <c r="AT58" s="338"/>
      <c r="AU58" s="541" t="e">
        <f ca="1">Calcu!T34</f>
        <v>#N/A</v>
      </c>
      <c r="AV58" s="541"/>
      <c r="AW58" s="541"/>
      <c r="AX58" s="339"/>
      <c r="AY58" s="339"/>
      <c r="AZ58" s="339"/>
      <c r="BA58" s="520" t="str">
        <f>Calcu!U34</f>
        <v>μm</v>
      </c>
      <c r="BB58" s="521"/>
      <c r="BC58" s="522" t="str">
        <f>Calcu!V34</f>
        <v>∞</v>
      </c>
      <c r="BD58" s="522"/>
      <c r="BE58" s="522"/>
      <c r="BF58" s="522"/>
    </row>
    <row r="59" spans="1:58" ht="18.75" customHeight="1">
      <c r="A59" s="370"/>
      <c r="B59" s="522" t="s">
        <v>1001</v>
      </c>
      <c r="C59" s="522"/>
      <c r="D59" s="523" t="s">
        <v>1002</v>
      </c>
      <c r="E59" s="524"/>
      <c r="F59" s="524"/>
      <c r="G59" s="525"/>
      <c r="H59" s="526" t="e">
        <f ca="1">Calcu!E35</f>
        <v>#N/A</v>
      </c>
      <c r="I59" s="527"/>
      <c r="J59" s="527"/>
      <c r="K59" s="527"/>
      <c r="L59" s="527"/>
      <c r="M59" s="528" t="str">
        <f>Calcu!F35</f>
        <v>mm</v>
      </c>
      <c r="N59" s="529"/>
      <c r="O59" s="533">
        <f>Calcu!K35</f>
        <v>0</v>
      </c>
      <c r="P59" s="534"/>
      <c r="Q59" s="534"/>
      <c r="R59" s="534"/>
      <c r="S59" s="534"/>
      <c r="T59" s="534"/>
      <c r="U59" s="534"/>
      <c r="V59" s="535" t="str">
        <f>Calcu!M35</f>
        <v>μm</v>
      </c>
      <c r="W59" s="535"/>
      <c r="X59" s="535"/>
      <c r="Y59" s="535"/>
      <c r="Z59" s="535"/>
      <c r="AA59" s="536"/>
      <c r="AB59" s="522" t="str">
        <f>Calcu!N35</f>
        <v>t</v>
      </c>
      <c r="AC59" s="522"/>
      <c r="AD59" s="522"/>
      <c r="AE59" s="522"/>
      <c r="AF59" s="522"/>
      <c r="AG59" s="537">
        <f>Calcu!Q35</f>
        <v>-1</v>
      </c>
      <c r="AH59" s="538"/>
      <c r="AI59" s="538"/>
      <c r="AJ59" s="538"/>
      <c r="AK59" s="538"/>
      <c r="AL59" s="538"/>
      <c r="AM59" s="538"/>
      <c r="AN59" s="538"/>
      <c r="AO59" s="539"/>
      <c r="AP59" s="533">
        <f>Calcu!S35</f>
        <v>0</v>
      </c>
      <c r="AQ59" s="534"/>
      <c r="AR59" s="534"/>
      <c r="AS59" s="534"/>
      <c r="AT59" s="534"/>
      <c r="AU59" s="534">
        <v>0</v>
      </c>
      <c r="AV59" s="534"/>
      <c r="AW59" s="535" t="str">
        <f>Calcu!U35</f>
        <v>μm</v>
      </c>
      <c r="AX59" s="535"/>
      <c r="AY59" s="535"/>
      <c r="AZ59" s="535"/>
      <c r="BA59" s="535"/>
      <c r="BB59" s="536"/>
      <c r="BC59" s="522">
        <f>Calcu!V35</f>
        <v>4</v>
      </c>
      <c r="BD59" s="522"/>
      <c r="BE59" s="522"/>
      <c r="BF59" s="522"/>
    </row>
    <row r="60" spans="1:58" ht="18.75" customHeight="1">
      <c r="A60" s="370"/>
      <c r="B60" s="522" t="s">
        <v>1003</v>
      </c>
      <c r="C60" s="522"/>
      <c r="D60" s="523"/>
      <c r="E60" s="524"/>
      <c r="F60" s="524"/>
      <c r="G60" s="525"/>
      <c r="H60" s="526" t="e">
        <f ca="1">Calcu!E36</f>
        <v>#N/A</v>
      </c>
      <c r="I60" s="527"/>
      <c r="J60" s="527"/>
      <c r="K60" s="527"/>
      <c r="L60" s="527"/>
      <c r="M60" s="528" t="str">
        <f>Calcu!F36</f>
        <v>/℃</v>
      </c>
      <c r="N60" s="529"/>
      <c r="O60" s="530">
        <f>Calcu!L36</f>
        <v>4.0824829046386305E-7</v>
      </c>
      <c r="P60" s="531"/>
      <c r="Q60" s="531"/>
      <c r="R60" s="531"/>
      <c r="S60" s="531"/>
      <c r="T60" s="531"/>
      <c r="U60" s="531"/>
      <c r="V60" s="531"/>
      <c r="W60" s="531"/>
      <c r="X60" s="520" t="str">
        <f>Calcu!M36</f>
        <v>/℃</v>
      </c>
      <c r="Y60" s="520"/>
      <c r="Z60" s="520"/>
      <c r="AA60" s="521"/>
      <c r="AB60" s="522" t="str">
        <f>Calcu!N36</f>
        <v>삼각형</v>
      </c>
      <c r="AC60" s="522"/>
      <c r="AD60" s="522"/>
      <c r="AE60" s="522"/>
      <c r="AF60" s="522"/>
      <c r="AG60" s="532">
        <f>Calcu!Q36</f>
        <v>-200</v>
      </c>
      <c r="AH60" s="520"/>
      <c r="AI60" s="520"/>
      <c r="AJ60" s="520"/>
      <c r="AK60" s="520" t="s">
        <v>1004</v>
      </c>
      <c r="AL60" s="520"/>
      <c r="AM60" s="520"/>
      <c r="AN60" s="520"/>
      <c r="AO60" s="521"/>
      <c r="AP60" s="561">
        <f>Calcu!T36</f>
        <v>8.1649658092772609E-5</v>
      </c>
      <c r="AQ60" s="562"/>
      <c r="AR60" s="562"/>
      <c r="AS60" s="562"/>
      <c r="AT60" s="562"/>
      <c r="AU60" s="562" t="s">
        <v>283</v>
      </c>
      <c r="AV60" s="562"/>
      <c r="AW60" s="520" t="s">
        <v>1005</v>
      </c>
      <c r="AX60" s="520"/>
      <c r="AY60" s="520"/>
      <c r="AZ60" s="520"/>
      <c r="BA60" s="520"/>
      <c r="BB60" s="521"/>
      <c r="BC60" s="522">
        <f>Calcu!V36</f>
        <v>100</v>
      </c>
      <c r="BD60" s="522"/>
      <c r="BE60" s="522"/>
      <c r="BF60" s="522"/>
    </row>
    <row r="61" spans="1:58" ht="18.75" customHeight="1">
      <c r="A61" s="370"/>
      <c r="B61" s="522" t="s">
        <v>1006</v>
      </c>
      <c r="C61" s="522"/>
      <c r="D61" s="523" t="s">
        <v>809</v>
      </c>
      <c r="E61" s="524"/>
      <c r="F61" s="524"/>
      <c r="G61" s="525"/>
      <c r="H61" s="526" t="str">
        <f>Calcu!E37</f>
        <v/>
      </c>
      <c r="I61" s="527"/>
      <c r="J61" s="527"/>
      <c r="K61" s="527"/>
      <c r="L61" s="527"/>
      <c r="M61" s="528" t="str">
        <f>Calcu!F37</f>
        <v>℃</v>
      </c>
      <c r="N61" s="529"/>
      <c r="O61" s="533">
        <f>Calcu!L37</f>
        <v>0.11547005383792516</v>
      </c>
      <c r="P61" s="534"/>
      <c r="Q61" s="534"/>
      <c r="R61" s="534"/>
      <c r="S61" s="534"/>
      <c r="T61" s="534"/>
      <c r="U61" s="534"/>
      <c r="V61" s="535" t="str">
        <f>Calcu!M37</f>
        <v>℃</v>
      </c>
      <c r="W61" s="535"/>
      <c r="X61" s="535"/>
      <c r="Y61" s="535"/>
      <c r="Z61" s="535"/>
      <c r="AA61" s="536"/>
      <c r="AB61" s="522" t="str">
        <f>Calcu!N37</f>
        <v>직사각형</v>
      </c>
      <c r="AC61" s="522"/>
      <c r="AD61" s="522"/>
      <c r="AE61" s="522"/>
      <c r="AF61" s="522"/>
      <c r="AG61" s="532" t="e">
        <f ca="1">Calcu!Q37</f>
        <v>#N/A</v>
      </c>
      <c r="AH61" s="520"/>
      <c r="AI61" s="520"/>
      <c r="AJ61" s="520"/>
      <c r="AK61" s="520" t="s">
        <v>1007</v>
      </c>
      <c r="AL61" s="520"/>
      <c r="AM61" s="520"/>
      <c r="AN61" s="520"/>
      <c r="AO61" s="521"/>
      <c r="AP61" s="561" t="e">
        <f ca="1">Calcu!T37</f>
        <v>#N/A</v>
      </c>
      <c r="AQ61" s="562"/>
      <c r="AR61" s="562"/>
      <c r="AS61" s="562"/>
      <c r="AT61" s="562"/>
      <c r="AU61" s="562" t="s">
        <v>284</v>
      </c>
      <c r="AV61" s="562"/>
      <c r="AW61" s="520" t="s">
        <v>1005</v>
      </c>
      <c r="AX61" s="520"/>
      <c r="AY61" s="520"/>
      <c r="AZ61" s="520"/>
      <c r="BA61" s="520"/>
      <c r="BB61" s="521"/>
      <c r="BC61" s="522">
        <f>Calcu!V37</f>
        <v>12</v>
      </c>
      <c r="BD61" s="522"/>
      <c r="BE61" s="522"/>
      <c r="BF61" s="522"/>
    </row>
    <row r="62" spans="1:58" ht="18.75" customHeight="1">
      <c r="A62" s="370"/>
      <c r="B62" s="522" t="s">
        <v>923</v>
      </c>
      <c r="C62" s="522"/>
      <c r="D62" s="523" t="s">
        <v>1008</v>
      </c>
      <c r="E62" s="524"/>
      <c r="F62" s="524"/>
      <c r="G62" s="525"/>
      <c r="H62" s="526" t="e">
        <f ca="1">Calcu!E38</f>
        <v>#N/A</v>
      </c>
      <c r="I62" s="527"/>
      <c r="J62" s="527"/>
      <c r="K62" s="527"/>
      <c r="L62" s="527"/>
      <c r="M62" s="528" t="str">
        <f>Calcu!F38</f>
        <v>/℃</v>
      </c>
      <c r="N62" s="529"/>
      <c r="O62" s="530">
        <f>Calcu!L38</f>
        <v>8.1649658092772609E-7</v>
      </c>
      <c r="P62" s="531"/>
      <c r="Q62" s="531"/>
      <c r="R62" s="531"/>
      <c r="S62" s="531"/>
      <c r="T62" s="531"/>
      <c r="U62" s="531"/>
      <c r="V62" s="531"/>
      <c r="W62" s="531"/>
      <c r="X62" s="520" t="str">
        <f>Calcu!M38</f>
        <v>/℃</v>
      </c>
      <c r="Y62" s="520"/>
      <c r="Z62" s="520"/>
      <c r="AA62" s="521"/>
      <c r="AB62" s="522" t="str">
        <f>Calcu!N38</f>
        <v>삼각형</v>
      </c>
      <c r="AC62" s="522"/>
      <c r="AD62" s="522"/>
      <c r="AE62" s="522"/>
      <c r="AF62" s="522"/>
      <c r="AG62" s="532">
        <f>Calcu!Q38</f>
        <v>-100</v>
      </c>
      <c r="AH62" s="520"/>
      <c r="AI62" s="520"/>
      <c r="AJ62" s="520"/>
      <c r="AK62" s="520" t="s">
        <v>830</v>
      </c>
      <c r="AL62" s="520"/>
      <c r="AM62" s="520"/>
      <c r="AN62" s="520"/>
      <c r="AO62" s="521"/>
      <c r="AP62" s="561">
        <f>Calcu!T38</f>
        <v>8.1649658092772609E-5</v>
      </c>
      <c r="AQ62" s="562"/>
      <c r="AR62" s="562"/>
      <c r="AS62" s="562"/>
      <c r="AT62" s="562"/>
      <c r="AU62" s="562" t="s">
        <v>283</v>
      </c>
      <c r="AV62" s="562"/>
      <c r="AW62" s="520" t="s">
        <v>1009</v>
      </c>
      <c r="AX62" s="520"/>
      <c r="AY62" s="520"/>
      <c r="AZ62" s="520"/>
      <c r="BA62" s="520"/>
      <c r="BB62" s="521"/>
      <c r="BC62" s="522">
        <f>Calcu!V38</f>
        <v>100</v>
      </c>
      <c r="BD62" s="522"/>
      <c r="BE62" s="522"/>
      <c r="BF62" s="522"/>
    </row>
    <row r="63" spans="1:58" ht="18.75" customHeight="1">
      <c r="A63" s="370"/>
      <c r="B63" s="522" t="s">
        <v>924</v>
      </c>
      <c r="C63" s="522"/>
      <c r="D63" s="523" t="s">
        <v>983</v>
      </c>
      <c r="E63" s="524"/>
      <c r="F63" s="524"/>
      <c r="G63" s="525"/>
      <c r="H63" s="526">
        <f>Calcu!E39</f>
        <v>0.1</v>
      </c>
      <c r="I63" s="527"/>
      <c r="J63" s="527"/>
      <c r="K63" s="527"/>
      <c r="L63" s="527"/>
      <c r="M63" s="528" t="str">
        <f>Calcu!F39</f>
        <v>℃</v>
      </c>
      <c r="N63" s="529"/>
      <c r="O63" s="533">
        <f>Calcu!L39</f>
        <v>0.57735026918962584</v>
      </c>
      <c r="P63" s="534"/>
      <c r="Q63" s="534"/>
      <c r="R63" s="534"/>
      <c r="S63" s="534"/>
      <c r="T63" s="534"/>
      <c r="U63" s="534"/>
      <c r="V63" s="535" t="str">
        <f>Calcu!M39</f>
        <v>℃</v>
      </c>
      <c r="W63" s="535"/>
      <c r="X63" s="535"/>
      <c r="Y63" s="535"/>
      <c r="Z63" s="535"/>
      <c r="AA63" s="536"/>
      <c r="AB63" s="522" t="str">
        <f>Calcu!N39</f>
        <v>직사각형</v>
      </c>
      <c r="AC63" s="522"/>
      <c r="AD63" s="522"/>
      <c r="AE63" s="522"/>
      <c r="AF63" s="522"/>
      <c r="AG63" s="532" t="e">
        <f ca="1">Calcu!Q39</f>
        <v>#N/A</v>
      </c>
      <c r="AH63" s="520"/>
      <c r="AI63" s="520"/>
      <c r="AJ63" s="520"/>
      <c r="AK63" s="520" t="s">
        <v>1007</v>
      </c>
      <c r="AL63" s="520"/>
      <c r="AM63" s="520"/>
      <c r="AN63" s="520"/>
      <c r="AO63" s="521"/>
      <c r="AP63" s="561" t="e">
        <f ca="1">Calcu!T39</f>
        <v>#N/A</v>
      </c>
      <c r="AQ63" s="562"/>
      <c r="AR63" s="562"/>
      <c r="AS63" s="562"/>
      <c r="AT63" s="562"/>
      <c r="AU63" s="562" t="s">
        <v>284</v>
      </c>
      <c r="AV63" s="562"/>
      <c r="AW63" s="520" t="s">
        <v>831</v>
      </c>
      <c r="AX63" s="520"/>
      <c r="AY63" s="520"/>
      <c r="AZ63" s="520"/>
      <c r="BA63" s="520"/>
      <c r="BB63" s="521"/>
      <c r="BC63" s="522">
        <f>Calcu!V39</f>
        <v>12</v>
      </c>
      <c r="BD63" s="522"/>
      <c r="BE63" s="522"/>
      <c r="BF63" s="522"/>
    </row>
    <row r="64" spans="1:58" ht="18.75" customHeight="1">
      <c r="A64" s="370"/>
      <c r="B64" s="522" t="s">
        <v>833</v>
      </c>
      <c r="C64" s="522"/>
      <c r="D64" s="523" t="s">
        <v>1279</v>
      </c>
      <c r="E64" s="524"/>
      <c r="F64" s="524"/>
      <c r="G64" s="525"/>
      <c r="H64" s="526">
        <f>Calcu!E40</f>
        <v>0</v>
      </c>
      <c r="I64" s="527"/>
      <c r="J64" s="527"/>
      <c r="K64" s="527"/>
      <c r="L64" s="527"/>
      <c r="M64" s="528" t="str">
        <f>Calcu!F40</f>
        <v>mm</v>
      </c>
      <c r="N64" s="529"/>
      <c r="O64" s="533">
        <f>Calcu!K40</f>
        <v>0</v>
      </c>
      <c r="P64" s="534"/>
      <c r="Q64" s="534"/>
      <c r="R64" s="534"/>
      <c r="S64" s="534"/>
      <c r="T64" s="534"/>
      <c r="U64" s="534"/>
      <c r="V64" s="535" t="str">
        <f>Calcu!M40</f>
        <v>μm</v>
      </c>
      <c r="W64" s="535"/>
      <c r="X64" s="535"/>
      <c r="Y64" s="535"/>
      <c r="Z64" s="535"/>
      <c r="AA64" s="536"/>
      <c r="AB64" s="522" t="str">
        <f>Calcu!N40</f>
        <v>직사각형</v>
      </c>
      <c r="AC64" s="522"/>
      <c r="AD64" s="522"/>
      <c r="AE64" s="522"/>
      <c r="AF64" s="522"/>
      <c r="AG64" s="537">
        <f>Calcu!Q40</f>
        <v>1</v>
      </c>
      <c r="AH64" s="538"/>
      <c r="AI64" s="538"/>
      <c r="AJ64" s="538"/>
      <c r="AK64" s="538"/>
      <c r="AL64" s="538"/>
      <c r="AM64" s="538"/>
      <c r="AN64" s="538"/>
      <c r="AO64" s="539"/>
      <c r="AP64" s="533">
        <f>Calcu!S40</f>
        <v>0</v>
      </c>
      <c r="AQ64" s="534"/>
      <c r="AR64" s="534"/>
      <c r="AS64" s="534"/>
      <c r="AT64" s="534"/>
      <c r="AU64" s="534">
        <v>0</v>
      </c>
      <c r="AV64" s="534"/>
      <c r="AW64" s="535" t="str">
        <f>Calcu!U40</f>
        <v>μm</v>
      </c>
      <c r="AX64" s="535"/>
      <c r="AY64" s="535"/>
      <c r="AZ64" s="535"/>
      <c r="BA64" s="535"/>
      <c r="BB64" s="536"/>
      <c r="BC64" s="522" t="str">
        <f>Calcu!V40</f>
        <v>∞</v>
      </c>
      <c r="BD64" s="522"/>
      <c r="BE64" s="522"/>
      <c r="BF64" s="522"/>
    </row>
    <row r="65" spans="1:60" ht="18.75" customHeight="1">
      <c r="A65" s="370"/>
      <c r="B65" s="522" t="s">
        <v>1010</v>
      </c>
      <c r="C65" s="522"/>
      <c r="D65" s="523" t="s">
        <v>1281</v>
      </c>
      <c r="E65" s="524"/>
      <c r="F65" s="524"/>
      <c r="G65" s="525"/>
      <c r="H65" s="526">
        <f>Calcu!E41</f>
        <v>0</v>
      </c>
      <c r="I65" s="527"/>
      <c r="J65" s="527"/>
      <c r="K65" s="527"/>
      <c r="L65" s="527"/>
      <c r="M65" s="528" t="str">
        <f>Calcu!F41</f>
        <v>mm</v>
      </c>
      <c r="N65" s="529"/>
      <c r="O65" s="533">
        <f>Calcu!K41</f>
        <v>0.28867513459481292</v>
      </c>
      <c r="P65" s="534"/>
      <c r="Q65" s="534"/>
      <c r="R65" s="534"/>
      <c r="S65" s="534"/>
      <c r="T65" s="534"/>
      <c r="U65" s="534"/>
      <c r="V65" s="535" t="str">
        <f>Calcu!M41</f>
        <v>μm</v>
      </c>
      <c r="W65" s="535"/>
      <c r="X65" s="535"/>
      <c r="Y65" s="535"/>
      <c r="Z65" s="535"/>
      <c r="AA65" s="536"/>
      <c r="AB65" s="522" t="str">
        <f>Calcu!N41</f>
        <v>직사각형</v>
      </c>
      <c r="AC65" s="522"/>
      <c r="AD65" s="522"/>
      <c r="AE65" s="522"/>
      <c r="AF65" s="522"/>
      <c r="AG65" s="537">
        <f>Calcu!Q41</f>
        <v>1</v>
      </c>
      <c r="AH65" s="538"/>
      <c r="AI65" s="538"/>
      <c r="AJ65" s="538"/>
      <c r="AK65" s="538"/>
      <c r="AL65" s="538"/>
      <c r="AM65" s="538"/>
      <c r="AN65" s="538"/>
      <c r="AO65" s="539"/>
      <c r="AP65" s="533">
        <f>Calcu!S41</f>
        <v>0.28867513459481292</v>
      </c>
      <c r="AQ65" s="534"/>
      <c r="AR65" s="534"/>
      <c r="AS65" s="534"/>
      <c r="AT65" s="534"/>
      <c r="AU65" s="534">
        <v>0</v>
      </c>
      <c r="AV65" s="534"/>
      <c r="AW65" s="535" t="str">
        <f>Calcu!U41</f>
        <v>μm</v>
      </c>
      <c r="AX65" s="535"/>
      <c r="AY65" s="535"/>
      <c r="AZ65" s="535"/>
      <c r="BA65" s="535"/>
      <c r="BB65" s="536"/>
      <c r="BC65" s="522">
        <f>Calcu!V41</f>
        <v>12</v>
      </c>
      <c r="BD65" s="522"/>
      <c r="BE65" s="522"/>
      <c r="BF65" s="522"/>
    </row>
    <row r="66" spans="1:60" ht="18.75" customHeight="1">
      <c r="A66" s="370"/>
      <c r="B66" s="522" t="s">
        <v>1011</v>
      </c>
      <c r="C66" s="522"/>
      <c r="D66" s="523" t="s">
        <v>837</v>
      </c>
      <c r="E66" s="524"/>
      <c r="F66" s="524"/>
      <c r="G66" s="525"/>
      <c r="H66" s="526">
        <f>Calcu!E42</f>
        <v>0</v>
      </c>
      <c r="I66" s="527"/>
      <c r="J66" s="527"/>
      <c r="K66" s="527"/>
      <c r="L66" s="527"/>
      <c r="M66" s="528" t="str">
        <f>Calcu!F42</f>
        <v>mm</v>
      </c>
      <c r="N66" s="529"/>
      <c r="O66" s="533">
        <f>Calcu!K42</f>
        <v>0</v>
      </c>
      <c r="P66" s="534"/>
      <c r="Q66" s="534"/>
      <c r="R66" s="534"/>
      <c r="S66" s="534"/>
      <c r="T66" s="534"/>
      <c r="U66" s="534"/>
      <c r="V66" s="535" t="str">
        <f>Calcu!M42</f>
        <v>μm</v>
      </c>
      <c r="W66" s="535"/>
      <c r="X66" s="535"/>
      <c r="Y66" s="535"/>
      <c r="Z66" s="535"/>
      <c r="AA66" s="536"/>
      <c r="AB66" s="522" t="str">
        <f>Calcu!N42</f>
        <v>직사각형</v>
      </c>
      <c r="AC66" s="522"/>
      <c r="AD66" s="522"/>
      <c r="AE66" s="522"/>
      <c r="AF66" s="522"/>
      <c r="AG66" s="537">
        <f>Calcu!Q42</f>
        <v>1</v>
      </c>
      <c r="AH66" s="538"/>
      <c r="AI66" s="538"/>
      <c r="AJ66" s="538"/>
      <c r="AK66" s="538"/>
      <c r="AL66" s="538"/>
      <c r="AM66" s="538"/>
      <c r="AN66" s="538"/>
      <c r="AO66" s="539"/>
      <c r="AP66" s="533">
        <f>Calcu!S42</f>
        <v>0</v>
      </c>
      <c r="AQ66" s="534"/>
      <c r="AR66" s="534"/>
      <c r="AS66" s="534"/>
      <c r="AT66" s="534"/>
      <c r="AU66" s="534">
        <v>0</v>
      </c>
      <c r="AV66" s="534"/>
      <c r="AW66" s="535" t="str">
        <f>Calcu!U42</f>
        <v>μm</v>
      </c>
      <c r="AX66" s="535"/>
      <c r="AY66" s="535"/>
      <c r="AZ66" s="535"/>
      <c r="BA66" s="535"/>
      <c r="BB66" s="536"/>
      <c r="BC66" s="522" t="str">
        <f>Calcu!V42</f>
        <v>∞</v>
      </c>
      <c r="BD66" s="522"/>
      <c r="BE66" s="522"/>
      <c r="BF66" s="522"/>
    </row>
    <row r="67" spans="1:60" ht="18.75" customHeight="1">
      <c r="A67" s="370"/>
      <c r="B67" s="522" t="s">
        <v>838</v>
      </c>
      <c r="C67" s="522"/>
      <c r="D67" s="523" t="s">
        <v>806</v>
      </c>
      <c r="E67" s="524"/>
      <c r="F67" s="524"/>
      <c r="G67" s="525"/>
      <c r="H67" s="526" t="e">
        <f ca="1">Calcu!E43</f>
        <v>#N/A</v>
      </c>
      <c r="I67" s="527"/>
      <c r="J67" s="527"/>
      <c r="K67" s="527"/>
      <c r="L67" s="527"/>
      <c r="M67" s="528" t="str">
        <f>Calcu!F43</f>
        <v>mm</v>
      </c>
      <c r="N67" s="529"/>
      <c r="O67" s="537"/>
      <c r="P67" s="538"/>
      <c r="Q67" s="538"/>
      <c r="R67" s="538"/>
      <c r="S67" s="538"/>
      <c r="T67" s="538"/>
      <c r="U67" s="538"/>
      <c r="V67" s="538"/>
      <c r="W67" s="538"/>
      <c r="X67" s="538"/>
      <c r="Y67" s="538"/>
      <c r="Z67" s="538"/>
      <c r="AA67" s="539"/>
      <c r="AB67" s="522"/>
      <c r="AC67" s="522"/>
      <c r="AD67" s="522"/>
      <c r="AE67" s="522"/>
      <c r="AF67" s="522"/>
      <c r="AG67" s="537"/>
      <c r="AH67" s="538"/>
      <c r="AI67" s="538"/>
      <c r="AJ67" s="538"/>
      <c r="AK67" s="538"/>
      <c r="AL67" s="538"/>
      <c r="AM67" s="538"/>
      <c r="AN67" s="538"/>
      <c r="AO67" s="539"/>
      <c r="AP67" s="570" t="e">
        <f ca="1">Calcu!S43</f>
        <v>#N/A</v>
      </c>
      <c r="AQ67" s="571"/>
      <c r="AR67" s="571"/>
      <c r="AS67" s="374"/>
      <c r="AT67" s="338"/>
      <c r="AU67" s="541" t="e">
        <f ca="1">Calcu!T43</f>
        <v>#N/A</v>
      </c>
      <c r="AV67" s="541"/>
      <c r="AW67" s="541"/>
      <c r="AX67" s="339"/>
      <c r="AY67" s="339"/>
      <c r="AZ67" s="339"/>
      <c r="BA67" s="520" t="str">
        <f>Calcu!U43</f>
        <v>μm</v>
      </c>
      <c r="BB67" s="521"/>
      <c r="BC67" s="522" t="e">
        <f ca="1">Calcu!V43</f>
        <v>#N/A</v>
      </c>
      <c r="BD67" s="522"/>
      <c r="BE67" s="522"/>
      <c r="BF67" s="522"/>
    </row>
    <row r="68" spans="1:60" ht="18.75" customHeight="1">
      <c r="A68" s="370"/>
      <c r="B68" s="370"/>
      <c r="C68" s="370"/>
      <c r="D68" s="370"/>
      <c r="E68" s="370"/>
      <c r="F68" s="370"/>
      <c r="G68" s="370"/>
      <c r="H68" s="370"/>
      <c r="I68" s="370"/>
      <c r="J68" s="370"/>
      <c r="K68" s="370"/>
      <c r="L68" s="370"/>
      <c r="M68" s="370"/>
      <c r="N68" s="370"/>
      <c r="O68" s="370"/>
      <c r="P68" s="370"/>
      <c r="Q68" s="370"/>
      <c r="R68" s="370"/>
      <c r="S68" s="370"/>
      <c r="T68" s="370"/>
      <c r="U68" s="370"/>
      <c r="V68" s="370"/>
      <c r="W68" s="370"/>
      <c r="X68" s="370"/>
      <c r="Y68" s="370"/>
      <c r="Z68" s="370"/>
      <c r="AA68" s="370"/>
      <c r="AB68" s="370"/>
      <c r="AC68" s="370"/>
      <c r="AD68" s="370"/>
      <c r="AE68" s="370"/>
      <c r="AF68" s="370"/>
      <c r="AG68" s="223" t="s">
        <v>1012</v>
      </c>
      <c r="AH68" s="370"/>
      <c r="AI68" s="370"/>
      <c r="AJ68" s="370"/>
      <c r="AK68" s="370"/>
      <c r="AL68" s="370"/>
      <c r="AM68" s="370"/>
      <c r="AN68" s="370"/>
      <c r="AO68" s="370"/>
      <c r="AP68" s="370"/>
      <c r="AQ68" s="370"/>
      <c r="AR68" s="370"/>
      <c r="AS68" s="370"/>
      <c r="AT68" s="370"/>
    </row>
    <row r="69" spans="1:60" ht="18.75" customHeight="1">
      <c r="A69" s="57" t="s">
        <v>1013</v>
      </c>
      <c r="B69" s="370"/>
      <c r="C69" s="370"/>
      <c r="D69" s="370"/>
      <c r="E69" s="370"/>
      <c r="F69" s="370"/>
      <c r="G69" s="370"/>
      <c r="H69" s="370"/>
      <c r="I69" s="370"/>
      <c r="J69" s="370"/>
      <c r="K69" s="370"/>
      <c r="L69" s="370"/>
      <c r="M69" s="370"/>
      <c r="N69" s="370"/>
      <c r="O69" s="370"/>
      <c r="P69" s="370"/>
      <c r="Q69" s="370"/>
      <c r="R69" s="370"/>
      <c r="S69" s="370"/>
      <c r="T69" s="370"/>
      <c r="U69" s="370"/>
      <c r="V69" s="370"/>
      <c r="W69" s="370"/>
      <c r="X69" s="370"/>
      <c r="Y69" s="370"/>
      <c r="Z69" s="370"/>
      <c r="AA69" s="370"/>
      <c r="AB69" s="370"/>
      <c r="AC69" s="370"/>
      <c r="AD69" s="370"/>
      <c r="AE69" s="370"/>
      <c r="AF69" s="370"/>
      <c r="AG69" s="370"/>
      <c r="AH69" s="370"/>
      <c r="AI69" s="370"/>
      <c r="AJ69" s="370"/>
      <c r="AK69" s="370"/>
      <c r="AL69" s="370"/>
      <c r="AM69" s="370"/>
      <c r="AN69" s="370"/>
      <c r="AO69" s="370"/>
      <c r="AP69" s="370"/>
      <c r="AQ69" s="370"/>
      <c r="AR69" s="370"/>
      <c r="AS69" s="370"/>
      <c r="AT69" s="370"/>
    </row>
    <row r="70" spans="1:60" ht="18.75" customHeight="1">
      <c r="A70" s="370"/>
      <c r="B70" s="200" t="str">
        <f>"1. "&amp;T5&amp;"의 표준불확도,"</f>
        <v>1. 표준자의 표준불확도,</v>
      </c>
      <c r="C70" s="370"/>
      <c r="D70" s="370"/>
      <c r="E70" s="370"/>
      <c r="F70" s="370"/>
      <c r="G70" s="370"/>
      <c r="H70" s="370"/>
      <c r="I70" s="370"/>
      <c r="J70" s="370"/>
      <c r="K70" s="370"/>
      <c r="L70" s="370"/>
      <c r="M70" s="201" t="s">
        <v>1014</v>
      </c>
      <c r="O70" s="370"/>
      <c r="P70" s="370"/>
      <c r="Q70" s="370"/>
      <c r="R70" s="370"/>
      <c r="S70" s="370"/>
      <c r="T70" s="370"/>
      <c r="U70" s="370"/>
      <c r="V70" s="370"/>
      <c r="W70" s="370"/>
      <c r="X70" s="370"/>
      <c r="Y70" s="370"/>
      <c r="Z70" s="370"/>
      <c r="AA70" s="370"/>
      <c r="AB70" s="370"/>
      <c r="AC70" s="370"/>
      <c r="AD70" s="370"/>
      <c r="AE70" s="370"/>
      <c r="AF70" s="370"/>
      <c r="AG70" s="370"/>
      <c r="AH70" s="370"/>
      <c r="AI70" s="370"/>
      <c r="AJ70" s="370"/>
      <c r="AK70" s="370"/>
      <c r="AL70" s="370"/>
      <c r="AM70" s="370"/>
      <c r="AN70" s="370"/>
      <c r="AO70" s="370"/>
      <c r="AP70" s="370"/>
      <c r="AQ70" s="370"/>
      <c r="AR70" s="370"/>
      <c r="AS70" s="370"/>
      <c r="AT70" s="370"/>
    </row>
    <row r="71" spans="1:60" ht="18.75" customHeight="1">
      <c r="A71" s="370"/>
      <c r="B71" s="370"/>
      <c r="C71" s="370" t="s">
        <v>840</v>
      </c>
      <c r="D71" s="370"/>
      <c r="E71" s="370"/>
      <c r="F71" s="370"/>
      <c r="G71" s="370"/>
      <c r="H71" s="370"/>
      <c r="I71" s="575" t="e">
        <f ca="1">H58</f>
        <v>#N/A</v>
      </c>
      <c r="J71" s="575"/>
      <c r="K71" s="575"/>
      <c r="L71" s="575"/>
      <c r="M71" s="575"/>
      <c r="N71" s="576" t="str">
        <f>M58</f>
        <v>mm</v>
      </c>
      <c r="O71" s="576"/>
      <c r="P71" s="350"/>
      <c r="Q71" s="370"/>
      <c r="R71" s="370"/>
      <c r="S71" s="370"/>
      <c r="T71" s="370"/>
      <c r="U71" s="370"/>
      <c r="V71" s="370"/>
      <c r="W71" s="370"/>
      <c r="X71" s="370"/>
      <c r="Y71" s="370"/>
      <c r="Z71" s="370"/>
      <c r="AA71" s="370"/>
      <c r="AB71" s="370"/>
      <c r="AC71" s="370"/>
      <c r="AD71" s="370"/>
      <c r="AE71" s="370"/>
      <c r="AF71" s="370"/>
      <c r="AG71" s="370"/>
      <c r="AH71" s="370"/>
      <c r="AI71" s="370"/>
      <c r="AJ71" s="370"/>
      <c r="AK71" s="370"/>
      <c r="AL71" s="370"/>
      <c r="AM71" s="370"/>
      <c r="AN71" s="370"/>
      <c r="AO71" s="370"/>
      <c r="AP71" s="370"/>
      <c r="AQ71" s="370"/>
      <c r="AR71" s="370"/>
      <c r="AS71" s="370"/>
      <c r="AT71" s="370"/>
    </row>
    <row r="72" spans="1:60" s="382" customFormat="1" ht="18.75" customHeight="1">
      <c r="B72" s="57"/>
      <c r="C72" s="361" t="s">
        <v>841</v>
      </c>
      <c r="D72" s="361"/>
      <c r="E72" s="361"/>
      <c r="F72" s="361"/>
      <c r="G72" s="361"/>
      <c r="H72" s="361"/>
      <c r="I72" s="361"/>
      <c r="J72" s="361" t="str">
        <f>"※ "&amp;T5&amp;"의 측정불확도가 "</f>
        <v xml:space="preserve">※ 표준자의 측정불확도가 </v>
      </c>
      <c r="K72" s="361"/>
      <c r="L72" s="361"/>
      <c r="M72" s="361"/>
      <c r="N72" s="361"/>
      <c r="O72" s="361"/>
      <c r="P72" s="361"/>
      <c r="Q72" s="361"/>
      <c r="R72" s="361"/>
      <c r="S72" s="361"/>
      <c r="T72" s="361"/>
      <c r="U72" s="361"/>
      <c r="V72" s="361"/>
      <c r="W72" s="361"/>
      <c r="X72" s="361"/>
      <c r="Y72" s="577" t="e">
        <f ca="1">Calcu!G34</f>
        <v>#N/A</v>
      </c>
      <c r="Z72" s="577"/>
      <c r="AB72" s="578" t="e">
        <f ca="1">Calcu!H34/IF(Calcu!I34="L=m",1000,1)</f>
        <v>#N/A</v>
      </c>
      <c r="AC72" s="578"/>
      <c r="AD72" s="578"/>
      <c r="AE72" s="361"/>
      <c r="AF72" s="361"/>
      <c r="AH72" s="361" t="s">
        <v>842</v>
      </c>
      <c r="AJ72" s="361"/>
      <c r="AK72" s="361"/>
      <c r="AL72" s="361"/>
      <c r="AM72" s="361"/>
      <c r="AN72" s="361"/>
      <c r="AO72" s="361"/>
      <c r="AP72" s="361"/>
      <c r="AQ72" s="361"/>
      <c r="AR72" s="361"/>
      <c r="AS72" s="361"/>
      <c r="AT72" s="361"/>
      <c r="AU72" s="361"/>
      <c r="AV72" s="361"/>
      <c r="AW72" s="361"/>
      <c r="AX72" s="361"/>
      <c r="AY72" s="361"/>
      <c r="BB72" s="361"/>
      <c r="BC72" s="361"/>
      <c r="BD72" s="361"/>
      <c r="BE72" s="361"/>
      <c r="BF72" s="361"/>
      <c r="BG72" s="361"/>
    </row>
    <row r="73" spans="1:60" s="382" customFormat="1" ht="18.75" customHeight="1">
      <c r="B73" s="57"/>
      <c r="D73" s="361"/>
      <c r="E73" s="361"/>
      <c r="F73" s="361"/>
      <c r="G73" s="361"/>
      <c r="H73" s="361"/>
      <c r="I73" s="361"/>
      <c r="J73" s="361"/>
      <c r="K73" s="361" t="s">
        <v>843</v>
      </c>
      <c r="L73" s="361"/>
      <c r="M73" s="361"/>
      <c r="N73" s="361"/>
      <c r="O73" s="361"/>
      <c r="P73" s="361"/>
      <c r="Q73" s="361"/>
      <c r="R73" s="361"/>
      <c r="S73" s="361"/>
      <c r="T73" s="361"/>
      <c r="U73" s="361"/>
      <c r="V73" s="361"/>
      <c r="W73" s="361"/>
      <c r="X73" s="361"/>
      <c r="Y73" s="361"/>
      <c r="Z73" s="361"/>
      <c r="AA73" s="361"/>
      <c r="AB73" s="361"/>
      <c r="AC73" s="361"/>
      <c r="AD73" s="361"/>
      <c r="AE73" s="361"/>
      <c r="AF73" s="361"/>
      <c r="AG73" s="361"/>
      <c r="AH73" s="361"/>
      <c r="AI73" s="361"/>
      <c r="AJ73" s="361"/>
      <c r="AK73" s="361"/>
      <c r="AL73" s="361"/>
      <c r="AM73" s="361"/>
      <c r="AN73" s="361"/>
      <c r="AO73" s="361"/>
      <c r="AP73" s="361"/>
      <c r="AQ73" s="361"/>
      <c r="AR73" s="361"/>
      <c r="AS73" s="361"/>
      <c r="AT73" s="361"/>
      <c r="AU73" s="361"/>
      <c r="AV73" s="361"/>
      <c r="AW73" s="361"/>
      <c r="AX73" s="361"/>
      <c r="AY73" s="361"/>
      <c r="AZ73" s="361"/>
      <c r="BA73" s="361"/>
      <c r="BB73" s="361"/>
      <c r="BC73" s="361"/>
      <c r="BD73" s="361"/>
      <c r="BE73" s="361"/>
      <c r="BF73" s="361"/>
      <c r="BG73" s="361"/>
    </row>
    <row r="74" spans="1:60" s="382" customFormat="1" ht="18.75" customHeight="1">
      <c r="B74" s="57"/>
      <c r="C74" s="361"/>
      <c r="D74" s="361"/>
      <c r="E74" s="361"/>
      <c r="F74" s="361"/>
      <c r="G74" s="361"/>
      <c r="H74" s="361"/>
      <c r="I74" s="361"/>
      <c r="J74" s="361"/>
      <c r="K74" s="579" t="s">
        <v>844</v>
      </c>
      <c r="L74" s="579"/>
      <c r="M74" s="579"/>
      <c r="N74" s="577" t="s">
        <v>1015</v>
      </c>
      <c r="O74" s="381"/>
      <c r="P74" s="580" t="e">
        <f ca="1">Y72</f>
        <v>#N/A</v>
      </c>
      <c r="Q74" s="580"/>
      <c r="R74" s="381"/>
      <c r="S74" s="580" t="e">
        <f ca="1">AB72</f>
        <v>#N/A</v>
      </c>
      <c r="T74" s="580"/>
      <c r="U74" s="580"/>
      <c r="V74" s="224"/>
      <c r="W74" s="224"/>
      <c r="X74" s="224"/>
      <c r="Y74" s="581" t="s">
        <v>846</v>
      </c>
      <c r="Z74" s="581"/>
      <c r="AA74" s="582" t="s">
        <v>1015</v>
      </c>
      <c r="AB74" s="225"/>
      <c r="AC74" s="583" t="e">
        <f ca="1">P74/P75</f>
        <v>#N/A</v>
      </c>
      <c r="AD74" s="583"/>
      <c r="AF74" s="584" t="e">
        <f ca="1">S74/P75</f>
        <v>#N/A</v>
      </c>
      <c r="AG74" s="584"/>
      <c r="AH74" s="584"/>
      <c r="AI74" s="584"/>
      <c r="AJ74" s="361"/>
      <c r="AM74" s="543" t="s">
        <v>1016</v>
      </c>
      <c r="AN74" s="543"/>
      <c r="AO74" s="227"/>
      <c r="AP74" s="361"/>
      <c r="AQ74" s="361"/>
      <c r="AR74" s="226"/>
      <c r="AS74" s="228"/>
      <c r="AT74" s="228"/>
      <c r="AU74" s="228"/>
      <c r="AV74" s="228"/>
      <c r="AY74" s="361"/>
      <c r="AZ74" s="361"/>
      <c r="BC74" s="361"/>
      <c r="BD74" s="361"/>
      <c r="BE74" s="361"/>
      <c r="BF74" s="361"/>
      <c r="BG74" s="361"/>
      <c r="BH74" s="361"/>
    </row>
    <row r="75" spans="1:60" s="382" customFormat="1" ht="18.75" customHeight="1">
      <c r="B75" s="57"/>
      <c r="C75" s="361"/>
      <c r="D75" s="361"/>
      <c r="E75" s="361"/>
      <c r="F75" s="361"/>
      <c r="G75" s="361"/>
      <c r="H75" s="361"/>
      <c r="I75" s="361"/>
      <c r="J75" s="361"/>
      <c r="K75" s="579"/>
      <c r="L75" s="579"/>
      <c r="M75" s="579"/>
      <c r="N75" s="577"/>
      <c r="O75" s="361"/>
      <c r="P75" s="585" t="e">
        <f ca="1">Calcu!J34</f>
        <v>#N/A</v>
      </c>
      <c r="Q75" s="585"/>
      <c r="R75" s="585"/>
      <c r="S75" s="585"/>
      <c r="T75" s="585"/>
      <c r="U75" s="585"/>
      <c r="V75" s="585"/>
      <c r="W75" s="585"/>
      <c r="X75" s="585"/>
      <c r="Y75" s="585"/>
      <c r="Z75" s="585"/>
      <c r="AA75" s="582"/>
      <c r="AB75" s="225"/>
      <c r="AC75" s="583"/>
      <c r="AD75" s="583"/>
      <c r="AE75" s="361"/>
      <c r="AF75" s="584"/>
      <c r="AG75" s="584"/>
      <c r="AH75" s="584"/>
      <c r="AI75" s="584"/>
      <c r="AJ75" s="361"/>
      <c r="AM75" s="543"/>
      <c r="AN75" s="543"/>
      <c r="AO75" s="227"/>
      <c r="AP75" s="361"/>
      <c r="AQ75" s="361"/>
      <c r="AR75" s="226"/>
      <c r="AS75" s="228"/>
      <c r="AT75" s="228"/>
      <c r="AU75" s="228"/>
      <c r="AV75" s="228"/>
      <c r="AY75" s="361"/>
      <c r="AZ75" s="361"/>
      <c r="BC75" s="361"/>
      <c r="BD75" s="361"/>
      <c r="BE75" s="361"/>
      <c r="BF75" s="361"/>
      <c r="BG75" s="361"/>
      <c r="BH75" s="361"/>
    </row>
    <row r="76" spans="1:60" s="382" customFormat="1" ht="18.75" customHeight="1">
      <c r="B76" s="57"/>
      <c r="C76" s="361" t="s">
        <v>848</v>
      </c>
      <c r="D76" s="361"/>
      <c r="E76" s="361"/>
      <c r="F76" s="361"/>
      <c r="G76" s="361"/>
      <c r="H76" s="361"/>
      <c r="I76" s="543" t="str">
        <f>AB58</f>
        <v>정규</v>
      </c>
      <c r="J76" s="543"/>
      <c r="K76" s="543"/>
      <c r="L76" s="543"/>
      <c r="M76" s="543"/>
      <c r="N76" s="361"/>
      <c r="O76" s="361"/>
      <c r="P76" s="361"/>
      <c r="Q76" s="361"/>
      <c r="R76" s="361"/>
      <c r="S76" s="361"/>
      <c r="T76" s="361"/>
      <c r="U76" s="361"/>
      <c r="V76" s="361"/>
      <c r="W76" s="361"/>
      <c r="X76" s="361"/>
      <c r="Y76" s="361"/>
      <c r="Z76" s="361"/>
      <c r="AA76" s="361"/>
      <c r="AB76" s="361"/>
      <c r="AC76" s="361"/>
      <c r="AD76" s="361"/>
      <c r="AE76" s="361"/>
      <c r="AF76" s="361"/>
      <c r="AG76" s="361"/>
      <c r="AH76" s="361"/>
      <c r="AI76" s="361"/>
      <c r="AJ76" s="361"/>
      <c r="AK76" s="361"/>
      <c r="AL76" s="361"/>
      <c r="AM76" s="361"/>
      <c r="AN76" s="361"/>
      <c r="AO76" s="361"/>
      <c r="AP76" s="361"/>
      <c r="AQ76" s="361"/>
      <c r="AR76" s="361"/>
      <c r="AS76" s="361"/>
      <c r="AT76" s="361"/>
      <c r="AU76" s="361"/>
      <c r="AV76" s="361"/>
      <c r="AW76" s="361"/>
      <c r="AX76" s="361"/>
      <c r="AY76" s="361"/>
      <c r="AZ76" s="361"/>
      <c r="BA76" s="361"/>
      <c r="BB76" s="361"/>
      <c r="BC76" s="361"/>
      <c r="BD76" s="361"/>
      <c r="BE76" s="361"/>
      <c r="BF76" s="361"/>
      <c r="BG76" s="361"/>
    </row>
    <row r="77" spans="1:60" s="382" customFormat="1" ht="18.75" customHeight="1">
      <c r="B77" s="57"/>
      <c r="C77" s="543" t="s">
        <v>849</v>
      </c>
      <c r="D77" s="543"/>
      <c r="E77" s="543"/>
      <c r="F77" s="543"/>
      <c r="G77" s="543"/>
      <c r="H77" s="543"/>
      <c r="I77" s="346"/>
      <c r="J77" s="346"/>
      <c r="K77" s="370"/>
      <c r="L77" s="370"/>
      <c r="M77" s="56"/>
      <c r="N77" s="544">
        <f>AG58</f>
        <v>1</v>
      </c>
      <c r="O77" s="544"/>
      <c r="P77" s="361"/>
      <c r="Q77" s="361"/>
      <c r="R77" s="361"/>
      <c r="S77" s="361"/>
      <c r="T77" s="361"/>
      <c r="U77" s="361"/>
      <c r="V77" s="361"/>
      <c r="W77" s="361"/>
      <c r="X77" s="361"/>
      <c r="Y77" s="361"/>
      <c r="Z77" s="361"/>
      <c r="AA77" s="361"/>
      <c r="AB77" s="361"/>
      <c r="AC77" s="361"/>
      <c r="AD77" s="361"/>
      <c r="AE77" s="361"/>
      <c r="AF77" s="361"/>
      <c r="AG77" s="361"/>
      <c r="AH77" s="361"/>
      <c r="AI77" s="361"/>
      <c r="AJ77" s="361"/>
      <c r="AK77" s="361"/>
      <c r="AL77" s="361"/>
      <c r="AM77" s="361"/>
      <c r="AN77" s="361"/>
      <c r="AO77" s="361"/>
      <c r="AP77" s="361"/>
      <c r="AQ77" s="361"/>
      <c r="AR77" s="361"/>
      <c r="AS77" s="361"/>
      <c r="AT77" s="361"/>
      <c r="AU77" s="361"/>
      <c r="AV77" s="361"/>
      <c r="AW77" s="361"/>
      <c r="AX77" s="361"/>
      <c r="AY77" s="361"/>
      <c r="AZ77" s="361"/>
      <c r="BA77" s="361"/>
      <c r="BB77" s="361"/>
      <c r="BC77" s="361"/>
      <c r="BD77" s="361"/>
      <c r="BE77" s="361"/>
      <c r="BF77" s="361"/>
      <c r="BG77" s="361"/>
    </row>
    <row r="78" spans="1:60" s="382" customFormat="1" ht="18.75" customHeight="1">
      <c r="B78" s="57"/>
      <c r="C78" s="543"/>
      <c r="D78" s="543"/>
      <c r="E78" s="543"/>
      <c r="F78" s="543"/>
      <c r="G78" s="543"/>
      <c r="H78" s="543"/>
      <c r="I78" s="353"/>
      <c r="J78" s="353"/>
      <c r="K78" s="370"/>
      <c r="L78" s="370"/>
      <c r="M78" s="56"/>
      <c r="N78" s="544"/>
      <c r="O78" s="544"/>
      <c r="P78" s="361"/>
      <c r="Q78" s="361"/>
      <c r="R78" s="361"/>
      <c r="S78" s="361"/>
      <c r="T78" s="361"/>
      <c r="U78" s="361"/>
      <c r="V78" s="361"/>
      <c r="W78" s="361"/>
      <c r="X78" s="361"/>
      <c r="Y78" s="361"/>
      <c r="Z78" s="361"/>
      <c r="AA78" s="361"/>
      <c r="AB78" s="361"/>
      <c r="AC78" s="361"/>
      <c r="AD78" s="361"/>
      <c r="AE78" s="361"/>
      <c r="AF78" s="361"/>
      <c r="AG78" s="361"/>
      <c r="AH78" s="361"/>
      <c r="AI78" s="361"/>
      <c r="AJ78" s="361"/>
      <c r="AK78" s="361"/>
      <c r="AL78" s="361"/>
      <c r="AM78" s="361"/>
      <c r="AN78" s="361"/>
      <c r="AO78" s="361"/>
      <c r="AP78" s="361"/>
      <c r="AQ78" s="361"/>
      <c r="AR78" s="361"/>
      <c r="AS78" s="361"/>
      <c r="AT78" s="361"/>
      <c r="AU78" s="361"/>
      <c r="AV78" s="361"/>
      <c r="AW78" s="361"/>
      <c r="AX78" s="361"/>
      <c r="AY78" s="361"/>
      <c r="AZ78" s="361"/>
      <c r="BA78" s="361"/>
      <c r="BB78" s="361"/>
      <c r="BC78" s="361"/>
      <c r="BD78" s="361"/>
      <c r="BE78" s="361"/>
      <c r="BF78" s="361"/>
      <c r="BG78" s="361"/>
      <c r="BH78" s="361"/>
    </row>
    <row r="79" spans="1:60" s="370" customFormat="1" ht="18.75" customHeight="1">
      <c r="C79" s="370" t="s">
        <v>1017</v>
      </c>
      <c r="K79" s="345" t="s">
        <v>850</v>
      </c>
      <c r="L79" s="517">
        <f>N77</f>
        <v>1</v>
      </c>
      <c r="M79" s="517"/>
      <c r="N79" s="346" t="s">
        <v>1018</v>
      </c>
      <c r="O79" s="515" t="e">
        <f ca="1">AP58</f>
        <v>#N/A</v>
      </c>
      <c r="P79" s="515"/>
      <c r="Q79" s="515"/>
      <c r="R79" s="371"/>
      <c r="S79" s="350"/>
      <c r="T79" s="517" t="e">
        <f ca="1">AU58</f>
        <v>#N/A</v>
      </c>
      <c r="U79" s="517"/>
      <c r="V79" s="517"/>
      <c r="Z79" s="518" t="str">
        <f>BA58</f>
        <v>μm</v>
      </c>
      <c r="AA79" s="518"/>
      <c r="AB79" s="341" t="s">
        <v>850</v>
      </c>
      <c r="AC79" s="341" t="s">
        <v>1019</v>
      </c>
      <c r="AD79" s="515" t="e">
        <f ca="1">O79</f>
        <v>#N/A</v>
      </c>
      <c r="AE79" s="515"/>
      <c r="AF79" s="515"/>
      <c r="AG79" s="371"/>
      <c r="AH79" s="350"/>
      <c r="AI79" s="517" t="e">
        <f ca="1">T79</f>
        <v>#N/A</v>
      </c>
      <c r="AJ79" s="517"/>
      <c r="AK79" s="517"/>
      <c r="AO79" s="518" t="str">
        <f>Z79</f>
        <v>μm</v>
      </c>
      <c r="AP79" s="518"/>
    </row>
    <row r="80" spans="1:60" ht="18.75" customHeight="1">
      <c r="A80" s="370"/>
      <c r="B80" s="370"/>
      <c r="C80" s="346" t="s">
        <v>852</v>
      </c>
      <c r="D80" s="346"/>
      <c r="E80" s="346"/>
      <c r="F80" s="346"/>
      <c r="G80" s="346"/>
      <c r="I80" s="107" t="s">
        <v>853</v>
      </c>
      <c r="J80" s="370"/>
      <c r="K80" s="370"/>
      <c r="L80" s="370"/>
      <c r="M80" s="370"/>
      <c r="N80" s="370"/>
      <c r="O80" s="370"/>
      <c r="P80" s="370"/>
      <c r="Q80" s="370"/>
      <c r="R80" s="370"/>
      <c r="S80" s="169"/>
      <c r="T80" s="169"/>
      <c r="U80" s="370"/>
      <c r="V80" s="370"/>
      <c r="W80" s="370"/>
      <c r="X80" s="370"/>
      <c r="Y80" s="370"/>
      <c r="Z80" s="370"/>
      <c r="AA80" s="370"/>
      <c r="AB80" s="370"/>
      <c r="AC80" s="370"/>
      <c r="AD80" s="370"/>
      <c r="AG80" s="370"/>
      <c r="AH80" s="370"/>
      <c r="AI80" s="370"/>
      <c r="AJ80" s="370"/>
      <c r="AK80" s="370"/>
      <c r="AL80" s="370"/>
      <c r="AM80" s="370"/>
      <c r="AN80" s="370"/>
      <c r="AO80" s="370"/>
      <c r="AP80" s="370"/>
      <c r="AQ80" s="370"/>
      <c r="AR80" s="370"/>
      <c r="AS80" s="370"/>
      <c r="AT80" s="370"/>
    </row>
    <row r="81" spans="1:65" s="370" customFormat="1" ht="18.75" customHeight="1"/>
    <row r="82" spans="1:65" ht="18.75" customHeight="1">
      <c r="A82" s="370"/>
      <c r="B82" s="60" t="str">
        <f>"2. "&amp;N5&amp;" 지시값의 표준불확도,"</f>
        <v>2. 측정투영기 지시값의 표준불확도,</v>
      </c>
      <c r="C82" s="370"/>
      <c r="D82" s="370"/>
      <c r="E82" s="370"/>
      <c r="F82" s="370"/>
      <c r="G82" s="370"/>
      <c r="H82" s="370"/>
      <c r="I82" s="370"/>
      <c r="J82" s="370"/>
      <c r="K82" s="370"/>
      <c r="L82" s="370"/>
      <c r="M82" s="370"/>
      <c r="N82" s="370"/>
      <c r="O82" s="370"/>
      <c r="P82" s="370"/>
      <c r="Q82" s="370"/>
      <c r="R82" s="201" t="s">
        <v>1020</v>
      </c>
      <c r="T82" s="370"/>
      <c r="U82" s="370"/>
      <c r="V82" s="370"/>
      <c r="W82" s="370"/>
      <c r="X82" s="370"/>
      <c r="Y82" s="370"/>
      <c r="Z82" s="370"/>
      <c r="AA82" s="370"/>
      <c r="AB82" s="370"/>
      <c r="AC82" s="370"/>
      <c r="AD82" s="370"/>
      <c r="AE82" s="370"/>
      <c r="AF82" s="370"/>
      <c r="AG82" s="370"/>
      <c r="AH82" s="370"/>
      <c r="AI82" s="370"/>
      <c r="AJ82" s="370"/>
      <c r="AK82" s="370"/>
      <c r="AL82" s="370"/>
      <c r="AM82" s="370"/>
      <c r="AN82" s="370"/>
      <c r="AO82" s="370"/>
      <c r="AP82" s="370"/>
      <c r="AQ82" s="370"/>
      <c r="AR82" s="370"/>
      <c r="AS82" s="370"/>
      <c r="AT82" s="370"/>
    </row>
    <row r="83" spans="1:65" ht="18.75" customHeight="1">
      <c r="A83" s="370"/>
      <c r="C83" s="370" t="s">
        <v>1021</v>
      </c>
      <c r="D83" s="370"/>
      <c r="E83" s="370"/>
      <c r="F83" s="370"/>
      <c r="G83" s="370"/>
      <c r="H83" s="370"/>
      <c r="I83" s="370"/>
      <c r="J83" s="370"/>
      <c r="K83" s="370"/>
      <c r="L83" s="370"/>
      <c r="M83" s="370"/>
      <c r="N83" s="370"/>
      <c r="O83" s="370"/>
      <c r="P83" s="370"/>
      <c r="Q83" s="370"/>
      <c r="R83" s="370"/>
      <c r="S83" s="370"/>
      <c r="T83" s="370"/>
      <c r="U83" s="370"/>
      <c r="V83" s="370"/>
      <c r="W83" s="370"/>
      <c r="X83" s="370"/>
      <c r="Y83" s="370"/>
      <c r="Z83" s="370"/>
      <c r="AA83" s="370"/>
      <c r="AB83" s="370"/>
      <c r="AC83" s="370"/>
      <c r="AD83" s="370"/>
      <c r="AE83" s="370"/>
      <c r="AF83" s="370"/>
      <c r="AG83" s="370"/>
      <c r="AH83" s="370"/>
      <c r="AI83" s="370"/>
      <c r="AJ83" s="370"/>
      <c r="AK83" s="370"/>
      <c r="AL83" s="370"/>
      <c r="AM83" s="370"/>
      <c r="AN83" s="370"/>
      <c r="AO83" s="370"/>
      <c r="AP83" s="370"/>
      <c r="AQ83" s="370"/>
      <c r="AR83" s="370"/>
      <c r="AS83" s="370"/>
      <c r="AT83" s="370"/>
    </row>
    <row r="84" spans="1:65" ht="18.75" customHeight="1">
      <c r="A84" s="370"/>
      <c r="C84" s="60"/>
      <c r="D84" s="370" t="s">
        <v>1022</v>
      </c>
      <c r="E84" s="370"/>
      <c r="F84" s="370"/>
      <c r="G84" s="370"/>
      <c r="H84" s="370"/>
      <c r="I84" s="370"/>
      <c r="J84" s="370"/>
      <c r="K84" s="370"/>
      <c r="L84" s="370"/>
      <c r="M84" s="370"/>
      <c r="N84" s="370"/>
      <c r="O84" s="370"/>
      <c r="P84" s="370"/>
      <c r="Q84" s="370"/>
      <c r="R84" s="370"/>
      <c r="S84" s="370"/>
      <c r="T84" s="370"/>
      <c r="U84" s="370"/>
      <c r="V84" s="370"/>
      <c r="W84" s="370"/>
      <c r="X84" s="370"/>
      <c r="Y84" s="370"/>
      <c r="Z84" s="370"/>
      <c r="AA84" s="370"/>
      <c r="AB84" s="370"/>
      <c r="AC84" s="370"/>
      <c r="AD84" s="370"/>
      <c r="AE84" s="370"/>
      <c r="AF84" s="370"/>
      <c r="AG84" s="370"/>
      <c r="AH84" s="370"/>
      <c r="AI84" s="370"/>
      <c r="AJ84" s="370"/>
      <c r="AK84" s="370"/>
      <c r="AL84" s="370"/>
      <c r="AM84" s="370"/>
      <c r="AN84" s="370"/>
      <c r="AO84" s="370"/>
      <c r="AP84" s="370"/>
      <c r="AQ84" s="370"/>
      <c r="AR84" s="370"/>
      <c r="AS84" s="370"/>
      <c r="AT84" s="370"/>
    </row>
    <row r="85" spans="1:65" ht="18.75" customHeight="1">
      <c r="B85" s="370"/>
      <c r="C85" s="370" t="s">
        <v>857</v>
      </c>
      <c r="D85" s="370"/>
      <c r="E85" s="370"/>
      <c r="F85" s="370"/>
      <c r="G85" s="370"/>
      <c r="H85" s="370"/>
      <c r="I85" s="576" t="e">
        <f ca="1">H59</f>
        <v>#N/A</v>
      </c>
      <c r="J85" s="576"/>
      <c r="K85" s="576"/>
      <c r="L85" s="576"/>
      <c r="M85" s="576"/>
      <c r="N85" s="576" t="str">
        <f>M59</f>
        <v>mm</v>
      </c>
      <c r="O85" s="576"/>
      <c r="P85" s="350"/>
      <c r="Q85" s="370"/>
      <c r="R85" s="370"/>
      <c r="S85" s="370"/>
      <c r="T85" s="370"/>
      <c r="U85" s="370"/>
      <c r="V85" s="370"/>
      <c r="W85" s="370"/>
      <c r="X85" s="370"/>
      <c r="Y85" s="370"/>
      <c r="Z85" s="370"/>
      <c r="AA85" s="370"/>
      <c r="AB85" s="370"/>
      <c r="AC85" s="370"/>
      <c r="AD85" s="370"/>
      <c r="AE85" s="370"/>
      <c r="AF85" s="370"/>
      <c r="AG85" s="370"/>
      <c r="AH85" s="370"/>
      <c r="AI85" s="370"/>
      <c r="AJ85" s="370"/>
      <c r="AK85" s="370"/>
      <c r="AL85" s="370"/>
      <c r="AM85" s="370"/>
      <c r="AN85" s="370"/>
      <c r="AO85" s="370"/>
      <c r="AP85" s="370"/>
      <c r="AQ85" s="370"/>
      <c r="AR85" s="370"/>
      <c r="AS85" s="370"/>
      <c r="AT85" s="370"/>
      <c r="AU85" s="370"/>
    </row>
    <row r="86" spans="1:65" ht="18.75" customHeight="1">
      <c r="B86" s="370"/>
      <c r="C86" s="370" t="s">
        <v>1023</v>
      </c>
      <c r="D86" s="370"/>
      <c r="E86" s="370"/>
      <c r="F86" s="370"/>
      <c r="G86" s="370"/>
      <c r="H86" s="370"/>
      <c r="I86" s="370"/>
      <c r="J86" s="61" t="s">
        <v>935</v>
      </c>
      <c r="K86" s="370"/>
      <c r="L86" s="370"/>
      <c r="M86" s="370"/>
      <c r="N86" s="370"/>
      <c r="O86" s="370"/>
      <c r="P86" s="370"/>
      <c r="Q86" s="576">
        <f>MAX(AK11:AO30)*1000</f>
        <v>0</v>
      </c>
      <c r="R86" s="576"/>
      <c r="S86" s="576"/>
      <c r="T86" s="586" t="s">
        <v>847</v>
      </c>
      <c r="U86" s="586"/>
      <c r="V86" s="370"/>
      <c r="W86" s="370"/>
      <c r="X86" s="370"/>
      <c r="Y86" s="370"/>
      <c r="Z86" s="370"/>
      <c r="AA86" s="370"/>
      <c r="AB86" s="370"/>
      <c r="AC86" s="370"/>
      <c r="AD86" s="370"/>
      <c r="AE86" s="370"/>
      <c r="AF86" s="370"/>
      <c r="AG86" s="370"/>
      <c r="AH86" s="370"/>
      <c r="AI86" s="370"/>
      <c r="AJ86" s="370"/>
      <c r="AK86" s="370"/>
      <c r="AL86" s="370"/>
      <c r="AM86" s="370"/>
      <c r="AN86" s="370"/>
      <c r="AO86" s="370"/>
      <c r="AP86" s="370"/>
      <c r="AQ86" s="370"/>
      <c r="AR86" s="370"/>
      <c r="AS86" s="370"/>
      <c r="AT86" s="370"/>
      <c r="AU86" s="370"/>
    </row>
    <row r="87" spans="1:65" ht="18.75" customHeight="1">
      <c r="B87" s="370"/>
      <c r="C87" s="370"/>
      <c r="D87" s="370"/>
      <c r="E87" s="370"/>
      <c r="F87" s="370"/>
      <c r="G87" s="370"/>
      <c r="H87" s="370"/>
      <c r="I87" s="370"/>
      <c r="J87" s="370"/>
      <c r="K87" s="545" t="s">
        <v>859</v>
      </c>
      <c r="L87" s="545"/>
      <c r="M87" s="545"/>
      <c r="N87" s="545" t="s">
        <v>1015</v>
      </c>
      <c r="O87" s="573" t="s">
        <v>1024</v>
      </c>
      <c r="P87" s="573"/>
      <c r="Q87" s="545" t="s">
        <v>845</v>
      </c>
      <c r="R87" s="587">
        <f>Q86</f>
        <v>0</v>
      </c>
      <c r="S87" s="587"/>
      <c r="T87" s="587"/>
      <c r="U87" s="588" t="str">
        <f>T86</f>
        <v>μm</v>
      </c>
      <c r="V87" s="588"/>
      <c r="W87" s="545" t="s">
        <v>1025</v>
      </c>
      <c r="X87" s="589">
        <f>R87/SQRT(5)</f>
        <v>0</v>
      </c>
      <c r="Y87" s="589"/>
      <c r="Z87" s="589"/>
      <c r="AA87" s="590" t="str">
        <f>T86</f>
        <v>μm</v>
      </c>
      <c r="AB87" s="590"/>
      <c r="AC87" s="351"/>
      <c r="AD87" s="351"/>
      <c r="AE87" s="351"/>
      <c r="AF87" s="370"/>
      <c r="AG87" s="370"/>
      <c r="AH87" s="370"/>
      <c r="AI87" s="370"/>
      <c r="AJ87" s="370"/>
      <c r="AK87" s="370"/>
      <c r="AL87" s="370"/>
      <c r="AM87" s="370"/>
      <c r="AN87" s="370"/>
      <c r="AO87" s="370"/>
      <c r="AP87" s="370"/>
      <c r="AQ87" s="370"/>
      <c r="AR87" s="370"/>
      <c r="AS87" s="370"/>
      <c r="AT87" s="370"/>
      <c r="AU87" s="370"/>
      <c r="AV87" s="370"/>
      <c r="AW87" s="370"/>
    </row>
    <row r="88" spans="1:65" ht="18.75" customHeight="1">
      <c r="B88" s="370"/>
      <c r="C88" s="370"/>
      <c r="D88" s="370"/>
      <c r="E88" s="370"/>
      <c r="F88" s="370"/>
      <c r="G88" s="370"/>
      <c r="H88" s="370"/>
      <c r="I88" s="370"/>
      <c r="J88" s="370"/>
      <c r="K88" s="545"/>
      <c r="L88" s="545"/>
      <c r="M88" s="545"/>
      <c r="N88" s="545"/>
      <c r="O88" s="591"/>
      <c r="P88" s="591"/>
      <c r="Q88" s="545"/>
      <c r="R88" s="559"/>
      <c r="S88" s="559"/>
      <c r="T88" s="559"/>
      <c r="U88" s="559"/>
      <c r="V88" s="559"/>
      <c r="W88" s="545"/>
      <c r="X88" s="589"/>
      <c r="Y88" s="589"/>
      <c r="Z88" s="589"/>
      <c r="AA88" s="590"/>
      <c r="AB88" s="590"/>
      <c r="AC88" s="351"/>
      <c r="AD88" s="351"/>
      <c r="AE88" s="351"/>
      <c r="AF88" s="370"/>
      <c r="AG88" s="370"/>
      <c r="AH88" s="370"/>
      <c r="AI88" s="370"/>
      <c r="AJ88" s="370"/>
      <c r="AK88" s="370"/>
      <c r="AL88" s="370"/>
      <c r="AM88" s="370"/>
      <c r="AN88" s="370"/>
      <c r="AO88" s="370"/>
      <c r="AP88" s="370"/>
      <c r="AQ88" s="370"/>
      <c r="AR88" s="370"/>
      <c r="AS88" s="370"/>
      <c r="AT88" s="370"/>
      <c r="AU88" s="370"/>
      <c r="AV88" s="370"/>
      <c r="AW88" s="370"/>
    </row>
    <row r="89" spans="1:65" ht="18.75" customHeight="1">
      <c r="B89" s="370"/>
      <c r="C89" s="370" t="s">
        <v>1026</v>
      </c>
      <c r="D89" s="370"/>
      <c r="E89" s="370"/>
      <c r="F89" s="370"/>
      <c r="G89" s="370"/>
      <c r="H89" s="370"/>
      <c r="I89" s="544" t="str">
        <f>AB61</f>
        <v>직사각형</v>
      </c>
      <c r="J89" s="544"/>
      <c r="K89" s="544"/>
      <c r="L89" s="544"/>
      <c r="M89" s="544"/>
      <c r="N89" s="544"/>
      <c r="O89" s="544"/>
      <c r="P89" s="544"/>
      <c r="Q89" s="370"/>
      <c r="R89" s="370"/>
      <c r="S89" s="370"/>
      <c r="T89" s="370"/>
      <c r="U89" s="370"/>
      <c r="V89" s="370"/>
      <c r="W89" s="370"/>
      <c r="X89" s="370"/>
      <c r="Y89" s="370"/>
      <c r="Z89" s="370"/>
      <c r="AA89" s="370"/>
      <c r="AB89" s="370"/>
      <c r="AC89" s="370"/>
      <c r="AD89" s="370"/>
      <c r="AE89" s="370"/>
      <c r="AF89" s="370"/>
      <c r="AG89" s="370"/>
      <c r="AH89" s="370"/>
      <c r="AI89" s="370"/>
      <c r="AJ89" s="370"/>
      <c r="AK89" s="370"/>
      <c r="AL89" s="370"/>
      <c r="AM89" s="370"/>
      <c r="AN89" s="370"/>
      <c r="AO89" s="370"/>
      <c r="AP89" s="370"/>
      <c r="AQ89" s="370"/>
      <c r="AR89" s="370"/>
      <c r="AS89" s="370"/>
      <c r="AT89" s="370"/>
      <c r="AU89" s="370"/>
    </row>
    <row r="90" spans="1:65" ht="18.75" customHeight="1">
      <c r="B90" s="370"/>
      <c r="C90" s="518" t="s">
        <v>1027</v>
      </c>
      <c r="D90" s="518"/>
      <c r="E90" s="518"/>
      <c r="F90" s="518"/>
      <c r="G90" s="518"/>
      <c r="H90" s="518"/>
      <c r="I90" s="346"/>
      <c r="J90" s="346"/>
      <c r="K90" s="370"/>
      <c r="L90" s="370"/>
      <c r="N90" s="544">
        <f>AG59</f>
        <v>-1</v>
      </c>
      <c r="O90" s="544"/>
      <c r="R90" s="370"/>
      <c r="S90" s="370"/>
      <c r="T90" s="370"/>
      <c r="U90" s="370"/>
      <c r="V90" s="370"/>
      <c r="W90" s="370"/>
      <c r="X90" s="370"/>
      <c r="Y90" s="370"/>
      <c r="Z90" s="370"/>
      <c r="AA90" s="370"/>
      <c r="AB90" s="370"/>
      <c r="AC90" s="370"/>
      <c r="AD90" s="370"/>
      <c r="AE90" s="370"/>
      <c r="AF90" s="370"/>
      <c r="AG90" s="370"/>
      <c r="AH90" s="370"/>
      <c r="AI90" s="370"/>
      <c r="AJ90" s="370"/>
      <c r="AK90" s="370"/>
      <c r="AL90" s="370"/>
      <c r="AM90" s="370"/>
      <c r="AN90" s="370"/>
      <c r="AO90" s="370"/>
      <c r="AP90" s="370"/>
      <c r="AQ90" s="370"/>
      <c r="AR90" s="370"/>
      <c r="AS90" s="370"/>
      <c r="AT90" s="370"/>
      <c r="AU90" s="370"/>
    </row>
    <row r="91" spans="1:65" ht="18.75" customHeight="1">
      <c r="B91" s="370"/>
      <c r="C91" s="518"/>
      <c r="D91" s="518"/>
      <c r="E91" s="518"/>
      <c r="F91" s="518"/>
      <c r="G91" s="518"/>
      <c r="H91" s="518"/>
      <c r="I91" s="353"/>
      <c r="J91" s="353"/>
      <c r="K91" s="370"/>
      <c r="L91" s="370"/>
      <c r="N91" s="544"/>
      <c r="O91" s="544"/>
      <c r="R91" s="370"/>
      <c r="S91" s="370"/>
      <c r="T91" s="370"/>
      <c r="U91" s="370"/>
      <c r="V91" s="370"/>
      <c r="W91" s="370"/>
      <c r="X91" s="370"/>
      <c r="Y91" s="370"/>
      <c r="Z91" s="370"/>
      <c r="AA91" s="370"/>
      <c r="AB91" s="370"/>
      <c r="AC91" s="370"/>
      <c r="AD91" s="370"/>
      <c r="AE91" s="370"/>
      <c r="AF91" s="370"/>
      <c r="AG91" s="370"/>
      <c r="AH91" s="370"/>
      <c r="AI91" s="370"/>
      <c r="AJ91" s="370"/>
      <c r="AK91" s="370"/>
      <c r="AL91" s="370"/>
      <c r="AM91" s="370"/>
      <c r="AN91" s="370"/>
      <c r="AO91" s="370"/>
      <c r="AP91" s="370"/>
      <c r="AQ91" s="370"/>
      <c r="AR91" s="370"/>
      <c r="AS91" s="370"/>
      <c r="AT91" s="370"/>
      <c r="AU91" s="370"/>
    </row>
    <row r="92" spans="1:65" ht="18.75" customHeight="1">
      <c r="B92" s="370"/>
      <c r="C92" s="370" t="s">
        <v>936</v>
      </c>
      <c r="D92" s="370"/>
      <c r="E92" s="370"/>
      <c r="F92" s="370"/>
      <c r="G92" s="370"/>
      <c r="H92" s="370"/>
      <c r="I92" s="370"/>
      <c r="J92" s="370"/>
      <c r="K92" s="345" t="s">
        <v>1028</v>
      </c>
      <c r="L92" s="517">
        <f>N90</f>
        <v>-1</v>
      </c>
      <c r="M92" s="517"/>
      <c r="N92" s="346" t="s">
        <v>1029</v>
      </c>
      <c r="O92" s="589">
        <f>X87</f>
        <v>0</v>
      </c>
      <c r="P92" s="589"/>
      <c r="Q92" s="589"/>
      <c r="R92" s="590" t="str">
        <f>AA87</f>
        <v>μm</v>
      </c>
      <c r="S92" s="576"/>
      <c r="T92" s="345" t="s">
        <v>850</v>
      </c>
      <c r="U92" s="70" t="s">
        <v>1019</v>
      </c>
      <c r="V92" s="589">
        <f>O92</f>
        <v>0</v>
      </c>
      <c r="W92" s="589"/>
      <c r="X92" s="589"/>
      <c r="Y92" s="590" t="str">
        <f>R92</f>
        <v>μm</v>
      </c>
      <c r="Z92" s="576"/>
      <c r="AA92" s="350"/>
      <c r="AB92" s="370"/>
      <c r="AC92" s="370"/>
      <c r="AD92" s="370"/>
      <c r="AE92" s="370"/>
      <c r="AF92" s="370"/>
      <c r="AP92" s="370"/>
      <c r="AQ92" s="370"/>
      <c r="AR92" s="370"/>
      <c r="AS92" s="370"/>
      <c r="AT92" s="370"/>
      <c r="AU92" s="370"/>
      <c r="AV92" s="370"/>
    </row>
    <row r="93" spans="1:65" ht="18.75" customHeight="1">
      <c r="B93" s="370"/>
      <c r="C93" s="370" t="s">
        <v>862</v>
      </c>
      <c r="D93" s="370"/>
      <c r="E93" s="370"/>
      <c r="F93" s="370"/>
      <c r="G93" s="370"/>
      <c r="H93" s="370"/>
      <c r="I93" s="107" t="s">
        <v>1030</v>
      </c>
      <c r="J93" s="107"/>
      <c r="K93" s="107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370"/>
      <c r="AB93" s="370"/>
      <c r="AC93" s="370"/>
      <c r="AD93" s="370"/>
      <c r="AE93" s="370"/>
      <c r="AF93" s="370"/>
    </row>
    <row r="94" spans="1:65" ht="18.75" customHeight="1">
      <c r="B94" s="370"/>
      <c r="C94" s="370"/>
      <c r="D94" s="370"/>
      <c r="E94" s="370"/>
      <c r="F94" s="370"/>
      <c r="G94" s="370"/>
      <c r="H94" s="370"/>
      <c r="I94" s="107"/>
      <c r="J94" s="94"/>
      <c r="K94" s="107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370"/>
      <c r="AB94" s="370"/>
      <c r="AC94" s="370"/>
      <c r="AD94" s="370"/>
      <c r="AE94" s="370"/>
      <c r="AF94" s="370"/>
    </row>
    <row r="95" spans="1:65" s="135" customFormat="1" ht="18.75" customHeight="1">
      <c r="A95" s="341"/>
      <c r="B95" s="57" t="str">
        <f>"3. "&amp;N5&amp;"와 "&amp;T5&amp;"의 평균 열팽창계수에 의한 표준불확도,"</f>
        <v>3. 측정투영기와 표준자의 평균 열팽창계수에 의한 표준불확도,</v>
      </c>
      <c r="C95" s="346"/>
      <c r="D95" s="346"/>
      <c r="E95" s="346"/>
      <c r="F95" s="346"/>
      <c r="G95" s="346"/>
      <c r="H95" s="346"/>
      <c r="I95" s="346"/>
      <c r="J95" s="346"/>
      <c r="K95" s="346"/>
      <c r="L95" s="346"/>
      <c r="M95" s="346"/>
      <c r="N95" s="346"/>
      <c r="O95" s="346"/>
      <c r="P95" s="346"/>
      <c r="Q95" s="346"/>
      <c r="R95" s="346"/>
      <c r="S95" s="346"/>
      <c r="T95" s="346"/>
      <c r="U95" s="346"/>
      <c r="V95" s="346"/>
      <c r="W95" s="346"/>
      <c r="X95" s="346"/>
      <c r="Y95" s="346"/>
      <c r="Z95" s="346"/>
      <c r="AA95" s="346"/>
      <c r="AB95" s="346"/>
      <c r="AC95" s="346"/>
      <c r="AD95" s="346"/>
      <c r="AE95" s="346"/>
      <c r="AF95" s="346"/>
      <c r="AG95" s="346"/>
      <c r="AH95" s="346"/>
      <c r="AI95" s="346"/>
      <c r="AJ95" s="346"/>
      <c r="AK95" s="346"/>
      <c r="AL95" s="341"/>
      <c r="AM95" s="341"/>
      <c r="AN95" s="341"/>
      <c r="AO95" s="341"/>
      <c r="AP95" s="341"/>
      <c r="AQ95" s="341"/>
      <c r="AR95" s="341"/>
      <c r="AS95" s="341"/>
      <c r="AT95" s="341"/>
      <c r="AU95" s="341"/>
      <c r="AV95" s="341"/>
      <c r="AW95" s="341"/>
      <c r="AX95" s="341"/>
      <c r="AY95" s="346"/>
      <c r="AZ95" s="346"/>
      <c r="BA95" s="346"/>
      <c r="BB95" s="346"/>
      <c r="BC95" s="346"/>
      <c r="BD95" s="346"/>
      <c r="BE95" s="346"/>
      <c r="BF95" s="346"/>
      <c r="BG95" s="58"/>
      <c r="BH95" s="58"/>
      <c r="BI95" s="58"/>
      <c r="BJ95" s="58"/>
      <c r="BK95" s="58"/>
      <c r="BL95" s="58"/>
      <c r="BM95" s="58"/>
    </row>
    <row r="96" spans="1:65" s="135" customFormat="1" ht="18.75" customHeight="1">
      <c r="A96" s="341"/>
      <c r="B96" s="57"/>
      <c r="C96" s="346" t="str">
        <f>"※ "&amp;N5&amp;"와 "&amp;T5&amp;"의 평균 열팽창계수 :"</f>
        <v>※ 측정투영기와 표준자의 평균 열팽창계수 :</v>
      </c>
      <c r="D96" s="346"/>
      <c r="E96" s="346"/>
      <c r="F96" s="346"/>
      <c r="G96" s="346"/>
      <c r="H96" s="346"/>
      <c r="I96" s="346"/>
      <c r="J96" s="346"/>
      <c r="K96" s="346"/>
      <c r="L96" s="346"/>
      <c r="M96" s="346"/>
      <c r="N96" s="346"/>
      <c r="O96" s="346"/>
      <c r="P96" s="346"/>
      <c r="Q96" s="346"/>
      <c r="R96" s="346"/>
      <c r="S96" s="346"/>
      <c r="T96" s="346"/>
      <c r="U96" s="346"/>
      <c r="V96" s="136"/>
      <c r="W96" s="59"/>
      <c r="X96" s="346"/>
      <c r="Y96" s="59"/>
      <c r="Z96" s="341"/>
      <c r="AA96" s="346"/>
      <c r="AB96" s="341"/>
      <c r="AC96" s="341"/>
      <c r="AD96" s="213"/>
      <c r="AE96" s="341"/>
      <c r="AF96" s="341"/>
      <c r="AG96" s="346"/>
      <c r="AH96" s="346"/>
      <c r="AI96" s="346"/>
      <c r="AJ96" s="346"/>
      <c r="AK96" s="346"/>
      <c r="AL96" s="346"/>
      <c r="AM96" s="346"/>
      <c r="AN96" s="346"/>
      <c r="AO96" s="341"/>
      <c r="AP96" s="341"/>
      <c r="AQ96" s="341"/>
      <c r="AR96" s="341"/>
      <c r="AS96" s="341"/>
      <c r="AT96" s="341"/>
      <c r="AU96" s="341"/>
      <c r="AV96" s="341"/>
      <c r="AW96" s="341"/>
      <c r="AX96" s="341"/>
      <c r="AY96" s="346"/>
      <c r="AZ96" s="346"/>
      <c r="BA96" s="346"/>
      <c r="BB96" s="346"/>
      <c r="BC96" s="346"/>
      <c r="BD96" s="346"/>
      <c r="BE96" s="346"/>
      <c r="BF96" s="346"/>
      <c r="BG96" s="58"/>
      <c r="BH96" s="58"/>
      <c r="BI96" s="58"/>
      <c r="BJ96" s="58"/>
      <c r="BK96" s="58"/>
      <c r="BL96" s="58"/>
      <c r="BM96" s="58"/>
    </row>
    <row r="97" spans="2:83" s="135" customFormat="1" ht="18.75" customHeight="1">
      <c r="B97" s="341"/>
      <c r="C97" s="353" t="s">
        <v>863</v>
      </c>
      <c r="D97" s="341"/>
      <c r="E97" s="341"/>
      <c r="F97" s="341"/>
      <c r="G97" s="341"/>
      <c r="H97" s="592" t="e">
        <f ca="1">H60*10^6</f>
        <v>#N/A</v>
      </c>
      <c r="I97" s="592"/>
      <c r="J97" s="592"/>
      <c r="K97" s="350" t="s">
        <v>864</v>
      </c>
      <c r="L97" s="341"/>
      <c r="M97" s="341"/>
      <c r="N97" s="350"/>
      <c r="O97" s="350"/>
      <c r="P97" s="350"/>
      <c r="Q97" s="346"/>
      <c r="R97" s="346"/>
      <c r="S97" s="346"/>
      <c r="T97" s="346"/>
      <c r="U97" s="346"/>
      <c r="V97" s="346"/>
      <c r="W97" s="346"/>
      <c r="X97" s="346"/>
      <c r="Y97" s="346"/>
      <c r="Z97" s="346"/>
      <c r="AA97" s="346"/>
      <c r="AB97" s="346"/>
      <c r="AC97" s="346"/>
      <c r="AD97" s="346"/>
      <c r="AE97" s="346"/>
      <c r="AF97" s="59"/>
      <c r="AG97" s="346"/>
      <c r="AH97" s="346"/>
      <c r="AI97" s="346"/>
      <c r="AJ97" s="346"/>
      <c r="AK97" s="346"/>
      <c r="AL97" s="346"/>
      <c r="AM97" s="341"/>
      <c r="AN97" s="341"/>
      <c r="AO97" s="341"/>
      <c r="AP97" s="341"/>
      <c r="AQ97" s="341"/>
      <c r="AR97" s="341"/>
      <c r="AS97" s="341"/>
      <c r="AT97" s="341"/>
      <c r="AU97" s="341"/>
      <c r="AV97" s="341"/>
      <c r="AW97" s="341"/>
      <c r="AX97" s="341"/>
      <c r="AY97" s="341"/>
      <c r="AZ97" s="346"/>
      <c r="BA97" s="346"/>
      <c r="BB97" s="346"/>
      <c r="BC97" s="346"/>
      <c r="BD97" s="346"/>
      <c r="BE97" s="346"/>
      <c r="BF97" s="346"/>
      <c r="BG97" s="346"/>
      <c r="BH97" s="58"/>
      <c r="BI97" s="58"/>
      <c r="BJ97" s="58"/>
      <c r="BK97" s="58"/>
      <c r="BL97" s="58"/>
      <c r="BM97" s="58"/>
    </row>
    <row r="98" spans="2:83" s="135" customFormat="1" ht="18.75" customHeight="1">
      <c r="B98" s="341"/>
      <c r="C98" s="518" t="s">
        <v>865</v>
      </c>
      <c r="D98" s="518"/>
      <c r="E98" s="518"/>
      <c r="F98" s="518"/>
      <c r="G98" s="518"/>
      <c r="H98" s="518"/>
      <c r="I98" s="518"/>
      <c r="J98" s="544" t="s">
        <v>1031</v>
      </c>
      <c r="K98" s="544"/>
      <c r="L98" s="544"/>
      <c r="M98" s="544"/>
      <c r="N98" s="544"/>
      <c r="O98" s="544"/>
      <c r="P98" s="544"/>
      <c r="Q98" s="544"/>
      <c r="R98" s="544"/>
      <c r="S98" s="544"/>
      <c r="T98" s="544"/>
      <c r="U98" s="544"/>
      <c r="V98" s="544"/>
      <c r="W98" s="544"/>
      <c r="X98" s="346"/>
      <c r="Y98" s="346"/>
      <c r="Z98" s="346"/>
      <c r="AA98" s="346"/>
      <c r="AB98" s="346"/>
      <c r="AC98" s="346"/>
      <c r="AD98" s="346"/>
      <c r="AE98" s="346"/>
      <c r="AF98" s="346"/>
      <c r="AG98" s="346"/>
      <c r="AH98" s="346"/>
      <c r="AI98" s="346"/>
      <c r="AJ98" s="346"/>
      <c r="AK98" s="341"/>
      <c r="AL98" s="341"/>
      <c r="AM98" s="341"/>
      <c r="AN98" s="346"/>
      <c r="AO98" s="346"/>
      <c r="AP98" s="346"/>
      <c r="AQ98" s="346"/>
      <c r="AR98" s="346"/>
      <c r="AS98" s="346"/>
      <c r="AT98" s="346"/>
      <c r="AU98" s="346"/>
      <c r="AV98" s="346"/>
      <c r="AW98" s="346"/>
      <c r="AX98" s="346"/>
      <c r="AY98" s="346"/>
      <c r="AZ98" s="346"/>
      <c r="BA98" s="346"/>
      <c r="BB98" s="346"/>
      <c r="BC98" s="346"/>
      <c r="BD98" s="346"/>
      <c r="BE98" s="346"/>
      <c r="BF98" s="346"/>
      <c r="BG98" s="346"/>
      <c r="BH98" s="58"/>
      <c r="BI98" s="58"/>
      <c r="BJ98" s="58"/>
      <c r="BK98" s="58"/>
      <c r="BL98" s="58"/>
      <c r="BM98" s="58"/>
      <c r="BN98" s="58"/>
    </row>
    <row r="99" spans="2:83" s="135" customFormat="1" ht="18.75" customHeight="1">
      <c r="B99" s="341"/>
      <c r="C99" s="518"/>
      <c r="D99" s="518"/>
      <c r="E99" s="518"/>
      <c r="F99" s="518"/>
      <c r="G99" s="518"/>
      <c r="H99" s="518"/>
      <c r="I99" s="518"/>
      <c r="J99" s="544"/>
      <c r="K99" s="544"/>
      <c r="L99" s="544"/>
      <c r="M99" s="544"/>
      <c r="N99" s="544"/>
      <c r="O99" s="544"/>
      <c r="P99" s="544"/>
      <c r="Q99" s="544"/>
      <c r="R99" s="544"/>
      <c r="S99" s="544"/>
      <c r="T99" s="544"/>
      <c r="U99" s="544"/>
      <c r="V99" s="544"/>
      <c r="W99" s="544"/>
      <c r="X99" s="346"/>
      <c r="Y99" s="346"/>
      <c r="Z99" s="346"/>
      <c r="AA99" s="346"/>
      <c r="AB99" s="346"/>
      <c r="AC99" s="346"/>
      <c r="AD99" s="346"/>
      <c r="AE99" s="346"/>
      <c r="AF99" s="341"/>
      <c r="AG99" s="346"/>
      <c r="AH99" s="346"/>
      <c r="AI99" s="346"/>
      <c r="AJ99" s="346"/>
      <c r="AK99" s="341"/>
      <c r="AL99" s="341"/>
      <c r="AM99" s="341"/>
      <c r="AN99" s="346"/>
      <c r="AO99" s="346"/>
      <c r="AP99" s="346"/>
      <c r="AQ99" s="346"/>
      <c r="AR99" s="346"/>
      <c r="AS99" s="341"/>
      <c r="AT99" s="346"/>
      <c r="AU99" s="346"/>
      <c r="AV99" s="346"/>
      <c r="AW99" s="346"/>
      <c r="AX99" s="346"/>
      <c r="AY99" s="346"/>
      <c r="AZ99" s="346"/>
      <c r="BA99" s="346"/>
      <c r="BB99" s="346"/>
      <c r="BC99" s="346"/>
      <c r="BD99" s="346"/>
      <c r="BE99" s="346"/>
      <c r="BF99" s="346"/>
      <c r="BG99" s="346"/>
      <c r="BH99" s="58"/>
      <c r="BI99" s="58"/>
      <c r="BJ99" s="58"/>
      <c r="BK99" s="58"/>
      <c r="BL99" s="58"/>
      <c r="BM99" s="58"/>
      <c r="BN99" s="58"/>
    </row>
    <row r="100" spans="2:83" s="135" customFormat="1" ht="18.75" customHeight="1">
      <c r="B100" s="341"/>
      <c r="C100" s="346"/>
      <c r="D100" s="346"/>
      <c r="E100" s="346"/>
      <c r="F100" s="346"/>
      <c r="G100" s="346"/>
      <c r="H100" s="346"/>
      <c r="I100" s="341"/>
      <c r="J100" s="544" t="s">
        <v>1032</v>
      </c>
      <c r="K100" s="544"/>
      <c r="L100" s="544"/>
      <c r="M100" s="544"/>
      <c r="N100" s="544"/>
      <c r="O100" s="544"/>
      <c r="P100" s="544"/>
      <c r="Q100" s="544"/>
      <c r="R100" s="544"/>
      <c r="S100" s="544"/>
      <c r="T100" s="544"/>
      <c r="U100" s="544"/>
      <c r="V100" s="544"/>
      <c r="W100" s="544"/>
      <c r="X100" s="544"/>
      <c r="Y100" s="544"/>
      <c r="Z100" s="544"/>
      <c r="AA100" s="593" t="s">
        <v>866</v>
      </c>
      <c r="AB100" s="593"/>
      <c r="AC100" s="593"/>
      <c r="AD100" s="593"/>
      <c r="AE100" s="593"/>
      <c r="AF100" s="514" t="s">
        <v>1025</v>
      </c>
      <c r="AG100" s="544" t="s">
        <v>1033</v>
      </c>
      <c r="AH100" s="544"/>
      <c r="AI100" s="544"/>
      <c r="AJ100" s="544"/>
      <c r="AK100" s="544"/>
      <c r="AL100" s="544"/>
      <c r="AM100" s="341"/>
      <c r="AN100" s="346"/>
      <c r="AO100" s="346"/>
      <c r="AP100" s="346"/>
      <c r="AQ100" s="346"/>
      <c r="AR100" s="346"/>
      <c r="AS100" s="341"/>
      <c r="AT100" s="346"/>
      <c r="AU100" s="346"/>
      <c r="AV100" s="346"/>
      <c r="AW100" s="346"/>
      <c r="AX100" s="346"/>
      <c r="AY100" s="346"/>
      <c r="AZ100" s="346"/>
      <c r="BA100" s="346"/>
      <c r="BB100" s="346"/>
      <c r="BC100" s="346"/>
      <c r="BD100" s="346"/>
      <c r="BE100" s="346"/>
      <c r="BF100" s="346"/>
      <c r="BG100" s="346"/>
      <c r="BH100" s="58"/>
      <c r="BI100" s="58"/>
      <c r="BJ100" s="58"/>
      <c r="BK100" s="58"/>
      <c r="BL100" s="58"/>
      <c r="BM100" s="58"/>
      <c r="BN100" s="58"/>
    </row>
    <row r="101" spans="2:83" s="135" customFormat="1" ht="18.75" customHeight="1">
      <c r="B101" s="341"/>
      <c r="C101" s="346"/>
      <c r="D101" s="346"/>
      <c r="E101" s="346"/>
      <c r="F101" s="346"/>
      <c r="G101" s="346"/>
      <c r="H101" s="346"/>
      <c r="I101" s="341"/>
      <c r="J101" s="544"/>
      <c r="K101" s="544"/>
      <c r="L101" s="544"/>
      <c r="M101" s="544"/>
      <c r="N101" s="544"/>
      <c r="O101" s="544"/>
      <c r="P101" s="544"/>
      <c r="Q101" s="544"/>
      <c r="R101" s="544"/>
      <c r="S101" s="544"/>
      <c r="T101" s="544"/>
      <c r="U101" s="544"/>
      <c r="V101" s="544"/>
      <c r="W101" s="544"/>
      <c r="X101" s="544"/>
      <c r="Y101" s="544"/>
      <c r="Z101" s="544"/>
      <c r="AA101" s="346"/>
      <c r="AB101" s="341"/>
      <c r="AC101" s="341"/>
      <c r="AD101" s="341"/>
      <c r="AE101" s="341"/>
      <c r="AF101" s="514"/>
      <c r="AG101" s="544"/>
      <c r="AH101" s="544"/>
      <c r="AI101" s="544"/>
      <c r="AJ101" s="544"/>
      <c r="AK101" s="544"/>
      <c r="AL101" s="544"/>
      <c r="AM101" s="341"/>
      <c r="AN101" s="346"/>
      <c r="AO101" s="346"/>
      <c r="AP101" s="346"/>
      <c r="AQ101" s="346"/>
      <c r="AR101" s="346"/>
      <c r="AS101" s="346"/>
      <c r="AT101" s="346"/>
      <c r="AU101" s="346"/>
      <c r="AV101" s="346"/>
      <c r="AW101" s="346"/>
      <c r="AX101" s="346"/>
      <c r="AY101" s="346"/>
      <c r="AZ101" s="346"/>
      <c r="BA101" s="346"/>
      <c r="BB101" s="346"/>
      <c r="BC101" s="346"/>
      <c r="BD101" s="346"/>
      <c r="BE101" s="346"/>
      <c r="BF101" s="346"/>
      <c r="BG101" s="346"/>
      <c r="BH101" s="58"/>
      <c r="BI101" s="58"/>
      <c r="BJ101" s="58"/>
      <c r="BK101" s="58"/>
      <c r="BL101" s="58"/>
      <c r="BM101" s="58"/>
      <c r="BN101" s="58"/>
    </row>
    <row r="102" spans="2:83" s="135" customFormat="1" ht="18.75" customHeight="1">
      <c r="B102" s="341"/>
      <c r="C102" s="346"/>
      <c r="D102" s="346"/>
      <c r="E102" s="346"/>
      <c r="F102" s="346"/>
      <c r="G102" s="346"/>
      <c r="H102" s="346"/>
      <c r="I102" s="346"/>
      <c r="J102" s="341"/>
      <c r="K102" s="353" t="s">
        <v>867</v>
      </c>
      <c r="L102" s="353"/>
      <c r="M102" s="353"/>
      <c r="N102" s="353"/>
      <c r="O102" s="353"/>
      <c r="P102" s="353"/>
      <c r="Q102" s="353"/>
      <c r="R102" s="353"/>
      <c r="S102" s="346"/>
      <c r="T102" s="346"/>
      <c r="U102" s="346"/>
      <c r="V102" s="346"/>
      <c r="W102" s="346"/>
      <c r="X102" s="346"/>
      <c r="Y102" s="346"/>
      <c r="Z102" s="346"/>
      <c r="AA102" s="346"/>
      <c r="AB102" s="346"/>
      <c r="AC102" s="346"/>
      <c r="AD102" s="346"/>
      <c r="AE102" s="346"/>
      <c r="AF102" s="346"/>
      <c r="AG102" s="341"/>
      <c r="AH102" s="346"/>
      <c r="AI102" s="346"/>
      <c r="AJ102" s="346"/>
      <c r="AK102" s="341"/>
      <c r="AL102" s="341"/>
      <c r="AM102" s="341"/>
      <c r="AN102" s="341"/>
      <c r="AO102" s="346"/>
      <c r="AP102" s="346"/>
      <c r="AQ102" s="346"/>
      <c r="AR102" s="346"/>
      <c r="AS102" s="346"/>
      <c r="AT102" s="346"/>
      <c r="AU102" s="346"/>
      <c r="AV102" s="346"/>
      <c r="AW102" s="346"/>
      <c r="AX102" s="346"/>
      <c r="AY102" s="346"/>
      <c r="AZ102" s="346"/>
      <c r="BA102" s="346"/>
      <c r="BB102" s="346"/>
      <c r="BC102" s="346"/>
      <c r="BD102" s="346"/>
      <c r="BE102" s="346"/>
      <c r="BF102" s="346"/>
      <c r="BG102" s="346"/>
      <c r="BH102" s="341"/>
      <c r="BN102" s="58"/>
      <c r="BO102" s="58"/>
      <c r="BP102" s="58"/>
      <c r="BQ102" s="58"/>
      <c r="BR102" s="58"/>
      <c r="BS102" s="58"/>
      <c r="BX102" s="58"/>
      <c r="CE102" s="58"/>
    </row>
    <row r="103" spans="2:83" s="135" customFormat="1" ht="18.75" customHeight="1">
      <c r="B103" s="341"/>
      <c r="C103" s="346"/>
      <c r="D103" s="346"/>
      <c r="E103" s="346"/>
      <c r="F103" s="346"/>
      <c r="G103" s="346"/>
      <c r="H103" s="346"/>
      <c r="I103" s="346"/>
      <c r="J103" s="107"/>
      <c r="K103" s="107"/>
      <c r="L103" s="107"/>
      <c r="M103" s="341"/>
      <c r="N103" s="107"/>
      <c r="O103" s="107"/>
      <c r="P103" s="107"/>
      <c r="Q103" s="107"/>
      <c r="R103" s="107"/>
      <c r="S103" s="107"/>
      <c r="T103" s="107"/>
      <c r="U103" s="107"/>
      <c r="V103" s="341"/>
      <c r="W103" s="137"/>
      <c r="X103" s="137"/>
      <c r="Y103" s="137"/>
      <c r="Z103" s="341"/>
      <c r="AF103" s="341"/>
      <c r="AG103" s="544" t="s">
        <v>1034</v>
      </c>
      <c r="AH103" s="544"/>
      <c r="AI103" s="544"/>
      <c r="AJ103" s="544"/>
      <c r="AK103" s="544"/>
      <c r="AL103" s="138"/>
      <c r="AM103" s="138"/>
      <c r="AN103" s="341"/>
      <c r="AO103" s="341"/>
      <c r="AP103" s="341"/>
      <c r="AQ103" s="341"/>
      <c r="AR103" s="341"/>
      <c r="AS103" s="346"/>
      <c r="AT103" s="346"/>
      <c r="AU103" s="341"/>
      <c r="AV103" s="341"/>
      <c r="AW103" s="341"/>
      <c r="AX103" s="341"/>
      <c r="AY103" s="341"/>
      <c r="AZ103" s="346"/>
      <c r="BA103" s="346"/>
      <c r="BB103" s="346"/>
      <c r="BC103" s="346"/>
      <c r="BD103" s="346"/>
      <c r="BE103" s="346"/>
      <c r="BF103" s="346"/>
      <c r="BG103" s="346"/>
      <c r="BH103" s="341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CE103" s="58"/>
    </row>
    <row r="104" spans="2:83" s="135" customFormat="1" ht="18.75" customHeight="1">
      <c r="B104" s="341"/>
      <c r="C104" s="346"/>
      <c r="D104" s="346"/>
      <c r="E104" s="346"/>
      <c r="F104" s="346"/>
      <c r="G104" s="346"/>
      <c r="H104" s="346"/>
      <c r="I104" s="346"/>
      <c r="J104" s="107"/>
      <c r="K104" s="107"/>
      <c r="L104" s="107"/>
      <c r="M104" s="341"/>
      <c r="N104" s="107"/>
      <c r="O104" s="107"/>
      <c r="P104" s="107"/>
      <c r="Q104" s="107"/>
      <c r="R104" s="107"/>
      <c r="S104" s="107"/>
      <c r="T104" s="107"/>
      <c r="U104" s="107"/>
      <c r="V104" s="341"/>
      <c r="W104" s="137"/>
      <c r="X104" s="137"/>
      <c r="Y104" s="137"/>
      <c r="Z104" s="341"/>
      <c r="AF104" s="341"/>
      <c r="AG104" s="544"/>
      <c r="AH104" s="544"/>
      <c r="AI104" s="544"/>
      <c r="AJ104" s="544"/>
      <c r="AK104" s="544"/>
      <c r="AL104" s="138"/>
      <c r="AM104" s="138"/>
      <c r="AN104" s="341"/>
      <c r="AO104" s="341"/>
      <c r="AP104" s="341"/>
      <c r="AQ104" s="341"/>
      <c r="AR104" s="341"/>
      <c r="AS104" s="346"/>
      <c r="AT104" s="346"/>
      <c r="AU104" s="341"/>
      <c r="AV104" s="341"/>
      <c r="AW104" s="341"/>
      <c r="AX104" s="341"/>
      <c r="AY104" s="341"/>
      <c r="AZ104" s="346"/>
      <c r="BA104" s="346"/>
      <c r="BB104" s="346"/>
      <c r="BC104" s="346"/>
      <c r="BD104" s="346"/>
      <c r="BE104" s="346"/>
      <c r="BF104" s="346"/>
      <c r="BG104" s="346"/>
      <c r="BH104" s="346"/>
      <c r="BI104" s="58"/>
      <c r="BJ104" s="58"/>
      <c r="BK104" s="58"/>
      <c r="BL104" s="58"/>
      <c r="BM104" s="58"/>
    </row>
    <row r="105" spans="2:83" s="135" customFormat="1" ht="18.75" customHeight="1">
      <c r="B105" s="341"/>
      <c r="C105" s="346" t="s">
        <v>1035</v>
      </c>
      <c r="D105" s="346"/>
      <c r="E105" s="346"/>
      <c r="F105" s="346"/>
      <c r="G105" s="346"/>
      <c r="H105" s="346"/>
      <c r="I105" s="544" t="str">
        <f>AB60</f>
        <v>삼각형</v>
      </c>
      <c r="J105" s="544"/>
      <c r="K105" s="544"/>
      <c r="L105" s="544"/>
      <c r="M105" s="544"/>
      <c r="N105" s="544"/>
      <c r="O105" s="544"/>
      <c r="P105" s="544"/>
      <c r="Q105" s="346"/>
      <c r="R105" s="346"/>
      <c r="S105" s="346"/>
      <c r="T105" s="346"/>
      <c r="U105" s="346"/>
      <c r="V105" s="346"/>
      <c r="W105" s="346"/>
      <c r="X105" s="346"/>
      <c r="Y105" s="346"/>
      <c r="Z105" s="341"/>
      <c r="AA105" s="341"/>
      <c r="AB105" s="341"/>
      <c r="AC105" s="341"/>
      <c r="AD105" s="341"/>
      <c r="AE105" s="341"/>
      <c r="AF105" s="341"/>
      <c r="AG105" s="341"/>
      <c r="AH105" s="346"/>
      <c r="AI105" s="346"/>
      <c r="AJ105" s="346"/>
      <c r="AK105" s="346"/>
      <c r="AL105" s="346"/>
      <c r="AM105" s="346"/>
      <c r="AN105" s="346"/>
      <c r="AO105" s="346"/>
      <c r="AP105" s="346"/>
      <c r="AQ105" s="346"/>
      <c r="AR105" s="346"/>
      <c r="AS105" s="346"/>
      <c r="AT105" s="346"/>
      <c r="AU105" s="346"/>
      <c r="AV105" s="346"/>
      <c r="AW105" s="346"/>
      <c r="AX105" s="346"/>
      <c r="AY105" s="346"/>
      <c r="AZ105" s="346"/>
      <c r="BA105" s="346"/>
      <c r="BB105" s="346"/>
      <c r="BC105" s="346"/>
      <c r="BD105" s="346"/>
      <c r="BE105" s="346"/>
      <c r="BF105" s="346"/>
      <c r="BG105" s="346"/>
      <c r="BH105" s="58"/>
      <c r="BI105" s="58"/>
      <c r="BJ105" s="58"/>
      <c r="BK105" s="58"/>
      <c r="BL105" s="58"/>
      <c r="BM105" s="58"/>
      <c r="BN105" s="58"/>
    </row>
    <row r="106" spans="2:83" s="135" customFormat="1" ht="18.75" customHeight="1">
      <c r="B106" s="341"/>
      <c r="C106" s="518" t="s">
        <v>1036</v>
      </c>
      <c r="D106" s="518"/>
      <c r="E106" s="518"/>
      <c r="F106" s="518"/>
      <c r="G106" s="518"/>
      <c r="H106" s="518"/>
      <c r="I106" s="346"/>
      <c r="J106" s="346"/>
      <c r="K106" s="346"/>
      <c r="L106" s="346"/>
      <c r="M106" s="346"/>
      <c r="N106" s="346"/>
      <c r="O106" s="346"/>
      <c r="R106" s="594" t="e">
        <f>-H61</f>
        <v>#VALUE!</v>
      </c>
      <c r="S106" s="594"/>
      <c r="T106" s="518" t="s">
        <v>1037</v>
      </c>
      <c r="U106" s="518"/>
      <c r="V106" s="518"/>
      <c r="W106" s="518"/>
      <c r="X106" s="518"/>
      <c r="Y106" s="518"/>
      <c r="Z106" s="514" t="s">
        <v>845</v>
      </c>
      <c r="AA106" s="576" t="e">
        <f>R106*1000</f>
        <v>#VALUE!</v>
      </c>
      <c r="AB106" s="576"/>
      <c r="AC106" s="518" t="s">
        <v>830</v>
      </c>
      <c r="AD106" s="518"/>
      <c r="AE106" s="518"/>
      <c r="AF106" s="518"/>
      <c r="AG106" s="518"/>
      <c r="AH106" s="346"/>
      <c r="AI106" s="346"/>
      <c r="AJ106" s="346"/>
      <c r="AK106" s="346"/>
      <c r="AL106" s="346"/>
      <c r="AM106" s="346"/>
      <c r="AN106" s="346"/>
      <c r="AO106" s="346"/>
      <c r="AP106" s="346"/>
      <c r="AQ106" s="341"/>
      <c r="AR106" s="341"/>
      <c r="AS106" s="341"/>
      <c r="AT106" s="341"/>
      <c r="AU106" s="341"/>
      <c r="AV106" s="341"/>
      <c r="AW106" s="341"/>
      <c r="AX106" s="341"/>
      <c r="AY106" s="341"/>
      <c r="AZ106" s="341"/>
    </row>
    <row r="107" spans="2:83" s="135" customFormat="1" ht="18.75" customHeight="1">
      <c r="B107" s="341"/>
      <c r="C107" s="518"/>
      <c r="D107" s="518"/>
      <c r="E107" s="518"/>
      <c r="F107" s="518"/>
      <c r="G107" s="518"/>
      <c r="H107" s="518"/>
      <c r="I107" s="346"/>
      <c r="J107" s="346"/>
      <c r="K107" s="346"/>
      <c r="L107" s="346"/>
      <c r="M107" s="346"/>
      <c r="N107" s="346"/>
      <c r="O107" s="346"/>
      <c r="R107" s="594"/>
      <c r="S107" s="594"/>
      <c r="T107" s="518"/>
      <c r="U107" s="518"/>
      <c r="V107" s="518"/>
      <c r="W107" s="518"/>
      <c r="X107" s="518"/>
      <c r="Y107" s="518"/>
      <c r="Z107" s="514"/>
      <c r="AA107" s="576"/>
      <c r="AB107" s="576"/>
      <c r="AC107" s="518"/>
      <c r="AD107" s="518"/>
      <c r="AE107" s="518"/>
      <c r="AF107" s="518"/>
      <c r="AG107" s="518"/>
      <c r="AH107" s="346"/>
      <c r="AI107" s="346"/>
      <c r="AJ107" s="346"/>
      <c r="AK107" s="346"/>
      <c r="AL107" s="346"/>
      <c r="AM107" s="346"/>
      <c r="AN107" s="346"/>
      <c r="AO107" s="346"/>
      <c r="AP107" s="346"/>
      <c r="AQ107" s="341"/>
      <c r="AR107" s="341"/>
      <c r="AS107" s="341"/>
      <c r="AT107" s="341"/>
      <c r="AU107" s="341"/>
      <c r="AV107" s="341"/>
      <c r="AW107" s="341"/>
      <c r="AX107" s="341"/>
      <c r="AY107" s="341"/>
      <c r="AZ107" s="341"/>
    </row>
    <row r="108" spans="2:83" s="135" customFormat="1" ht="18.75" customHeight="1">
      <c r="B108" s="341"/>
      <c r="C108" s="346" t="s">
        <v>869</v>
      </c>
      <c r="D108" s="346"/>
      <c r="E108" s="346"/>
      <c r="F108" s="346"/>
      <c r="G108" s="346"/>
      <c r="H108" s="346"/>
      <c r="I108" s="346"/>
      <c r="J108" s="341"/>
      <c r="K108" s="370" t="s">
        <v>877</v>
      </c>
      <c r="L108" s="594" t="e">
        <f>AA106</f>
        <v>#VALUE!</v>
      </c>
      <c r="M108" s="594"/>
      <c r="N108" s="138" t="s">
        <v>870</v>
      </c>
      <c r="O108" s="354"/>
      <c r="Q108" s="341"/>
      <c r="R108" s="341"/>
      <c r="S108" s="341"/>
      <c r="T108" s="341"/>
      <c r="U108" s="341"/>
      <c r="V108" s="341"/>
      <c r="W108" s="341"/>
      <c r="X108" s="341"/>
      <c r="Y108" s="341" t="s">
        <v>850</v>
      </c>
      <c r="Z108" s="341" t="s">
        <v>845</v>
      </c>
      <c r="AA108" s="595" t="e">
        <f>ABS(L108*O60)</f>
        <v>#VALUE!</v>
      </c>
      <c r="AB108" s="595"/>
      <c r="AC108" s="595"/>
      <c r="AD108" s="595"/>
      <c r="AE108" s="346" t="s">
        <v>831</v>
      </c>
      <c r="AF108" s="341"/>
      <c r="AG108" s="341"/>
      <c r="AH108" s="341"/>
      <c r="AJ108" s="354"/>
      <c r="AK108" s="354"/>
      <c r="AL108" s="346"/>
      <c r="AM108" s="346"/>
      <c r="AN108" s="346"/>
      <c r="AO108" s="346"/>
      <c r="AP108" s="341"/>
      <c r="AQ108" s="341"/>
      <c r="AR108" s="341"/>
      <c r="BA108" s="341"/>
      <c r="BB108" s="341"/>
      <c r="BC108" s="341"/>
      <c r="BD108" s="341"/>
      <c r="BE108" s="341"/>
      <c r="BF108" s="341"/>
      <c r="BG108" s="341"/>
      <c r="BH108" s="58"/>
      <c r="BI108" s="58"/>
      <c r="BP108" s="353"/>
      <c r="BQ108" s="198"/>
    </row>
    <row r="109" spans="2:83" s="135" customFormat="1" ht="18.75" customHeight="1">
      <c r="B109" s="341"/>
      <c r="C109" s="518" t="s">
        <v>963</v>
      </c>
      <c r="D109" s="518"/>
      <c r="E109" s="518"/>
      <c r="F109" s="518"/>
      <c r="G109" s="518"/>
      <c r="H109" s="346"/>
      <c r="J109" s="346"/>
      <c r="K109" s="346"/>
      <c r="L109" s="346"/>
      <c r="M109" s="346"/>
      <c r="N109" s="346"/>
      <c r="O109" s="346"/>
      <c r="P109" s="346"/>
      <c r="Q109" s="346"/>
      <c r="R109" s="138"/>
      <c r="S109" s="346"/>
      <c r="T109" s="346"/>
      <c r="U109" s="346"/>
      <c r="W109" s="346"/>
      <c r="X109" s="346"/>
      <c r="Y109" s="346"/>
      <c r="Z109" s="346"/>
      <c r="AA109" s="370" t="s">
        <v>871</v>
      </c>
      <c r="AB109" s="346"/>
      <c r="AC109" s="346"/>
      <c r="AD109" s="346"/>
      <c r="AE109" s="341"/>
      <c r="AF109" s="341"/>
      <c r="AH109" s="341"/>
      <c r="AI109" s="341"/>
      <c r="AJ109" s="341"/>
      <c r="AK109" s="341"/>
      <c r="AL109" s="370"/>
      <c r="AM109" s="341"/>
      <c r="AN109" s="352"/>
      <c r="AO109" s="352"/>
      <c r="AP109" s="352"/>
      <c r="AQ109" s="353"/>
      <c r="AR109" s="353"/>
      <c r="AS109" s="341"/>
      <c r="AT109" s="341"/>
      <c r="AU109" s="341"/>
      <c r="AV109" s="341"/>
      <c r="AW109" s="341"/>
      <c r="AX109" s="341"/>
      <c r="AY109" s="341"/>
      <c r="AZ109" s="341"/>
      <c r="BA109" s="341"/>
      <c r="BB109" s="341"/>
      <c r="BC109" s="341"/>
      <c r="BD109" s="341"/>
      <c r="BE109" s="341"/>
      <c r="BF109" s="341"/>
      <c r="BG109" s="341"/>
      <c r="BH109" s="58"/>
      <c r="BI109" s="58"/>
      <c r="BJ109" s="58"/>
      <c r="BK109" s="58"/>
      <c r="BL109" s="58"/>
    </row>
    <row r="110" spans="2:83" s="135" customFormat="1" ht="18.75" customHeight="1">
      <c r="B110" s="341"/>
      <c r="C110" s="518"/>
      <c r="D110" s="518"/>
      <c r="E110" s="518"/>
      <c r="F110" s="518"/>
      <c r="G110" s="518"/>
      <c r="H110" s="346"/>
      <c r="I110" s="346"/>
      <c r="J110" s="346"/>
      <c r="K110" s="346"/>
      <c r="L110" s="346"/>
      <c r="M110" s="346"/>
      <c r="N110" s="346"/>
      <c r="O110" s="346"/>
      <c r="P110" s="346"/>
      <c r="Q110" s="346"/>
      <c r="R110" s="138"/>
      <c r="S110" s="346"/>
      <c r="T110" s="346"/>
      <c r="U110" s="346"/>
      <c r="V110" s="346"/>
      <c r="W110" s="346"/>
      <c r="X110" s="346"/>
      <c r="Y110" s="346"/>
      <c r="Z110" s="346"/>
      <c r="AA110" s="346"/>
      <c r="AB110" s="346"/>
      <c r="AC110" s="346"/>
      <c r="AD110" s="346"/>
      <c r="AE110" s="341"/>
      <c r="AF110" s="341"/>
      <c r="AG110" s="341"/>
      <c r="AH110" s="341"/>
      <c r="AI110" s="341"/>
      <c r="AJ110" s="341"/>
      <c r="AK110" s="341"/>
      <c r="AL110" s="341"/>
      <c r="AM110" s="341"/>
      <c r="AN110" s="341"/>
      <c r="AO110" s="341"/>
      <c r="AP110" s="341"/>
      <c r="AQ110" s="341"/>
      <c r="AR110" s="341"/>
      <c r="AS110" s="341"/>
      <c r="AT110" s="341"/>
      <c r="AU110" s="341"/>
      <c r="AV110" s="341"/>
      <c r="AW110" s="341"/>
      <c r="AX110" s="341"/>
      <c r="AY110" s="341"/>
      <c r="AZ110" s="341"/>
      <c r="BA110" s="341"/>
      <c r="BB110" s="341"/>
      <c r="BC110" s="341"/>
      <c r="BD110" s="341"/>
      <c r="BE110" s="341"/>
      <c r="BF110" s="341"/>
      <c r="BG110" s="341"/>
      <c r="BH110" s="58"/>
      <c r="BI110" s="58"/>
      <c r="BJ110" s="58"/>
      <c r="BK110" s="58"/>
      <c r="BL110" s="58"/>
    </row>
    <row r="111" spans="2:83" s="135" customFormat="1" ht="18.75" customHeight="1">
      <c r="B111" s="341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46"/>
      <c r="P111" s="346"/>
      <c r="Q111" s="346"/>
      <c r="R111" s="138"/>
      <c r="S111" s="346"/>
      <c r="T111" s="346"/>
      <c r="U111" s="346"/>
      <c r="V111" s="346"/>
      <c r="W111" s="346"/>
      <c r="X111" s="346"/>
      <c r="Y111" s="346"/>
      <c r="Z111" s="346"/>
      <c r="AA111" s="346"/>
      <c r="AB111" s="544">
        <v>100</v>
      </c>
      <c r="AC111" s="544"/>
      <c r="AD111" s="346"/>
      <c r="AE111" s="341"/>
      <c r="AF111" s="341"/>
      <c r="AG111" s="341"/>
      <c r="AH111" s="341"/>
      <c r="AI111" s="341"/>
      <c r="AJ111" s="341"/>
      <c r="AK111" s="341"/>
      <c r="AL111" s="341"/>
      <c r="AM111" s="341"/>
      <c r="AN111" s="341"/>
      <c r="AO111" s="341"/>
      <c r="AP111" s="341"/>
      <c r="AQ111" s="341"/>
      <c r="AR111" s="341"/>
      <c r="AS111" s="341"/>
      <c r="AT111" s="341"/>
      <c r="AU111" s="341"/>
      <c r="AV111" s="341"/>
      <c r="AW111" s="341"/>
      <c r="AX111" s="341"/>
      <c r="AY111" s="341"/>
      <c r="AZ111" s="341"/>
      <c r="BA111" s="341"/>
      <c r="BB111" s="341"/>
      <c r="BC111" s="341"/>
      <c r="BD111" s="341"/>
      <c r="BE111" s="341"/>
      <c r="BF111" s="341"/>
      <c r="BG111" s="341"/>
      <c r="BH111" s="58"/>
      <c r="BI111" s="58"/>
      <c r="BJ111" s="58"/>
      <c r="BK111" s="58"/>
      <c r="BL111" s="58"/>
    </row>
    <row r="112" spans="2:83" s="135" customFormat="1" ht="18.75" customHeight="1">
      <c r="B112" s="341"/>
      <c r="C112" s="346"/>
      <c r="D112" s="346"/>
      <c r="E112" s="346"/>
      <c r="F112" s="346"/>
      <c r="G112" s="346"/>
      <c r="H112" s="346"/>
      <c r="I112" s="346"/>
      <c r="J112" s="346"/>
      <c r="K112" s="346"/>
      <c r="L112" s="346"/>
      <c r="M112" s="346"/>
      <c r="N112" s="346"/>
      <c r="O112" s="346"/>
      <c r="P112" s="346"/>
      <c r="Q112" s="346"/>
      <c r="R112" s="138"/>
      <c r="S112" s="346"/>
      <c r="T112" s="346"/>
      <c r="U112" s="346"/>
      <c r="V112" s="346"/>
      <c r="W112" s="346"/>
      <c r="X112" s="346"/>
      <c r="Y112" s="346"/>
      <c r="Z112" s="346"/>
      <c r="AA112" s="346"/>
      <c r="AB112" s="544"/>
      <c r="AC112" s="544"/>
      <c r="AD112" s="346"/>
      <c r="AE112" s="341"/>
      <c r="AF112" s="341"/>
      <c r="AG112" s="341"/>
      <c r="AH112" s="341"/>
      <c r="AI112" s="341"/>
      <c r="AJ112" s="341"/>
      <c r="AK112" s="341"/>
      <c r="AL112" s="341"/>
      <c r="AM112" s="341"/>
      <c r="AN112" s="341"/>
      <c r="AO112" s="341"/>
      <c r="AP112" s="341"/>
      <c r="AQ112" s="341"/>
      <c r="AR112" s="341"/>
      <c r="AS112" s="341"/>
      <c r="AT112" s="341"/>
      <c r="AU112" s="341"/>
      <c r="AV112" s="341"/>
      <c r="AW112" s="341"/>
      <c r="AX112" s="341"/>
      <c r="AY112" s="341"/>
      <c r="AZ112" s="341"/>
      <c r="BA112" s="341"/>
      <c r="BB112" s="341"/>
      <c r="BC112" s="341"/>
      <c r="BD112" s="341"/>
      <c r="BE112" s="341"/>
      <c r="BF112" s="341"/>
      <c r="BG112" s="341"/>
      <c r="BH112" s="58"/>
      <c r="BI112" s="58"/>
      <c r="BJ112" s="58"/>
      <c r="BK112" s="58"/>
      <c r="BL112" s="58"/>
    </row>
    <row r="113" spans="2:68" s="135" customFormat="1" ht="18.75" customHeight="1">
      <c r="B113" s="341"/>
      <c r="C113" s="346"/>
      <c r="D113" s="346"/>
      <c r="E113" s="346"/>
      <c r="F113" s="346"/>
      <c r="G113" s="346"/>
      <c r="H113" s="346"/>
      <c r="I113" s="346"/>
      <c r="J113" s="346"/>
      <c r="K113" s="346"/>
      <c r="L113" s="346"/>
      <c r="M113" s="346"/>
      <c r="N113" s="346"/>
      <c r="O113" s="346"/>
      <c r="P113" s="346"/>
      <c r="Q113" s="346"/>
      <c r="R113" s="138"/>
      <c r="S113" s="346"/>
      <c r="T113" s="346"/>
      <c r="U113" s="346"/>
      <c r="V113" s="346"/>
      <c r="W113" s="346"/>
      <c r="X113" s="346"/>
      <c r="Y113" s="346"/>
      <c r="Z113" s="346"/>
      <c r="AA113" s="346"/>
      <c r="AB113" s="346"/>
      <c r="AC113" s="346"/>
      <c r="AD113" s="346"/>
      <c r="AE113" s="341"/>
      <c r="AF113" s="341"/>
      <c r="AG113" s="341"/>
      <c r="AH113" s="341"/>
      <c r="AI113" s="341"/>
      <c r="AJ113" s="341"/>
      <c r="AK113" s="341"/>
      <c r="AL113" s="341"/>
      <c r="AM113" s="341"/>
      <c r="AN113" s="341"/>
      <c r="AO113" s="341"/>
      <c r="AP113" s="341"/>
      <c r="AQ113" s="341"/>
      <c r="AR113" s="341"/>
      <c r="AS113" s="341"/>
      <c r="AT113" s="341"/>
      <c r="AU113" s="341"/>
      <c r="AV113" s="341"/>
      <c r="AW113" s="341"/>
      <c r="AX113" s="341"/>
      <c r="AY113" s="341"/>
      <c r="AZ113" s="341"/>
      <c r="BA113" s="341"/>
      <c r="BB113" s="341"/>
      <c r="BC113" s="341"/>
      <c r="BD113" s="341"/>
      <c r="BE113" s="341"/>
      <c r="BF113" s="341"/>
      <c r="BG113" s="341"/>
      <c r="BH113" s="58"/>
      <c r="BI113" s="58"/>
      <c r="BJ113" s="58"/>
      <c r="BK113" s="58"/>
      <c r="BL113" s="58"/>
    </row>
    <row r="114" spans="2:68" s="135" customFormat="1" ht="18.75" customHeight="1">
      <c r="B114" s="341"/>
      <c r="C114" s="346"/>
      <c r="D114" s="346"/>
      <c r="E114" s="346"/>
      <c r="F114" s="346"/>
      <c r="G114" s="346"/>
      <c r="H114" s="346"/>
      <c r="I114" s="346"/>
      <c r="J114" s="346"/>
      <c r="K114" s="346"/>
      <c r="L114" s="346"/>
      <c r="M114" s="346"/>
      <c r="N114" s="346"/>
      <c r="O114" s="346"/>
      <c r="P114" s="346"/>
      <c r="Q114" s="346"/>
      <c r="R114" s="138"/>
      <c r="S114" s="346"/>
      <c r="T114" s="346"/>
      <c r="U114" s="346"/>
      <c r="V114" s="346"/>
      <c r="W114" s="346"/>
      <c r="X114" s="346"/>
      <c r="Y114" s="346"/>
      <c r="Z114" s="346"/>
      <c r="AA114" s="346"/>
      <c r="AB114" s="346"/>
      <c r="AC114" s="346"/>
      <c r="AD114" s="346"/>
      <c r="AE114" s="341"/>
      <c r="AF114" s="341"/>
      <c r="AG114" s="341"/>
      <c r="AH114" s="341"/>
      <c r="AI114" s="341"/>
      <c r="AJ114" s="341"/>
      <c r="AK114" s="341"/>
      <c r="AL114" s="341"/>
      <c r="AM114" s="341"/>
      <c r="AN114" s="341"/>
      <c r="AO114" s="341"/>
      <c r="AP114" s="341"/>
      <c r="AQ114" s="341"/>
      <c r="AR114" s="341"/>
      <c r="AS114" s="341"/>
      <c r="AT114" s="341"/>
      <c r="AU114" s="341"/>
      <c r="AV114" s="341"/>
      <c r="AW114" s="341"/>
      <c r="AX114" s="341"/>
      <c r="AY114" s="341"/>
      <c r="AZ114" s="341"/>
      <c r="BA114" s="341"/>
      <c r="BB114" s="341"/>
      <c r="BC114" s="341"/>
      <c r="BD114" s="341"/>
      <c r="BE114" s="341"/>
      <c r="BF114" s="341"/>
      <c r="BG114" s="341"/>
      <c r="BH114" s="346"/>
      <c r="BI114" s="346"/>
      <c r="BJ114" s="346"/>
      <c r="BK114" s="346"/>
    </row>
    <row r="115" spans="2:68" s="135" customFormat="1" ht="18.75" customHeight="1">
      <c r="B115" s="57" t="str">
        <f>"4. "&amp;N5&amp;"와 "&amp;T5&amp;"의 온도 차에 의한 표준불확도,"</f>
        <v>4. 측정투영기와 표준자의 온도 차에 의한 표준불확도,</v>
      </c>
      <c r="D115" s="346"/>
      <c r="E115" s="346"/>
      <c r="F115" s="346"/>
      <c r="G115" s="346"/>
      <c r="H115" s="346"/>
      <c r="I115" s="346"/>
      <c r="J115" s="346"/>
      <c r="K115" s="346"/>
      <c r="L115" s="346"/>
      <c r="M115" s="346"/>
      <c r="N115" s="346"/>
      <c r="O115" s="346"/>
      <c r="P115" s="346"/>
      <c r="Q115" s="346"/>
      <c r="R115" s="346"/>
      <c r="S115" s="346"/>
      <c r="T115" s="346"/>
      <c r="U115" s="346"/>
      <c r="V115" s="346"/>
      <c r="W115" s="346"/>
      <c r="X115" s="57" t="s">
        <v>1038</v>
      </c>
      <c r="Y115" s="346"/>
      <c r="Z115" s="346"/>
      <c r="AA115" s="346"/>
      <c r="AC115" s="346"/>
      <c r="AD115" s="346"/>
      <c r="AE115" s="346"/>
      <c r="AF115" s="346"/>
      <c r="AG115" s="346"/>
      <c r="AH115" s="341"/>
      <c r="AI115" s="341"/>
      <c r="AJ115" s="341"/>
      <c r="AK115" s="341"/>
      <c r="AL115" s="341"/>
      <c r="AM115" s="341"/>
      <c r="AN115" s="341"/>
      <c r="AO115" s="346"/>
      <c r="AP115" s="346"/>
      <c r="AQ115" s="346"/>
      <c r="AR115" s="346"/>
      <c r="AS115" s="346"/>
      <c r="AT115" s="346"/>
      <c r="AU115" s="346"/>
      <c r="AV115" s="346"/>
      <c r="AW115" s="346"/>
      <c r="AX115" s="346"/>
      <c r="AY115" s="346"/>
      <c r="AZ115" s="346"/>
      <c r="BA115" s="346"/>
      <c r="BB115" s="346"/>
      <c r="BC115" s="346"/>
      <c r="BD115" s="346"/>
      <c r="BE115" s="346"/>
      <c r="BF115" s="346"/>
      <c r="BG115" s="346"/>
      <c r="BH115" s="58"/>
      <c r="BI115" s="58"/>
      <c r="BJ115" s="58"/>
      <c r="BK115" s="58"/>
      <c r="BL115" s="58"/>
      <c r="BM115" s="58"/>
      <c r="BN115" s="58"/>
    </row>
    <row r="116" spans="2:68" s="135" customFormat="1" ht="18.75" customHeight="1">
      <c r="B116" s="57"/>
      <c r="C116" s="346" t="str">
        <f>"※ 열평형 상태에서 "&amp;N5&amp;"와 "&amp;T5&amp;"의 온도차가 ±"&amp;N119&amp;" ℃ 이내에서"</f>
        <v>※ 열평형 상태에서 측정투영기와 표준자의 온도차가 ±0.2 ℃ 이내에서</v>
      </c>
      <c r="D116" s="346"/>
      <c r="E116" s="346"/>
      <c r="F116" s="346"/>
      <c r="G116" s="346"/>
      <c r="H116" s="346"/>
      <c r="I116" s="346"/>
      <c r="J116" s="346"/>
      <c r="K116" s="346"/>
      <c r="L116" s="346"/>
      <c r="M116" s="346"/>
      <c r="N116" s="346"/>
      <c r="O116" s="346"/>
      <c r="P116" s="346"/>
      <c r="Q116" s="346"/>
      <c r="R116" s="346"/>
      <c r="S116" s="346"/>
      <c r="T116" s="346"/>
      <c r="U116" s="346"/>
      <c r="V116" s="346"/>
      <c r="W116" s="346"/>
      <c r="X116" s="346"/>
      <c r="Y116" s="346"/>
      <c r="Z116" s="346"/>
      <c r="AA116" s="346"/>
      <c r="AB116" s="346"/>
      <c r="AC116" s="346"/>
      <c r="AD116" s="346"/>
      <c r="AE116" s="346"/>
      <c r="AF116" s="346"/>
      <c r="AG116" s="346"/>
      <c r="AH116" s="346"/>
      <c r="AI116" s="346"/>
      <c r="AJ116" s="346"/>
      <c r="AK116" s="346"/>
      <c r="AL116" s="346"/>
      <c r="AM116" s="341"/>
      <c r="AN116" s="341"/>
      <c r="AO116" s="346"/>
      <c r="AP116" s="346"/>
      <c r="AQ116" s="346"/>
      <c r="AR116" s="346"/>
      <c r="AS116" s="346"/>
      <c r="AT116" s="346"/>
      <c r="AU116" s="346"/>
      <c r="AV116" s="346"/>
      <c r="AW116" s="346"/>
      <c r="AX116" s="346"/>
      <c r="AY116" s="346"/>
      <c r="AZ116" s="346"/>
      <c r="BA116" s="346"/>
      <c r="BB116" s="346"/>
      <c r="BC116" s="346"/>
      <c r="BD116" s="346"/>
      <c r="BE116" s="346"/>
      <c r="BF116" s="346"/>
      <c r="BG116" s="346"/>
      <c r="BH116" s="58"/>
      <c r="BI116" s="58"/>
      <c r="BJ116" s="58"/>
      <c r="BK116" s="58"/>
      <c r="BL116" s="58"/>
      <c r="BM116" s="58"/>
      <c r="BN116" s="58"/>
    </row>
    <row r="117" spans="2:68" s="135" customFormat="1" ht="18.75" customHeight="1">
      <c r="B117" s="57"/>
      <c r="C117" s="346"/>
      <c r="D117" s="346" t="s">
        <v>872</v>
      </c>
      <c r="E117" s="346"/>
      <c r="F117" s="346"/>
      <c r="G117" s="346"/>
      <c r="H117" s="346"/>
      <c r="I117" s="346"/>
      <c r="J117" s="346"/>
      <c r="K117" s="346"/>
      <c r="L117" s="346"/>
      <c r="M117" s="346"/>
      <c r="N117" s="346"/>
      <c r="O117" s="346"/>
      <c r="P117" s="346"/>
      <c r="Q117" s="346"/>
      <c r="R117" s="346"/>
      <c r="S117" s="346"/>
      <c r="T117" s="346"/>
      <c r="U117" s="346"/>
      <c r="V117" s="346"/>
      <c r="W117" s="346"/>
      <c r="X117" s="346"/>
      <c r="Y117" s="346"/>
      <c r="Z117" s="346"/>
      <c r="AA117" s="346"/>
      <c r="AB117" s="346"/>
      <c r="AC117" s="346"/>
      <c r="AD117" s="346"/>
      <c r="AE117" s="346"/>
      <c r="AF117" s="346"/>
      <c r="AG117" s="346"/>
      <c r="AH117" s="346"/>
      <c r="AI117" s="346"/>
      <c r="AJ117" s="346"/>
      <c r="AK117" s="346"/>
      <c r="AL117" s="346"/>
      <c r="AM117" s="341"/>
      <c r="AN117" s="341"/>
      <c r="AO117" s="346"/>
      <c r="AP117" s="346"/>
      <c r="AQ117" s="346"/>
      <c r="AR117" s="346"/>
      <c r="AS117" s="346"/>
      <c r="AT117" s="346"/>
      <c r="AU117" s="346"/>
      <c r="AV117" s="346"/>
      <c r="AW117" s="346"/>
      <c r="AX117" s="346"/>
      <c r="AY117" s="346"/>
      <c r="AZ117" s="346"/>
      <c r="BA117" s="346"/>
      <c r="BB117" s="346"/>
      <c r="BC117" s="346"/>
      <c r="BD117" s="346"/>
      <c r="BE117" s="346"/>
      <c r="BF117" s="346"/>
      <c r="BG117" s="346"/>
      <c r="BH117" s="58"/>
      <c r="BI117" s="58"/>
      <c r="BJ117" s="58"/>
      <c r="BK117" s="58"/>
      <c r="BL117" s="58"/>
      <c r="BM117" s="58"/>
      <c r="BN117" s="58"/>
    </row>
    <row r="118" spans="2:68" s="135" customFormat="1" ht="18.75" customHeight="1">
      <c r="B118" s="341"/>
      <c r="C118" s="353" t="s">
        <v>873</v>
      </c>
      <c r="D118" s="341"/>
      <c r="E118" s="341"/>
      <c r="F118" s="341"/>
      <c r="G118" s="341"/>
      <c r="H118" s="596" t="str">
        <f>H61</f>
        <v/>
      </c>
      <c r="I118" s="596"/>
      <c r="J118" s="596"/>
      <c r="K118" s="596"/>
      <c r="L118" s="596"/>
      <c r="M118" s="596"/>
      <c r="N118" s="596"/>
      <c r="O118" s="596"/>
      <c r="P118" s="350"/>
      <c r="Q118" s="346"/>
      <c r="R118" s="346"/>
      <c r="S118" s="346"/>
      <c r="T118" s="346"/>
      <c r="U118" s="346"/>
      <c r="V118" s="346"/>
      <c r="W118" s="341"/>
      <c r="X118" s="341"/>
      <c r="Y118" s="341"/>
      <c r="Z118" s="346"/>
      <c r="AA118" s="346"/>
      <c r="AB118" s="346"/>
      <c r="AC118" s="346"/>
      <c r="AD118" s="346"/>
      <c r="AE118" s="346"/>
      <c r="AF118" s="346"/>
      <c r="AG118" s="346"/>
      <c r="AH118" s="341"/>
      <c r="AI118" s="341"/>
      <c r="AJ118" s="341"/>
      <c r="AK118" s="341"/>
      <c r="AL118" s="341"/>
      <c r="AM118" s="341"/>
      <c r="AN118" s="341"/>
      <c r="AO118" s="346"/>
      <c r="AP118" s="346"/>
      <c r="AQ118" s="346"/>
      <c r="AR118" s="346"/>
      <c r="AS118" s="346"/>
      <c r="AT118" s="346"/>
      <c r="AU118" s="346"/>
      <c r="AV118" s="346"/>
      <c r="AW118" s="346"/>
      <c r="AX118" s="346"/>
      <c r="AY118" s="346"/>
      <c r="AZ118" s="346"/>
      <c r="BA118" s="346"/>
      <c r="BB118" s="346"/>
      <c r="BC118" s="346"/>
      <c r="BD118" s="346"/>
      <c r="BE118" s="346"/>
      <c r="BF118" s="346"/>
      <c r="BG118" s="346"/>
      <c r="BH118" s="58"/>
      <c r="BI118" s="58"/>
      <c r="BJ118" s="58"/>
      <c r="BK118" s="58"/>
      <c r="BL118" s="58"/>
      <c r="BM118" s="58"/>
    </row>
    <row r="119" spans="2:68" s="135" customFormat="1" ht="18.75" customHeight="1">
      <c r="B119" s="341"/>
      <c r="C119" s="518" t="s">
        <v>874</v>
      </c>
      <c r="D119" s="518"/>
      <c r="E119" s="518"/>
      <c r="F119" s="518"/>
      <c r="G119" s="518"/>
      <c r="H119" s="518"/>
      <c r="I119" s="518"/>
      <c r="J119" s="579" t="s">
        <v>875</v>
      </c>
      <c r="K119" s="579"/>
      <c r="L119" s="579"/>
      <c r="M119" s="514" t="s">
        <v>845</v>
      </c>
      <c r="N119" s="597">
        <f>Calcu!H37</f>
        <v>0.2</v>
      </c>
      <c r="O119" s="597"/>
      <c r="P119" s="355" t="s">
        <v>1039</v>
      </c>
      <c r="Q119" s="386"/>
      <c r="R119" s="514" t="s">
        <v>845</v>
      </c>
      <c r="S119" s="589">
        <f>N119/SQRT(3)</f>
        <v>0.11547005383792516</v>
      </c>
      <c r="T119" s="589"/>
      <c r="U119" s="589"/>
      <c r="V119" s="576" t="str">
        <f>P119</f>
        <v>℃</v>
      </c>
      <c r="W119" s="576"/>
      <c r="X119" s="350"/>
      <c r="Y119" s="346"/>
      <c r="AX119" s="346"/>
      <c r="AY119" s="346"/>
      <c r="AZ119" s="346"/>
      <c r="BA119" s="346"/>
      <c r="BB119" s="346"/>
      <c r="BC119" s="346"/>
      <c r="BD119" s="346"/>
      <c r="BE119" s="346"/>
      <c r="BF119" s="346"/>
      <c r="BG119" s="346"/>
      <c r="BH119" s="346"/>
      <c r="BI119" s="346"/>
      <c r="BJ119" s="58"/>
      <c r="BK119" s="58"/>
      <c r="BL119" s="58"/>
      <c r="BM119" s="58"/>
      <c r="BN119" s="58"/>
      <c r="BO119" s="58"/>
      <c r="BP119" s="58"/>
    </row>
    <row r="120" spans="2:68" s="135" customFormat="1" ht="18.75" customHeight="1">
      <c r="B120" s="341"/>
      <c r="C120" s="518"/>
      <c r="D120" s="518"/>
      <c r="E120" s="518"/>
      <c r="F120" s="518"/>
      <c r="G120" s="518"/>
      <c r="H120" s="518"/>
      <c r="I120" s="518"/>
      <c r="J120" s="579"/>
      <c r="K120" s="579"/>
      <c r="L120" s="579"/>
      <c r="M120" s="514"/>
      <c r="N120" s="341"/>
      <c r="O120" s="341"/>
      <c r="P120" s="341"/>
      <c r="Q120" s="341"/>
      <c r="R120" s="514"/>
      <c r="S120" s="589"/>
      <c r="T120" s="589"/>
      <c r="U120" s="589"/>
      <c r="V120" s="576"/>
      <c r="W120" s="576"/>
      <c r="X120" s="350"/>
      <c r="Y120" s="346"/>
      <c r="AX120" s="346"/>
      <c r="AY120" s="346"/>
      <c r="AZ120" s="346"/>
      <c r="BA120" s="346"/>
      <c r="BB120" s="346"/>
      <c r="BC120" s="346"/>
      <c r="BD120" s="346"/>
      <c r="BE120" s="346"/>
      <c r="BF120" s="346"/>
      <c r="BG120" s="346"/>
      <c r="BH120" s="346"/>
      <c r="BI120" s="346"/>
      <c r="BJ120" s="58"/>
      <c r="BK120" s="58"/>
      <c r="BL120" s="58"/>
      <c r="BM120" s="58"/>
      <c r="BN120" s="58"/>
      <c r="BO120" s="58"/>
      <c r="BP120" s="58"/>
    </row>
    <row r="121" spans="2:68" s="135" customFormat="1" ht="18.75" customHeight="1">
      <c r="B121" s="341"/>
      <c r="C121" s="346" t="s">
        <v>1040</v>
      </c>
      <c r="D121" s="346"/>
      <c r="E121" s="346"/>
      <c r="F121" s="346"/>
      <c r="G121" s="346"/>
      <c r="H121" s="346"/>
      <c r="I121" s="544" t="str">
        <f>AB61</f>
        <v>직사각형</v>
      </c>
      <c r="J121" s="544"/>
      <c r="K121" s="544"/>
      <c r="L121" s="544"/>
      <c r="M121" s="544"/>
      <c r="N121" s="544"/>
      <c r="O121" s="544"/>
      <c r="P121" s="544"/>
      <c r="Q121" s="346"/>
      <c r="R121" s="346"/>
      <c r="S121" s="346"/>
      <c r="T121" s="346"/>
      <c r="U121" s="346"/>
      <c r="V121" s="346"/>
      <c r="W121" s="346"/>
      <c r="X121" s="346"/>
      <c r="Y121" s="346"/>
      <c r="Z121" s="341"/>
      <c r="AA121" s="341"/>
      <c r="AB121" s="341"/>
      <c r="AC121" s="341"/>
      <c r="AD121" s="341"/>
      <c r="AE121" s="341"/>
      <c r="AF121" s="341"/>
      <c r="AG121" s="341"/>
      <c r="AH121" s="341"/>
      <c r="AI121" s="341"/>
      <c r="AJ121" s="341"/>
      <c r="AK121" s="341"/>
      <c r="AL121" s="341"/>
      <c r="AM121" s="341"/>
      <c r="AN121" s="341"/>
      <c r="AO121" s="341"/>
      <c r="AP121" s="346"/>
      <c r="AQ121" s="346"/>
      <c r="AR121" s="346"/>
      <c r="AS121" s="346"/>
      <c r="AT121" s="346"/>
      <c r="AU121" s="346"/>
      <c r="AV121" s="346"/>
      <c r="AW121" s="346"/>
      <c r="AX121" s="346"/>
      <c r="AY121" s="346"/>
      <c r="AZ121" s="346"/>
      <c r="BA121" s="346"/>
      <c r="BB121" s="346"/>
      <c r="BC121" s="346"/>
      <c r="BD121" s="346"/>
      <c r="BE121" s="346"/>
      <c r="BF121" s="346"/>
      <c r="BG121" s="346"/>
      <c r="BH121" s="58"/>
      <c r="BI121" s="58"/>
      <c r="BJ121" s="58"/>
      <c r="BK121" s="58"/>
      <c r="BL121" s="58"/>
    </row>
    <row r="122" spans="2:68" s="135" customFormat="1" ht="18.75" customHeight="1">
      <c r="B122" s="341"/>
      <c r="C122" s="518" t="s">
        <v>965</v>
      </c>
      <c r="D122" s="518"/>
      <c r="E122" s="518"/>
      <c r="F122" s="518"/>
      <c r="G122" s="518"/>
      <c r="H122" s="518"/>
      <c r="I122" s="346"/>
      <c r="J122" s="346"/>
      <c r="K122" s="346"/>
      <c r="L122" s="346"/>
      <c r="M122" s="346"/>
      <c r="N122" s="346"/>
      <c r="O122" s="341"/>
      <c r="R122" s="518" t="e">
        <f ca="1">-H60*10^6</f>
        <v>#N/A</v>
      </c>
      <c r="S122" s="518"/>
      <c r="T122" s="518"/>
      <c r="U122" s="518" t="s">
        <v>1041</v>
      </c>
      <c r="V122" s="518"/>
      <c r="W122" s="518"/>
      <c r="X122" s="518"/>
      <c r="Y122" s="518"/>
      <c r="Z122" s="518"/>
      <c r="AA122" s="518"/>
      <c r="AB122" s="518"/>
      <c r="AC122" s="514" t="s">
        <v>845</v>
      </c>
      <c r="AD122" s="594" t="e">
        <f ca="1">R122*10^-6*1000</f>
        <v>#N/A</v>
      </c>
      <c r="AE122" s="594"/>
      <c r="AF122" s="594"/>
      <c r="AG122" s="594"/>
      <c r="AH122" s="518" t="s">
        <v>1042</v>
      </c>
      <c r="AI122" s="518"/>
      <c r="AJ122" s="518"/>
      <c r="AK122" s="518"/>
      <c r="AL122" s="518"/>
      <c r="AM122" s="518"/>
      <c r="AN122" s="518"/>
      <c r="AO122" s="346"/>
      <c r="AP122" s="346"/>
      <c r="AQ122" s="346"/>
      <c r="AR122" s="346"/>
      <c r="AS122" s="346"/>
      <c r="AT122" s="346"/>
      <c r="AU122" s="346"/>
      <c r="AV122" s="346"/>
      <c r="AW122" s="346"/>
      <c r="AX122" s="346"/>
      <c r="AY122" s="346"/>
      <c r="AZ122" s="346"/>
      <c r="BA122" s="346"/>
      <c r="BB122" s="341"/>
      <c r="BC122" s="341"/>
      <c r="BD122" s="341"/>
      <c r="BE122" s="341"/>
      <c r="BF122" s="341"/>
      <c r="BG122" s="341"/>
    </row>
    <row r="123" spans="2:68" s="135" customFormat="1" ht="18.75" customHeight="1">
      <c r="B123" s="341"/>
      <c r="C123" s="518"/>
      <c r="D123" s="518"/>
      <c r="E123" s="518"/>
      <c r="F123" s="518"/>
      <c r="G123" s="518"/>
      <c r="H123" s="518"/>
      <c r="I123" s="346"/>
      <c r="J123" s="346"/>
      <c r="K123" s="346"/>
      <c r="L123" s="346"/>
      <c r="M123" s="346"/>
      <c r="N123" s="346"/>
      <c r="O123" s="341"/>
      <c r="R123" s="518"/>
      <c r="S123" s="518"/>
      <c r="T123" s="518"/>
      <c r="U123" s="518"/>
      <c r="V123" s="518"/>
      <c r="W123" s="518"/>
      <c r="X123" s="518"/>
      <c r="Y123" s="518"/>
      <c r="Z123" s="518"/>
      <c r="AA123" s="518"/>
      <c r="AB123" s="518"/>
      <c r="AC123" s="514"/>
      <c r="AD123" s="594"/>
      <c r="AE123" s="594"/>
      <c r="AF123" s="594"/>
      <c r="AG123" s="594"/>
      <c r="AH123" s="518"/>
      <c r="AI123" s="518"/>
      <c r="AJ123" s="518"/>
      <c r="AK123" s="518"/>
      <c r="AL123" s="518"/>
      <c r="AM123" s="518"/>
      <c r="AN123" s="518"/>
      <c r="AO123" s="346"/>
      <c r="AP123" s="346"/>
      <c r="AQ123" s="346"/>
      <c r="AR123" s="346"/>
      <c r="AS123" s="346"/>
      <c r="AT123" s="346"/>
      <c r="AU123" s="346"/>
      <c r="AV123" s="346"/>
      <c r="AW123" s="346"/>
      <c r="AX123" s="346"/>
      <c r="AY123" s="346"/>
      <c r="AZ123" s="346"/>
      <c r="BA123" s="346"/>
      <c r="BB123" s="341"/>
      <c r="BC123" s="341"/>
      <c r="BD123" s="341"/>
      <c r="BE123" s="341"/>
      <c r="BF123" s="341"/>
      <c r="BG123" s="341"/>
    </row>
    <row r="124" spans="2:68" s="135" customFormat="1" ht="18.75" customHeight="1">
      <c r="B124" s="341"/>
      <c r="C124" s="346" t="s">
        <v>1043</v>
      </c>
      <c r="D124" s="346"/>
      <c r="E124" s="346"/>
      <c r="F124" s="346"/>
      <c r="G124" s="346"/>
      <c r="H124" s="346"/>
      <c r="I124" s="346"/>
      <c r="J124" s="341"/>
      <c r="K124" s="370" t="s">
        <v>1044</v>
      </c>
      <c r="L124" s="594" t="e">
        <f ca="1">AD122</f>
        <v>#N/A</v>
      </c>
      <c r="M124" s="594"/>
      <c r="N124" s="594"/>
      <c r="O124" s="594"/>
      <c r="P124" s="518" t="s">
        <v>1045</v>
      </c>
      <c r="Q124" s="518"/>
      <c r="R124" s="518"/>
      <c r="S124" s="518"/>
      <c r="T124" s="518"/>
      <c r="U124" s="598">
        <f>S119</f>
        <v>0.11547005383792516</v>
      </c>
      <c r="V124" s="598"/>
      <c r="W124" s="598"/>
      <c r="X124" s="598"/>
      <c r="Y124" s="341" t="s">
        <v>850</v>
      </c>
      <c r="Z124" s="341" t="s">
        <v>1019</v>
      </c>
      <c r="AA124" s="595" t="e">
        <f ca="1">ABS(L124*U124)</f>
        <v>#N/A</v>
      </c>
      <c r="AB124" s="595"/>
      <c r="AC124" s="595"/>
      <c r="AD124" s="599"/>
      <c r="AE124" s="346" t="s">
        <v>831</v>
      </c>
      <c r="AF124" s="353"/>
      <c r="AG124" s="341"/>
      <c r="AH124" s="341"/>
      <c r="AI124" s="341"/>
      <c r="AJ124" s="341"/>
      <c r="AK124" s="341"/>
      <c r="AL124" s="341"/>
      <c r="AM124" s="341"/>
      <c r="AN124" s="341"/>
      <c r="AO124" s="341"/>
      <c r="AP124" s="341"/>
      <c r="AR124" s="346"/>
      <c r="AS124" s="346"/>
      <c r="AT124" s="346"/>
      <c r="AU124" s="346"/>
      <c r="AV124" s="139"/>
      <c r="AW124" s="139"/>
      <c r="AX124" s="139"/>
      <c r="AY124" s="139"/>
      <c r="AZ124" s="139"/>
      <c r="BA124" s="139"/>
      <c r="BB124" s="341"/>
      <c r="BC124" s="341"/>
      <c r="BD124" s="341"/>
      <c r="BE124" s="341"/>
      <c r="BF124" s="341"/>
      <c r="BG124" s="341"/>
    </row>
    <row r="125" spans="2:68" s="135" customFormat="1" ht="18.75" customHeight="1">
      <c r="B125" s="341"/>
      <c r="C125" s="518" t="s">
        <v>1046</v>
      </c>
      <c r="D125" s="518"/>
      <c r="E125" s="518"/>
      <c r="F125" s="518"/>
      <c r="G125" s="518"/>
      <c r="H125" s="346"/>
      <c r="J125" s="346"/>
      <c r="K125" s="346"/>
      <c r="L125" s="346"/>
      <c r="M125" s="346"/>
      <c r="N125" s="346"/>
      <c r="O125" s="346"/>
      <c r="P125" s="346"/>
      <c r="Q125" s="346"/>
      <c r="R125" s="138"/>
      <c r="S125" s="346"/>
      <c r="T125" s="346"/>
      <c r="U125" s="346"/>
      <c r="W125" s="370" t="s">
        <v>879</v>
      </c>
      <c r="X125" s="346"/>
      <c r="Y125" s="346"/>
      <c r="Z125" s="346"/>
      <c r="AA125" s="346"/>
      <c r="AB125" s="346"/>
      <c r="AC125" s="346"/>
      <c r="AD125" s="346"/>
      <c r="AE125" s="341"/>
      <c r="AF125" s="341"/>
      <c r="AG125" s="341"/>
      <c r="AH125" s="341"/>
      <c r="AI125" s="341"/>
      <c r="AJ125" s="341"/>
      <c r="AK125" s="341"/>
      <c r="AL125" s="341"/>
      <c r="AM125" s="341"/>
      <c r="AN125" s="341"/>
      <c r="AO125" s="341"/>
      <c r="AP125" s="341"/>
      <c r="AQ125" s="341"/>
      <c r="AR125" s="341"/>
      <c r="AS125" s="341"/>
      <c r="AT125" s="341"/>
      <c r="AU125" s="346"/>
      <c r="AV125" s="341"/>
      <c r="AW125" s="341"/>
      <c r="AX125" s="341"/>
      <c r="AY125" s="341"/>
      <c r="AZ125" s="341"/>
      <c r="BA125" s="341"/>
      <c r="BB125" s="341"/>
      <c r="BC125" s="341"/>
      <c r="BD125" s="341"/>
      <c r="BE125" s="341"/>
      <c r="BF125" s="341"/>
      <c r="BG125" s="341"/>
    </row>
    <row r="126" spans="2:68" s="135" customFormat="1" ht="18.75" customHeight="1">
      <c r="B126" s="341"/>
      <c r="C126" s="518"/>
      <c r="D126" s="518"/>
      <c r="E126" s="518"/>
      <c r="F126" s="518"/>
      <c r="G126" s="518"/>
      <c r="H126" s="346"/>
      <c r="I126" s="346"/>
      <c r="J126" s="346"/>
      <c r="K126" s="346"/>
      <c r="L126" s="346"/>
      <c r="M126" s="346"/>
      <c r="N126" s="346"/>
      <c r="O126" s="346"/>
      <c r="P126" s="346"/>
      <c r="Q126" s="346"/>
      <c r="R126" s="138"/>
      <c r="S126" s="346"/>
      <c r="T126" s="346"/>
      <c r="U126" s="346"/>
      <c r="V126" s="346"/>
      <c r="W126" s="346"/>
      <c r="X126" s="346"/>
      <c r="Y126" s="346"/>
      <c r="Z126" s="346"/>
      <c r="AA126" s="346"/>
      <c r="AB126" s="346"/>
      <c r="AC126" s="341"/>
      <c r="AD126" s="341"/>
      <c r="AE126" s="341"/>
      <c r="AF126" s="341"/>
      <c r="AG126" s="341"/>
      <c r="AH126" s="341"/>
      <c r="AI126" s="341"/>
      <c r="AJ126" s="341"/>
      <c r="AK126" s="341"/>
      <c r="AL126" s="341"/>
      <c r="AM126" s="341"/>
      <c r="AN126" s="341"/>
      <c r="AO126" s="341"/>
      <c r="AP126" s="341"/>
      <c r="AQ126" s="341"/>
      <c r="AR126" s="341"/>
      <c r="AS126" s="341"/>
      <c r="AT126" s="341"/>
      <c r="AU126" s="341"/>
      <c r="AV126" s="341"/>
      <c r="AW126" s="341"/>
      <c r="AX126" s="341"/>
      <c r="AY126" s="341"/>
      <c r="AZ126" s="341"/>
      <c r="BA126" s="341"/>
      <c r="BB126" s="341"/>
      <c r="BC126" s="341"/>
      <c r="BD126" s="341"/>
      <c r="BE126" s="341"/>
      <c r="BF126" s="341"/>
      <c r="BG126" s="341"/>
    </row>
    <row r="127" spans="2:68" s="135" customFormat="1" ht="18.75" customHeight="1">
      <c r="B127" s="341"/>
      <c r="C127" s="346"/>
      <c r="D127" s="346"/>
      <c r="E127" s="346"/>
      <c r="F127" s="346"/>
      <c r="G127" s="341"/>
      <c r="H127" s="346"/>
      <c r="I127" s="346"/>
      <c r="J127" s="346"/>
      <c r="K127" s="346"/>
      <c r="L127" s="346"/>
      <c r="M127" s="346"/>
      <c r="N127" s="346"/>
      <c r="O127" s="346"/>
      <c r="P127" s="346"/>
      <c r="Q127" s="346"/>
      <c r="R127" s="346"/>
      <c r="S127" s="346"/>
      <c r="T127" s="346"/>
      <c r="U127" s="346"/>
      <c r="V127" s="346"/>
      <c r="W127" s="346"/>
      <c r="X127" s="346"/>
      <c r="Y127" s="346"/>
      <c r="Z127" s="346"/>
      <c r="AA127" s="341"/>
      <c r="AB127" s="341"/>
      <c r="AC127" s="341"/>
      <c r="AD127" s="341"/>
      <c r="AE127" s="341"/>
      <c r="AF127" s="341"/>
      <c r="AG127" s="341"/>
      <c r="AH127" s="341"/>
      <c r="AI127" s="341"/>
      <c r="AJ127" s="341"/>
      <c r="AK127" s="341"/>
      <c r="AL127" s="341"/>
      <c r="AM127" s="341"/>
      <c r="AN127" s="341"/>
      <c r="AO127" s="341"/>
      <c r="AP127" s="341"/>
      <c r="AQ127" s="341"/>
      <c r="AR127" s="341"/>
      <c r="AS127" s="341"/>
      <c r="AT127" s="341"/>
      <c r="AU127" s="341"/>
      <c r="AV127" s="341"/>
      <c r="AW127" s="341"/>
      <c r="AX127" s="341"/>
      <c r="AY127" s="341"/>
      <c r="AZ127" s="341"/>
      <c r="BA127" s="341"/>
      <c r="BB127" s="341"/>
      <c r="BC127" s="341"/>
      <c r="BD127" s="341"/>
      <c r="BE127" s="341"/>
      <c r="BF127" s="341"/>
      <c r="BG127" s="341"/>
    </row>
    <row r="128" spans="2:68" s="135" customFormat="1" ht="18.75" customHeight="1">
      <c r="B128" s="57" t="str">
        <f>"5. "&amp;N5&amp;"와 "&amp;T5&amp;"의 열팽창계수 차에 의한 표준불확도,"</f>
        <v>5. 측정투영기와 표준자의 열팽창계수 차에 의한 표준불확도,</v>
      </c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46"/>
      <c r="P128" s="346"/>
      <c r="Q128" s="346"/>
      <c r="R128" s="346"/>
      <c r="S128" s="346"/>
      <c r="T128" s="346"/>
      <c r="U128" s="346"/>
      <c r="V128" s="346"/>
      <c r="W128" s="346"/>
      <c r="X128" s="346"/>
      <c r="Y128" s="346"/>
      <c r="Z128" s="346"/>
      <c r="AA128" s="202" t="s">
        <v>1047</v>
      </c>
      <c r="AB128" s="346"/>
      <c r="AC128" s="346"/>
      <c r="AE128" s="346"/>
      <c r="AF128" s="346"/>
      <c r="AG128" s="346"/>
      <c r="AH128" s="346"/>
      <c r="AI128" s="346"/>
      <c r="AJ128" s="346"/>
      <c r="AK128" s="346"/>
      <c r="AL128" s="346"/>
      <c r="AM128" s="346"/>
      <c r="AN128" s="346"/>
      <c r="AO128" s="346"/>
      <c r="AP128" s="346"/>
      <c r="AQ128" s="346"/>
      <c r="AR128" s="346"/>
      <c r="AS128" s="346"/>
      <c r="AT128" s="346"/>
      <c r="AU128" s="346"/>
      <c r="AV128" s="346"/>
      <c r="AW128" s="346"/>
      <c r="AX128" s="346"/>
      <c r="AY128" s="346"/>
      <c r="AZ128" s="346"/>
      <c r="BA128" s="346"/>
      <c r="BB128" s="341"/>
      <c r="BC128" s="341"/>
      <c r="BD128" s="341"/>
      <c r="BE128" s="341"/>
      <c r="BF128" s="341"/>
      <c r="BG128" s="341"/>
    </row>
    <row r="129" spans="2:67" s="135" customFormat="1" ht="18.75" customHeight="1">
      <c r="B129" s="57"/>
      <c r="C129" s="346" t="str">
        <f>"※ "&amp;N5&amp;"와 "&amp;T5&amp;"의 열팽창계수 차이 :"</f>
        <v>※ 측정투영기와 표준자의 열팽창계수 차이 :</v>
      </c>
      <c r="D129" s="346"/>
      <c r="E129" s="346"/>
      <c r="F129" s="346"/>
      <c r="G129" s="346"/>
      <c r="H129" s="346"/>
      <c r="I129" s="346"/>
      <c r="J129" s="346"/>
      <c r="K129" s="346"/>
      <c r="L129" s="346"/>
      <c r="M129" s="346"/>
      <c r="N129" s="346"/>
      <c r="O129" s="346"/>
      <c r="P129" s="346"/>
      <c r="Q129" s="346"/>
      <c r="R129" s="346"/>
      <c r="S129" s="341"/>
      <c r="T129" s="346"/>
      <c r="U129" s="346"/>
      <c r="V129" s="346"/>
      <c r="W129" s="346"/>
      <c r="Y129" s="346" t="s">
        <v>880</v>
      </c>
      <c r="Z129" s="346"/>
      <c r="AA129" s="346"/>
      <c r="AB129" s="346"/>
      <c r="AC129" s="346"/>
      <c r="AD129" s="341"/>
      <c r="AE129" s="341"/>
      <c r="AF129" s="341"/>
      <c r="AG129" s="341"/>
      <c r="AH129" s="346"/>
      <c r="AI129" s="346"/>
      <c r="AJ129" s="346"/>
      <c r="AK129" s="346"/>
      <c r="AL129" s="346"/>
      <c r="AM129" s="346"/>
      <c r="AN129" s="346"/>
      <c r="AO129" s="346"/>
      <c r="AP129" s="346"/>
      <c r="AQ129" s="346"/>
      <c r="AR129" s="346"/>
      <c r="AS129" s="346"/>
      <c r="AT129" s="346"/>
      <c r="AU129" s="346"/>
      <c r="AV129" s="346"/>
      <c r="AW129" s="346"/>
      <c r="AX129" s="346"/>
      <c r="AY129" s="346"/>
      <c r="AZ129" s="346"/>
      <c r="BA129" s="346"/>
      <c r="BB129" s="341"/>
      <c r="BC129" s="341"/>
      <c r="BD129" s="341"/>
      <c r="BE129" s="341"/>
      <c r="BF129" s="341"/>
      <c r="BG129" s="341"/>
    </row>
    <row r="130" spans="2:67" s="135" customFormat="1" ht="18.75" customHeight="1">
      <c r="B130" s="341"/>
      <c r="C130" s="353" t="s">
        <v>881</v>
      </c>
      <c r="D130" s="341"/>
      <c r="E130" s="341"/>
      <c r="F130" s="341"/>
      <c r="G130" s="341"/>
      <c r="H130" s="592" t="e">
        <f ca="1">H62*10^6</f>
        <v>#N/A</v>
      </c>
      <c r="I130" s="592"/>
      <c r="J130" s="592"/>
      <c r="K130" s="350" t="s">
        <v>864</v>
      </c>
      <c r="L130" s="350"/>
      <c r="M130" s="350"/>
      <c r="N130" s="350"/>
      <c r="O130" s="350"/>
      <c r="P130" s="350"/>
      <c r="Q130" s="346"/>
      <c r="R130" s="346"/>
      <c r="S130" s="346"/>
      <c r="T130" s="346"/>
      <c r="U130" s="346"/>
      <c r="V130" s="346"/>
      <c r="W130" s="346"/>
      <c r="X130" s="346"/>
      <c r="Y130" s="346"/>
      <c r="Z130" s="346"/>
      <c r="AA130" s="346"/>
      <c r="AB130" s="346"/>
      <c r="AC130" s="346"/>
      <c r="AD130" s="346"/>
      <c r="AE130" s="346"/>
      <c r="AF130" s="346"/>
      <c r="AG130" s="346"/>
      <c r="AH130" s="346"/>
      <c r="AI130" s="346"/>
      <c r="AJ130" s="346"/>
      <c r="AK130" s="346"/>
      <c r="AL130" s="346"/>
      <c r="AM130" s="346"/>
      <c r="AN130" s="346"/>
      <c r="AO130" s="346"/>
      <c r="AP130" s="346"/>
      <c r="AQ130" s="346"/>
      <c r="AR130" s="346"/>
      <c r="AS130" s="346"/>
      <c r="AT130" s="341"/>
      <c r="AU130" s="341"/>
      <c r="AV130" s="341"/>
      <c r="AW130" s="341"/>
      <c r="AX130" s="341"/>
      <c r="AY130" s="341"/>
      <c r="AZ130" s="341"/>
      <c r="BA130" s="341"/>
      <c r="BB130" s="341"/>
      <c r="BC130" s="341"/>
      <c r="BD130" s="341"/>
      <c r="BE130" s="341"/>
      <c r="BF130" s="341"/>
      <c r="BG130" s="341"/>
    </row>
    <row r="131" spans="2:67" s="135" customFormat="1" ht="18.75" customHeight="1">
      <c r="B131" s="341"/>
      <c r="C131" s="346" t="s">
        <v>1048</v>
      </c>
      <c r="D131" s="346"/>
      <c r="E131" s="346"/>
      <c r="F131" s="346"/>
      <c r="G131" s="346"/>
      <c r="H131" s="346"/>
      <c r="I131" s="341"/>
      <c r="J131" s="346" t="s">
        <v>1049</v>
      </c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1"/>
      <c r="V131" s="341"/>
      <c r="W131" s="59"/>
      <c r="X131" s="346"/>
      <c r="Y131" s="346"/>
      <c r="Z131" s="346"/>
      <c r="AA131" s="346"/>
      <c r="AB131" s="346"/>
      <c r="AC131" s="346"/>
      <c r="AD131" s="346"/>
      <c r="AE131" s="346"/>
      <c r="AF131" s="346"/>
      <c r="AG131" s="346"/>
      <c r="AH131" s="346"/>
      <c r="AI131" s="346"/>
      <c r="AJ131" s="346"/>
      <c r="AK131" s="346"/>
      <c r="AL131" s="341"/>
      <c r="AM131" s="341"/>
      <c r="AN131" s="341"/>
      <c r="AO131" s="346"/>
      <c r="AP131" s="346"/>
      <c r="AQ131" s="346"/>
      <c r="AR131" s="346"/>
      <c r="AS131" s="346"/>
      <c r="AT131" s="346"/>
      <c r="AU131" s="346"/>
      <c r="AV131" s="346"/>
      <c r="AW131" s="346"/>
      <c r="AX131" s="346"/>
      <c r="AY131" s="346"/>
      <c r="AZ131" s="346"/>
      <c r="BA131" s="346"/>
      <c r="BB131" s="346"/>
      <c r="BC131" s="346"/>
      <c r="BD131" s="346"/>
      <c r="BE131" s="346"/>
      <c r="BF131" s="346"/>
      <c r="BG131" s="346"/>
      <c r="BH131" s="58"/>
      <c r="BI131" s="58"/>
      <c r="BJ131" s="58"/>
      <c r="BK131" s="58"/>
      <c r="BL131" s="58"/>
      <c r="BM131" s="58"/>
    </row>
    <row r="132" spans="2:67" s="135" customFormat="1" ht="18.75" customHeight="1">
      <c r="B132" s="341"/>
      <c r="C132" s="346"/>
      <c r="D132" s="346"/>
      <c r="E132" s="346"/>
      <c r="F132" s="346"/>
      <c r="G132" s="346"/>
      <c r="H132" s="346"/>
      <c r="I132" s="341"/>
      <c r="J132" s="346" t="s">
        <v>1050</v>
      </c>
      <c r="K132" s="346"/>
      <c r="L132" s="346"/>
      <c r="M132" s="346"/>
      <c r="N132" s="346"/>
      <c r="O132" s="346"/>
      <c r="P132" s="346"/>
      <c r="Q132" s="346"/>
      <c r="R132" s="346"/>
      <c r="S132" s="346"/>
      <c r="T132" s="341"/>
      <c r="U132" s="346"/>
      <c r="V132" s="59"/>
      <c r="W132" s="346"/>
      <c r="X132" s="346"/>
      <c r="Y132" s="346"/>
      <c r="Z132" s="346"/>
      <c r="AA132" s="346"/>
      <c r="AB132" s="346"/>
      <c r="AC132" s="346"/>
      <c r="AD132" s="341"/>
      <c r="AE132" s="346"/>
      <c r="AF132" s="346"/>
      <c r="AG132" s="346"/>
      <c r="AH132" s="346"/>
      <c r="AI132" s="346"/>
      <c r="AJ132" s="346"/>
      <c r="AK132" s="341"/>
      <c r="AL132" s="341"/>
      <c r="AM132" s="341"/>
      <c r="AN132" s="341"/>
      <c r="AO132" s="346"/>
      <c r="AP132" s="346"/>
      <c r="AQ132" s="346"/>
      <c r="AR132" s="346"/>
      <c r="AS132" s="346"/>
      <c r="AT132" s="346"/>
      <c r="AU132" s="346"/>
      <c r="AV132" s="346"/>
      <c r="AW132" s="346"/>
      <c r="AX132" s="346"/>
      <c r="AY132" s="346"/>
      <c r="AZ132" s="346"/>
      <c r="BA132" s="346"/>
      <c r="BB132" s="346"/>
      <c r="BC132" s="346"/>
      <c r="BD132" s="346"/>
      <c r="BE132" s="346"/>
      <c r="BF132" s="346"/>
      <c r="BG132" s="346"/>
      <c r="BH132" s="58"/>
      <c r="BI132" s="58"/>
      <c r="BJ132" s="58"/>
      <c r="BK132" s="58"/>
      <c r="BL132" s="58"/>
      <c r="BM132" s="58"/>
      <c r="BN132" s="58"/>
    </row>
    <row r="133" spans="2:67" s="135" customFormat="1" ht="18.75" customHeight="1">
      <c r="B133" s="341"/>
      <c r="C133" s="346"/>
      <c r="D133" s="346"/>
      <c r="E133" s="346"/>
      <c r="F133" s="346"/>
      <c r="G133" s="346"/>
      <c r="H133" s="346"/>
      <c r="I133" s="346"/>
      <c r="J133" s="341"/>
      <c r="K133" s="353" t="s">
        <v>1051</v>
      </c>
      <c r="L133" s="353"/>
      <c r="M133" s="353"/>
      <c r="N133" s="353"/>
      <c r="O133" s="353"/>
      <c r="P133" s="353"/>
      <c r="Q133" s="353"/>
      <c r="R133" s="353"/>
      <c r="S133" s="353"/>
      <c r="T133" s="346"/>
      <c r="U133" s="346"/>
      <c r="V133" s="346"/>
      <c r="W133" s="346"/>
      <c r="X133" s="346"/>
      <c r="Y133" s="346"/>
      <c r="Z133" s="346"/>
      <c r="AA133" s="346"/>
      <c r="AB133" s="346"/>
      <c r="AC133" s="346"/>
      <c r="AD133" s="346"/>
      <c r="AE133" s="346"/>
      <c r="AF133" s="346"/>
      <c r="AG133" s="137"/>
      <c r="AH133" s="346"/>
      <c r="AI133" s="346"/>
      <c r="AJ133" s="346"/>
      <c r="AK133" s="346"/>
      <c r="AL133" s="341"/>
      <c r="AM133" s="341"/>
      <c r="AN133" s="341"/>
      <c r="AO133" s="341"/>
      <c r="AP133" s="346"/>
      <c r="AQ133" s="346"/>
      <c r="AR133" s="346"/>
      <c r="AS133" s="346"/>
      <c r="AT133" s="346"/>
      <c r="AU133" s="346"/>
      <c r="AV133" s="346"/>
      <c r="AW133" s="346"/>
      <c r="AX133" s="346"/>
      <c r="AY133" s="346"/>
      <c r="AZ133" s="346"/>
      <c r="BA133" s="346"/>
      <c r="BB133" s="346"/>
      <c r="BC133" s="346"/>
      <c r="BD133" s="346"/>
      <c r="BE133" s="346"/>
      <c r="BF133" s="346"/>
      <c r="BG133" s="346"/>
      <c r="BH133" s="346"/>
      <c r="BI133" s="58"/>
      <c r="BJ133" s="58"/>
      <c r="BK133" s="58"/>
      <c r="BL133" s="58"/>
      <c r="BM133" s="58"/>
      <c r="BN133" s="58"/>
      <c r="BO133" s="58"/>
    </row>
    <row r="134" spans="2:67" s="135" customFormat="1" ht="18.75" customHeight="1">
      <c r="B134" s="341"/>
      <c r="C134" s="346"/>
      <c r="D134" s="346"/>
      <c r="E134" s="346"/>
      <c r="F134" s="346"/>
      <c r="G134" s="346"/>
      <c r="H134" s="346"/>
      <c r="I134" s="346"/>
      <c r="J134" s="341"/>
      <c r="K134" s="341"/>
      <c r="L134" s="107"/>
      <c r="M134" s="107"/>
      <c r="N134" s="341"/>
      <c r="O134" s="341"/>
      <c r="P134" s="341"/>
      <c r="Q134" s="341"/>
      <c r="R134" s="341"/>
      <c r="S134" s="341"/>
      <c r="T134" s="346"/>
      <c r="U134" s="346"/>
      <c r="V134" s="346"/>
      <c r="W134" s="346"/>
      <c r="X134" s="346"/>
      <c r="Y134" s="346"/>
      <c r="Z134" s="341"/>
      <c r="AA134" s="346"/>
      <c r="AB134" s="137"/>
      <c r="AC134" s="137"/>
      <c r="AD134" s="137"/>
      <c r="AE134" s="137"/>
      <c r="AF134" s="137"/>
      <c r="AG134" s="341"/>
      <c r="AH134" s="137"/>
      <c r="AI134" s="137"/>
      <c r="AJ134" s="137"/>
      <c r="AK134" s="137"/>
      <c r="AL134" s="341"/>
      <c r="AM134" s="138"/>
      <c r="AN134" s="138"/>
      <c r="AO134" s="138"/>
      <c r="AP134" s="138"/>
      <c r="AQ134" s="346"/>
      <c r="AR134" s="346"/>
      <c r="AS134" s="346"/>
      <c r="AT134" s="346"/>
      <c r="AU134" s="346"/>
      <c r="AV134" s="346"/>
      <c r="AW134" s="346"/>
      <c r="AX134" s="346"/>
      <c r="AY134" s="346"/>
      <c r="AZ134" s="346"/>
      <c r="BA134" s="346"/>
      <c r="BB134" s="346"/>
      <c r="BC134" s="346"/>
      <c r="BD134" s="346"/>
      <c r="BE134" s="346"/>
      <c r="BF134" s="346"/>
      <c r="BG134" s="346"/>
      <c r="BH134" s="346"/>
      <c r="BI134" s="58"/>
      <c r="BJ134" s="58"/>
      <c r="BK134" s="58"/>
      <c r="BL134" s="58"/>
      <c r="BM134" s="58"/>
    </row>
    <row r="135" spans="2:67" s="135" customFormat="1" ht="18.75" customHeight="1">
      <c r="B135" s="341"/>
      <c r="C135" s="346" t="s">
        <v>882</v>
      </c>
      <c r="D135" s="346"/>
      <c r="E135" s="346"/>
      <c r="F135" s="346"/>
      <c r="G135" s="346"/>
      <c r="H135" s="346"/>
      <c r="I135" s="544" t="str">
        <f>AB62</f>
        <v>삼각형</v>
      </c>
      <c r="J135" s="544"/>
      <c r="K135" s="544"/>
      <c r="L135" s="544"/>
      <c r="M135" s="544"/>
      <c r="N135" s="544"/>
      <c r="O135" s="544"/>
      <c r="P135" s="544"/>
      <c r="Q135" s="346"/>
      <c r="R135" s="346"/>
      <c r="S135" s="346"/>
      <c r="T135" s="346"/>
      <c r="U135" s="346"/>
      <c r="V135" s="346"/>
      <c r="W135" s="346"/>
      <c r="X135" s="346"/>
      <c r="Y135" s="346"/>
      <c r="Z135" s="346"/>
      <c r="AA135" s="341"/>
      <c r="AB135" s="341"/>
      <c r="AC135" s="341"/>
      <c r="AD135" s="341"/>
      <c r="AE135" s="341"/>
      <c r="AF135" s="108"/>
      <c r="AG135" s="341"/>
      <c r="AH135" s="341"/>
      <c r="AI135" s="346"/>
      <c r="AJ135" s="346"/>
      <c r="AK135" s="346"/>
      <c r="AL135" s="346"/>
      <c r="AM135" s="346"/>
      <c r="AN135" s="346"/>
      <c r="AO135" s="346"/>
      <c r="AP135" s="346"/>
      <c r="AQ135" s="346"/>
      <c r="AR135" s="346"/>
      <c r="AS135" s="346"/>
      <c r="AT135" s="346"/>
      <c r="AU135" s="346"/>
      <c r="AV135" s="346"/>
      <c r="AW135" s="346"/>
      <c r="AX135" s="346"/>
      <c r="AY135" s="346"/>
      <c r="AZ135" s="346"/>
      <c r="BA135" s="346"/>
      <c r="BB135" s="346"/>
      <c r="BC135" s="346"/>
      <c r="BD135" s="346"/>
      <c r="BE135" s="346"/>
      <c r="BF135" s="346"/>
      <c r="BG135" s="346"/>
      <c r="BH135" s="58"/>
      <c r="BI135" s="58"/>
      <c r="BJ135" s="58"/>
      <c r="BK135" s="58"/>
      <c r="BL135" s="58"/>
      <c r="BM135" s="58"/>
      <c r="BN135" s="58"/>
    </row>
    <row r="136" spans="2:67" s="135" customFormat="1" ht="18.75" customHeight="1">
      <c r="B136" s="341"/>
      <c r="C136" s="518" t="s">
        <v>883</v>
      </c>
      <c r="D136" s="518"/>
      <c r="E136" s="518"/>
      <c r="F136" s="518"/>
      <c r="G136" s="518"/>
      <c r="H136" s="518"/>
      <c r="I136" s="346"/>
      <c r="J136" s="341"/>
      <c r="K136" s="346"/>
      <c r="L136" s="346"/>
      <c r="M136" s="346"/>
      <c r="N136" s="346"/>
      <c r="O136" s="346"/>
      <c r="P136" s="346"/>
      <c r="S136" s="576">
        <f>-H63</f>
        <v>-0.1</v>
      </c>
      <c r="T136" s="576"/>
      <c r="U136" s="518" t="s">
        <v>884</v>
      </c>
      <c r="V136" s="518"/>
      <c r="W136" s="518"/>
      <c r="X136" s="518"/>
      <c r="Y136" s="518"/>
      <c r="Z136" s="518"/>
      <c r="AA136" s="514" t="s">
        <v>1025</v>
      </c>
      <c r="AB136" s="576">
        <f>S136*1000</f>
        <v>-100</v>
      </c>
      <c r="AC136" s="576"/>
      <c r="AD136" s="576"/>
      <c r="AE136" s="518" t="s">
        <v>830</v>
      </c>
      <c r="AF136" s="518"/>
      <c r="AG136" s="518"/>
      <c r="AH136" s="518"/>
      <c r="AI136" s="518"/>
      <c r="AJ136" s="350"/>
      <c r="AK136" s="346"/>
      <c r="AL136" s="346"/>
      <c r="AM136" s="346"/>
      <c r="AN136" s="346"/>
      <c r="AP136" s="346"/>
      <c r="AQ136" s="346"/>
      <c r="AR136" s="341"/>
      <c r="AS136" s="341"/>
      <c r="AT136" s="341"/>
      <c r="AU136" s="341"/>
      <c r="AV136" s="341"/>
      <c r="AW136" s="341"/>
      <c r="AX136" s="341"/>
      <c r="AY136" s="341"/>
      <c r="AZ136" s="341"/>
      <c r="BA136" s="346"/>
      <c r="BB136" s="346"/>
      <c r="BC136" s="346"/>
    </row>
    <row r="137" spans="2:67" s="135" customFormat="1" ht="18.75" customHeight="1">
      <c r="B137" s="341"/>
      <c r="C137" s="518"/>
      <c r="D137" s="518"/>
      <c r="E137" s="518"/>
      <c r="F137" s="518"/>
      <c r="G137" s="518"/>
      <c r="H137" s="518"/>
      <c r="I137" s="346"/>
      <c r="J137" s="346"/>
      <c r="K137" s="346"/>
      <c r="L137" s="346"/>
      <c r="M137" s="346"/>
      <c r="N137" s="346"/>
      <c r="O137" s="346"/>
      <c r="P137" s="341"/>
      <c r="S137" s="576"/>
      <c r="T137" s="576"/>
      <c r="U137" s="518"/>
      <c r="V137" s="518"/>
      <c r="W137" s="518"/>
      <c r="X137" s="518"/>
      <c r="Y137" s="518"/>
      <c r="Z137" s="518"/>
      <c r="AA137" s="514"/>
      <c r="AB137" s="576"/>
      <c r="AC137" s="576"/>
      <c r="AD137" s="576"/>
      <c r="AE137" s="518"/>
      <c r="AF137" s="518"/>
      <c r="AG137" s="518"/>
      <c r="AH137" s="518"/>
      <c r="AI137" s="518"/>
      <c r="AJ137" s="350"/>
      <c r="AK137" s="346"/>
      <c r="AM137" s="346"/>
      <c r="AN137" s="346"/>
      <c r="AP137" s="346"/>
      <c r="AQ137" s="346"/>
      <c r="AR137" s="341"/>
      <c r="AS137" s="341"/>
      <c r="AT137" s="341"/>
      <c r="AU137" s="341"/>
      <c r="AV137" s="341"/>
      <c r="AW137" s="341"/>
      <c r="AX137" s="341"/>
      <c r="AY137" s="341"/>
      <c r="AZ137" s="341"/>
      <c r="BA137" s="346"/>
      <c r="BB137" s="346"/>
      <c r="BC137" s="346"/>
    </row>
    <row r="138" spans="2:67" s="135" customFormat="1" ht="18.75" customHeight="1">
      <c r="B138" s="341"/>
      <c r="C138" s="346" t="s">
        <v>885</v>
      </c>
      <c r="D138" s="346"/>
      <c r="E138" s="346"/>
      <c r="F138" s="346"/>
      <c r="G138" s="346"/>
      <c r="H138" s="346"/>
      <c r="I138" s="346"/>
      <c r="J138" s="341"/>
      <c r="K138" s="341" t="s">
        <v>877</v>
      </c>
      <c r="L138" s="594">
        <f>AB136</f>
        <v>-100</v>
      </c>
      <c r="M138" s="594"/>
      <c r="N138" s="594"/>
      <c r="O138" s="138" t="s">
        <v>886</v>
      </c>
      <c r="P138" s="354"/>
      <c r="R138" s="341"/>
      <c r="S138" s="341"/>
      <c r="T138" s="341"/>
      <c r="U138" s="341"/>
      <c r="V138" s="341"/>
      <c r="W138" s="341"/>
      <c r="X138" s="341"/>
      <c r="Y138" s="341"/>
      <c r="Z138" s="341" t="s">
        <v>850</v>
      </c>
      <c r="AA138" s="341" t="s">
        <v>845</v>
      </c>
      <c r="AB138" s="595">
        <f>ABS(L138*O62)</f>
        <v>8.1649658092772609E-5</v>
      </c>
      <c r="AC138" s="595"/>
      <c r="AD138" s="595"/>
      <c r="AE138" s="600"/>
      <c r="AF138" s="346" t="s">
        <v>831</v>
      </c>
      <c r="AG138" s="353"/>
      <c r="AH138" s="341"/>
      <c r="AI138" s="341"/>
      <c r="AK138" s="346"/>
      <c r="AL138" s="346"/>
      <c r="AM138" s="346"/>
      <c r="AN138" s="346"/>
      <c r="AO138" s="341"/>
      <c r="AP138" s="341"/>
      <c r="AQ138" s="341"/>
      <c r="AR138" s="341"/>
      <c r="AS138" s="341"/>
      <c r="AT138" s="138"/>
      <c r="AU138" s="346"/>
      <c r="AV138" s="346"/>
      <c r="AW138" s="346"/>
      <c r="AX138" s="379"/>
      <c r="AY138" s="138"/>
      <c r="AZ138" s="346"/>
      <c r="BA138" s="346"/>
      <c r="BB138" s="346"/>
      <c r="BC138" s="346"/>
      <c r="BD138" s="346"/>
      <c r="BE138" s="346"/>
      <c r="BF138" s="341"/>
      <c r="BG138" s="346"/>
      <c r="BH138" s="346"/>
      <c r="BI138" s="58"/>
      <c r="BJ138" s="58"/>
      <c r="BK138" s="58"/>
    </row>
    <row r="139" spans="2:67" s="135" customFormat="1" ht="18.75" customHeight="1">
      <c r="B139" s="341"/>
      <c r="C139" s="518" t="s">
        <v>1052</v>
      </c>
      <c r="D139" s="518"/>
      <c r="E139" s="518"/>
      <c r="F139" s="518"/>
      <c r="G139" s="518"/>
      <c r="H139" s="346"/>
      <c r="J139" s="346"/>
      <c r="K139" s="346"/>
      <c r="L139" s="346"/>
      <c r="M139" s="346"/>
      <c r="N139" s="346"/>
      <c r="O139" s="346"/>
      <c r="P139" s="346"/>
      <c r="Q139" s="346"/>
      <c r="R139" s="138"/>
      <c r="S139" s="346"/>
      <c r="T139" s="346"/>
      <c r="U139" s="346"/>
      <c r="W139" s="346"/>
      <c r="X139" s="346"/>
      <c r="Y139" s="346"/>
      <c r="Z139" s="346"/>
      <c r="AA139" s="370" t="s">
        <v>871</v>
      </c>
      <c r="AB139" s="346"/>
      <c r="AC139" s="346"/>
      <c r="AD139" s="346"/>
      <c r="AE139" s="341"/>
      <c r="AF139" s="341"/>
      <c r="AH139" s="341"/>
      <c r="AI139" s="341"/>
      <c r="AJ139" s="341"/>
      <c r="AK139" s="341"/>
      <c r="AL139" s="341"/>
      <c r="AM139" s="341"/>
      <c r="AN139" s="341"/>
      <c r="AO139" s="341"/>
      <c r="AP139" s="341"/>
      <c r="AQ139" s="341"/>
      <c r="AR139" s="341"/>
      <c r="AS139" s="341"/>
      <c r="AT139" s="341"/>
      <c r="AU139" s="341"/>
      <c r="AV139" s="341"/>
      <c r="AW139" s="341"/>
      <c r="AX139" s="341"/>
      <c r="AY139" s="341"/>
      <c r="AZ139" s="341"/>
      <c r="BA139" s="341"/>
      <c r="BB139" s="341"/>
      <c r="BC139" s="341"/>
      <c r="BD139" s="341"/>
      <c r="BE139" s="341"/>
      <c r="BF139" s="341"/>
      <c r="BG139" s="341"/>
      <c r="BH139" s="58"/>
      <c r="BI139" s="58"/>
      <c r="BJ139" s="58"/>
      <c r="BK139" s="58"/>
      <c r="BL139" s="58"/>
    </row>
    <row r="140" spans="2:67" s="135" customFormat="1" ht="18.75" customHeight="1">
      <c r="B140" s="341"/>
      <c r="C140" s="518"/>
      <c r="D140" s="518"/>
      <c r="E140" s="518"/>
      <c r="F140" s="518"/>
      <c r="G140" s="518"/>
      <c r="H140" s="346"/>
      <c r="I140" s="346"/>
      <c r="J140" s="346"/>
      <c r="K140" s="346"/>
      <c r="L140" s="346"/>
      <c r="M140" s="346"/>
      <c r="N140" s="346"/>
      <c r="O140" s="346"/>
      <c r="P140" s="346"/>
      <c r="Q140" s="346"/>
      <c r="R140" s="138"/>
      <c r="S140" s="346"/>
      <c r="T140" s="346"/>
      <c r="U140" s="346"/>
      <c r="V140" s="346"/>
      <c r="W140" s="346"/>
      <c r="X140" s="346"/>
      <c r="Y140" s="346"/>
      <c r="Z140" s="346"/>
      <c r="AA140" s="346"/>
      <c r="AB140" s="346"/>
      <c r="AC140" s="346"/>
      <c r="AD140" s="346"/>
      <c r="AE140" s="341"/>
      <c r="AF140" s="341"/>
      <c r="AG140" s="341"/>
      <c r="AH140" s="341"/>
      <c r="AI140" s="341"/>
      <c r="AJ140" s="341"/>
      <c r="AK140" s="341"/>
      <c r="AL140" s="341"/>
      <c r="AM140" s="341"/>
      <c r="AN140" s="341"/>
      <c r="AO140" s="341"/>
      <c r="AP140" s="341"/>
      <c r="AQ140" s="341"/>
      <c r="AR140" s="341"/>
      <c r="AS140" s="341"/>
      <c r="AT140" s="341"/>
      <c r="AU140" s="341"/>
      <c r="AV140" s="341"/>
      <c r="AW140" s="341"/>
      <c r="AX140" s="341"/>
      <c r="AY140" s="341"/>
      <c r="AZ140" s="341"/>
      <c r="BA140" s="341"/>
      <c r="BB140" s="341"/>
      <c r="BC140" s="341"/>
      <c r="BD140" s="341"/>
      <c r="BE140" s="341"/>
      <c r="BF140" s="341"/>
      <c r="BG140" s="341"/>
      <c r="BH140" s="58"/>
      <c r="BI140" s="58"/>
      <c r="BJ140" s="58"/>
      <c r="BK140" s="58"/>
      <c r="BL140" s="58"/>
    </row>
    <row r="141" spans="2:67" s="135" customFormat="1" ht="18.75" customHeight="1">
      <c r="B141" s="341"/>
      <c r="C141" s="346"/>
      <c r="D141" s="346"/>
      <c r="E141" s="346"/>
      <c r="F141" s="346"/>
      <c r="G141" s="346"/>
      <c r="H141" s="346"/>
      <c r="I141" s="346"/>
      <c r="J141" s="346"/>
      <c r="K141" s="346"/>
      <c r="L141" s="346"/>
      <c r="M141" s="346"/>
      <c r="N141" s="346"/>
      <c r="O141" s="346"/>
      <c r="P141" s="346"/>
      <c r="Q141" s="346"/>
      <c r="R141" s="138"/>
      <c r="S141" s="346"/>
      <c r="T141" s="346"/>
      <c r="U141" s="346"/>
      <c r="V141" s="346"/>
      <c r="W141" s="346"/>
      <c r="X141" s="346"/>
      <c r="Y141" s="346"/>
      <c r="Z141" s="544">
        <v>100</v>
      </c>
      <c r="AA141" s="544"/>
      <c r="AD141" s="346"/>
      <c r="AE141" s="341"/>
      <c r="AF141" s="341"/>
      <c r="AG141" s="341"/>
      <c r="AH141" s="341"/>
      <c r="AI141" s="341"/>
      <c r="AJ141" s="341"/>
      <c r="AK141" s="341"/>
      <c r="AL141" s="341"/>
      <c r="AM141" s="341"/>
      <c r="AN141" s="341"/>
      <c r="AO141" s="341"/>
      <c r="AP141" s="341"/>
      <c r="AQ141" s="341"/>
      <c r="AR141" s="341"/>
      <c r="AS141" s="341"/>
      <c r="AT141" s="341"/>
      <c r="AU141" s="341"/>
      <c r="AV141" s="341"/>
      <c r="AW141" s="341"/>
      <c r="AX141" s="341"/>
      <c r="AY141" s="341"/>
      <c r="AZ141" s="341"/>
      <c r="BA141" s="341"/>
      <c r="BB141" s="341"/>
      <c r="BC141" s="341"/>
      <c r="BD141" s="341"/>
      <c r="BE141" s="341"/>
      <c r="BF141" s="341"/>
      <c r="BG141" s="341"/>
      <c r="BH141" s="58"/>
      <c r="BI141" s="58"/>
      <c r="BJ141" s="58"/>
      <c r="BK141" s="58"/>
      <c r="BL141" s="58"/>
    </row>
    <row r="142" spans="2:67" s="135" customFormat="1" ht="18.75" customHeight="1">
      <c r="B142" s="341"/>
      <c r="C142" s="346"/>
      <c r="D142" s="346"/>
      <c r="E142" s="346"/>
      <c r="F142" s="346"/>
      <c r="G142" s="346"/>
      <c r="H142" s="346"/>
      <c r="I142" s="346"/>
      <c r="J142" s="346"/>
      <c r="K142" s="346"/>
      <c r="L142" s="346"/>
      <c r="M142" s="346"/>
      <c r="N142" s="346"/>
      <c r="O142" s="346"/>
      <c r="P142" s="346"/>
      <c r="Q142" s="346"/>
      <c r="R142" s="138"/>
      <c r="S142" s="346"/>
      <c r="T142" s="346"/>
      <c r="U142" s="346"/>
      <c r="V142" s="346"/>
      <c r="W142" s="346"/>
      <c r="X142" s="346"/>
      <c r="Y142" s="346"/>
      <c r="Z142" s="544"/>
      <c r="AA142" s="544"/>
      <c r="AD142" s="346"/>
      <c r="AE142" s="341"/>
      <c r="AF142" s="341"/>
      <c r="AG142" s="341"/>
      <c r="AH142" s="341"/>
      <c r="AI142" s="341"/>
      <c r="AJ142" s="341"/>
      <c r="AK142" s="341"/>
      <c r="AL142" s="341"/>
      <c r="AM142" s="341"/>
      <c r="AN142" s="341"/>
      <c r="AO142" s="341"/>
      <c r="AP142" s="341"/>
      <c r="AQ142" s="341"/>
      <c r="AR142" s="341"/>
      <c r="AS142" s="341"/>
      <c r="AT142" s="341"/>
      <c r="AU142" s="341"/>
      <c r="AV142" s="341"/>
      <c r="AW142" s="341"/>
      <c r="AX142" s="341"/>
      <c r="AY142" s="341"/>
      <c r="AZ142" s="341"/>
      <c r="BA142" s="341"/>
      <c r="BB142" s="341"/>
      <c r="BC142" s="341"/>
      <c r="BD142" s="341"/>
      <c r="BE142" s="341"/>
      <c r="BF142" s="341"/>
      <c r="BG142" s="341"/>
      <c r="BH142" s="58"/>
      <c r="BI142" s="58"/>
      <c r="BJ142" s="58"/>
      <c r="BK142" s="58"/>
      <c r="BL142" s="58"/>
    </row>
    <row r="143" spans="2:67" s="135" customFormat="1" ht="18.75" customHeight="1">
      <c r="B143" s="341"/>
      <c r="C143" s="346"/>
      <c r="D143" s="346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46"/>
      <c r="P143" s="346"/>
      <c r="Q143" s="346"/>
      <c r="R143" s="138"/>
      <c r="S143" s="346"/>
      <c r="T143" s="346"/>
      <c r="U143" s="346"/>
      <c r="V143" s="346"/>
      <c r="W143" s="346"/>
      <c r="X143" s="346"/>
      <c r="Y143" s="346"/>
      <c r="Z143" s="346"/>
      <c r="AA143" s="346"/>
      <c r="AB143" s="346"/>
      <c r="AC143" s="346"/>
      <c r="AD143" s="346"/>
      <c r="AE143" s="341"/>
      <c r="AF143" s="341"/>
      <c r="AG143" s="341"/>
      <c r="AH143" s="341"/>
      <c r="AI143" s="341"/>
      <c r="AJ143" s="341"/>
      <c r="AK143" s="341"/>
      <c r="AL143" s="341"/>
      <c r="AM143" s="341"/>
      <c r="AN143" s="341"/>
      <c r="AO143" s="341"/>
      <c r="AP143" s="341"/>
      <c r="AQ143" s="341"/>
      <c r="AR143" s="341"/>
      <c r="AS143" s="341"/>
      <c r="AT143" s="341"/>
      <c r="AU143" s="341"/>
      <c r="AV143" s="341"/>
      <c r="AW143" s="341"/>
      <c r="AX143" s="341"/>
      <c r="AY143" s="341"/>
      <c r="AZ143" s="341"/>
      <c r="BA143" s="341"/>
      <c r="BB143" s="341"/>
      <c r="BC143" s="341"/>
      <c r="BD143" s="341"/>
      <c r="BE143" s="341"/>
      <c r="BF143" s="341"/>
      <c r="BG143" s="341"/>
      <c r="BH143" s="58"/>
      <c r="BI143" s="58"/>
      <c r="BJ143" s="58"/>
      <c r="BK143" s="58"/>
      <c r="BL143" s="58"/>
    </row>
    <row r="144" spans="2:67" s="135" customFormat="1" ht="18.75" customHeight="1">
      <c r="B144" s="341"/>
      <c r="C144" s="346"/>
      <c r="D144" s="346"/>
      <c r="E144" s="346"/>
      <c r="F144" s="346"/>
      <c r="G144" s="346"/>
      <c r="H144" s="346"/>
      <c r="I144" s="346"/>
      <c r="J144" s="346"/>
      <c r="K144" s="346"/>
      <c r="L144" s="346"/>
      <c r="M144" s="346"/>
      <c r="N144" s="346"/>
      <c r="O144" s="346"/>
      <c r="P144" s="346"/>
      <c r="Q144" s="346"/>
      <c r="R144" s="138"/>
      <c r="S144" s="346"/>
      <c r="T144" s="346"/>
      <c r="U144" s="346"/>
      <c r="V144" s="346"/>
      <c r="W144" s="346"/>
      <c r="X144" s="346"/>
      <c r="Y144" s="346"/>
      <c r="Z144" s="346"/>
      <c r="AA144" s="346"/>
      <c r="AB144" s="346"/>
      <c r="AC144" s="346"/>
      <c r="AD144" s="346"/>
      <c r="AE144" s="341"/>
      <c r="AF144" s="341"/>
      <c r="AG144" s="341"/>
      <c r="AH144" s="341"/>
      <c r="AI144" s="341"/>
      <c r="AJ144" s="341"/>
      <c r="AK144" s="341"/>
      <c r="AL144" s="341"/>
      <c r="AM144" s="341"/>
      <c r="AN144" s="341"/>
      <c r="AO144" s="341"/>
      <c r="AP144" s="341"/>
      <c r="AQ144" s="341"/>
      <c r="AR144" s="341"/>
      <c r="AS144" s="341"/>
      <c r="AT144" s="341"/>
      <c r="AU144" s="341"/>
      <c r="AV144" s="341"/>
      <c r="AW144" s="341"/>
      <c r="AX144" s="341"/>
      <c r="AY144" s="341"/>
      <c r="AZ144" s="341"/>
      <c r="BA144" s="341"/>
      <c r="BB144" s="341"/>
      <c r="BC144" s="341"/>
      <c r="BD144" s="341"/>
      <c r="BE144" s="341"/>
      <c r="BF144" s="341"/>
      <c r="BG144" s="341"/>
      <c r="BH144" s="346"/>
      <c r="BI144" s="346"/>
      <c r="BJ144" s="346"/>
      <c r="BK144" s="346"/>
    </row>
    <row r="145" spans="2:74" s="135" customFormat="1" ht="18.75" customHeight="1">
      <c r="B145" s="57" t="str">
        <f>"6. "&amp;N5&amp;"와 "&amp;T5&amp;"의 평균온도와 기준 온도와의 차이에 의한 표준불확도,"</f>
        <v>6. 측정투영기와 표준자의 평균온도와 기준 온도와의 차이에 의한 표준불확도,</v>
      </c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46"/>
      <c r="P145" s="346"/>
      <c r="Q145" s="346"/>
      <c r="R145" s="346"/>
      <c r="S145" s="346"/>
      <c r="T145" s="346"/>
      <c r="U145" s="346"/>
      <c r="V145" s="346"/>
      <c r="W145" s="346"/>
      <c r="X145" s="346"/>
      <c r="Y145" s="346"/>
      <c r="Z145" s="346"/>
      <c r="AA145" s="346"/>
      <c r="AB145" s="346"/>
      <c r="AC145" s="346"/>
      <c r="AD145" s="346"/>
      <c r="AE145" s="346"/>
      <c r="AF145" s="346"/>
      <c r="AG145" s="202" t="s">
        <v>1053</v>
      </c>
      <c r="AH145" s="346"/>
      <c r="AI145" s="346"/>
      <c r="AJ145" s="346"/>
      <c r="AL145" s="346"/>
      <c r="AM145" s="346"/>
      <c r="AN145" s="346"/>
      <c r="AO145" s="346"/>
      <c r="AP145" s="346"/>
      <c r="AQ145" s="346"/>
      <c r="AR145" s="346"/>
      <c r="AS145" s="346"/>
      <c r="AT145" s="346"/>
      <c r="AU145" s="346"/>
      <c r="AV145" s="346"/>
      <c r="AW145" s="346"/>
      <c r="AX145" s="346"/>
      <c r="AY145" s="346"/>
      <c r="AZ145" s="346"/>
      <c r="BA145" s="346"/>
      <c r="BB145" s="346"/>
      <c r="BC145" s="346"/>
      <c r="BD145" s="346"/>
      <c r="BE145" s="346"/>
      <c r="BF145" s="346"/>
      <c r="BG145" s="346"/>
      <c r="BH145" s="58"/>
      <c r="BI145" s="58"/>
      <c r="BJ145" s="58"/>
      <c r="BK145" s="58"/>
      <c r="BL145" s="58"/>
      <c r="BM145" s="58"/>
      <c r="BN145" s="58"/>
    </row>
    <row r="146" spans="2:74" s="135" customFormat="1" ht="18.75" customHeight="1">
      <c r="B146" s="57"/>
      <c r="C146" s="346" t="str">
        <f>"※ 측정실 공기중의 온도를 측정하였고, 측정에 사용된 온도계의 불확도가 "&amp;N149&amp;" ℃를 넘지 않으므로,"</f>
        <v>※ 측정실 공기중의 온도를 측정하였고, 측정에 사용된 온도계의 불확도가 1 ℃를 넘지 않으므로,</v>
      </c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46"/>
      <c r="P146" s="346"/>
      <c r="Q146" s="346"/>
      <c r="R146" s="346"/>
      <c r="S146" s="346"/>
      <c r="T146" s="346"/>
      <c r="U146" s="346"/>
      <c r="V146" s="346"/>
      <c r="W146" s="346"/>
      <c r="X146" s="346"/>
      <c r="Y146" s="346"/>
      <c r="Z146" s="346"/>
      <c r="AA146" s="346"/>
      <c r="AB146" s="346"/>
      <c r="AC146" s="346"/>
      <c r="AD146" s="346"/>
      <c r="AE146" s="346"/>
      <c r="AF146" s="346"/>
      <c r="AG146" s="346"/>
      <c r="AH146" s="346"/>
      <c r="AI146" s="346"/>
      <c r="AJ146" s="346"/>
      <c r="AK146" s="346"/>
      <c r="AL146" s="346"/>
      <c r="AM146" s="346"/>
      <c r="AN146" s="346"/>
      <c r="AO146" s="346"/>
      <c r="AP146" s="346"/>
      <c r="AQ146" s="346"/>
      <c r="AR146" s="346"/>
      <c r="AS146" s="346"/>
      <c r="AT146" s="346"/>
      <c r="AU146" s="346"/>
      <c r="AV146" s="346"/>
      <c r="AW146" s="346"/>
      <c r="AX146" s="346"/>
      <c r="AY146" s="346"/>
      <c r="AZ146" s="346"/>
      <c r="BA146" s="346"/>
      <c r="BB146" s="346"/>
      <c r="BC146" s="346"/>
      <c r="BD146" s="346"/>
      <c r="BE146" s="346"/>
      <c r="BF146" s="346"/>
      <c r="BG146" s="346"/>
      <c r="BH146" s="58"/>
      <c r="BI146" s="58"/>
      <c r="BJ146" s="58"/>
      <c r="BK146" s="58"/>
      <c r="BL146" s="58"/>
      <c r="BM146" s="58"/>
      <c r="BN146" s="58"/>
    </row>
    <row r="147" spans="2:74" s="135" customFormat="1" ht="18.75" customHeight="1">
      <c r="B147" s="57"/>
      <c r="C147" s="346"/>
      <c r="D147" s="346" t="s">
        <v>1054</v>
      </c>
      <c r="E147" s="346"/>
      <c r="F147" s="346"/>
      <c r="G147" s="346"/>
      <c r="H147" s="346"/>
      <c r="I147" s="346"/>
      <c r="J147" s="346"/>
      <c r="K147" s="346"/>
      <c r="L147" s="346"/>
      <c r="M147" s="346"/>
      <c r="N147" s="346"/>
      <c r="O147" s="346"/>
      <c r="P147" s="346"/>
      <c r="Q147" s="346"/>
      <c r="R147" s="346"/>
      <c r="S147" s="346"/>
      <c r="T147" s="346"/>
      <c r="U147" s="346"/>
      <c r="V147" s="346"/>
      <c r="W147" s="346"/>
      <c r="X147" s="346"/>
      <c r="Y147" s="346"/>
      <c r="Z147" s="346"/>
      <c r="AA147" s="346"/>
      <c r="AB147" s="346"/>
      <c r="AC147" s="346"/>
      <c r="AD147" s="346"/>
      <c r="AE147" s="346"/>
      <c r="AF147" s="346"/>
      <c r="AG147" s="346"/>
      <c r="AH147" s="346"/>
      <c r="AI147" s="346"/>
      <c r="AJ147" s="346"/>
      <c r="AK147" s="346"/>
      <c r="AL147" s="346"/>
      <c r="AM147" s="346"/>
      <c r="AN147" s="346"/>
      <c r="AO147" s="346"/>
      <c r="AP147" s="346"/>
      <c r="AQ147" s="346"/>
      <c r="AR147" s="346"/>
      <c r="AS147" s="346"/>
      <c r="AT147" s="346"/>
      <c r="AU147" s="346"/>
      <c r="AV147" s="346"/>
      <c r="AW147" s="346"/>
      <c r="AX147" s="346"/>
      <c r="AY147" s="346"/>
      <c r="AZ147" s="346"/>
      <c r="BA147" s="346"/>
      <c r="BB147" s="346"/>
      <c r="BC147" s="346"/>
      <c r="BD147" s="346"/>
      <c r="BE147" s="346"/>
      <c r="BF147" s="346"/>
      <c r="BG147" s="346"/>
      <c r="BH147" s="58"/>
      <c r="BI147" s="58"/>
      <c r="BJ147" s="58"/>
      <c r="BK147" s="58"/>
      <c r="BL147" s="58"/>
      <c r="BM147" s="58"/>
      <c r="BN147" s="58"/>
    </row>
    <row r="148" spans="2:74" s="135" customFormat="1" ht="18.75" customHeight="1">
      <c r="B148" s="341"/>
      <c r="C148" s="353" t="s">
        <v>1055</v>
      </c>
      <c r="D148" s="341"/>
      <c r="E148" s="341"/>
      <c r="F148" s="341"/>
      <c r="G148" s="341"/>
      <c r="H148" s="596">
        <f>H63</f>
        <v>0.1</v>
      </c>
      <c r="I148" s="596"/>
      <c r="J148" s="596"/>
      <c r="K148" s="596"/>
      <c r="L148" s="596"/>
      <c r="M148" s="596"/>
      <c r="N148" s="596"/>
      <c r="O148" s="596"/>
      <c r="P148" s="350"/>
      <c r="Q148" s="346"/>
      <c r="R148" s="346"/>
      <c r="S148" s="346"/>
      <c r="T148" s="346"/>
      <c r="U148" s="346"/>
      <c r="V148" s="346"/>
      <c r="W148" s="346"/>
      <c r="X148" s="346"/>
      <c r="Y148" s="346"/>
      <c r="Z148" s="346"/>
      <c r="AA148" s="346"/>
      <c r="AB148" s="346"/>
      <c r="AC148" s="346"/>
      <c r="AD148" s="346"/>
      <c r="AE148" s="346"/>
      <c r="AF148" s="346"/>
      <c r="AG148" s="346"/>
      <c r="AH148" s="346"/>
      <c r="AI148" s="346"/>
      <c r="AJ148" s="346"/>
      <c r="AK148" s="346"/>
      <c r="AL148" s="346"/>
      <c r="AM148" s="346"/>
      <c r="AN148" s="346"/>
      <c r="AO148" s="346"/>
      <c r="AP148" s="346"/>
      <c r="AQ148" s="346"/>
      <c r="AR148" s="346"/>
      <c r="AS148" s="346"/>
      <c r="AT148" s="346"/>
      <c r="AU148" s="346"/>
      <c r="AV148" s="346"/>
      <c r="AW148" s="346"/>
      <c r="AX148" s="346"/>
      <c r="AY148" s="346"/>
      <c r="AZ148" s="346"/>
      <c r="BA148" s="346"/>
      <c r="BB148" s="346"/>
      <c r="BC148" s="346"/>
      <c r="BD148" s="346"/>
      <c r="BE148" s="346"/>
      <c r="BF148" s="346"/>
      <c r="BG148" s="346"/>
      <c r="BH148" s="58"/>
      <c r="BI148" s="58"/>
      <c r="BJ148" s="58"/>
      <c r="BK148" s="58"/>
      <c r="BL148" s="58"/>
      <c r="BM148" s="58"/>
    </row>
    <row r="149" spans="2:74" s="135" customFormat="1" ht="18.75" customHeight="1">
      <c r="B149" s="341"/>
      <c r="C149" s="518" t="s">
        <v>887</v>
      </c>
      <c r="D149" s="518"/>
      <c r="E149" s="518"/>
      <c r="F149" s="518"/>
      <c r="G149" s="518"/>
      <c r="H149" s="518"/>
      <c r="I149" s="518"/>
      <c r="J149" s="579" t="s">
        <v>888</v>
      </c>
      <c r="K149" s="579"/>
      <c r="L149" s="579"/>
      <c r="M149" s="514" t="s">
        <v>845</v>
      </c>
      <c r="N149" s="597">
        <f>Calcu!H39</f>
        <v>1</v>
      </c>
      <c r="O149" s="597"/>
      <c r="P149" s="355" t="s">
        <v>1056</v>
      </c>
      <c r="Q149" s="386"/>
      <c r="R149" s="514" t="s">
        <v>845</v>
      </c>
      <c r="S149" s="589">
        <f>N149/SQRT(3)</f>
        <v>0.57735026918962584</v>
      </c>
      <c r="T149" s="589"/>
      <c r="U149" s="589"/>
      <c r="V149" s="576" t="str">
        <f>P149</f>
        <v>℃</v>
      </c>
      <c r="W149" s="576"/>
      <c r="X149" s="350"/>
      <c r="Y149" s="140"/>
      <c r="Z149" s="141"/>
      <c r="AA149" s="141"/>
      <c r="AZ149" s="346"/>
      <c r="BA149" s="346"/>
      <c r="BB149" s="346"/>
      <c r="BC149" s="346"/>
      <c r="BD149" s="346"/>
      <c r="BE149" s="346"/>
      <c r="BF149" s="346"/>
      <c r="BG149" s="346"/>
      <c r="BH149" s="346"/>
      <c r="BI149" s="346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</row>
    <row r="150" spans="2:74" s="135" customFormat="1" ht="18.75" customHeight="1">
      <c r="B150" s="341"/>
      <c r="C150" s="518"/>
      <c r="D150" s="518"/>
      <c r="E150" s="518"/>
      <c r="F150" s="518"/>
      <c r="G150" s="518"/>
      <c r="H150" s="518"/>
      <c r="I150" s="518"/>
      <c r="J150" s="579"/>
      <c r="K150" s="579"/>
      <c r="L150" s="579"/>
      <c r="M150" s="514"/>
      <c r="N150" s="341"/>
      <c r="O150" s="341"/>
      <c r="P150" s="341"/>
      <c r="Q150" s="341"/>
      <c r="R150" s="514"/>
      <c r="S150" s="589"/>
      <c r="T150" s="589"/>
      <c r="U150" s="589"/>
      <c r="V150" s="576"/>
      <c r="W150" s="576"/>
      <c r="X150" s="350"/>
      <c r="Y150" s="140"/>
      <c r="Z150" s="141"/>
      <c r="AA150" s="141"/>
      <c r="AZ150" s="346"/>
      <c r="BA150" s="346"/>
      <c r="BB150" s="346"/>
      <c r="BC150" s="346"/>
      <c r="BD150" s="346"/>
      <c r="BE150" s="346"/>
      <c r="BF150" s="346"/>
      <c r="BG150" s="346"/>
      <c r="BH150" s="346"/>
      <c r="BI150" s="346"/>
      <c r="BJ150" s="58"/>
      <c r="BK150" s="58"/>
      <c r="BL150" s="58"/>
      <c r="BM150" s="58"/>
      <c r="BN150" s="58"/>
      <c r="BO150" s="58"/>
      <c r="BP150" s="58"/>
      <c r="BQ150" s="58"/>
      <c r="BR150" s="58"/>
      <c r="BS150" s="58"/>
    </row>
    <row r="151" spans="2:74" s="135" customFormat="1" ht="18.75" customHeight="1">
      <c r="B151" s="341"/>
      <c r="C151" s="346" t="s">
        <v>1057</v>
      </c>
      <c r="D151" s="346"/>
      <c r="E151" s="346"/>
      <c r="F151" s="346"/>
      <c r="G151" s="346"/>
      <c r="H151" s="346"/>
      <c r="I151" s="544" t="str">
        <f>AB63</f>
        <v>직사각형</v>
      </c>
      <c r="J151" s="544"/>
      <c r="K151" s="544"/>
      <c r="L151" s="544"/>
      <c r="M151" s="544"/>
      <c r="N151" s="544"/>
      <c r="O151" s="544"/>
      <c r="P151" s="544"/>
      <c r="Q151" s="346"/>
      <c r="R151" s="346"/>
      <c r="S151" s="346"/>
      <c r="T151" s="346"/>
      <c r="U151" s="346"/>
      <c r="V151" s="346"/>
      <c r="W151" s="346"/>
      <c r="X151" s="346"/>
      <c r="Y151" s="346"/>
      <c r="Z151" s="341"/>
      <c r="AA151" s="341"/>
      <c r="AB151" s="341"/>
      <c r="AC151" s="341"/>
      <c r="AD151" s="341"/>
      <c r="AE151" s="341"/>
      <c r="AF151" s="341"/>
      <c r="AG151" s="341"/>
      <c r="AH151" s="346"/>
      <c r="AI151" s="346"/>
      <c r="AJ151" s="346"/>
      <c r="AK151" s="346"/>
      <c r="AL151" s="346"/>
      <c r="AM151" s="346"/>
      <c r="AN151" s="346"/>
      <c r="AO151" s="346"/>
      <c r="AP151" s="346"/>
      <c r="AQ151" s="346"/>
      <c r="AR151" s="346"/>
      <c r="AS151" s="346"/>
      <c r="AT151" s="346"/>
      <c r="AU151" s="346"/>
      <c r="AV151" s="346"/>
      <c r="AW151" s="346"/>
      <c r="AX151" s="346"/>
      <c r="AY151" s="346"/>
      <c r="AZ151" s="346"/>
      <c r="BA151" s="346"/>
      <c r="BB151" s="346"/>
      <c r="BC151" s="346"/>
      <c r="BD151" s="346"/>
      <c r="BE151" s="346"/>
      <c r="BF151" s="341"/>
      <c r="BG151" s="346"/>
      <c r="BH151" s="58"/>
      <c r="BI151" s="58"/>
      <c r="BJ151" s="58"/>
      <c r="BK151" s="58"/>
      <c r="BL151" s="58"/>
      <c r="BM151" s="58"/>
      <c r="BN151" s="58"/>
      <c r="BO151" s="58"/>
      <c r="BP151" s="58"/>
      <c r="BQ151" s="58"/>
      <c r="BR151" s="58"/>
      <c r="BS151" s="58"/>
      <c r="BT151" s="58"/>
      <c r="BU151" s="58"/>
      <c r="BV151" s="58"/>
    </row>
    <row r="152" spans="2:74" s="135" customFormat="1" ht="18.75" customHeight="1">
      <c r="B152" s="341"/>
      <c r="C152" s="518" t="s">
        <v>1058</v>
      </c>
      <c r="D152" s="518"/>
      <c r="E152" s="518"/>
      <c r="F152" s="518"/>
      <c r="G152" s="518"/>
      <c r="H152" s="518"/>
      <c r="I152" s="346"/>
      <c r="J152" s="346"/>
      <c r="K152" s="346"/>
      <c r="L152" s="346"/>
      <c r="M152" s="346"/>
      <c r="N152" s="346"/>
      <c r="O152" s="341"/>
      <c r="S152" s="592" t="e">
        <f ca="1">-H62*10^6</f>
        <v>#N/A</v>
      </c>
      <c r="T152" s="592"/>
      <c r="U152" s="592"/>
      <c r="V152" s="518" t="s">
        <v>1059</v>
      </c>
      <c r="W152" s="518"/>
      <c r="X152" s="518"/>
      <c r="Y152" s="518"/>
      <c r="Z152" s="518"/>
      <c r="AA152" s="518"/>
      <c r="AB152" s="518"/>
      <c r="AC152" s="518"/>
      <c r="AD152" s="514" t="s">
        <v>845</v>
      </c>
      <c r="AE152" s="594" t="e">
        <f ca="1">S152*10^-6*1000</f>
        <v>#N/A</v>
      </c>
      <c r="AF152" s="594"/>
      <c r="AG152" s="594"/>
      <c r="AH152" s="594"/>
      <c r="AI152" s="518" t="s">
        <v>1060</v>
      </c>
      <c r="AJ152" s="518"/>
      <c r="AK152" s="518"/>
      <c r="AL152" s="518"/>
      <c r="AM152" s="518"/>
      <c r="AN152" s="518"/>
      <c r="AO152" s="518"/>
      <c r="AP152" s="346"/>
      <c r="AQ152" s="346"/>
      <c r="AR152" s="346"/>
      <c r="AS152" s="346"/>
      <c r="AT152" s="346"/>
      <c r="AU152" s="346"/>
      <c r="AV152" s="346"/>
      <c r="AW152" s="346"/>
      <c r="AX152" s="346"/>
      <c r="AY152" s="346"/>
      <c r="AZ152" s="346"/>
      <c r="BA152" s="346"/>
      <c r="BB152" s="346"/>
      <c r="BC152" s="346"/>
      <c r="BD152" s="346"/>
      <c r="BE152" s="346"/>
      <c r="BF152" s="346"/>
      <c r="BG152" s="346"/>
      <c r="BH152" s="58"/>
      <c r="BI152" s="58"/>
      <c r="BJ152" s="58"/>
      <c r="BK152" s="58"/>
      <c r="BL152" s="58"/>
      <c r="BM152" s="58"/>
    </row>
    <row r="153" spans="2:74" s="135" customFormat="1" ht="18.75" customHeight="1">
      <c r="B153" s="341"/>
      <c r="C153" s="518"/>
      <c r="D153" s="518"/>
      <c r="E153" s="518"/>
      <c r="F153" s="518"/>
      <c r="G153" s="518"/>
      <c r="H153" s="518"/>
      <c r="I153" s="346"/>
      <c r="J153" s="346"/>
      <c r="K153" s="346"/>
      <c r="L153" s="346"/>
      <c r="M153" s="346"/>
      <c r="N153" s="346"/>
      <c r="O153" s="346"/>
      <c r="S153" s="592"/>
      <c r="T153" s="592"/>
      <c r="U153" s="592"/>
      <c r="V153" s="518"/>
      <c r="W153" s="518"/>
      <c r="X153" s="518"/>
      <c r="Y153" s="518"/>
      <c r="Z153" s="518"/>
      <c r="AA153" s="518"/>
      <c r="AB153" s="518"/>
      <c r="AC153" s="518"/>
      <c r="AD153" s="514"/>
      <c r="AE153" s="594"/>
      <c r="AF153" s="594"/>
      <c r="AG153" s="594"/>
      <c r="AH153" s="594"/>
      <c r="AI153" s="518"/>
      <c r="AJ153" s="518"/>
      <c r="AK153" s="518"/>
      <c r="AL153" s="518"/>
      <c r="AM153" s="518"/>
      <c r="AN153" s="518"/>
      <c r="AO153" s="518"/>
      <c r="AP153" s="346"/>
      <c r="AQ153" s="346"/>
      <c r="AR153" s="346"/>
      <c r="AS153" s="346"/>
      <c r="AT153" s="346"/>
      <c r="AU153" s="346"/>
      <c r="AV153" s="346"/>
      <c r="AW153" s="346"/>
      <c r="AX153" s="346"/>
      <c r="AY153" s="346"/>
      <c r="AZ153" s="346"/>
      <c r="BA153" s="346"/>
      <c r="BB153" s="346"/>
      <c r="BC153" s="346"/>
      <c r="BD153" s="346"/>
      <c r="BE153" s="346"/>
      <c r="BF153" s="346"/>
      <c r="BG153" s="346"/>
      <c r="BH153" s="58"/>
      <c r="BI153" s="58"/>
      <c r="BJ153" s="58"/>
      <c r="BK153" s="58"/>
      <c r="BL153" s="58"/>
      <c r="BM153" s="58"/>
    </row>
    <row r="154" spans="2:74" s="135" customFormat="1" ht="18.75" customHeight="1">
      <c r="B154" s="341"/>
      <c r="C154" s="346" t="s">
        <v>1061</v>
      </c>
      <c r="D154" s="346"/>
      <c r="E154" s="346"/>
      <c r="F154" s="346"/>
      <c r="G154" s="346"/>
      <c r="H154" s="346"/>
      <c r="I154" s="346"/>
      <c r="J154" s="341"/>
      <c r="K154" s="370" t="s">
        <v>877</v>
      </c>
      <c r="L154" s="594" t="e">
        <f ca="1">AE152</f>
        <v>#N/A</v>
      </c>
      <c r="M154" s="594"/>
      <c r="N154" s="594"/>
      <c r="O154" s="518" t="s">
        <v>1062</v>
      </c>
      <c r="P154" s="518"/>
      <c r="Q154" s="518"/>
      <c r="R154" s="518"/>
      <c r="S154" s="518"/>
      <c r="T154" s="598">
        <f>S149</f>
        <v>0.57735026918962584</v>
      </c>
      <c r="U154" s="598"/>
      <c r="V154" s="598"/>
      <c r="W154" s="598"/>
      <c r="X154" s="341" t="s">
        <v>850</v>
      </c>
      <c r="Y154" s="341" t="s">
        <v>1019</v>
      </c>
      <c r="Z154" s="595" t="e">
        <f ca="1">ABS(L154*T154)</f>
        <v>#N/A</v>
      </c>
      <c r="AA154" s="595"/>
      <c r="AB154" s="595"/>
      <c r="AC154" s="599"/>
      <c r="AD154" s="346" t="s">
        <v>1009</v>
      </c>
      <c r="AE154" s="353"/>
      <c r="AF154" s="341"/>
      <c r="AG154" s="341"/>
      <c r="AH154" s="341"/>
      <c r="AI154" s="341"/>
      <c r="AJ154" s="341"/>
      <c r="AK154" s="341"/>
      <c r="AL154" s="341"/>
      <c r="AM154" s="341"/>
      <c r="AN154" s="341"/>
      <c r="AO154" s="341"/>
      <c r="AQ154" s="346"/>
      <c r="AR154" s="346"/>
      <c r="AS154" s="346"/>
      <c r="AT154" s="346"/>
      <c r="AU154" s="346"/>
      <c r="AV154" s="346"/>
      <c r="AW154" s="346"/>
      <c r="AX154" s="346"/>
      <c r="AY154" s="346"/>
      <c r="AZ154" s="346"/>
      <c r="BA154" s="346"/>
      <c r="BB154" s="346"/>
      <c r="BC154" s="346"/>
      <c r="BD154" s="346"/>
      <c r="BE154" s="346"/>
      <c r="BF154" s="346"/>
      <c r="BG154" s="346"/>
      <c r="BH154" s="58"/>
      <c r="BI154" s="58"/>
      <c r="BJ154" s="58"/>
      <c r="BK154" s="58"/>
    </row>
    <row r="155" spans="2:74" s="135" customFormat="1" ht="18.75" customHeight="1">
      <c r="B155" s="341"/>
      <c r="C155" s="518" t="s">
        <v>1063</v>
      </c>
      <c r="D155" s="518"/>
      <c r="E155" s="518"/>
      <c r="F155" s="518"/>
      <c r="G155" s="518"/>
      <c r="H155" s="346"/>
      <c r="J155" s="346"/>
      <c r="K155" s="346"/>
      <c r="L155" s="346"/>
      <c r="M155" s="346"/>
      <c r="N155" s="346"/>
      <c r="O155" s="346"/>
      <c r="P155" s="346"/>
      <c r="Q155" s="346"/>
      <c r="R155" s="138"/>
      <c r="S155" s="346"/>
      <c r="T155" s="346"/>
      <c r="U155" s="346"/>
      <c r="W155" s="370" t="s">
        <v>879</v>
      </c>
      <c r="X155" s="346"/>
      <c r="Y155" s="346"/>
      <c r="Z155" s="346"/>
      <c r="AA155" s="346"/>
      <c r="AB155" s="346"/>
      <c r="AC155" s="346"/>
      <c r="AD155" s="346"/>
      <c r="AE155" s="341"/>
      <c r="AF155" s="341"/>
      <c r="AG155" s="341"/>
      <c r="AH155" s="341"/>
      <c r="AI155" s="341"/>
      <c r="AJ155" s="341"/>
      <c r="AK155" s="341"/>
      <c r="AL155" s="341"/>
      <c r="AM155" s="341"/>
      <c r="AN155" s="341"/>
      <c r="AO155" s="341"/>
      <c r="AP155" s="341"/>
      <c r="AQ155" s="341"/>
      <c r="AR155" s="341"/>
      <c r="AS155" s="341"/>
      <c r="AT155" s="341"/>
      <c r="AU155" s="341"/>
      <c r="AV155" s="341"/>
      <c r="AW155" s="341"/>
      <c r="AX155" s="341"/>
      <c r="AY155" s="341"/>
      <c r="AZ155" s="341"/>
      <c r="BA155" s="341"/>
      <c r="BB155" s="341"/>
      <c r="BC155" s="341"/>
      <c r="BD155" s="341"/>
      <c r="BE155" s="341"/>
      <c r="BF155" s="341"/>
      <c r="BG155" s="341"/>
      <c r="BH155" s="58"/>
      <c r="BI155" s="58"/>
      <c r="BJ155" s="58"/>
      <c r="BK155" s="58"/>
      <c r="BP155" s="58"/>
      <c r="BS155" s="58"/>
      <c r="BT155" s="58"/>
      <c r="BU155" s="58"/>
    </row>
    <row r="156" spans="2:74" s="135" customFormat="1" ht="18.75" customHeight="1">
      <c r="B156" s="341"/>
      <c r="C156" s="518"/>
      <c r="D156" s="518"/>
      <c r="E156" s="518"/>
      <c r="F156" s="518"/>
      <c r="G156" s="518"/>
      <c r="H156" s="346"/>
      <c r="I156" s="346"/>
      <c r="J156" s="346"/>
      <c r="K156" s="346"/>
      <c r="L156" s="346"/>
      <c r="M156" s="346"/>
      <c r="N156" s="346"/>
      <c r="O156" s="346"/>
      <c r="P156" s="346"/>
      <c r="Q156" s="346"/>
      <c r="R156" s="138"/>
      <c r="S156" s="346"/>
      <c r="T156" s="346"/>
      <c r="U156" s="346"/>
      <c r="V156" s="346"/>
      <c r="W156" s="346"/>
      <c r="X156" s="346"/>
      <c r="Y156" s="346"/>
      <c r="Z156" s="346"/>
      <c r="AA156" s="346"/>
      <c r="AB156" s="346"/>
      <c r="AC156" s="341"/>
      <c r="AD156" s="341"/>
      <c r="AE156" s="341"/>
      <c r="AF156" s="341"/>
      <c r="AG156" s="341"/>
      <c r="AH156" s="341"/>
      <c r="AI156" s="341"/>
      <c r="AJ156" s="341"/>
      <c r="AK156" s="341"/>
      <c r="AL156" s="341"/>
      <c r="AM156" s="341"/>
      <c r="AN156" s="341"/>
      <c r="AO156" s="341"/>
      <c r="AP156" s="341"/>
      <c r="AQ156" s="341"/>
      <c r="AR156" s="341"/>
      <c r="AS156" s="341"/>
      <c r="AT156" s="341"/>
      <c r="AU156" s="341"/>
      <c r="AV156" s="341"/>
      <c r="AW156" s="341"/>
      <c r="AX156" s="341"/>
      <c r="AY156" s="341"/>
      <c r="AZ156" s="341"/>
      <c r="BA156" s="341"/>
      <c r="BB156" s="341"/>
      <c r="BC156" s="341"/>
      <c r="BD156" s="341"/>
      <c r="BE156" s="341"/>
      <c r="BF156" s="341"/>
      <c r="BG156" s="341"/>
      <c r="BH156" s="58"/>
      <c r="BI156" s="58"/>
      <c r="BJ156" s="58"/>
      <c r="BK156" s="58"/>
      <c r="BP156" s="58"/>
      <c r="BS156" s="58"/>
      <c r="BT156" s="58"/>
      <c r="BU156" s="58"/>
    </row>
    <row r="157" spans="2:74" s="135" customFormat="1" ht="18.75" customHeight="1">
      <c r="B157" s="341"/>
      <c r="C157" s="346"/>
      <c r="D157" s="346"/>
      <c r="E157" s="346"/>
      <c r="F157" s="346"/>
      <c r="G157" s="341"/>
      <c r="H157" s="346"/>
      <c r="I157" s="346"/>
      <c r="J157" s="346"/>
      <c r="K157" s="346"/>
      <c r="L157" s="346"/>
      <c r="M157" s="346"/>
      <c r="N157" s="346"/>
      <c r="O157" s="346"/>
      <c r="P157" s="346"/>
      <c r="Q157" s="346"/>
      <c r="R157" s="346"/>
      <c r="S157" s="346"/>
      <c r="T157" s="346"/>
      <c r="U157" s="346"/>
      <c r="V157" s="346"/>
      <c r="W157" s="346"/>
      <c r="X157" s="341"/>
      <c r="Y157" s="341"/>
      <c r="Z157" s="341"/>
      <c r="AA157" s="341"/>
      <c r="AB157" s="341"/>
      <c r="AC157" s="341"/>
      <c r="AD157" s="341"/>
      <c r="AE157" s="341"/>
      <c r="AF157" s="341"/>
      <c r="AG157" s="341"/>
      <c r="AH157" s="341"/>
      <c r="AI157" s="341"/>
      <c r="AJ157" s="341"/>
      <c r="AK157" s="341"/>
      <c r="AL157" s="341"/>
      <c r="AM157" s="341"/>
      <c r="AN157" s="341"/>
      <c r="AO157" s="341"/>
      <c r="AP157" s="341"/>
      <c r="AQ157" s="341"/>
      <c r="AR157" s="341"/>
      <c r="AS157" s="341"/>
      <c r="AT157" s="341"/>
      <c r="AU157" s="341"/>
      <c r="AV157" s="341"/>
      <c r="AW157" s="341"/>
      <c r="AX157" s="341"/>
      <c r="AY157" s="341"/>
      <c r="AZ157" s="341"/>
      <c r="BA157" s="341"/>
      <c r="BB157" s="341"/>
      <c r="BC157" s="341"/>
      <c r="BD157" s="341"/>
      <c r="BE157" s="341"/>
      <c r="BF157" s="341"/>
      <c r="BG157" s="341"/>
    </row>
    <row r="158" spans="2:74" s="135" customFormat="1" ht="18.75" customHeight="1">
      <c r="B158" s="57" t="str">
        <f>"7. "&amp;N5&amp;"의 분해능 의한 표준불확도,"</f>
        <v>7. 측정투영기의 분해능 의한 표준불확도,</v>
      </c>
      <c r="D158" s="346"/>
      <c r="E158" s="346"/>
      <c r="F158" s="346"/>
      <c r="G158" s="341"/>
      <c r="H158" s="346"/>
      <c r="I158" s="346"/>
      <c r="J158" s="346"/>
      <c r="K158" s="346"/>
      <c r="L158" s="346"/>
      <c r="M158" s="346"/>
      <c r="N158" s="346"/>
      <c r="O158" s="346"/>
      <c r="P158" s="346"/>
      <c r="Q158" s="346"/>
      <c r="R158" s="346"/>
      <c r="S158" s="346"/>
      <c r="T158" s="202" t="s">
        <v>1282</v>
      </c>
      <c r="V158" s="346"/>
      <c r="W158" s="346"/>
      <c r="X158" s="346"/>
      <c r="Y158" s="346"/>
      <c r="Z158" s="346"/>
      <c r="AA158" s="346"/>
      <c r="AB158" s="346"/>
      <c r="AC158" s="346"/>
      <c r="AD158" s="346"/>
      <c r="AE158" s="341"/>
      <c r="AF158" s="346"/>
      <c r="AG158" s="341"/>
      <c r="AH158" s="341"/>
      <c r="AI158" s="341"/>
      <c r="AJ158" s="341"/>
      <c r="AK158" s="341"/>
      <c r="AL158" s="341"/>
      <c r="AM158" s="341"/>
      <c r="AN158" s="341"/>
      <c r="AO158" s="341"/>
      <c r="AP158" s="341"/>
      <c r="AQ158" s="341"/>
      <c r="AR158" s="341"/>
      <c r="AS158" s="341"/>
      <c r="AT158" s="341"/>
      <c r="AU158" s="341"/>
      <c r="AV158" s="341"/>
      <c r="AW158" s="341"/>
      <c r="AX158" s="341"/>
      <c r="AY158" s="341"/>
      <c r="AZ158" s="341"/>
      <c r="BA158" s="341"/>
      <c r="BB158" s="341"/>
      <c r="BC158" s="341"/>
      <c r="BD158" s="341"/>
      <c r="BE158" s="341"/>
      <c r="BF158" s="341"/>
      <c r="BG158" s="341"/>
    </row>
    <row r="159" spans="2:74" s="135" customFormat="1" ht="18.75" customHeight="1">
      <c r="B159" s="57"/>
      <c r="C159" s="346" t="str">
        <f>"※ "&amp;N5&amp;" 분해능의 반범위에 직사각형 확률분포를 적용하여 계산한다."</f>
        <v>※ 측정투영기 분해능의 반범위에 직사각형 확률분포를 적용하여 계산한다.</v>
      </c>
      <c r="D159" s="346"/>
      <c r="E159" s="346"/>
      <c r="F159" s="346"/>
      <c r="G159" s="341"/>
      <c r="H159" s="346"/>
      <c r="I159" s="346"/>
      <c r="J159" s="346"/>
      <c r="K159" s="346"/>
      <c r="L159" s="346"/>
      <c r="M159" s="346"/>
      <c r="N159" s="346"/>
      <c r="O159" s="346"/>
      <c r="P159" s="346"/>
      <c r="Q159" s="346"/>
      <c r="R159" s="346"/>
      <c r="S159" s="346"/>
      <c r="T159" s="346"/>
      <c r="U159" s="202"/>
      <c r="V159" s="346"/>
      <c r="W159" s="346"/>
      <c r="X159" s="346"/>
      <c r="Y159" s="346"/>
      <c r="Z159" s="346"/>
      <c r="AA159" s="346"/>
      <c r="AB159" s="346"/>
      <c r="AC159" s="346"/>
      <c r="AD159" s="346"/>
      <c r="AE159" s="341"/>
      <c r="AF159" s="346"/>
      <c r="AG159" s="341"/>
      <c r="AH159" s="341"/>
      <c r="AI159" s="341"/>
      <c r="AJ159" s="341"/>
      <c r="AK159" s="341"/>
      <c r="AL159" s="341"/>
      <c r="AM159" s="341"/>
      <c r="AN159" s="341"/>
      <c r="AO159" s="341"/>
      <c r="AP159" s="341"/>
      <c r="AQ159" s="341"/>
      <c r="AR159" s="341"/>
      <c r="AS159" s="341"/>
      <c r="AT159" s="341"/>
      <c r="AU159" s="341"/>
      <c r="AV159" s="341"/>
      <c r="AW159" s="341"/>
      <c r="AX159" s="341"/>
      <c r="AY159" s="341"/>
      <c r="AZ159" s="341"/>
      <c r="BA159" s="341"/>
      <c r="BB159" s="341"/>
      <c r="BC159" s="341"/>
      <c r="BD159" s="341"/>
      <c r="BE159" s="341"/>
      <c r="BF159" s="341"/>
      <c r="BG159" s="341"/>
    </row>
    <row r="160" spans="2:74" s="135" customFormat="1" ht="18.75" customHeight="1">
      <c r="B160" s="341"/>
      <c r="C160" s="353" t="s">
        <v>1064</v>
      </c>
      <c r="D160" s="341"/>
      <c r="E160" s="341"/>
      <c r="F160" s="341"/>
      <c r="G160" s="341"/>
      <c r="H160" s="601">
        <v>0</v>
      </c>
      <c r="I160" s="601"/>
      <c r="J160" s="601"/>
      <c r="K160" s="601"/>
      <c r="L160" s="601"/>
      <c r="M160" s="601"/>
      <c r="N160" s="601"/>
      <c r="O160" s="601"/>
      <c r="P160" s="350"/>
      <c r="Q160" s="346"/>
      <c r="R160" s="346"/>
      <c r="S160" s="346"/>
      <c r="T160" s="346"/>
      <c r="U160" s="346"/>
      <c r="V160" s="346"/>
      <c r="W160" s="346"/>
      <c r="AC160" s="346"/>
      <c r="AD160" s="346"/>
      <c r="AE160" s="346"/>
      <c r="AF160" s="346"/>
      <c r="AG160" s="346"/>
      <c r="AH160" s="346"/>
      <c r="AI160" s="341"/>
      <c r="AJ160" s="341"/>
      <c r="AK160" s="341"/>
      <c r="AL160" s="341"/>
      <c r="AM160" s="341"/>
      <c r="AN160" s="341"/>
      <c r="AO160" s="341"/>
      <c r="AP160" s="341"/>
      <c r="AQ160" s="341"/>
      <c r="AR160" s="341"/>
      <c r="AS160" s="346"/>
      <c r="AT160" s="346"/>
      <c r="AU160" s="346"/>
      <c r="AV160" s="346"/>
      <c r="AW160" s="346"/>
      <c r="AX160" s="346"/>
      <c r="AY160" s="341"/>
      <c r="AZ160" s="341"/>
      <c r="BA160" s="341"/>
      <c r="BB160" s="341"/>
      <c r="BC160" s="341"/>
      <c r="BD160" s="341"/>
      <c r="BE160" s="341"/>
      <c r="BF160" s="341"/>
      <c r="BG160" s="341"/>
    </row>
    <row r="161" spans="2:60" s="135" customFormat="1" ht="18.75" customHeight="1">
      <c r="B161" s="341"/>
      <c r="C161" s="346" t="s">
        <v>1065</v>
      </c>
      <c r="D161" s="346"/>
      <c r="E161" s="346"/>
      <c r="F161" s="346"/>
      <c r="G161" s="346"/>
      <c r="H161" s="346"/>
      <c r="I161" s="341"/>
      <c r="J161" s="61" t="s">
        <v>1066</v>
      </c>
      <c r="K161" s="346"/>
      <c r="L161" s="346"/>
      <c r="M161" s="346"/>
      <c r="N161" s="346"/>
      <c r="O161" s="346"/>
      <c r="P161" s="576">
        <f>T162/1000</f>
        <v>0</v>
      </c>
      <c r="Q161" s="576"/>
      <c r="R161" s="576"/>
      <c r="S161" s="350" t="s">
        <v>804</v>
      </c>
      <c r="T161" s="350"/>
      <c r="U161" s="346"/>
      <c r="V161" s="341"/>
      <c r="W161" s="341"/>
      <c r="X161" s="379"/>
      <c r="AD161" s="346"/>
      <c r="AE161" s="346"/>
      <c r="AF161" s="341"/>
      <c r="AG161" s="341"/>
      <c r="AH161" s="341"/>
      <c r="AI161" s="341"/>
      <c r="AJ161" s="341"/>
      <c r="AK161" s="341"/>
      <c r="AL161" s="341"/>
      <c r="AM161" s="341"/>
      <c r="AN161" s="346"/>
      <c r="AO161" s="346"/>
      <c r="AP161" s="346"/>
      <c r="AQ161" s="346"/>
      <c r="AR161" s="346"/>
      <c r="AS161" s="346"/>
      <c r="AT161" s="346"/>
      <c r="AU161" s="346"/>
      <c r="AV161" s="346"/>
      <c r="AW161" s="346"/>
      <c r="AX161" s="346"/>
      <c r="AY161" s="341"/>
      <c r="AZ161" s="341"/>
      <c r="BA161" s="341"/>
      <c r="BB161" s="341"/>
      <c r="BC161" s="341"/>
      <c r="BD161" s="341"/>
      <c r="BE161" s="341"/>
      <c r="BF161" s="341"/>
      <c r="BG161" s="341"/>
    </row>
    <row r="162" spans="2:60" s="135" customFormat="1" ht="18.75" customHeight="1">
      <c r="B162" s="341"/>
      <c r="C162" s="346"/>
      <c r="D162" s="346"/>
      <c r="E162" s="346"/>
      <c r="F162" s="346"/>
      <c r="G162" s="346"/>
      <c r="H162" s="346"/>
      <c r="I162" s="346"/>
      <c r="K162" s="602" t="s">
        <v>1283</v>
      </c>
      <c r="L162" s="602"/>
      <c r="M162" s="602"/>
      <c r="N162" s="514" t="s">
        <v>845</v>
      </c>
      <c r="O162" s="603" t="s">
        <v>938</v>
      </c>
      <c r="P162" s="604"/>
      <c r="Q162" s="604"/>
      <c r="R162" s="604"/>
      <c r="S162" s="514" t="s">
        <v>845</v>
      </c>
      <c r="T162" s="597">
        <f>Calcu!H40</f>
        <v>0</v>
      </c>
      <c r="U162" s="597"/>
      <c r="V162" s="355" t="s">
        <v>1067</v>
      </c>
      <c r="W162" s="355"/>
      <c r="X162" s="519" t="s">
        <v>1019</v>
      </c>
      <c r="Y162" s="589">
        <f>T162/2/SQRT(3)</f>
        <v>0</v>
      </c>
      <c r="Z162" s="589"/>
      <c r="AA162" s="589"/>
      <c r="AB162" s="576" t="str">
        <f>V162</f>
        <v>μm</v>
      </c>
      <c r="AC162" s="576"/>
      <c r="AD162" s="346"/>
      <c r="AE162" s="341"/>
      <c r="AF162" s="341"/>
      <c r="AG162" s="341"/>
      <c r="AH162" s="341"/>
      <c r="AI162" s="341"/>
      <c r="AJ162" s="341"/>
      <c r="AK162" s="341"/>
      <c r="AL162" s="341"/>
      <c r="AM162" s="341"/>
      <c r="AN162" s="341"/>
      <c r="AO162" s="341"/>
      <c r="AP162" s="341"/>
      <c r="AQ162" s="341"/>
      <c r="AR162" s="346"/>
      <c r="AS162" s="346"/>
      <c r="AT162" s="346"/>
      <c r="AU162" s="346"/>
      <c r="AV162" s="346"/>
      <c r="AW162" s="346"/>
      <c r="AX162" s="346"/>
      <c r="AY162" s="346"/>
      <c r="AZ162" s="341"/>
      <c r="BA162" s="341"/>
      <c r="BB162" s="341"/>
      <c r="BC162" s="341"/>
      <c r="BD162" s="341"/>
      <c r="BE162" s="341"/>
      <c r="BF162" s="341"/>
      <c r="BG162" s="341"/>
      <c r="BH162" s="341"/>
    </row>
    <row r="163" spans="2:60" s="135" customFormat="1" ht="18.75" customHeight="1">
      <c r="B163" s="341"/>
      <c r="C163" s="346"/>
      <c r="D163" s="346"/>
      <c r="E163" s="346"/>
      <c r="F163" s="346"/>
      <c r="G163" s="346"/>
      <c r="H163" s="346"/>
      <c r="I163" s="346"/>
      <c r="J163" s="203"/>
      <c r="K163" s="602"/>
      <c r="L163" s="602"/>
      <c r="M163" s="602"/>
      <c r="N163" s="514"/>
      <c r="O163" s="605"/>
      <c r="P163" s="605"/>
      <c r="Q163" s="605"/>
      <c r="R163" s="605"/>
      <c r="S163" s="514"/>
      <c r="T163" s="605"/>
      <c r="U163" s="605"/>
      <c r="V163" s="605"/>
      <c r="W163" s="605"/>
      <c r="X163" s="519"/>
      <c r="Y163" s="589"/>
      <c r="Z163" s="589"/>
      <c r="AA163" s="589"/>
      <c r="AB163" s="576"/>
      <c r="AC163" s="576"/>
      <c r="AD163" s="346"/>
      <c r="AE163" s="341"/>
      <c r="AF163" s="341"/>
      <c r="AG163" s="341"/>
      <c r="AH163" s="341"/>
      <c r="AI163" s="341"/>
      <c r="AJ163" s="341"/>
      <c r="AK163" s="341"/>
      <c r="AL163" s="341"/>
      <c r="AM163" s="341"/>
      <c r="AN163" s="341"/>
      <c r="AO163" s="341"/>
      <c r="AP163" s="341"/>
      <c r="AQ163" s="341"/>
      <c r="AR163" s="346"/>
      <c r="AS163" s="346"/>
      <c r="AT163" s="346"/>
      <c r="AU163" s="346"/>
      <c r="AV163" s="346"/>
      <c r="AW163" s="346"/>
      <c r="AX163" s="346"/>
      <c r="AY163" s="346"/>
      <c r="AZ163" s="341"/>
      <c r="BA163" s="341"/>
      <c r="BB163" s="341"/>
      <c r="BC163" s="341"/>
      <c r="BD163" s="341"/>
      <c r="BE163" s="341"/>
      <c r="BF163" s="341"/>
      <c r="BG163" s="341"/>
      <c r="BH163" s="341"/>
    </row>
    <row r="164" spans="2:60" s="135" customFormat="1" ht="18.75" customHeight="1">
      <c r="B164" s="341"/>
      <c r="C164" s="346" t="s">
        <v>891</v>
      </c>
      <c r="D164" s="346"/>
      <c r="E164" s="346"/>
      <c r="F164" s="346"/>
      <c r="G164" s="346"/>
      <c r="H164" s="346"/>
      <c r="I164" s="544" t="str">
        <f>AB64</f>
        <v>직사각형</v>
      </c>
      <c r="J164" s="544"/>
      <c r="K164" s="544"/>
      <c r="L164" s="544"/>
      <c r="M164" s="544"/>
      <c r="N164" s="544"/>
      <c r="O164" s="544"/>
      <c r="P164" s="544"/>
      <c r="Q164" s="346"/>
      <c r="R164" s="346"/>
      <c r="S164" s="346"/>
      <c r="T164" s="346"/>
      <c r="U164" s="346"/>
      <c r="V164" s="346"/>
      <c r="W164" s="346"/>
      <c r="X164" s="346"/>
      <c r="Y164" s="346"/>
      <c r="Z164" s="341"/>
      <c r="AA164" s="341"/>
      <c r="AB164" s="341"/>
      <c r="AC164" s="341"/>
      <c r="AD164" s="341"/>
      <c r="AE164" s="341"/>
      <c r="AF164" s="341"/>
      <c r="AG164" s="341"/>
      <c r="AH164" s="346"/>
      <c r="AI164" s="346"/>
      <c r="AJ164" s="346"/>
      <c r="AK164" s="346"/>
      <c r="AL164" s="346"/>
      <c r="AM164" s="346"/>
      <c r="AN164" s="346"/>
      <c r="AO164" s="346"/>
      <c r="AP164" s="346"/>
      <c r="AQ164" s="346"/>
      <c r="AR164" s="346"/>
      <c r="AS164" s="346"/>
      <c r="AT164" s="346"/>
      <c r="AU164" s="346"/>
      <c r="AV164" s="346"/>
      <c r="AW164" s="346"/>
      <c r="AX164" s="346"/>
      <c r="AY164" s="341"/>
      <c r="AZ164" s="341"/>
      <c r="BA164" s="341"/>
      <c r="BB164" s="341"/>
      <c r="BC164" s="341"/>
      <c r="BD164" s="341"/>
      <c r="BE164" s="341"/>
      <c r="BF164" s="341"/>
      <c r="BG164" s="341"/>
    </row>
    <row r="165" spans="2:60" s="135" customFormat="1" ht="18.75" customHeight="1">
      <c r="B165" s="341"/>
      <c r="C165" s="518" t="s">
        <v>892</v>
      </c>
      <c r="D165" s="518"/>
      <c r="E165" s="518"/>
      <c r="F165" s="518"/>
      <c r="G165" s="518"/>
      <c r="H165" s="518"/>
      <c r="I165" s="346"/>
      <c r="J165" s="346"/>
      <c r="K165" s="346"/>
      <c r="L165" s="346"/>
      <c r="M165" s="346"/>
      <c r="N165" s="514">
        <f>AG64</f>
        <v>1</v>
      </c>
      <c r="O165" s="514"/>
      <c r="P165" s="142"/>
      <c r="Q165" s="142"/>
      <c r="R165" s="142"/>
      <c r="S165" s="346"/>
      <c r="T165" s="346"/>
      <c r="U165" s="346"/>
      <c r="V165" s="346"/>
      <c r="W165" s="346"/>
      <c r="X165" s="346"/>
      <c r="Y165" s="346"/>
      <c r="Z165" s="143"/>
      <c r="AA165" s="143"/>
      <c r="AB165" s="346"/>
      <c r="AC165" s="346"/>
      <c r="AD165" s="346"/>
      <c r="AE165" s="346"/>
      <c r="AF165" s="346"/>
      <c r="AG165" s="346"/>
      <c r="AH165" s="346"/>
      <c r="AI165" s="346"/>
      <c r="AJ165" s="346"/>
      <c r="AK165" s="346"/>
      <c r="AL165" s="341"/>
      <c r="AM165" s="341"/>
      <c r="AN165" s="341"/>
      <c r="AO165" s="346"/>
      <c r="AP165" s="346"/>
      <c r="AQ165" s="346"/>
      <c r="AR165" s="346"/>
      <c r="AS165" s="346"/>
      <c r="AT165" s="346"/>
      <c r="AU165" s="346"/>
      <c r="AV165" s="346"/>
      <c r="AW165" s="346"/>
      <c r="AX165" s="346"/>
      <c r="AY165" s="341"/>
      <c r="AZ165" s="341"/>
      <c r="BA165" s="341"/>
      <c r="BB165" s="341"/>
      <c r="BC165" s="341"/>
      <c r="BD165" s="341"/>
      <c r="BE165" s="341"/>
      <c r="BF165" s="341"/>
      <c r="BG165" s="341"/>
    </row>
    <row r="166" spans="2:60" s="135" customFormat="1" ht="18.75" customHeight="1">
      <c r="B166" s="341"/>
      <c r="C166" s="518"/>
      <c r="D166" s="518"/>
      <c r="E166" s="518"/>
      <c r="F166" s="518"/>
      <c r="G166" s="518"/>
      <c r="H166" s="518"/>
      <c r="I166" s="346"/>
      <c r="J166" s="346"/>
      <c r="K166" s="346"/>
      <c r="L166" s="346"/>
      <c r="M166" s="346"/>
      <c r="N166" s="514"/>
      <c r="O166" s="514"/>
      <c r="P166" s="142"/>
      <c r="Q166" s="142"/>
      <c r="R166" s="142"/>
      <c r="S166" s="346"/>
      <c r="T166" s="346"/>
      <c r="U166" s="346"/>
      <c r="V166" s="346"/>
      <c r="W166" s="346"/>
      <c r="X166" s="346"/>
      <c r="Y166" s="346"/>
      <c r="Z166" s="143"/>
      <c r="AA166" s="143"/>
      <c r="AB166" s="346"/>
      <c r="AC166" s="346"/>
      <c r="AD166" s="346"/>
      <c r="AE166" s="346"/>
      <c r="AF166" s="346"/>
      <c r="AG166" s="346"/>
      <c r="AH166" s="346"/>
      <c r="AI166" s="346"/>
      <c r="AJ166" s="346"/>
      <c r="AK166" s="346"/>
      <c r="AL166" s="341"/>
      <c r="AM166" s="341"/>
      <c r="AN166" s="341"/>
      <c r="AO166" s="346"/>
      <c r="AP166" s="346"/>
      <c r="AQ166" s="346"/>
      <c r="AR166" s="346"/>
      <c r="AS166" s="346"/>
      <c r="AT166" s="346"/>
      <c r="AU166" s="346"/>
      <c r="AV166" s="346"/>
      <c r="AW166" s="346"/>
      <c r="AX166" s="346"/>
      <c r="AY166" s="341"/>
      <c r="AZ166" s="341"/>
      <c r="BA166" s="341"/>
      <c r="BB166" s="341"/>
      <c r="BC166" s="341"/>
      <c r="BD166" s="341"/>
      <c r="BE166" s="341"/>
      <c r="BF166" s="341"/>
      <c r="BG166" s="341"/>
    </row>
    <row r="167" spans="2:60" s="135" customFormat="1" ht="18.75" customHeight="1">
      <c r="B167" s="341"/>
      <c r="C167" s="346" t="s">
        <v>1068</v>
      </c>
      <c r="D167" s="346"/>
      <c r="E167" s="346"/>
      <c r="F167" s="346"/>
      <c r="G167" s="346"/>
      <c r="H167" s="346"/>
      <c r="I167" s="346"/>
      <c r="J167" s="341"/>
      <c r="K167" s="341" t="s">
        <v>1069</v>
      </c>
      <c r="L167" s="514">
        <v>1</v>
      </c>
      <c r="M167" s="514"/>
      <c r="N167" s="341" t="s">
        <v>851</v>
      </c>
      <c r="O167" s="589">
        <f>Y162</f>
        <v>0</v>
      </c>
      <c r="P167" s="576"/>
      <c r="Q167" s="576"/>
      <c r="R167" s="590" t="str">
        <f>AB162</f>
        <v>μm</v>
      </c>
      <c r="S167" s="576"/>
      <c r="T167" s="345" t="s">
        <v>850</v>
      </c>
      <c r="U167" s="70" t="s">
        <v>845</v>
      </c>
      <c r="V167" s="589">
        <f>L167*O167</f>
        <v>0</v>
      </c>
      <c r="W167" s="589"/>
      <c r="X167" s="589"/>
      <c r="Y167" s="351" t="str">
        <f>R167</f>
        <v>μm</v>
      </c>
      <c r="Z167" s="56"/>
      <c r="AA167" s="350"/>
      <c r="AB167" s="144"/>
      <c r="AC167" s="138"/>
      <c r="AD167" s="341"/>
      <c r="AE167" s="346"/>
      <c r="AF167" s="341"/>
      <c r="AG167" s="341"/>
      <c r="AH167" s="341"/>
      <c r="AI167" s="341"/>
      <c r="AJ167" s="341"/>
      <c r="AK167" s="346"/>
      <c r="AL167" s="341"/>
      <c r="AM167" s="341"/>
      <c r="AN167" s="341"/>
      <c r="AO167" s="346"/>
      <c r="AP167" s="346"/>
      <c r="AQ167" s="346"/>
      <c r="AR167" s="346"/>
      <c r="AS167" s="346"/>
      <c r="AT167" s="346"/>
      <c r="AU167" s="346"/>
      <c r="AV167" s="346"/>
      <c r="AW167" s="346"/>
      <c r="AX167" s="346"/>
      <c r="AY167" s="341"/>
      <c r="AZ167" s="341"/>
      <c r="BA167" s="341"/>
      <c r="BB167" s="341"/>
      <c r="BC167" s="341"/>
      <c r="BD167" s="341"/>
      <c r="BE167" s="341"/>
      <c r="BF167" s="341"/>
      <c r="BG167" s="341"/>
    </row>
    <row r="168" spans="2:60" s="135" customFormat="1" ht="18.75" customHeight="1">
      <c r="B168" s="341"/>
      <c r="C168" s="518" t="s">
        <v>1070</v>
      </c>
      <c r="D168" s="518"/>
      <c r="E168" s="518"/>
      <c r="F168" s="518"/>
      <c r="G168" s="518"/>
      <c r="H168" s="346"/>
      <c r="J168" s="346"/>
      <c r="K168" s="346"/>
      <c r="L168" s="346"/>
      <c r="M168" s="346"/>
      <c r="N168" s="346"/>
      <c r="O168" s="346"/>
      <c r="P168" s="346"/>
      <c r="Q168" s="346"/>
      <c r="R168" s="138"/>
      <c r="S168" s="346"/>
      <c r="T168" s="346"/>
      <c r="U168" s="346"/>
      <c r="W168" s="346"/>
      <c r="X168" s="370" t="s">
        <v>893</v>
      </c>
      <c r="Y168" s="346"/>
      <c r="Z168" s="346"/>
      <c r="AA168" s="346"/>
      <c r="AB168" s="346"/>
      <c r="AC168" s="346"/>
      <c r="AD168" s="346"/>
      <c r="AE168" s="341"/>
      <c r="AF168" s="341"/>
      <c r="AG168" s="341"/>
      <c r="AH168" s="341"/>
      <c r="AI168" s="341"/>
      <c r="AJ168" s="341"/>
      <c r="AK168" s="341"/>
      <c r="AL168" s="341"/>
      <c r="AM168" s="341"/>
      <c r="AN168" s="341"/>
      <c r="AO168" s="341"/>
      <c r="AP168" s="341"/>
      <c r="AQ168" s="341"/>
      <c r="AR168" s="341"/>
      <c r="AS168" s="341"/>
      <c r="AT168" s="341"/>
      <c r="AU168" s="341"/>
      <c r="AV168" s="341"/>
      <c r="AW168" s="341"/>
      <c r="AX168" s="341"/>
      <c r="AY168" s="341"/>
      <c r="AZ168" s="341"/>
      <c r="BA168" s="341"/>
      <c r="BB168" s="341"/>
      <c r="BC168" s="341"/>
      <c r="BD168" s="341"/>
      <c r="BE168" s="341"/>
      <c r="BF168" s="341"/>
      <c r="BG168" s="341"/>
    </row>
    <row r="169" spans="2:60" s="135" customFormat="1" ht="18.75" customHeight="1">
      <c r="B169" s="341"/>
      <c r="C169" s="518"/>
      <c r="D169" s="518"/>
      <c r="E169" s="518"/>
      <c r="F169" s="518"/>
      <c r="G169" s="518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138"/>
      <c r="S169" s="346"/>
      <c r="T169" s="346"/>
      <c r="U169" s="346"/>
      <c r="V169" s="346"/>
      <c r="W169" s="346"/>
      <c r="X169" s="346"/>
      <c r="Y169" s="346"/>
      <c r="Z169" s="346"/>
      <c r="AA169" s="346"/>
      <c r="AB169" s="346"/>
      <c r="AC169" s="346"/>
      <c r="AD169" s="346"/>
      <c r="AE169" s="341"/>
      <c r="AF169" s="341"/>
      <c r="AG169" s="341"/>
      <c r="AH169" s="341"/>
      <c r="AI169" s="341"/>
      <c r="AJ169" s="341"/>
      <c r="AK169" s="341"/>
      <c r="AL169" s="341"/>
      <c r="AM169" s="341"/>
      <c r="AN169" s="341"/>
      <c r="AO169" s="341"/>
      <c r="AP169" s="341"/>
      <c r="AQ169" s="341"/>
      <c r="AR169" s="341"/>
      <c r="AS169" s="341"/>
      <c r="AT169" s="341"/>
      <c r="AU169" s="341"/>
      <c r="AV169" s="341"/>
      <c r="AW169" s="341"/>
      <c r="AX169" s="341"/>
      <c r="AY169" s="341"/>
      <c r="AZ169" s="341"/>
      <c r="BA169" s="341"/>
      <c r="BB169" s="341"/>
      <c r="BC169" s="341"/>
      <c r="BD169" s="341"/>
      <c r="BE169" s="341"/>
      <c r="BF169" s="341"/>
      <c r="BG169" s="341"/>
    </row>
    <row r="170" spans="2:60" s="135" customFormat="1" ht="18.75" customHeight="1">
      <c r="B170" s="341"/>
      <c r="C170" s="57"/>
      <c r="D170" s="346"/>
      <c r="E170" s="346"/>
      <c r="F170" s="346"/>
      <c r="G170" s="341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346"/>
      <c r="AB170" s="346"/>
      <c r="AC170" s="346"/>
      <c r="AD170" s="346"/>
      <c r="AE170" s="341"/>
      <c r="AF170" s="346"/>
      <c r="AG170" s="341"/>
      <c r="AH170" s="341"/>
      <c r="AI170" s="341"/>
      <c r="AJ170" s="341"/>
      <c r="AK170" s="341"/>
      <c r="AL170" s="341"/>
      <c r="AM170" s="341"/>
      <c r="AN170" s="341"/>
      <c r="AO170" s="341"/>
      <c r="AP170" s="341"/>
      <c r="AQ170" s="341"/>
      <c r="AR170" s="341"/>
      <c r="AS170" s="341"/>
      <c r="AT170" s="341"/>
      <c r="AU170" s="341"/>
      <c r="AV170" s="341"/>
      <c r="AW170" s="341"/>
      <c r="AX170" s="341"/>
      <c r="AY170" s="341"/>
      <c r="AZ170" s="341"/>
      <c r="BA170" s="341"/>
      <c r="BB170" s="341"/>
      <c r="BC170" s="341"/>
      <c r="BD170" s="341"/>
      <c r="BE170" s="341"/>
      <c r="BF170" s="341"/>
      <c r="BG170" s="341"/>
    </row>
    <row r="171" spans="2:60" s="135" customFormat="1" ht="18.75" customHeight="1">
      <c r="B171" s="57" t="s">
        <v>1071</v>
      </c>
      <c r="D171" s="346"/>
      <c r="E171" s="346"/>
      <c r="F171" s="346"/>
      <c r="G171" s="341"/>
      <c r="H171" s="346"/>
      <c r="I171" s="346"/>
      <c r="J171" s="346"/>
      <c r="K171" s="346"/>
      <c r="L171" s="346"/>
      <c r="M171" s="346"/>
      <c r="N171" s="346"/>
      <c r="O171" s="346"/>
      <c r="P171" s="202" t="s">
        <v>1284</v>
      </c>
      <c r="Q171" s="346"/>
      <c r="R171" s="346"/>
      <c r="S171" s="346"/>
      <c r="T171" s="346"/>
      <c r="V171" s="346"/>
      <c r="W171" s="346"/>
      <c r="X171" s="346"/>
      <c r="Y171" s="346"/>
      <c r="Z171" s="346"/>
      <c r="AA171" s="346"/>
      <c r="AB171" s="346"/>
      <c r="AC171" s="346"/>
      <c r="AD171" s="346"/>
      <c r="AE171" s="341"/>
      <c r="AF171" s="346"/>
      <c r="AG171" s="341"/>
      <c r="AH171" s="341"/>
      <c r="AI171" s="341"/>
      <c r="AJ171" s="341"/>
      <c r="AK171" s="341"/>
      <c r="AL171" s="341"/>
      <c r="AM171" s="341"/>
      <c r="AN171" s="341"/>
      <c r="AO171" s="341"/>
      <c r="AP171" s="341"/>
      <c r="AQ171" s="341"/>
      <c r="AR171" s="341"/>
      <c r="AS171" s="341"/>
      <c r="AT171" s="341"/>
      <c r="AU171" s="341"/>
      <c r="AV171" s="341"/>
      <c r="AW171" s="341"/>
      <c r="AX171" s="341"/>
      <c r="AY171" s="341"/>
      <c r="AZ171" s="341"/>
      <c r="BA171" s="341"/>
      <c r="BB171" s="341"/>
      <c r="BC171" s="341"/>
      <c r="BD171" s="341"/>
      <c r="BE171" s="341"/>
      <c r="BF171" s="341"/>
      <c r="BG171" s="341"/>
    </row>
    <row r="172" spans="2:60" s="135" customFormat="1" ht="18.75" customHeight="1">
      <c r="B172" s="57"/>
      <c r="C172" s="346" t="s">
        <v>895</v>
      </c>
      <c r="D172" s="346"/>
      <c r="E172" s="346"/>
      <c r="F172" s="346"/>
      <c r="G172" s="341"/>
      <c r="H172" s="346"/>
      <c r="I172" s="346"/>
      <c r="J172" s="346"/>
      <c r="K172" s="346"/>
      <c r="L172" s="346"/>
      <c r="M172" s="346"/>
      <c r="N172" s="346"/>
      <c r="O172" s="346"/>
      <c r="P172" s="346"/>
      <c r="Q172" s="346"/>
      <c r="R172" s="346"/>
      <c r="S172" s="346"/>
      <c r="T172" s="346"/>
      <c r="U172" s="202"/>
      <c r="V172" s="346"/>
      <c r="W172" s="346"/>
      <c r="X172" s="346"/>
      <c r="Y172" s="346"/>
      <c r="Z172" s="346"/>
      <c r="AA172" s="346"/>
      <c r="AB172" s="346"/>
      <c r="AC172" s="346"/>
      <c r="AD172" s="346"/>
      <c r="AE172" s="341"/>
      <c r="AF172" s="346"/>
      <c r="AG172" s="341"/>
      <c r="AH172" s="341"/>
      <c r="AI172" s="341"/>
      <c r="AJ172" s="341"/>
      <c r="AK172" s="341"/>
      <c r="AL172" s="341"/>
      <c r="AM172" s="341"/>
      <c r="AN172" s="341"/>
      <c r="AO172" s="341"/>
      <c r="AP172" s="341"/>
      <c r="AQ172" s="341"/>
      <c r="AR172" s="341"/>
      <c r="AS172" s="341"/>
      <c r="AT172" s="341"/>
      <c r="AU172" s="341"/>
      <c r="AV172" s="341"/>
      <c r="AW172" s="341"/>
      <c r="AX172" s="341"/>
      <c r="AY172" s="341"/>
      <c r="AZ172" s="341"/>
      <c r="BA172" s="341"/>
      <c r="BB172" s="341"/>
      <c r="BC172" s="341"/>
      <c r="BD172" s="341"/>
      <c r="BE172" s="341"/>
      <c r="BF172" s="341"/>
      <c r="BG172" s="341"/>
    </row>
    <row r="173" spans="2:60" s="135" customFormat="1" ht="18.75" customHeight="1">
      <c r="B173" s="341"/>
      <c r="C173" s="353" t="s">
        <v>1072</v>
      </c>
      <c r="D173" s="341"/>
      <c r="E173" s="341"/>
      <c r="F173" s="341"/>
      <c r="G173" s="341"/>
      <c r="H173" s="601">
        <v>0</v>
      </c>
      <c r="I173" s="601"/>
      <c r="J173" s="601"/>
      <c r="K173" s="601"/>
      <c r="L173" s="601"/>
      <c r="M173" s="601"/>
      <c r="N173" s="601"/>
      <c r="O173" s="601"/>
      <c r="P173" s="350"/>
      <c r="Q173" s="346"/>
      <c r="R173" s="346"/>
      <c r="S173" s="346"/>
      <c r="T173" s="346"/>
      <c r="U173" s="346"/>
      <c r="V173" s="346"/>
      <c r="W173" s="346"/>
      <c r="AC173" s="346"/>
      <c r="AD173" s="346"/>
      <c r="AE173" s="346"/>
      <c r="AF173" s="346"/>
      <c r="AG173" s="346"/>
      <c r="AH173" s="346"/>
      <c r="AI173" s="341"/>
      <c r="AJ173" s="341"/>
      <c r="AK173" s="341"/>
      <c r="AL173" s="341"/>
      <c r="AM173" s="341"/>
      <c r="AN173" s="341"/>
      <c r="AO173" s="341"/>
      <c r="AP173" s="341"/>
      <c r="AQ173" s="341"/>
      <c r="AR173" s="341"/>
      <c r="AS173" s="346"/>
      <c r="AT173" s="346"/>
      <c r="AU173" s="346"/>
      <c r="AV173" s="346"/>
      <c r="AW173" s="346"/>
      <c r="AX173" s="346"/>
      <c r="AY173" s="341"/>
      <c r="AZ173" s="341"/>
      <c r="BA173" s="341"/>
      <c r="BB173" s="341"/>
      <c r="BC173" s="341"/>
      <c r="BD173" s="341"/>
      <c r="BE173" s="341"/>
      <c r="BF173" s="341"/>
      <c r="BG173" s="341"/>
    </row>
    <row r="174" spans="2:60" s="135" customFormat="1" ht="18.75" customHeight="1">
      <c r="B174" s="341"/>
      <c r="C174" s="346" t="s">
        <v>896</v>
      </c>
      <c r="D174" s="346"/>
      <c r="E174" s="346"/>
      <c r="F174" s="346"/>
      <c r="G174" s="346"/>
      <c r="H174" s="346"/>
      <c r="I174" s="346"/>
      <c r="K174" s="602" t="s">
        <v>1285</v>
      </c>
      <c r="L174" s="602"/>
      <c r="M174" s="602"/>
      <c r="N174" s="514" t="s">
        <v>845</v>
      </c>
      <c r="O174" s="597">
        <v>1</v>
      </c>
      <c r="P174" s="597"/>
      <c r="Q174" s="355" t="s">
        <v>847</v>
      </c>
      <c r="R174" s="355"/>
      <c r="S174" s="519" t="s">
        <v>845</v>
      </c>
      <c r="T174" s="589">
        <f>O174/2/SQRT(3)</f>
        <v>0.28867513459481292</v>
      </c>
      <c r="U174" s="589"/>
      <c r="V174" s="589"/>
      <c r="W174" s="576" t="str">
        <f>Q174</f>
        <v>μm</v>
      </c>
      <c r="X174" s="576"/>
      <c r="Y174" s="346"/>
      <c r="Z174" s="341"/>
      <c r="AA174" s="341"/>
      <c r="AB174" s="341"/>
      <c r="AC174" s="341"/>
      <c r="AD174" s="341"/>
      <c r="AE174" s="341"/>
      <c r="AF174" s="341"/>
      <c r="AG174" s="341"/>
      <c r="AH174" s="341"/>
      <c r="AI174" s="341"/>
      <c r="AJ174" s="341"/>
      <c r="AK174" s="341"/>
      <c r="AL174" s="341"/>
      <c r="AM174" s="346"/>
      <c r="AN174" s="346"/>
      <c r="AO174" s="346"/>
      <c r="AP174" s="346"/>
      <c r="AQ174" s="346"/>
      <c r="AR174" s="346"/>
      <c r="AS174" s="346"/>
      <c r="AT174" s="346"/>
      <c r="AU174" s="341"/>
      <c r="AV174" s="341"/>
      <c r="AW174" s="341"/>
      <c r="AX174" s="341"/>
      <c r="AY174" s="341"/>
      <c r="AZ174" s="341"/>
      <c r="BA174" s="341"/>
      <c r="BB174" s="341"/>
      <c r="BC174" s="341"/>
    </row>
    <row r="175" spans="2:60" s="135" customFormat="1" ht="18.75" customHeight="1">
      <c r="B175" s="341"/>
      <c r="C175" s="346"/>
      <c r="D175" s="346"/>
      <c r="E175" s="346"/>
      <c r="F175" s="346"/>
      <c r="G175" s="346"/>
      <c r="H175" s="346"/>
      <c r="I175" s="346"/>
      <c r="J175" s="203"/>
      <c r="K175" s="602"/>
      <c r="L175" s="602"/>
      <c r="M175" s="602"/>
      <c r="N175" s="514"/>
      <c r="O175" s="605"/>
      <c r="P175" s="605"/>
      <c r="Q175" s="605"/>
      <c r="R175" s="605"/>
      <c r="S175" s="519"/>
      <c r="T175" s="589"/>
      <c r="U175" s="589"/>
      <c r="V175" s="589"/>
      <c r="W175" s="576"/>
      <c r="X175" s="576"/>
      <c r="Y175" s="346"/>
      <c r="Z175" s="341"/>
      <c r="AA175" s="341"/>
      <c r="AB175" s="341"/>
      <c r="AC175" s="341"/>
      <c r="AD175" s="341"/>
      <c r="AE175" s="341"/>
      <c r="AF175" s="341"/>
      <c r="AG175" s="341"/>
      <c r="AH175" s="341"/>
      <c r="AI175" s="341"/>
      <c r="AJ175" s="341"/>
      <c r="AK175" s="341"/>
      <c r="AL175" s="341"/>
      <c r="AM175" s="346"/>
      <c r="AN175" s="346"/>
      <c r="AO175" s="346"/>
      <c r="AP175" s="346"/>
      <c r="AQ175" s="346"/>
      <c r="AR175" s="346"/>
      <c r="AS175" s="346"/>
      <c r="AT175" s="346"/>
      <c r="AU175" s="341"/>
      <c r="AV175" s="341"/>
      <c r="AW175" s="341"/>
      <c r="AX175" s="341"/>
      <c r="AY175" s="341"/>
      <c r="AZ175" s="341"/>
      <c r="BA175" s="341"/>
      <c r="BB175" s="341"/>
      <c r="BC175" s="341"/>
    </row>
    <row r="176" spans="2:60" s="135" customFormat="1" ht="18.75" customHeight="1">
      <c r="B176" s="341"/>
      <c r="C176" s="346" t="s">
        <v>1073</v>
      </c>
      <c r="D176" s="346"/>
      <c r="E176" s="346"/>
      <c r="F176" s="346"/>
      <c r="G176" s="346"/>
      <c r="H176" s="346"/>
      <c r="I176" s="544" t="str">
        <f>AB65</f>
        <v>직사각형</v>
      </c>
      <c r="J176" s="544"/>
      <c r="K176" s="544"/>
      <c r="L176" s="544"/>
      <c r="M176" s="544"/>
      <c r="N176" s="544"/>
      <c r="O176" s="544"/>
      <c r="P176" s="544"/>
      <c r="Q176" s="346"/>
      <c r="R176" s="346"/>
      <c r="S176" s="346"/>
      <c r="T176" s="346"/>
      <c r="U176" s="346"/>
      <c r="V176" s="346"/>
      <c r="W176" s="346"/>
      <c r="X176" s="346"/>
      <c r="Y176" s="346"/>
      <c r="Z176" s="341"/>
      <c r="AA176" s="341"/>
      <c r="AB176" s="341"/>
      <c r="AC176" s="341"/>
      <c r="AD176" s="341"/>
      <c r="AE176" s="341"/>
      <c r="AF176" s="341"/>
      <c r="AG176" s="341"/>
      <c r="AH176" s="346"/>
      <c r="AI176" s="346"/>
      <c r="AJ176" s="346"/>
      <c r="AK176" s="346"/>
      <c r="AL176" s="346"/>
      <c r="AM176" s="346"/>
      <c r="AN176" s="346"/>
      <c r="AO176" s="346"/>
      <c r="AP176" s="346"/>
      <c r="AQ176" s="346"/>
      <c r="AR176" s="346"/>
      <c r="AS176" s="346"/>
      <c r="AT176" s="346"/>
      <c r="AU176" s="346"/>
      <c r="AV176" s="346"/>
      <c r="AW176" s="346"/>
      <c r="AX176" s="346"/>
      <c r="AY176" s="341"/>
      <c r="AZ176" s="341"/>
      <c r="BA176" s="341"/>
      <c r="BB176" s="341"/>
      <c r="BC176" s="341"/>
      <c r="BD176" s="341"/>
      <c r="BE176" s="341"/>
      <c r="BF176" s="341"/>
      <c r="BG176" s="341"/>
    </row>
    <row r="177" spans="2:59" s="135" customFormat="1" ht="18.75" customHeight="1">
      <c r="B177" s="341"/>
      <c r="C177" s="518" t="s">
        <v>898</v>
      </c>
      <c r="D177" s="518"/>
      <c r="E177" s="518"/>
      <c r="F177" s="518"/>
      <c r="G177" s="518"/>
      <c r="H177" s="518"/>
      <c r="I177" s="346"/>
      <c r="J177" s="346"/>
      <c r="K177" s="346"/>
      <c r="L177" s="346"/>
      <c r="M177" s="346"/>
      <c r="N177" s="514">
        <f>AG65</f>
        <v>1</v>
      </c>
      <c r="O177" s="514"/>
      <c r="P177" s="142"/>
      <c r="Q177" s="142"/>
      <c r="R177" s="142"/>
      <c r="S177" s="346"/>
      <c r="T177" s="346"/>
      <c r="U177" s="346"/>
      <c r="V177" s="346"/>
      <c r="W177" s="346"/>
      <c r="X177" s="346"/>
      <c r="Y177" s="346"/>
      <c r="Z177" s="143"/>
      <c r="AA177" s="143"/>
      <c r="AB177" s="346"/>
      <c r="AC177" s="346"/>
      <c r="AD177" s="346"/>
      <c r="AE177" s="346"/>
      <c r="AF177" s="346"/>
      <c r="AG177" s="346"/>
      <c r="AH177" s="346"/>
      <c r="AI177" s="346"/>
      <c r="AJ177" s="346"/>
      <c r="AK177" s="346"/>
      <c r="AL177" s="341"/>
      <c r="AM177" s="341"/>
      <c r="AN177" s="341"/>
      <c r="AO177" s="346"/>
      <c r="AP177" s="346"/>
      <c r="AQ177" s="346"/>
      <c r="AR177" s="346"/>
      <c r="AS177" s="346"/>
      <c r="AT177" s="346"/>
      <c r="AU177" s="346"/>
      <c r="AV177" s="346"/>
      <c r="AW177" s="346"/>
      <c r="AX177" s="346"/>
      <c r="AY177" s="341"/>
      <c r="AZ177" s="341"/>
      <c r="BA177" s="341"/>
      <c r="BB177" s="341"/>
      <c r="BC177" s="341"/>
      <c r="BD177" s="341"/>
      <c r="BE177" s="341"/>
      <c r="BF177" s="341"/>
      <c r="BG177" s="341"/>
    </row>
    <row r="178" spans="2:59" s="135" customFormat="1" ht="18.75" customHeight="1">
      <c r="B178" s="341"/>
      <c r="C178" s="518"/>
      <c r="D178" s="518"/>
      <c r="E178" s="518"/>
      <c r="F178" s="518"/>
      <c r="G178" s="518"/>
      <c r="H178" s="518"/>
      <c r="I178" s="346"/>
      <c r="J178" s="346"/>
      <c r="K178" s="346"/>
      <c r="L178" s="346"/>
      <c r="M178" s="346"/>
      <c r="N178" s="514"/>
      <c r="O178" s="514"/>
      <c r="P178" s="142"/>
      <c r="Q178" s="142"/>
      <c r="R178" s="142"/>
      <c r="S178" s="346"/>
      <c r="T178" s="346"/>
      <c r="U178" s="346"/>
      <c r="V178" s="346"/>
      <c r="W178" s="346"/>
      <c r="X178" s="346"/>
      <c r="Y178" s="346"/>
      <c r="Z178" s="143"/>
      <c r="AA178" s="143"/>
      <c r="AB178" s="346"/>
      <c r="AC178" s="346"/>
      <c r="AD178" s="346"/>
      <c r="AE178" s="346"/>
      <c r="AF178" s="346"/>
      <c r="AG178" s="346"/>
      <c r="AH178" s="346"/>
      <c r="AI178" s="346"/>
      <c r="AJ178" s="346"/>
      <c r="AK178" s="346"/>
      <c r="AL178" s="341"/>
      <c r="AM178" s="341"/>
      <c r="AN178" s="341"/>
      <c r="AO178" s="346"/>
      <c r="AP178" s="346"/>
      <c r="AQ178" s="346"/>
      <c r="AR178" s="346"/>
      <c r="AS178" s="346"/>
      <c r="AT178" s="346"/>
      <c r="AU178" s="346"/>
      <c r="AV178" s="346"/>
      <c r="AW178" s="346"/>
      <c r="AX178" s="346"/>
      <c r="AY178" s="341"/>
      <c r="AZ178" s="341"/>
      <c r="BA178" s="341"/>
      <c r="BB178" s="341"/>
      <c r="BC178" s="341"/>
      <c r="BD178" s="341"/>
      <c r="BE178" s="341"/>
      <c r="BF178" s="341"/>
      <c r="BG178" s="341"/>
    </row>
    <row r="179" spans="2:59" s="135" customFormat="1" ht="18.75" customHeight="1">
      <c r="B179" s="341"/>
      <c r="C179" s="346" t="s">
        <v>899</v>
      </c>
      <c r="D179" s="346"/>
      <c r="E179" s="346"/>
      <c r="F179" s="346"/>
      <c r="G179" s="346"/>
      <c r="H179" s="346"/>
      <c r="I179" s="346"/>
      <c r="J179" s="341"/>
      <c r="K179" s="341" t="s">
        <v>877</v>
      </c>
      <c r="L179" s="514">
        <f>N177</f>
        <v>1</v>
      </c>
      <c r="M179" s="514"/>
      <c r="N179" s="341" t="s">
        <v>851</v>
      </c>
      <c r="O179" s="589">
        <f>T174</f>
        <v>0.28867513459481292</v>
      </c>
      <c r="P179" s="576"/>
      <c r="Q179" s="576"/>
      <c r="R179" s="590" t="str">
        <f>W174</f>
        <v>μm</v>
      </c>
      <c r="S179" s="576"/>
      <c r="T179" s="345" t="s">
        <v>1074</v>
      </c>
      <c r="U179" s="70" t="s">
        <v>845</v>
      </c>
      <c r="V179" s="589">
        <f>L179*O179</f>
        <v>0.28867513459481292</v>
      </c>
      <c r="W179" s="589"/>
      <c r="X179" s="589"/>
      <c r="Y179" s="351" t="str">
        <f>R179</f>
        <v>μm</v>
      </c>
      <c r="Z179" s="56"/>
      <c r="AA179" s="350"/>
      <c r="AB179" s="144"/>
      <c r="AC179" s="138"/>
      <c r="AD179" s="341"/>
      <c r="AE179" s="346"/>
      <c r="AF179" s="341"/>
      <c r="AG179" s="341"/>
      <c r="AH179" s="341"/>
      <c r="AI179" s="341"/>
      <c r="AJ179" s="341"/>
      <c r="AK179" s="346"/>
      <c r="AL179" s="341"/>
      <c r="AM179" s="341"/>
      <c r="AN179" s="341"/>
      <c r="AO179" s="346"/>
      <c r="AP179" s="346"/>
      <c r="AQ179" s="346"/>
      <c r="AR179" s="346"/>
      <c r="AS179" s="346"/>
      <c r="AT179" s="346"/>
      <c r="AU179" s="346"/>
      <c r="AV179" s="346"/>
      <c r="AW179" s="346"/>
      <c r="AX179" s="346"/>
      <c r="AY179" s="341"/>
      <c r="AZ179" s="341"/>
      <c r="BA179" s="341"/>
      <c r="BB179" s="341"/>
      <c r="BC179" s="341"/>
      <c r="BD179" s="341"/>
      <c r="BE179" s="341"/>
      <c r="BF179" s="341"/>
      <c r="BG179" s="341"/>
    </row>
    <row r="180" spans="2:59" s="135" customFormat="1" ht="18.75" customHeight="1">
      <c r="B180" s="341"/>
      <c r="C180" s="518" t="s">
        <v>1075</v>
      </c>
      <c r="D180" s="518"/>
      <c r="E180" s="518"/>
      <c r="F180" s="518"/>
      <c r="G180" s="518"/>
      <c r="H180" s="346"/>
      <c r="J180" s="346"/>
      <c r="K180" s="346"/>
      <c r="L180" s="346"/>
      <c r="M180" s="346"/>
      <c r="N180" s="346"/>
      <c r="O180" s="346"/>
      <c r="P180" s="346"/>
      <c r="Q180" s="346"/>
      <c r="R180" s="138"/>
      <c r="S180" s="346"/>
      <c r="T180" s="346"/>
      <c r="U180" s="346"/>
      <c r="W180" s="346"/>
      <c r="X180" s="370" t="s">
        <v>1076</v>
      </c>
      <c r="Y180" s="346"/>
      <c r="Z180" s="346"/>
      <c r="AA180" s="346"/>
      <c r="AB180" s="346"/>
      <c r="AC180" s="346"/>
      <c r="AD180" s="346"/>
      <c r="AE180" s="341"/>
      <c r="AF180" s="341"/>
      <c r="AG180" s="341"/>
      <c r="AH180" s="341"/>
      <c r="AI180" s="341"/>
      <c r="AJ180" s="341"/>
      <c r="AK180" s="341"/>
      <c r="AL180" s="341"/>
      <c r="AM180" s="341"/>
      <c r="AN180" s="341"/>
      <c r="AO180" s="341"/>
      <c r="AP180" s="341"/>
      <c r="AQ180" s="341"/>
      <c r="AR180" s="341"/>
      <c r="AS180" s="341"/>
      <c r="AT180" s="341"/>
      <c r="AU180" s="341"/>
      <c r="AV180" s="341"/>
      <c r="AW180" s="341"/>
      <c r="AX180" s="341"/>
      <c r="AY180" s="341"/>
      <c r="AZ180" s="341"/>
      <c r="BA180" s="341"/>
      <c r="BB180" s="341"/>
      <c r="BC180" s="341"/>
      <c r="BD180" s="341"/>
      <c r="BE180" s="341"/>
      <c r="BF180" s="341"/>
      <c r="BG180" s="341"/>
    </row>
    <row r="181" spans="2:59" s="135" customFormat="1" ht="18.75" customHeight="1">
      <c r="B181" s="341"/>
      <c r="C181" s="518"/>
      <c r="D181" s="518"/>
      <c r="E181" s="518"/>
      <c r="F181" s="518"/>
      <c r="G181" s="518"/>
      <c r="H181" s="346"/>
      <c r="I181" s="346"/>
      <c r="J181" s="346"/>
      <c r="K181" s="346"/>
      <c r="L181" s="346"/>
      <c r="M181" s="346"/>
      <c r="N181" s="346"/>
      <c r="O181" s="346"/>
      <c r="P181" s="346"/>
      <c r="Q181" s="346"/>
      <c r="R181" s="138"/>
      <c r="S181" s="346"/>
      <c r="T181" s="346"/>
      <c r="U181" s="346"/>
      <c r="V181" s="346"/>
      <c r="W181" s="346"/>
      <c r="X181" s="346"/>
      <c r="Y181" s="346"/>
      <c r="Z181" s="346"/>
      <c r="AA181" s="346"/>
      <c r="AB181" s="346"/>
      <c r="AC181" s="346"/>
      <c r="AD181" s="346"/>
      <c r="AE181" s="341"/>
      <c r="AF181" s="341"/>
      <c r="AG181" s="341"/>
      <c r="AH181" s="341"/>
      <c r="AI181" s="341"/>
      <c r="AJ181" s="341"/>
      <c r="AK181" s="341"/>
      <c r="AL181" s="341"/>
      <c r="AM181" s="341"/>
      <c r="AN181" s="341"/>
      <c r="AO181" s="341"/>
      <c r="AP181" s="341"/>
      <c r="AQ181" s="341"/>
      <c r="AR181" s="341"/>
      <c r="AS181" s="341"/>
      <c r="AT181" s="341"/>
      <c r="AU181" s="341"/>
      <c r="AV181" s="341"/>
      <c r="AW181" s="341"/>
      <c r="AX181" s="341"/>
      <c r="AY181" s="341"/>
      <c r="AZ181" s="341"/>
      <c r="BA181" s="341"/>
      <c r="BB181" s="341"/>
      <c r="BC181" s="341"/>
      <c r="BD181" s="341"/>
      <c r="BE181" s="341"/>
      <c r="BF181" s="341"/>
      <c r="BG181" s="341"/>
    </row>
    <row r="182" spans="2:59" s="135" customFormat="1" ht="18.75" customHeight="1">
      <c r="B182" s="341"/>
      <c r="C182" s="57"/>
      <c r="D182" s="346"/>
      <c r="E182" s="346"/>
      <c r="F182" s="346"/>
      <c r="G182" s="341"/>
      <c r="H182" s="346"/>
      <c r="I182" s="346"/>
      <c r="J182" s="346"/>
      <c r="K182" s="346"/>
      <c r="L182" s="346"/>
      <c r="M182" s="346"/>
      <c r="N182" s="346"/>
      <c r="O182" s="346"/>
      <c r="P182" s="346"/>
      <c r="Q182" s="346"/>
      <c r="R182" s="346"/>
      <c r="S182" s="346"/>
      <c r="T182" s="346"/>
      <c r="U182" s="346"/>
      <c r="V182" s="346"/>
      <c r="W182" s="346"/>
      <c r="X182" s="346"/>
      <c r="Y182" s="346"/>
      <c r="Z182" s="346"/>
      <c r="AA182" s="346"/>
      <c r="AB182" s="346"/>
      <c r="AC182" s="346"/>
      <c r="AD182" s="346"/>
      <c r="AE182" s="341"/>
      <c r="AF182" s="346"/>
      <c r="AG182" s="341"/>
      <c r="AH182" s="341"/>
      <c r="AI182" s="341"/>
      <c r="AJ182" s="341"/>
      <c r="AK182" s="341"/>
      <c r="AL182" s="341"/>
      <c r="AM182" s="341"/>
      <c r="AN182" s="341"/>
      <c r="AO182" s="341"/>
      <c r="AP182" s="341"/>
      <c r="AQ182" s="341"/>
      <c r="AR182" s="341"/>
      <c r="AS182" s="341"/>
      <c r="AT182" s="341"/>
      <c r="AU182" s="341"/>
      <c r="AV182" s="341"/>
      <c r="AW182" s="341"/>
      <c r="AX182" s="341"/>
      <c r="AY182" s="341"/>
      <c r="AZ182" s="341"/>
      <c r="BA182" s="341"/>
      <c r="BB182" s="341"/>
      <c r="BC182" s="341"/>
      <c r="BD182" s="341"/>
      <c r="BE182" s="341"/>
      <c r="BF182" s="341"/>
      <c r="BG182" s="341"/>
    </row>
    <row r="183" spans="2:59" s="135" customFormat="1" ht="18.75" customHeight="1">
      <c r="B183" s="57" t="s">
        <v>1077</v>
      </c>
      <c r="D183" s="346"/>
      <c r="E183" s="346"/>
      <c r="F183" s="346"/>
      <c r="G183" s="341"/>
      <c r="H183" s="346"/>
      <c r="I183" s="346"/>
      <c r="J183" s="346"/>
      <c r="K183" s="346"/>
      <c r="L183" s="346"/>
      <c r="M183" s="346"/>
      <c r="N183" s="346"/>
      <c r="O183" s="346"/>
      <c r="P183" s="202" t="s">
        <v>1078</v>
      </c>
      <c r="Q183" s="346"/>
      <c r="R183" s="346"/>
      <c r="S183" s="346"/>
      <c r="T183" s="346"/>
      <c r="V183" s="346"/>
      <c r="W183" s="346"/>
      <c r="X183" s="346"/>
      <c r="Y183" s="346"/>
      <c r="Z183" s="346"/>
      <c r="AA183" s="346"/>
      <c r="AB183" s="346"/>
      <c r="AC183" s="346"/>
      <c r="AD183" s="346"/>
      <c r="AE183" s="341"/>
      <c r="AF183" s="346"/>
      <c r="AG183" s="341"/>
      <c r="AH183" s="341"/>
      <c r="AI183" s="341"/>
      <c r="AJ183" s="341"/>
      <c r="AK183" s="341"/>
      <c r="AL183" s="341"/>
      <c r="AM183" s="341"/>
      <c r="AN183" s="341"/>
      <c r="AO183" s="341"/>
      <c r="AP183" s="341"/>
      <c r="AQ183" s="341"/>
      <c r="AR183" s="341"/>
      <c r="AS183" s="341"/>
      <c r="AT183" s="341"/>
      <c r="AU183" s="341"/>
      <c r="AV183" s="341"/>
      <c r="AW183" s="341"/>
      <c r="AX183" s="341"/>
      <c r="AY183" s="341"/>
      <c r="AZ183" s="341"/>
      <c r="BA183" s="341"/>
      <c r="BB183" s="341"/>
      <c r="BC183" s="341"/>
      <c r="BD183" s="341"/>
      <c r="BE183" s="341"/>
      <c r="BF183" s="341"/>
      <c r="BG183" s="341"/>
    </row>
    <row r="184" spans="2:59" s="135" customFormat="1" ht="18.75" customHeight="1">
      <c r="B184" s="57"/>
      <c r="C184" s="346" t="s">
        <v>1079</v>
      </c>
      <c r="D184" s="346"/>
      <c r="E184" s="346"/>
      <c r="F184" s="346"/>
      <c r="G184" s="341"/>
      <c r="H184" s="346"/>
      <c r="I184" s="346"/>
      <c r="J184" s="346"/>
      <c r="K184" s="346"/>
      <c r="L184" s="346"/>
      <c r="M184" s="346"/>
      <c r="N184" s="346"/>
      <c r="O184" s="346"/>
      <c r="P184" s="346"/>
      <c r="Q184" s="346"/>
      <c r="R184" s="346"/>
      <c r="S184" s="346"/>
      <c r="T184" s="346"/>
      <c r="U184" s="202"/>
      <c r="V184" s="346"/>
      <c r="W184" s="346"/>
      <c r="X184" s="346"/>
      <c r="Y184" s="346"/>
      <c r="Z184" s="346"/>
      <c r="AA184" s="346"/>
      <c r="AB184" s="346"/>
      <c r="AC184" s="346"/>
      <c r="AD184" s="346"/>
      <c r="AE184" s="341"/>
      <c r="AF184" s="346"/>
      <c r="AG184" s="341"/>
      <c r="AH184" s="341"/>
      <c r="AI184" s="341"/>
      <c r="AJ184" s="341"/>
      <c r="AK184" s="341"/>
      <c r="AL184" s="341"/>
      <c r="AM184" s="341"/>
      <c r="AN184" s="341"/>
      <c r="AO184" s="341"/>
      <c r="AP184" s="341"/>
      <c r="AQ184" s="341"/>
      <c r="AR184" s="341"/>
      <c r="AS184" s="341"/>
      <c r="AT184" s="341"/>
      <c r="AU184" s="341"/>
      <c r="AV184" s="341"/>
      <c r="AW184" s="341"/>
      <c r="AX184" s="341"/>
      <c r="AY184" s="341"/>
      <c r="AZ184" s="341"/>
      <c r="BA184" s="341"/>
      <c r="BB184" s="341"/>
      <c r="BC184" s="341"/>
      <c r="BD184" s="341"/>
      <c r="BE184" s="341"/>
      <c r="BF184" s="341"/>
      <c r="BG184" s="341"/>
    </row>
    <row r="185" spans="2:59" s="135" customFormat="1" ht="18.75" customHeight="1">
      <c r="B185" s="57"/>
      <c r="D185" s="346" t="s">
        <v>1080</v>
      </c>
      <c r="E185" s="346"/>
      <c r="F185" s="346"/>
      <c r="G185" s="341"/>
      <c r="H185" s="346"/>
      <c r="I185" s="346"/>
      <c r="J185" s="346"/>
      <c r="K185" s="346"/>
      <c r="L185" s="346"/>
      <c r="M185" s="346"/>
      <c r="N185" s="346"/>
      <c r="O185" s="346"/>
      <c r="P185" s="346"/>
      <c r="Q185" s="346"/>
      <c r="R185" s="346"/>
      <c r="S185" s="346"/>
      <c r="T185" s="346"/>
      <c r="U185" s="202"/>
      <c r="V185" s="346"/>
      <c r="W185" s="346"/>
      <c r="X185" s="346"/>
      <c r="Y185" s="346"/>
      <c r="Z185" s="346"/>
      <c r="AA185" s="346"/>
      <c r="AB185" s="346"/>
      <c r="AC185" s="346"/>
      <c r="AD185" s="346"/>
      <c r="AE185" s="341"/>
      <c r="AF185" s="346"/>
      <c r="AG185" s="341"/>
      <c r="AH185" s="341"/>
      <c r="AI185" s="341"/>
      <c r="AJ185" s="341"/>
      <c r="AK185" s="341"/>
      <c r="AL185" s="341"/>
      <c r="AM185" s="341"/>
      <c r="AN185" s="341"/>
      <c r="AO185" s="341"/>
      <c r="AP185" s="341"/>
      <c r="AQ185" s="341"/>
      <c r="AR185" s="341"/>
      <c r="AS185" s="341"/>
      <c r="AT185" s="341"/>
      <c r="AU185" s="341"/>
      <c r="AV185" s="341"/>
      <c r="AW185" s="341"/>
      <c r="AX185" s="341"/>
      <c r="AY185" s="341"/>
      <c r="AZ185" s="341"/>
      <c r="BA185" s="341"/>
      <c r="BB185" s="341"/>
      <c r="BC185" s="341"/>
      <c r="BD185" s="341"/>
      <c r="BE185" s="341"/>
      <c r="BF185" s="341"/>
      <c r="BG185" s="341"/>
    </row>
    <row r="186" spans="2:59" s="135" customFormat="1" ht="18.75" customHeight="1">
      <c r="B186" s="57"/>
      <c r="C186" s="346"/>
      <c r="D186" s="346" t="s">
        <v>900</v>
      </c>
      <c r="E186" s="346"/>
      <c r="F186" s="346"/>
      <c r="G186" s="346"/>
      <c r="H186" s="346"/>
      <c r="I186" s="346"/>
      <c r="J186" s="346"/>
      <c r="K186" s="346"/>
      <c r="L186" s="346"/>
      <c r="M186" s="341"/>
      <c r="N186" s="341"/>
      <c r="O186" s="341"/>
      <c r="P186" s="341" t="s">
        <v>901</v>
      </c>
      <c r="Q186" s="606">
        <f>DEGREES(ATAN(0.1/100))</f>
        <v>5.7295760414500616E-2</v>
      </c>
      <c r="R186" s="606"/>
      <c r="S186" s="606"/>
      <c r="T186" s="606"/>
      <c r="U186" s="346" t="s">
        <v>902</v>
      </c>
      <c r="V186" s="346" t="s">
        <v>903</v>
      </c>
      <c r="W186" s="346"/>
      <c r="X186" s="346"/>
      <c r="Y186" s="346"/>
      <c r="Z186" s="346"/>
      <c r="AA186" s="346"/>
      <c r="AB186" s="346"/>
      <c r="AC186" s="607">
        <f>Calcu!K4</f>
        <v>0</v>
      </c>
      <c r="AD186" s="607"/>
      <c r="AE186" s="607"/>
      <c r="AF186" s="607"/>
      <c r="AG186" s="607"/>
      <c r="AH186" s="341"/>
      <c r="AI186" s="341"/>
      <c r="AJ186" s="341"/>
      <c r="AK186" s="341"/>
      <c r="AL186" s="341"/>
      <c r="AM186" s="341"/>
      <c r="AN186" s="341"/>
      <c r="AO186" s="341"/>
      <c r="AP186" s="341"/>
      <c r="AQ186" s="341"/>
      <c r="AR186" s="341"/>
      <c r="AS186" s="341"/>
      <c r="AT186" s="341"/>
      <c r="AU186" s="341"/>
      <c r="AV186" s="341"/>
      <c r="AW186" s="341"/>
      <c r="AX186" s="341"/>
      <c r="AY186" s="341"/>
      <c r="AZ186" s="341"/>
      <c r="BA186" s="341"/>
      <c r="BB186" s="341"/>
      <c r="BC186" s="341"/>
      <c r="BD186" s="341"/>
      <c r="BE186" s="341"/>
      <c r="BF186" s="341"/>
      <c r="BG186" s="341"/>
    </row>
    <row r="187" spans="2:59" s="135" customFormat="1" ht="18.75" customHeight="1">
      <c r="B187" s="57"/>
      <c r="C187" s="346"/>
      <c r="D187" s="366" t="s">
        <v>1081</v>
      </c>
      <c r="E187" s="203"/>
      <c r="F187" s="203"/>
      <c r="G187" s="356"/>
      <c r="H187" s="346"/>
      <c r="I187" s="367"/>
      <c r="J187" s="367"/>
      <c r="K187" s="367"/>
      <c r="L187" s="367"/>
      <c r="M187" s="366"/>
      <c r="N187" s="368"/>
      <c r="O187" s="368"/>
      <c r="P187" s="368"/>
      <c r="Q187" s="368"/>
      <c r="R187" s="141"/>
      <c r="S187" s="608">
        <f>(1-COS(ATAN(0.1/100)))*AC186*1000</f>
        <v>0</v>
      </c>
      <c r="T187" s="608"/>
      <c r="U187" s="608"/>
      <c r="V187" s="608"/>
      <c r="W187" s="608"/>
      <c r="X187" s="346"/>
      <c r="Y187" s="346"/>
      <c r="Z187" s="346"/>
      <c r="AA187" s="346"/>
      <c r="AB187" s="346"/>
      <c r="AC187" s="341"/>
      <c r="AD187" s="346"/>
      <c r="AE187" s="346"/>
      <c r="AK187" s="341"/>
      <c r="AL187" s="341"/>
      <c r="AM187" s="341"/>
      <c r="AN187" s="341"/>
      <c r="AO187" s="341"/>
      <c r="AP187" s="341"/>
      <c r="AQ187" s="341"/>
      <c r="AR187" s="341"/>
      <c r="AS187" s="341"/>
      <c r="AT187" s="341"/>
      <c r="AU187" s="341"/>
      <c r="AV187" s="341"/>
      <c r="AW187" s="341"/>
      <c r="AX187" s="341"/>
      <c r="AY187" s="341"/>
      <c r="AZ187" s="341"/>
      <c r="BA187" s="341"/>
      <c r="BB187" s="341"/>
      <c r="BC187" s="341"/>
      <c r="BD187" s="341"/>
      <c r="BE187" s="341"/>
      <c r="BF187" s="341"/>
      <c r="BG187" s="341"/>
    </row>
    <row r="188" spans="2:59" s="135" customFormat="1" ht="18.75" customHeight="1">
      <c r="B188" s="341"/>
      <c r="C188" s="353" t="s">
        <v>1082</v>
      </c>
      <c r="D188" s="341"/>
      <c r="E188" s="341"/>
      <c r="F188" s="341"/>
      <c r="G188" s="341"/>
      <c r="H188" s="601">
        <v>0</v>
      </c>
      <c r="I188" s="601"/>
      <c r="J188" s="601"/>
      <c r="K188" s="601"/>
      <c r="L188" s="601"/>
      <c r="M188" s="601"/>
      <c r="N188" s="601"/>
      <c r="O188" s="601"/>
      <c r="P188" s="350"/>
      <c r="Q188" s="346"/>
      <c r="R188" s="346"/>
      <c r="S188" s="346"/>
      <c r="T188" s="346"/>
      <c r="U188" s="346"/>
      <c r="V188" s="346"/>
      <c r="W188" s="346"/>
      <c r="AC188" s="346"/>
      <c r="AD188" s="346"/>
      <c r="AE188" s="346"/>
      <c r="AF188" s="346"/>
      <c r="AG188" s="346"/>
      <c r="AH188" s="346"/>
      <c r="AI188" s="341"/>
      <c r="AJ188" s="341"/>
      <c r="AK188" s="341"/>
      <c r="AL188" s="341"/>
      <c r="AM188" s="341"/>
      <c r="AN188" s="341"/>
      <c r="AO188" s="341"/>
      <c r="AP188" s="341"/>
      <c r="AQ188" s="341"/>
      <c r="AR188" s="341"/>
      <c r="AS188" s="346"/>
      <c r="AT188" s="346"/>
      <c r="AU188" s="346"/>
      <c r="AV188" s="346"/>
      <c r="AW188" s="346"/>
      <c r="AX188" s="346"/>
      <c r="AY188" s="341"/>
      <c r="AZ188" s="341"/>
      <c r="BA188" s="341"/>
      <c r="BB188" s="341"/>
      <c r="BC188" s="341"/>
      <c r="BD188" s="341"/>
      <c r="BE188" s="341"/>
      <c r="BF188" s="341"/>
      <c r="BG188" s="341"/>
    </row>
    <row r="189" spans="2:59" s="135" customFormat="1" ht="18.75" customHeight="1">
      <c r="B189" s="341"/>
      <c r="C189" s="346" t="s">
        <v>1083</v>
      </c>
      <c r="D189" s="346"/>
      <c r="E189" s="346"/>
      <c r="F189" s="346"/>
      <c r="G189" s="346"/>
      <c r="H189" s="346"/>
      <c r="I189" s="341"/>
      <c r="J189" s="346" t="s">
        <v>1084</v>
      </c>
      <c r="K189" s="346"/>
      <c r="L189" s="346"/>
      <c r="M189" s="346"/>
      <c r="N189" s="346"/>
      <c r="O189" s="346"/>
      <c r="R189" s="589">
        <f>Calcu!H42</f>
        <v>0</v>
      </c>
      <c r="S189" s="589"/>
      <c r="T189" s="589"/>
      <c r="U189" s="350" t="s">
        <v>1067</v>
      </c>
      <c r="V189" s="341"/>
      <c r="AD189" s="346"/>
      <c r="AE189" s="346"/>
      <c r="AF189" s="341"/>
      <c r="AG189" s="341"/>
      <c r="AH189" s="341"/>
      <c r="AI189" s="341"/>
      <c r="AJ189" s="341"/>
      <c r="AK189" s="341"/>
      <c r="AL189" s="341"/>
      <c r="AM189" s="341"/>
      <c r="AN189" s="346"/>
      <c r="AO189" s="346"/>
      <c r="AP189" s="346"/>
      <c r="AQ189" s="346"/>
      <c r="AR189" s="346"/>
      <c r="AS189" s="346"/>
      <c r="AT189" s="346"/>
      <c r="AU189" s="346"/>
      <c r="AV189" s="346"/>
      <c r="AW189" s="346"/>
      <c r="AX189" s="346"/>
      <c r="AY189" s="341"/>
      <c r="AZ189" s="341"/>
      <c r="BA189" s="341"/>
      <c r="BB189" s="341"/>
      <c r="BC189" s="341"/>
      <c r="BD189" s="341"/>
      <c r="BE189" s="341"/>
      <c r="BF189" s="341"/>
      <c r="BG189" s="341"/>
    </row>
    <row r="190" spans="2:59" s="135" customFormat="1" ht="18.75" customHeight="1">
      <c r="B190" s="341"/>
      <c r="C190" s="346"/>
      <c r="D190" s="346"/>
      <c r="E190" s="346"/>
      <c r="F190" s="346"/>
      <c r="G190" s="346"/>
      <c r="H190" s="346"/>
      <c r="I190" s="346"/>
      <c r="K190" s="602" t="s">
        <v>1085</v>
      </c>
      <c r="L190" s="602"/>
      <c r="M190" s="602"/>
      <c r="N190" s="514" t="s">
        <v>1086</v>
      </c>
      <c r="O190" s="587">
        <f>R189</f>
        <v>0</v>
      </c>
      <c r="P190" s="597"/>
      <c r="Q190" s="597"/>
      <c r="R190" s="355" t="s">
        <v>847</v>
      </c>
      <c r="S190" s="355"/>
      <c r="T190" s="519" t="s">
        <v>845</v>
      </c>
      <c r="U190" s="589">
        <f>O190/2/SQRT(3)</f>
        <v>0</v>
      </c>
      <c r="V190" s="589"/>
      <c r="W190" s="589"/>
      <c r="X190" s="576" t="str">
        <f>R190</f>
        <v>μm</v>
      </c>
      <c r="Y190" s="576"/>
      <c r="Z190" s="346"/>
      <c r="AA190" s="341"/>
      <c r="AB190" s="341"/>
      <c r="AC190" s="341"/>
      <c r="AD190" s="341"/>
      <c r="AE190" s="341"/>
      <c r="AF190" s="341"/>
      <c r="AG190" s="341"/>
      <c r="AH190" s="341"/>
      <c r="AI190" s="341"/>
      <c r="AJ190" s="341"/>
      <c r="AK190" s="341"/>
      <c r="AL190" s="341"/>
      <c r="AM190" s="341"/>
      <c r="AN190" s="346"/>
      <c r="AO190" s="346"/>
      <c r="AP190" s="346"/>
      <c r="AQ190" s="346"/>
      <c r="AR190" s="346"/>
      <c r="AS190" s="346"/>
      <c r="AT190" s="346"/>
      <c r="AU190" s="346"/>
      <c r="AV190" s="341"/>
      <c r="AW190" s="341"/>
      <c r="AX190" s="341"/>
      <c r="AY190" s="341"/>
      <c r="AZ190" s="341"/>
      <c r="BA190" s="341"/>
      <c r="BB190" s="341"/>
      <c r="BC190" s="341"/>
      <c r="BD190" s="341"/>
    </row>
    <row r="191" spans="2:59" s="135" customFormat="1" ht="18.75" customHeight="1">
      <c r="B191" s="341"/>
      <c r="C191" s="346"/>
      <c r="D191" s="346"/>
      <c r="E191" s="346"/>
      <c r="F191" s="346"/>
      <c r="G191" s="346"/>
      <c r="H191" s="346"/>
      <c r="I191" s="346"/>
      <c r="J191" s="203"/>
      <c r="K191" s="602"/>
      <c r="L191" s="602"/>
      <c r="M191" s="602"/>
      <c r="N191" s="514"/>
      <c r="O191" s="609"/>
      <c r="P191" s="609"/>
      <c r="Q191" s="609"/>
      <c r="R191" s="609"/>
      <c r="S191" s="609"/>
      <c r="T191" s="519"/>
      <c r="U191" s="589"/>
      <c r="V191" s="589"/>
      <c r="W191" s="589"/>
      <c r="X191" s="576"/>
      <c r="Y191" s="576"/>
      <c r="Z191" s="346"/>
      <c r="AA191" s="341"/>
      <c r="AB191" s="341"/>
      <c r="AC191" s="341"/>
      <c r="AD191" s="341"/>
      <c r="AE191" s="341"/>
      <c r="AF191" s="341"/>
      <c r="AG191" s="341"/>
      <c r="AH191" s="341"/>
      <c r="AI191" s="341"/>
      <c r="AJ191" s="341"/>
      <c r="AK191" s="341"/>
      <c r="AL191" s="341"/>
      <c r="AM191" s="341"/>
      <c r="AN191" s="346"/>
      <c r="AO191" s="346"/>
      <c r="AP191" s="346"/>
      <c r="AQ191" s="346"/>
      <c r="AR191" s="346"/>
      <c r="AS191" s="346"/>
      <c r="AT191" s="346"/>
      <c r="AU191" s="346"/>
      <c r="AV191" s="341"/>
      <c r="AW191" s="341"/>
      <c r="AX191" s="341"/>
      <c r="AY191" s="341"/>
      <c r="AZ191" s="341"/>
      <c r="BA191" s="341"/>
      <c r="BB191" s="341"/>
      <c r="BC191" s="341"/>
      <c r="BD191" s="341"/>
    </row>
    <row r="192" spans="2:59" s="135" customFormat="1" ht="18.75" customHeight="1">
      <c r="B192" s="341"/>
      <c r="C192" s="346" t="s">
        <v>1087</v>
      </c>
      <c r="D192" s="346"/>
      <c r="E192" s="346"/>
      <c r="F192" s="346"/>
      <c r="G192" s="346"/>
      <c r="H192" s="346"/>
      <c r="I192" s="544" t="str">
        <f>AB66</f>
        <v>직사각형</v>
      </c>
      <c r="J192" s="544"/>
      <c r="K192" s="544"/>
      <c r="L192" s="544"/>
      <c r="M192" s="544"/>
      <c r="N192" s="544"/>
      <c r="O192" s="544"/>
      <c r="P192" s="544"/>
      <c r="Q192" s="346"/>
      <c r="R192" s="346"/>
      <c r="S192" s="346"/>
      <c r="T192" s="346"/>
      <c r="U192" s="346"/>
      <c r="V192" s="346"/>
      <c r="W192" s="346"/>
      <c r="X192" s="346"/>
      <c r="Y192" s="346"/>
      <c r="Z192" s="341"/>
      <c r="AA192" s="341"/>
      <c r="AB192" s="341"/>
      <c r="AC192" s="341"/>
      <c r="AD192" s="341"/>
      <c r="AE192" s="341"/>
      <c r="AF192" s="341"/>
      <c r="AG192" s="341"/>
      <c r="AH192" s="346"/>
      <c r="AI192" s="346"/>
      <c r="AJ192" s="346"/>
      <c r="AK192" s="346"/>
      <c r="AL192" s="346"/>
      <c r="AM192" s="346"/>
      <c r="AN192" s="346"/>
      <c r="AO192" s="346"/>
      <c r="AP192" s="346"/>
      <c r="AQ192" s="346"/>
      <c r="AR192" s="346"/>
      <c r="AS192" s="346"/>
      <c r="AT192" s="346"/>
      <c r="AU192" s="346"/>
      <c r="AV192" s="346"/>
      <c r="AW192" s="346"/>
      <c r="AX192" s="346"/>
      <c r="AY192" s="341"/>
      <c r="AZ192" s="341"/>
      <c r="BA192" s="341"/>
      <c r="BB192" s="341"/>
      <c r="BC192" s="341"/>
      <c r="BD192" s="341"/>
      <c r="BE192" s="341"/>
      <c r="BF192" s="341"/>
      <c r="BG192" s="341"/>
    </row>
    <row r="193" spans="1:75" s="135" customFormat="1" ht="18.75" customHeight="1">
      <c r="B193" s="341"/>
      <c r="C193" s="518" t="s">
        <v>1088</v>
      </c>
      <c r="D193" s="518"/>
      <c r="E193" s="518"/>
      <c r="F193" s="518"/>
      <c r="G193" s="518"/>
      <c r="H193" s="518"/>
      <c r="I193" s="346"/>
      <c r="J193" s="346"/>
      <c r="K193" s="346"/>
      <c r="L193" s="346"/>
      <c r="M193" s="346"/>
      <c r="N193" s="514">
        <f>AG66</f>
        <v>1</v>
      </c>
      <c r="O193" s="514"/>
      <c r="P193" s="142"/>
      <c r="Q193" s="142"/>
      <c r="R193" s="142"/>
      <c r="S193" s="346"/>
      <c r="T193" s="346"/>
      <c r="U193" s="346"/>
      <c r="V193" s="346"/>
      <c r="W193" s="346"/>
      <c r="X193" s="346"/>
      <c r="Y193" s="346"/>
      <c r="Z193" s="143"/>
      <c r="AA193" s="143"/>
      <c r="AB193" s="346"/>
      <c r="AC193" s="346"/>
      <c r="AD193" s="346"/>
      <c r="AE193" s="346"/>
      <c r="AF193" s="346"/>
      <c r="AG193" s="346"/>
      <c r="AH193" s="346"/>
      <c r="AI193" s="346"/>
      <c r="AJ193" s="346"/>
      <c r="AK193" s="346"/>
      <c r="AL193" s="341"/>
      <c r="AM193" s="341"/>
      <c r="AN193" s="341"/>
      <c r="AO193" s="346"/>
      <c r="AP193" s="346"/>
      <c r="AQ193" s="346"/>
      <c r="AR193" s="346"/>
      <c r="AS193" s="346"/>
      <c r="AT193" s="346"/>
      <c r="AU193" s="346"/>
      <c r="AV193" s="346"/>
      <c r="AW193" s="346"/>
      <c r="AX193" s="346"/>
      <c r="AY193" s="341"/>
      <c r="AZ193" s="341"/>
      <c r="BA193" s="341"/>
      <c r="BB193" s="341"/>
      <c r="BC193" s="341"/>
      <c r="BD193" s="341"/>
      <c r="BE193" s="341"/>
      <c r="BF193" s="341"/>
      <c r="BG193" s="341"/>
    </row>
    <row r="194" spans="1:75" s="135" customFormat="1" ht="18.75" customHeight="1">
      <c r="B194" s="341"/>
      <c r="C194" s="518"/>
      <c r="D194" s="518"/>
      <c r="E194" s="518"/>
      <c r="F194" s="518"/>
      <c r="G194" s="518"/>
      <c r="H194" s="518"/>
      <c r="I194" s="346"/>
      <c r="J194" s="346"/>
      <c r="K194" s="346"/>
      <c r="L194" s="346"/>
      <c r="M194" s="346"/>
      <c r="N194" s="514"/>
      <c r="O194" s="514"/>
      <c r="P194" s="142"/>
      <c r="Q194" s="142"/>
      <c r="R194" s="142"/>
      <c r="S194" s="346"/>
      <c r="T194" s="346"/>
      <c r="U194" s="346"/>
      <c r="V194" s="346"/>
      <c r="W194" s="346"/>
      <c r="X194" s="346"/>
      <c r="Y194" s="346"/>
      <c r="Z194" s="143"/>
      <c r="AA194" s="143"/>
      <c r="AB194" s="346"/>
      <c r="AC194" s="346"/>
      <c r="AD194" s="346"/>
      <c r="AE194" s="346"/>
      <c r="AF194" s="346"/>
      <c r="AG194" s="346"/>
      <c r="AH194" s="346"/>
      <c r="AI194" s="346"/>
      <c r="AJ194" s="346"/>
      <c r="AK194" s="346"/>
      <c r="AL194" s="341"/>
      <c r="AM194" s="341"/>
      <c r="AN194" s="341"/>
      <c r="AO194" s="346"/>
      <c r="AP194" s="346"/>
      <c r="AQ194" s="346"/>
      <c r="AR194" s="346"/>
      <c r="AS194" s="346"/>
      <c r="AT194" s="346"/>
      <c r="AU194" s="346"/>
      <c r="AV194" s="346"/>
      <c r="AW194" s="346"/>
      <c r="AX194" s="346"/>
      <c r="AY194" s="341"/>
      <c r="AZ194" s="341"/>
      <c r="BA194" s="341"/>
      <c r="BB194" s="341"/>
      <c r="BC194" s="341"/>
      <c r="BD194" s="341"/>
      <c r="BE194" s="341"/>
      <c r="BF194" s="341"/>
      <c r="BG194" s="341"/>
    </row>
    <row r="195" spans="1:75" s="135" customFormat="1" ht="18.75" customHeight="1">
      <c r="B195" s="341"/>
      <c r="C195" s="346" t="s">
        <v>1089</v>
      </c>
      <c r="D195" s="346"/>
      <c r="E195" s="346"/>
      <c r="F195" s="346"/>
      <c r="G195" s="346"/>
      <c r="H195" s="346"/>
      <c r="I195" s="346"/>
      <c r="J195" s="341"/>
      <c r="K195" s="341" t="s">
        <v>1069</v>
      </c>
      <c r="L195" s="514">
        <v>1</v>
      </c>
      <c r="M195" s="514"/>
      <c r="N195" s="341" t="s">
        <v>1018</v>
      </c>
      <c r="O195" s="589">
        <f>U190</f>
        <v>0</v>
      </c>
      <c r="P195" s="576"/>
      <c r="Q195" s="576"/>
      <c r="R195" s="590" t="str">
        <f>X190</f>
        <v>μm</v>
      </c>
      <c r="S195" s="576"/>
      <c r="T195" s="345" t="s">
        <v>1074</v>
      </c>
      <c r="U195" s="70" t="s">
        <v>1019</v>
      </c>
      <c r="V195" s="589">
        <f>L195*O195</f>
        <v>0</v>
      </c>
      <c r="W195" s="589"/>
      <c r="X195" s="589"/>
      <c r="Y195" s="351" t="str">
        <f>R195</f>
        <v>μm</v>
      </c>
      <c r="Z195" s="56"/>
      <c r="AA195" s="350"/>
      <c r="AB195" s="144"/>
      <c r="AC195" s="138"/>
      <c r="AD195" s="341"/>
      <c r="AE195" s="346"/>
      <c r="AF195" s="341"/>
      <c r="AG195" s="341"/>
      <c r="AH195" s="341"/>
      <c r="AI195" s="341"/>
      <c r="AJ195" s="341"/>
      <c r="AK195" s="346"/>
      <c r="AL195" s="341"/>
      <c r="AM195" s="341"/>
      <c r="AN195" s="341"/>
      <c r="AO195" s="346"/>
      <c r="AP195" s="346"/>
      <c r="AQ195" s="346"/>
      <c r="AR195" s="346"/>
      <c r="AS195" s="346"/>
      <c r="AT195" s="346"/>
      <c r="AU195" s="346"/>
      <c r="AV195" s="346"/>
      <c r="AW195" s="346"/>
      <c r="AX195" s="346"/>
      <c r="AY195" s="341"/>
      <c r="AZ195" s="341"/>
      <c r="BA195" s="341"/>
      <c r="BB195" s="341"/>
      <c r="BC195" s="341"/>
      <c r="BD195" s="341"/>
      <c r="BE195" s="341"/>
      <c r="BF195" s="341"/>
      <c r="BG195" s="341"/>
    </row>
    <row r="196" spans="1:75" s="135" customFormat="1" ht="18.75" customHeight="1">
      <c r="B196" s="341"/>
      <c r="C196" s="518" t="s">
        <v>1090</v>
      </c>
      <c r="D196" s="518"/>
      <c r="E196" s="518"/>
      <c r="F196" s="518"/>
      <c r="G196" s="518"/>
      <c r="H196" s="346"/>
      <c r="J196" s="346"/>
      <c r="K196" s="346"/>
      <c r="L196" s="346"/>
      <c r="M196" s="346"/>
      <c r="N196" s="346"/>
      <c r="O196" s="346"/>
      <c r="P196" s="346"/>
      <c r="Q196" s="346"/>
      <c r="R196" s="138"/>
      <c r="S196" s="346"/>
      <c r="T196" s="346"/>
      <c r="U196" s="346"/>
      <c r="W196" s="346"/>
      <c r="X196" s="370" t="s">
        <v>1091</v>
      </c>
      <c r="Y196" s="346"/>
      <c r="Z196" s="346"/>
      <c r="AA196" s="346"/>
      <c r="AB196" s="346"/>
      <c r="AC196" s="346"/>
      <c r="AD196" s="346"/>
      <c r="AE196" s="341"/>
      <c r="AF196" s="341"/>
      <c r="AG196" s="341"/>
      <c r="AH196" s="341"/>
      <c r="AI196" s="341"/>
      <c r="AJ196" s="341"/>
      <c r="AK196" s="341"/>
      <c r="AL196" s="341"/>
      <c r="AM196" s="341"/>
      <c r="AN196" s="341"/>
      <c r="AO196" s="341"/>
      <c r="AP196" s="341"/>
      <c r="AQ196" s="341"/>
      <c r="AR196" s="341"/>
      <c r="AS196" s="341"/>
      <c r="AT196" s="341"/>
      <c r="AU196" s="341"/>
      <c r="AV196" s="341"/>
      <c r="AW196" s="341"/>
      <c r="AX196" s="341"/>
      <c r="AY196" s="341"/>
      <c r="AZ196" s="341"/>
      <c r="BA196" s="341"/>
      <c r="BB196" s="341"/>
      <c r="BC196" s="341"/>
      <c r="BD196" s="341"/>
      <c r="BE196" s="341"/>
      <c r="BF196" s="341"/>
      <c r="BG196" s="341"/>
    </row>
    <row r="197" spans="1:75" s="135" customFormat="1" ht="18.75" customHeight="1">
      <c r="B197" s="341"/>
      <c r="C197" s="518"/>
      <c r="D197" s="518"/>
      <c r="E197" s="518"/>
      <c r="F197" s="518"/>
      <c r="G197" s="518"/>
      <c r="H197" s="346"/>
      <c r="I197" s="346"/>
      <c r="J197" s="346"/>
      <c r="K197" s="346"/>
      <c r="L197" s="346"/>
      <c r="M197" s="346"/>
      <c r="N197" s="346"/>
      <c r="O197" s="346"/>
      <c r="P197" s="346"/>
      <c r="Q197" s="346"/>
      <c r="R197" s="138"/>
      <c r="S197" s="346"/>
      <c r="T197" s="346"/>
      <c r="U197" s="346"/>
      <c r="V197" s="346"/>
      <c r="W197" s="346"/>
      <c r="X197" s="346"/>
      <c r="Y197" s="346"/>
      <c r="Z197" s="346"/>
      <c r="AA197" s="346"/>
      <c r="AB197" s="346"/>
      <c r="AC197" s="346"/>
      <c r="AD197" s="346"/>
      <c r="AE197" s="341"/>
      <c r="AF197" s="341"/>
      <c r="AG197" s="341"/>
      <c r="AH197" s="341"/>
      <c r="AI197" s="341"/>
      <c r="AJ197" s="341"/>
      <c r="AK197" s="341"/>
      <c r="AL197" s="341"/>
      <c r="AM197" s="341"/>
      <c r="AN197" s="341"/>
      <c r="AO197" s="341"/>
      <c r="AP197" s="341"/>
      <c r="AQ197" s="341"/>
      <c r="AR197" s="341"/>
      <c r="AS197" s="341"/>
      <c r="AT197" s="341"/>
      <c r="AU197" s="341"/>
      <c r="AV197" s="341"/>
      <c r="AW197" s="341"/>
      <c r="AX197" s="341"/>
      <c r="AY197" s="341"/>
      <c r="AZ197" s="341"/>
      <c r="BA197" s="341"/>
      <c r="BB197" s="341"/>
      <c r="BC197" s="341"/>
      <c r="BD197" s="341"/>
      <c r="BE197" s="341"/>
      <c r="BF197" s="341"/>
      <c r="BG197" s="341"/>
    </row>
    <row r="198" spans="1:75" s="135" customFormat="1" ht="18.75" customHeight="1">
      <c r="B198" s="341"/>
      <c r="C198" s="57"/>
      <c r="D198" s="346"/>
      <c r="E198" s="346"/>
      <c r="F198" s="346"/>
      <c r="G198" s="341"/>
      <c r="H198" s="346"/>
      <c r="I198" s="346"/>
      <c r="J198" s="346"/>
      <c r="K198" s="346"/>
      <c r="L198" s="346"/>
      <c r="M198" s="346"/>
      <c r="N198" s="346"/>
      <c r="O198" s="346"/>
      <c r="P198" s="346"/>
      <c r="Q198" s="346"/>
      <c r="R198" s="346"/>
      <c r="S198" s="346"/>
      <c r="T198" s="346"/>
      <c r="U198" s="346"/>
      <c r="V198" s="346"/>
      <c r="W198" s="346"/>
      <c r="X198" s="346"/>
      <c r="Y198" s="346"/>
      <c r="Z198" s="346"/>
      <c r="AA198" s="346"/>
      <c r="AB198" s="346"/>
      <c r="AC198" s="346"/>
      <c r="AD198" s="346"/>
      <c r="AE198" s="341"/>
      <c r="AF198" s="346"/>
      <c r="AG198" s="341"/>
      <c r="AH198" s="341"/>
      <c r="AI198" s="341"/>
      <c r="AJ198" s="341"/>
      <c r="AK198" s="341"/>
      <c r="AL198" s="341"/>
      <c r="AM198" s="341"/>
      <c r="AN198" s="341"/>
      <c r="AO198" s="341"/>
      <c r="AP198" s="341"/>
      <c r="AQ198" s="341"/>
      <c r="AR198" s="341"/>
      <c r="AS198" s="341"/>
      <c r="AT198" s="341"/>
      <c r="AU198" s="341"/>
      <c r="AV198" s="341"/>
      <c r="AW198" s="341"/>
      <c r="AX198" s="341"/>
      <c r="AY198" s="341"/>
      <c r="AZ198" s="341"/>
      <c r="BA198" s="341"/>
      <c r="BB198" s="341"/>
      <c r="BC198" s="341"/>
      <c r="BD198" s="341"/>
      <c r="BE198" s="341"/>
      <c r="BF198" s="341"/>
      <c r="BG198" s="341"/>
    </row>
    <row r="199" spans="1:75" s="135" customFormat="1" ht="18.75" customHeight="1">
      <c r="A199" s="57" t="s">
        <v>1092</v>
      </c>
      <c r="B199" s="341"/>
      <c r="C199" s="341"/>
      <c r="D199" s="341"/>
      <c r="E199" s="341"/>
      <c r="F199" s="341"/>
      <c r="G199" s="341"/>
      <c r="H199" s="341"/>
      <c r="I199" s="341"/>
      <c r="J199" s="341"/>
      <c r="K199" s="341"/>
      <c r="L199" s="341"/>
      <c r="M199" s="341"/>
      <c r="N199" s="341"/>
      <c r="O199" s="341"/>
      <c r="P199" s="341"/>
      <c r="Q199" s="341"/>
      <c r="R199" s="341"/>
      <c r="S199" s="341"/>
      <c r="T199" s="341"/>
      <c r="U199" s="341"/>
      <c r="V199" s="341"/>
      <c r="W199" s="341"/>
      <c r="X199" s="341"/>
      <c r="Y199" s="341"/>
      <c r="Z199" s="341"/>
      <c r="AA199" s="341"/>
      <c r="AB199" s="341"/>
      <c r="AC199" s="341"/>
      <c r="AD199" s="341"/>
      <c r="AE199" s="341"/>
      <c r="AF199" s="341"/>
      <c r="AG199" s="341"/>
      <c r="AH199" s="341"/>
      <c r="AI199" s="341"/>
      <c r="AJ199" s="341"/>
      <c r="AK199" s="341"/>
      <c r="AL199" s="341"/>
      <c r="AM199" s="341"/>
      <c r="AN199" s="341"/>
      <c r="AO199" s="341"/>
      <c r="AP199" s="341"/>
      <c r="AQ199" s="341"/>
      <c r="AR199" s="341"/>
      <c r="AS199" s="341"/>
      <c r="AT199" s="341"/>
      <c r="AU199" s="341"/>
      <c r="AV199" s="341"/>
      <c r="AW199" s="341"/>
      <c r="AX199" s="341"/>
      <c r="AY199" s="341"/>
      <c r="AZ199" s="341"/>
      <c r="BA199" s="341"/>
      <c r="BB199" s="341"/>
      <c r="BC199" s="341"/>
      <c r="BD199" s="341"/>
      <c r="BE199" s="341"/>
      <c r="BF199" s="341"/>
    </row>
    <row r="200" spans="1:75" s="135" customFormat="1" ht="18.75" customHeight="1">
      <c r="A200" s="341"/>
      <c r="B200" s="341"/>
      <c r="C200" s="341"/>
      <c r="D200" s="341"/>
      <c r="E200" s="341"/>
      <c r="F200" s="341"/>
      <c r="G200" s="341"/>
      <c r="H200" s="341"/>
      <c r="I200" s="341"/>
      <c r="J200" s="341"/>
      <c r="K200" s="341"/>
      <c r="L200" s="341"/>
      <c r="M200" s="341"/>
      <c r="N200" s="341"/>
      <c r="O200" s="341"/>
      <c r="P200" s="341"/>
      <c r="Q200" s="341"/>
      <c r="R200" s="341"/>
      <c r="S200" s="341"/>
      <c r="T200" s="341"/>
      <c r="U200" s="341"/>
      <c r="V200" s="341"/>
      <c r="W200" s="341"/>
      <c r="X200" s="341"/>
      <c r="Y200" s="341"/>
      <c r="Z200" s="341"/>
      <c r="AA200" s="341"/>
      <c r="AB200" s="341"/>
      <c r="AC200" s="341"/>
      <c r="AD200" s="341"/>
      <c r="AE200" s="346"/>
      <c r="AF200" s="341"/>
      <c r="AG200" s="341"/>
      <c r="AH200" s="341"/>
      <c r="AI200" s="341"/>
      <c r="AJ200" s="341"/>
      <c r="AK200" s="346"/>
      <c r="AL200" s="346"/>
      <c r="AM200" s="363"/>
      <c r="AN200" s="363"/>
      <c r="AO200" s="363"/>
      <c r="AP200" s="363"/>
      <c r="AQ200" s="346"/>
      <c r="AR200" s="341"/>
      <c r="AT200" s="369"/>
      <c r="AU200" s="369"/>
      <c r="AV200" s="369"/>
      <c r="AW200" s="346"/>
      <c r="AX200" s="346"/>
      <c r="AY200" s="341"/>
      <c r="BA200" s="341"/>
      <c r="BB200" s="341"/>
      <c r="BC200" s="341"/>
      <c r="BD200" s="341"/>
      <c r="BE200" s="341"/>
      <c r="BF200" s="341"/>
    </row>
    <row r="201" spans="1:75" s="135" customFormat="1" ht="18.75" customHeight="1">
      <c r="A201" s="341"/>
      <c r="B201" s="341"/>
      <c r="C201" s="341"/>
      <c r="D201" s="341"/>
      <c r="E201" s="341" t="s">
        <v>1019</v>
      </c>
      <c r="F201" s="515" t="e">
        <f ca="1">AP58</f>
        <v>#N/A</v>
      </c>
      <c r="G201" s="515"/>
      <c r="H201" s="515"/>
      <c r="I201" s="346" t="s">
        <v>1067</v>
      </c>
      <c r="J201" s="346"/>
      <c r="K201" s="514" t="s">
        <v>905</v>
      </c>
      <c r="L201" s="514"/>
      <c r="M201" s="610" t="e">
        <f ca="1">AU58</f>
        <v>#N/A</v>
      </c>
      <c r="N201" s="610"/>
      <c r="O201" s="610"/>
      <c r="P201" s="346" t="s">
        <v>831</v>
      </c>
      <c r="Q201" s="346"/>
      <c r="R201" s="341"/>
      <c r="T201" s="514" t="s">
        <v>1093</v>
      </c>
      <c r="U201" s="514"/>
      <c r="V201" s="611">
        <f>AP59</f>
        <v>0</v>
      </c>
      <c r="W201" s="611"/>
      <c r="X201" s="611"/>
      <c r="Y201" s="346" t="s">
        <v>1094</v>
      </c>
      <c r="Z201" s="346"/>
      <c r="AA201" s="514" t="s">
        <v>1093</v>
      </c>
      <c r="AB201" s="514"/>
      <c r="AC201" s="612">
        <f>AP60</f>
        <v>8.1649658092772609E-5</v>
      </c>
      <c r="AD201" s="612"/>
      <c r="AE201" s="612"/>
      <c r="AF201" s="612"/>
      <c r="AG201" s="346" t="s">
        <v>831</v>
      </c>
      <c r="AH201" s="341"/>
      <c r="AK201" s="514" t="s">
        <v>1095</v>
      </c>
      <c r="AL201" s="514"/>
      <c r="AM201" s="612" t="e">
        <f ca="1">AP61</f>
        <v>#N/A</v>
      </c>
      <c r="AN201" s="612"/>
      <c r="AO201" s="612"/>
      <c r="AP201" s="612"/>
      <c r="AQ201" s="346" t="s">
        <v>831</v>
      </c>
      <c r="AR201" s="341"/>
      <c r="AU201" s="341"/>
      <c r="AV201" s="341"/>
      <c r="AW201" s="341"/>
      <c r="AX201" s="341"/>
      <c r="AY201" s="341"/>
      <c r="AZ201" s="341"/>
      <c r="BA201" s="341"/>
      <c r="BB201" s="341"/>
      <c r="BC201" s="341"/>
      <c r="BD201" s="341"/>
      <c r="BE201" s="341"/>
      <c r="BF201" s="341"/>
    </row>
    <row r="202" spans="1:75" s="135" customFormat="1" ht="18.75" customHeight="1">
      <c r="A202" s="341"/>
      <c r="B202" s="341"/>
      <c r="C202" s="341"/>
      <c r="D202" s="341"/>
      <c r="E202" s="341"/>
      <c r="F202" s="514" t="s">
        <v>905</v>
      </c>
      <c r="G202" s="514"/>
      <c r="H202" s="612">
        <f>AP62</f>
        <v>8.1649658092772609E-5</v>
      </c>
      <c r="I202" s="612"/>
      <c r="J202" s="612"/>
      <c r="K202" s="612"/>
      <c r="L202" s="346" t="s">
        <v>831</v>
      </c>
      <c r="M202" s="341"/>
      <c r="P202" s="514" t="s">
        <v>905</v>
      </c>
      <c r="Q202" s="514"/>
      <c r="R202" s="612" t="e">
        <f ca="1">AP63</f>
        <v>#N/A</v>
      </c>
      <c r="S202" s="612"/>
      <c r="T202" s="612"/>
      <c r="U202" s="612"/>
      <c r="V202" s="346" t="s">
        <v>831</v>
      </c>
      <c r="W202" s="341"/>
      <c r="Z202" s="514" t="s">
        <v>905</v>
      </c>
      <c r="AA202" s="514"/>
      <c r="AB202" s="611">
        <f>AP64</f>
        <v>0</v>
      </c>
      <c r="AC202" s="611"/>
      <c r="AD202" s="611"/>
      <c r="AE202" s="346" t="s">
        <v>847</v>
      </c>
      <c r="AF202" s="346"/>
      <c r="AG202" s="352"/>
      <c r="AH202" s="514" t="s">
        <v>1096</v>
      </c>
      <c r="AI202" s="514"/>
      <c r="AJ202" s="611">
        <f>AP65</f>
        <v>0.28867513459481292</v>
      </c>
      <c r="AK202" s="611"/>
      <c r="AL202" s="611"/>
      <c r="AM202" s="346" t="s">
        <v>847</v>
      </c>
      <c r="AN202" s="346"/>
      <c r="AO202" s="346"/>
      <c r="AP202" s="514" t="s">
        <v>1097</v>
      </c>
      <c r="AQ202" s="514"/>
      <c r="AR202" s="611">
        <f>AP66</f>
        <v>0</v>
      </c>
      <c r="AS202" s="611"/>
      <c r="AT202" s="611"/>
      <c r="AU202" s="346" t="s">
        <v>847</v>
      </c>
      <c r="AV202" s="346"/>
      <c r="AW202" s="341"/>
      <c r="AX202" s="341"/>
      <c r="AY202" s="341"/>
      <c r="AZ202" s="341"/>
      <c r="BA202" s="341"/>
      <c r="BB202" s="341"/>
      <c r="BC202" s="341"/>
      <c r="BD202" s="341"/>
      <c r="BE202" s="341"/>
      <c r="BF202" s="341"/>
    </row>
    <row r="203" spans="1:75" s="58" customFormat="1" ht="18.75" customHeight="1">
      <c r="A203" s="346"/>
      <c r="B203" s="346"/>
      <c r="C203" s="346"/>
      <c r="D203" s="346"/>
      <c r="E203" s="341" t="s">
        <v>845</v>
      </c>
      <c r="F203" s="515" t="e">
        <f ca="1">AP67</f>
        <v>#N/A</v>
      </c>
      <c r="G203" s="515"/>
      <c r="H203" s="515"/>
      <c r="I203" s="346" t="s">
        <v>847</v>
      </c>
      <c r="J203" s="346"/>
      <c r="K203" s="514" t="s">
        <v>1098</v>
      </c>
      <c r="L203" s="514"/>
      <c r="M203" s="610" t="e">
        <f ca="1">AU67</f>
        <v>#N/A</v>
      </c>
      <c r="N203" s="610"/>
      <c r="O203" s="610"/>
      <c r="P203" s="346" t="s">
        <v>1009</v>
      </c>
      <c r="Q203" s="346"/>
      <c r="R203" s="341"/>
      <c r="S203" s="135"/>
      <c r="T203" s="346"/>
      <c r="U203" s="346"/>
      <c r="V203" s="346"/>
      <c r="W203" s="346"/>
      <c r="X203" s="346"/>
      <c r="Y203" s="346"/>
      <c r="Z203" s="346"/>
      <c r="AA203" s="346"/>
      <c r="AB203" s="346"/>
      <c r="AC203" s="346"/>
      <c r="AD203" s="346"/>
      <c r="AE203" s="346"/>
      <c r="AF203" s="346"/>
      <c r="AG203" s="341"/>
      <c r="AH203" s="346"/>
      <c r="AI203" s="346"/>
      <c r="AJ203" s="346"/>
      <c r="AK203" s="346"/>
      <c r="AL203" s="346"/>
      <c r="AM203" s="346"/>
      <c r="AN203" s="346"/>
      <c r="AO203" s="346"/>
      <c r="AP203" s="346"/>
      <c r="AQ203" s="346"/>
      <c r="AR203" s="346"/>
      <c r="AS203" s="346"/>
      <c r="AT203" s="346"/>
      <c r="AU203" s="346"/>
      <c r="AV203" s="346"/>
      <c r="AW203" s="346"/>
      <c r="AX203" s="346"/>
      <c r="AY203" s="346"/>
      <c r="AZ203" s="346"/>
      <c r="BA203" s="346"/>
      <c r="BB203" s="346"/>
      <c r="BC203" s="346"/>
      <c r="BD203" s="346"/>
      <c r="BE203" s="346"/>
      <c r="BF203" s="346"/>
      <c r="BG203" s="346"/>
      <c r="BH203" s="346"/>
    </row>
    <row r="204" spans="1:75" s="58" customFormat="1" ht="18.75" customHeight="1">
      <c r="A204" s="346"/>
      <c r="B204" s="346"/>
      <c r="C204" s="346"/>
      <c r="D204" s="349"/>
      <c r="E204" s="349"/>
      <c r="F204" s="349"/>
      <c r="G204" s="346"/>
      <c r="H204" s="346"/>
      <c r="I204" s="341"/>
      <c r="J204" s="341"/>
      <c r="K204" s="145"/>
      <c r="L204" s="145"/>
      <c r="M204" s="145"/>
      <c r="N204" s="145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346"/>
      <c r="AB204" s="346"/>
      <c r="AC204" s="346"/>
      <c r="AD204" s="346"/>
      <c r="AE204" s="346"/>
      <c r="AF204" s="346"/>
      <c r="AG204" s="346"/>
      <c r="AH204" s="346"/>
      <c r="AI204" s="346"/>
      <c r="AJ204" s="346"/>
      <c r="AK204" s="346"/>
      <c r="AL204" s="346"/>
      <c r="AM204" s="346"/>
      <c r="AN204" s="346"/>
      <c r="AO204" s="346"/>
      <c r="AP204" s="346"/>
      <c r="AQ204" s="346"/>
      <c r="AR204" s="346"/>
      <c r="AS204" s="346"/>
      <c r="AT204" s="346"/>
      <c r="AU204" s="346"/>
      <c r="AV204" s="346"/>
      <c r="AW204" s="346"/>
      <c r="AX204" s="346"/>
      <c r="AY204" s="346"/>
      <c r="AZ204" s="346"/>
      <c r="BA204" s="346"/>
      <c r="BB204" s="346"/>
      <c r="BC204" s="346"/>
      <c r="BD204" s="346"/>
      <c r="BE204" s="346"/>
      <c r="BF204" s="346"/>
    </row>
    <row r="205" spans="1:75" s="135" customFormat="1" ht="18.75" customHeight="1">
      <c r="A205" s="341"/>
      <c r="B205" s="341"/>
      <c r="C205" s="341"/>
      <c r="D205" s="379" t="s">
        <v>1099</v>
      </c>
      <c r="E205" s="341" t="s">
        <v>845</v>
      </c>
      <c r="F205" s="515" t="e">
        <f ca="1">F203</f>
        <v>#N/A</v>
      </c>
      <c r="G205" s="515"/>
      <c r="H205" s="515"/>
      <c r="I205" s="371"/>
      <c r="J205" s="350"/>
      <c r="K205" s="516" t="e">
        <f ca="1">M203</f>
        <v>#N/A</v>
      </c>
      <c r="L205" s="517"/>
      <c r="M205" s="517"/>
      <c r="N205" s="370"/>
      <c r="O205" s="370"/>
      <c r="P205" s="370"/>
      <c r="Q205" s="518" t="str">
        <f>BA67</f>
        <v>μm</v>
      </c>
      <c r="R205" s="518"/>
      <c r="T205" s="346"/>
      <c r="U205" s="346"/>
      <c r="V205" s="346"/>
      <c r="W205" s="346"/>
      <c r="X205" s="346"/>
      <c r="Y205" s="341"/>
      <c r="Z205" s="341"/>
      <c r="AA205" s="341"/>
      <c r="AB205" s="341"/>
      <c r="AC205" s="341"/>
      <c r="AD205" s="341"/>
      <c r="AE205" s="346"/>
      <c r="AF205" s="341"/>
      <c r="AG205" s="341"/>
      <c r="AH205" s="341"/>
      <c r="AI205" s="341"/>
      <c r="AJ205" s="341"/>
      <c r="AK205" s="341"/>
      <c r="AL205" s="341"/>
      <c r="AM205" s="341"/>
      <c r="AN205" s="341"/>
      <c r="AO205" s="341"/>
      <c r="AP205" s="341"/>
      <c r="AQ205" s="341"/>
      <c r="AR205" s="341"/>
      <c r="AS205" s="341"/>
      <c r="AT205" s="341"/>
      <c r="AU205" s="341"/>
      <c r="AV205" s="341"/>
      <c r="AW205" s="341"/>
      <c r="AX205" s="341"/>
      <c r="AY205" s="341"/>
      <c r="AZ205" s="341"/>
      <c r="BA205" s="341"/>
      <c r="BB205" s="341"/>
      <c r="BC205" s="341"/>
      <c r="BD205" s="341"/>
      <c r="BE205" s="341"/>
      <c r="BF205" s="341"/>
    </row>
    <row r="206" spans="1:75" s="346" customFormat="1" ht="18.75" customHeight="1"/>
    <row r="207" spans="1:75" ht="18.75" customHeight="1">
      <c r="A207" s="57" t="s">
        <v>1100</v>
      </c>
      <c r="B207" s="370"/>
      <c r="C207" s="370"/>
      <c r="D207" s="370"/>
      <c r="E207" s="370"/>
      <c r="F207" s="370"/>
      <c r="G207" s="370"/>
      <c r="H207" s="370"/>
      <c r="I207" s="370"/>
      <c r="J207" s="370"/>
      <c r="K207" s="370"/>
      <c r="L207" s="370"/>
      <c r="M207" s="370"/>
      <c r="N207" s="370"/>
      <c r="O207" s="370"/>
      <c r="P207" s="370"/>
      <c r="Q207" s="370"/>
      <c r="R207" s="370"/>
      <c r="S207" s="370"/>
      <c r="T207" s="370"/>
      <c r="U207" s="370"/>
      <c r="V207" s="370"/>
      <c r="W207" s="370"/>
      <c r="X207" s="370"/>
      <c r="Y207" s="370"/>
      <c r="Z207" s="370"/>
      <c r="AA207" s="370"/>
      <c r="AB207" s="370"/>
      <c r="AC207" s="370"/>
      <c r="AD207" s="370"/>
      <c r="AE207" s="370"/>
      <c r="AF207" s="370"/>
      <c r="AG207" s="370"/>
      <c r="AH207" s="370"/>
      <c r="AI207" s="370"/>
      <c r="AJ207" s="370"/>
      <c r="AK207" s="370"/>
      <c r="AL207" s="370"/>
      <c r="AM207" s="370"/>
      <c r="AN207" s="370"/>
      <c r="AO207" s="370"/>
      <c r="AP207" s="370"/>
      <c r="AQ207" s="370"/>
      <c r="AR207" s="370"/>
      <c r="AS207" s="370"/>
      <c r="AZ207" s="370"/>
      <c r="BA207" s="370"/>
      <c r="BB207" s="370"/>
      <c r="BC207" s="370"/>
      <c r="BD207" s="370"/>
      <c r="BE207" s="370"/>
      <c r="BF207" s="370"/>
    </row>
    <row r="208" spans="1:75" ht="18.75" customHeight="1">
      <c r="A208" s="370"/>
      <c r="B208" s="370"/>
      <c r="C208" s="370"/>
      <c r="D208" s="370"/>
      <c r="E208" s="370"/>
      <c r="F208" s="370"/>
      <c r="G208" s="370"/>
      <c r="H208" s="370"/>
      <c r="I208" s="370"/>
      <c r="J208" s="370"/>
      <c r="K208" s="370"/>
      <c r="L208" s="613" t="e">
        <f ca="1">Calcu!W43</f>
        <v>#N/A</v>
      </c>
      <c r="M208" s="613"/>
      <c r="N208" s="613"/>
      <c r="O208" s="613"/>
      <c r="P208" s="613"/>
      <c r="Q208" s="613"/>
      <c r="R208" s="613"/>
      <c r="S208" s="613"/>
      <c r="T208" s="613"/>
      <c r="U208" s="613"/>
      <c r="V208" s="613"/>
      <c r="W208" s="613"/>
      <c r="X208" s="613"/>
      <c r="Y208" s="613"/>
      <c r="Z208" s="613"/>
      <c r="AA208" s="613"/>
      <c r="AB208" s="613"/>
      <c r="AC208" s="613"/>
      <c r="AD208" s="613"/>
      <c r="AE208" s="613"/>
      <c r="AF208" s="613"/>
      <c r="AG208" s="613"/>
      <c r="AH208" s="613"/>
      <c r="AI208" s="613"/>
      <c r="AJ208" s="613"/>
      <c r="AK208" s="613"/>
      <c r="AL208" s="613"/>
      <c r="AM208" s="613"/>
      <c r="AN208" s="613"/>
      <c r="AO208" s="613"/>
      <c r="AP208" s="613"/>
      <c r="AQ208" s="613"/>
      <c r="AR208" s="613"/>
      <c r="AS208" s="613"/>
      <c r="AT208" s="613"/>
      <c r="AU208" s="613"/>
      <c r="AV208" s="613"/>
      <c r="AW208" s="613"/>
      <c r="AX208" s="613"/>
      <c r="AY208" s="613"/>
      <c r="AZ208" s="613"/>
      <c r="BA208" s="613"/>
      <c r="BB208" s="613"/>
      <c r="BC208" s="613"/>
      <c r="BD208" s="514" t="s">
        <v>1019</v>
      </c>
      <c r="BE208" s="614" t="e">
        <f ca="1">TRIM(BC67)</f>
        <v>#N/A</v>
      </c>
      <c r="BF208" s="614"/>
      <c r="BG208" s="614"/>
      <c r="BH208" s="614"/>
      <c r="BI208" s="614"/>
      <c r="BJ208" s="146"/>
      <c r="BK208" s="58"/>
      <c r="BL208" s="58"/>
      <c r="BM208" s="58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</row>
    <row r="209" spans="1:62" ht="18.75" customHeight="1">
      <c r="A209" s="370"/>
      <c r="B209" s="370"/>
      <c r="C209" s="370"/>
      <c r="D209" s="370"/>
      <c r="E209" s="370"/>
      <c r="F209" s="370"/>
      <c r="G209" s="370"/>
      <c r="H209" s="370"/>
      <c r="I209" s="370"/>
      <c r="J209" s="370"/>
      <c r="K209" s="370"/>
      <c r="L209" s="615" t="e">
        <f ca="1">Calcu!W34</f>
        <v>#N/A</v>
      </c>
      <c r="M209" s="615"/>
      <c r="N209" s="615"/>
      <c r="O209" s="615"/>
      <c r="P209" s="514" t="s">
        <v>905</v>
      </c>
      <c r="Q209" s="615">
        <f>Calcu!W35</f>
        <v>0</v>
      </c>
      <c r="R209" s="615"/>
      <c r="S209" s="615"/>
      <c r="T209" s="615"/>
      <c r="U209" s="514" t="s">
        <v>1093</v>
      </c>
      <c r="V209" s="613">
        <f>Calcu!W36</f>
        <v>0</v>
      </c>
      <c r="W209" s="613"/>
      <c r="X209" s="613"/>
      <c r="Y209" s="613"/>
      <c r="Z209" s="514" t="s">
        <v>905</v>
      </c>
      <c r="AA209" s="615" t="e">
        <f ca="1">Calcu!W37</f>
        <v>#N/A</v>
      </c>
      <c r="AB209" s="615"/>
      <c r="AC209" s="615"/>
      <c r="AD209" s="615"/>
      <c r="AE209" s="514" t="s">
        <v>1098</v>
      </c>
      <c r="AF209" s="613">
        <f>Calcu!W38</f>
        <v>0</v>
      </c>
      <c r="AG209" s="613"/>
      <c r="AH209" s="613"/>
      <c r="AI209" s="613"/>
      <c r="AJ209" s="514" t="s">
        <v>1097</v>
      </c>
      <c r="AK209" s="613" t="e">
        <f ca="1">Calcu!W39</f>
        <v>#N/A</v>
      </c>
      <c r="AL209" s="613"/>
      <c r="AM209" s="613"/>
      <c r="AN209" s="613"/>
      <c r="AO209" s="514" t="s">
        <v>905</v>
      </c>
      <c r="AP209" s="613">
        <f>Calcu!W40</f>
        <v>0</v>
      </c>
      <c r="AQ209" s="613"/>
      <c r="AR209" s="613"/>
      <c r="AS209" s="613"/>
      <c r="AT209" s="514" t="s">
        <v>905</v>
      </c>
      <c r="AU209" s="613">
        <f>Calcu!W41</f>
        <v>0.28867513459481292</v>
      </c>
      <c r="AV209" s="613"/>
      <c r="AW209" s="613"/>
      <c r="AX209" s="613"/>
      <c r="AY209" s="514" t="s">
        <v>905</v>
      </c>
      <c r="AZ209" s="613">
        <f>Calcu!W42</f>
        <v>0</v>
      </c>
      <c r="BA209" s="613"/>
      <c r="BB209" s="613"/>
      <c r="BC209" s="613"/>
      <c r="BD209" s="514"/>
      <c r="BE209" s="614"/>
      <c r="BF209" s="614"/>
      <c r="BG209" s="614"/>
      <c r="BH209" s="614"/>
      <c r="BI209" s="614"/>
      <c r="BJ209" s="146"/>
    </row>
    <row r="210" spans="1:62" ht="18.75" customHeight="1">
      <c r="A210" s="370"/>
      <c r="B210" s="370"/>
      <c r="C210" s="370"/>
      <c r="D210" s="370"/>
      <c r="E210" s="370"/>
      <c r="F210" s="370"/>
      <c r="G210" s="370"/>
      <c r="H210" s="370"/>
      <c r="I210" s="370"/>
      <c r="J210" s="370"/>
      <c r="K210" s="370"/>
      <c r="L210" s="514" t="str">
        <f>BC58</f>
        <v>∞</v>
      </c>
      <c r="M210" s="514"/>
      <c r="N210" s="514"/>
      <c r="O210" s="514"/>
      <c r="P210" s="514"/>
      <c r="Q210" s="514">
        <f>BC59</f>
        <v>4</v>
      </c>
      <c r="R210" s="514"/>
      <c r="S210" s="514"/>
      <c r="T210" s="514"/>
      <c r="U210" s="514"/>
      <c r="V210" s="514">
        <f>BC60</f>
        <v>100</v>
      </c>
      <c r="W210" s="514"/>
      <c r="X210" s="514"/>
      <c r="Y210" s="514"/>
      <c r="Z210" s="514"/>
      <c r="AA210" s="514">
        <f>BC61</f>
        <v>12</v>
      </c>
      <c r="AB210" s="514"/>
      <c r="AC210" s="514"/>
      <c r="AD210" s="514"/>
      <c r="AE210" s="514"/>
      <c r="AF210" s="559">
        <f>BC62</f>
        <v>100</v>
      </c>
      <c r="AG210" s="559"/>
      <c r="AH210" s="559"/>
      <c r="AI210" s="559"/>
      <c r="AJ210" s="514"/>
      <c r="AK210" s="514">
        <f>BC63</f>
        <v>12</v>
      </c>
      <c r="AL210" s="514"/>
      <c r="AM210" s="514"/>
      <c r="AN210" s="514"/>
      <c r="AO210" s="514"/>
      <c r="AP210" s="514" t="str">
        <f>BC64</f>
        <v>∞</v>
      </c>
      <c r="AQ210" s="514"/>
      <c r="AR210" s="514"/>
      <c r="AS210" s="514"/>
      <c r="AT210" s="514"/>
      <c r="AU210" s="514">
        <f>BC65</f>
        <v>12</v>
      </c>
      <c r="AV210" s="514"/>
      <c r="AW210" s="514"/>
      <c r="AX210" s="514"/>
      <c r="AY210" s="514"/>
      <c r="AZ210" s="514" t="str">
        <f>BC66</f>
        <v>∞</v>
      </c>
      <c r="BA210" s="514"/>
      <c r="BB210" s="514"/>
      <c r="BC210" s="514"/>
    </row>
    <row r="211" spans="1:62" ht="18.75" customHeight="1">
      <c r="A211" s="370"/>
      <c r="B211" s="370"/>
      <c r="C211" s="370"/>
      <c r="D211" s="370"/>
      <c r="E211" s="370"/>
      <c r="F211" s="370"/>
      <c r="G211" s="370"/>
      <c r="H211" s="370"/>
      <c r="I211" s="370"/>
      <c r="J211" s="370"/>
      <c r="K211" s="370"/>
      <c r="L211" s="370"/>
      <c r="M211" s="370"/>
      <c r="N211" s="370"/>
      <c r="O211" s="370"/>
      <c r="P211" s="370"/>
      <c r="Q211" s="370"/>
      <c r="R211" s="370"/>
      <c r="S211" s="370"/>
      <c r="T211" s="370"/>
      <c r="U211" s="370"/>
      <c r="V211" s="370"/>
      <c r="W211" s="370"/>
      <c r="X211" s="370"/>
      <c r="Y211" s="370"/>
      <c r="Z211" s="370"/>
      <c r="AA211" s="370"/>
      <c r="AB211" s="370"/>
      <c r="AC211" s="370"/>
      <c r="AD211" s="370"/>
      <c r="AE211" s="370"/>
      <c r="AF211" s="370"/>
      <c r="AG211" s="370"/>
      <c r="AH211" s="370"/>
      <c r="AI211" s="370"/>
      <c r="AJ211" s="370"/>
      <c r="AK211" s="370"/>
      <c r="AL211" s="370"/>
      <c r="AM211" s="370"/>
      <c r="AN211" s="370"/>
      <c r="AO211" s="370"/>
      <c r="AP211" s="370"/>
      <c r="AQ211" s="370"/>
      <c r="AR211" s="370"/>
      <c r="AS211" s="370"/>
      <c r="AT211" s="370"/>
      <c r="AU211" s="370"/>
      <c r="AV211" s="370"/>
      <c r="AW211" s="370"/>
      <c r="AX211" s="370"/>
      <c r="AY211" s="370"/>
      <c r="AZ211" s="370"/>
      <c r="BA211" s="370"/>
      <c r="BB211" s="370"/>
      <c r="BC211" s="370"/>
      <c r="BD211" s="370"/>
      <c r="BE211" s="370"/>
      <c r="BF211" s="370"/>
      <c r="BG211" s="370"/>
      <c r="BH211" s="370"/>
    </row>
    <row r="212" spans="1:62" ht="18.75" customHeight="1">
      <c r="A212" s="57" t="s">
        <v>1101</v>
      </c>
      <c r="B212" s="370"/>
      <c r="C212" s="370"/>
      <c r="D212" s="370"/>
      <c r="E212" s="370"/>
      <c r="F212" s="370"/>
      <c r="G212" s="370"/>
      <c r="H212" s="370"/>
      <c r="I212" s="370"/>
      <c r="J212" s="370"/>
      <c r="K212" s="370"/>
      <c r="L212" s="370"/>
      <c r="M212" s="370"/>
      <c r="N212" s="370"/>
      <c r="O212" s="370"/>
      <c r="P212" s="370"/>
      <c r="Q212" s="370"/>
      <c r="R212" s="370"/>
      <c r="S212" s="370"/>
      <c r="T212" s="370"/>
      <c r="U212" s="370"/>
      <c r="V212" s="370"/>
      <c r="W212" s="370"/>
      <c r="X212" s="370"/>
      <c r="Y212" s="370"/>
      <c r="Z212" s="370"/>
      <c r="AA212" s="370"/>
      <c r="AB212" s="370"/>
      <c r="AC212" s="370"/>
      <c r="AD212" s="370"/>
      <c r="AE212" s="370"/>
      <c r="AF212" s="370"/>
      <c r="AG212" s="370"/>
      <c r="AH212" s="370"/>
      <c r="AI212" s="370"/>
      <c r="AJ212" s="370"/>
      <c r="AK212" s="370"/>
      <c r="AL212" s="370"/>
      <c r="AM212" s="370"/>
      <c r="AN212" s="370"/>
      <c r="AO212" s="370"/>
      <c r="AP212" s="370"/>
      <c r="AQ212" s="370"/>
      <c r="AR212" s="370"/>
      <c r="AS212" s="370"/>
      <c r="AT212" s="370"/>
      <c r="AU212" s="370"/>
      <c r="AV212" s="370"/>
      <c r="AW212" s="370"/>
      <c r="AX212" s="370"/>
      <c r="AY212" s="370"/>
      <c r="AZ212" s="370"/>
      <c r="BA212" s="370"/>
      <c r="BB212" s="370"/>
      <c r="BC212" s="370"/>
      <c r="BD212" s="370"/>
    </row>
    <row r="213" spans="1:62" ht="18.75" customHeight="1">
      <c r="A213" s="57"/>
      <c r="B213" s="370" t="s">
        <v>907</v>
      </c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70"/>
      <c r="N213" s="370"/>
      <c r="O213" s="370"/>
      <c r="P213" s="370"/>
      <c r="Q213" s="370"/>
      <c r="R213" s="370"/>
      <c r="S213" s="370"/>
      <c r="T213" s="370"/>
      <c r="U213" s="370"/>
      <c r="V213" s="370"/>
      <c r="W213" s="370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I213" s="370"/>
      <c r="AJ213" s="370"/>
      <c r="AK213" s="370"/>
      <c r="AL213" s="370"/>
      <c r="AM213" s="370"/>
      <c r="AN213" s="370"/>
      <c r="AO213" s="370"/>
      <c r="AP213" s="370"/>
      <c r="AQ213" s="370"/>
      <c r="AR213" s="370"/>
      <c r="AS213" s="370"/>
      <c r="AT213" s="370"/>
      <c r="AU213" s="370"/>
      <c r="AV213" s="370"/>
      <c r="AW213" s="370"/>
      <c r="AX213" s="370"/>
      <c r="AY213" s="370"/>
      <c r="AZ213" s="370"/>
      <c r="BA213" s="370"/>
      <c r="BB213" s="370"/>
      <c r="BC213" s="370"/>
      <c r="BD213" s="370"/>
    </row>
    <row r="214" spans="1:62" ht="18.75" customHeight="1">
      <c r="A214" s="57"/>
      <c r="B214" s="370"/>
      <c r="C214" s="370" t="s">
        <v>1102</v>
      </c>
      <c r="D214" s="370"/>
      <c r="E214" s="370"/>
      <c r="F214" s="370"/>
      <c r="G214" s="370"/>
      <c r="H214" s="370"/>
      <c r="I214" s="370"/>
      <c r="J214" s="370"/>
      <c r="K214" s="370"/>
      <c r="L214" s="370"/>
      <c r="M214" s="370"/>
      <c r="N214" s="370"/>
      <c r="O214" s="370"/>
      <c r="P214" s="370"/>
      <c r="Q214" s="370"/>
      <c r="R214" s="370"/>
      <c r="S214" s="370"/>
      <c r="T214" s="370"/>
      <c r="U214" s="370"/>
      <c r="V214" s="370"/>
      <c r="W214" s="370"/>
      <c r="X214" s="370"/>
      <c r="Y214" s="370"/>
      <c r="Z214" s="370"/>
      <c r="AA214" s="370"/>
      <c r="AB214" s="370"/>
      <c r="AC214" s="370"/>
      <c r="AD214" s="370"/>
      <c r="AE214" s="370"/>
      <c r="AF214" s="370"/>
      <c r="AG214" s="370"/>
      <c r="AH214" s="370"/>
      <c r="AI214" s="370"/>
      <c r="AJ214" s="370"/>
      <c r="AK214" s="370"/>
      <c r="AL214" s="370"/>
      <c r="AM214" s="370"/>
      <c r="AN214" s="370"/>
      <c r="AO214" s="370"/>
      <c r="AP214" s="370"/>
      <c r="AQ214" s="370"/>
      <c r="AR214" s="370"/>
      <c r="AS214" s="370"/>
      <c r="AT214" s="370"/>
      <c r="AU214" s="370"/>
      <c r="AV214" s="370"/>
      <c r="AW214" s="370"/>
      <c r="AX214" s="370"/>
      <c r="AY214" s="370"/>
      <c r="AZ214" s="370"/>
      <c r="BA214" s="370"/>
      <c r="BB214" s="370"/>
      <c r="BC214" s="370"/>
      <c r="BD214" s="370"/>
    </row>
    <row r="215" spans="1:62" ht="18.75" customHeight="1">
      <c r="A215" s="57"/>
      <c r="B215" s="370"/>
      <c r="C215" s="56" t="s">
        <v>909</v>
      </c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370"/>
      <c r="Z215" s="370"/>
      <c r="AA215" s="370"/>
      <c r="AB215" s="370"/>
      <c r="AC215" s="370"/>
      <c r="AD215" s="370"/>
      <c r="AE215" s="370"/>
      <c r="AF215" s="370"/>
      <c r="AG215" s="370"/>
      <c r="AH215" s="370"/>
      <c r="AI215" s="370"/>
      <c r="AJ215" s="370"/>
      <c r="AK215" s="370"/>
      <c r="AL215" s="370"/>
      <c r="AM215" s="370"/>
      <c r="AN215" s="370"/>
      <c r="AO215" s="370"/>
      <c r="AP215" s="370"/>
      <c r="AQ215" s="370"/>
      <c r="AR215" s="370"/>
      <c r="AS215" s="370"/>
      <c r="AT215" s="370"/>
      <c r="AU215" s="370"/>
      <c r="AV215" s="370"/>
      <c r="AW215" s="370"/>
      <c r="AX215" s="370"/>
      <c r="AY215" s="370"/>
      <c r="AZ215" s="370"/>
      <c r="BA215" s="370"/>
      <c r="BB215" s="370"/>
      <c r="BC215" s="370"/>
      <c r="BD215" s="370"/>
    </row>
    <row r="216" spans="1:62" ht="18.75" customHeight="1">
      <c r="A216" s="57"/>
      <c r="B216" s="370"/>
      <c r="C216" s="346" t="s">
        <v>1103</v>
      </c>
      <c r="D216" s="370"/>
      <c r="E216" s="370"/>
      <c r="F216" s="370"/>
      <c r="G216" s="370"/>
      <c r="H216" s="370"/>
      <c r="I216" s="370"/>
      <c r="J216" s="370"/>
      <c r="K216" s="370"/>
      <c r="L216" s="370"/>
      <c r="M216" s="370"/>
      <c r="N216" s="370"/>
      <c r="O216" s="370"/>
      <c r="P216" s="370"/>
      <c r="Q216" s="370"/>
      <c r="R216" s="370"/>
      <c r="S216" s="370"/>
      <c r="T216" s="370"/>
      <c r="U216" s="370"/>
      <c r="V216" s="370"/>
      <c r="W216" s="370"/>
      <c r="X216" s="370"/>
      <c r="Y216" s="370"/>
      <c r="Z216" s="370"/>
      <c r="AA216" s="370"/>
      <c r="AB216" s="370"/>
      <c r="AC216" s="370"/>
      <c r="AD216" s="370"/>
      <c r="AE216" s="370"/>
      <c r="AF216" s="370"/>
      <c r="AG216" s="370"/>
      <c r="AH216" s="370"/>
      <c r="AI216" s="370"/>
      <c r="AJ216" s="370"/>
      <c r="AK216" s="370"/>
      <c r="AL216" s="370"/>
      <c r="AM216" s="370"/>
      <c r="AN216" s="370"/>
      <c r="AO216" s="370"/>
      <c r="AP216" s="370"/>
      <c r="AQ216" s="370"/>
      <c r="AR216" s="370"/>
      <c r="AS216" s="370"/>
      <c r="AT216" s="370"/>
      <c r="AU216" s="370"/>
      <c r="AV216" s="370"/>
      <c r="AW216" s="370"/>
      <c r="AX216" s="370"/>
      <c r="AY216" s="370"/>
      <c r="AZ216" s="370"/>
      <c r="BA216" s="370"/>
      <c r="BB216" s="370"/>
      <c r="BC216" s="370"/>
      <c r="BD216" s="370"/>
    </row>
    <row r="217" spans="1:62" ht="18.75" customHeight="1">
      <c r="A217" s="57"/>
      <c r="B217" s="370"/>
      <c r="D217" s="370"/>
      <c r="E217" s="379"/>
      <c r="F217" s="370"/>
      <c r="G217" s="197"/>
      <c r="H217" s="341"/>
      <c r="I217" s="341"/>
      <c r="J217" s="341"/>
      <c r="R217" s="379"/>
      <c r="S217" s="147"/>
      <c r="T217" s="147"/>
      <c r="U217" s="147"/>
      <c r="V217" s="147"/>
      <c r="W217" s="147"/>
      <c r="X217" s="370"/>
      <c r="Y217" s="370"/>
      <c r="Z217" s="370"/>
      <c r="AA217" s="370"/>
      <c r="AB217" s="370"/>
      <c r="AC217" s="370"/>
      <c r="AD217" s="370"/>
      <c r="AE217" s="370"/>
      <c r="AF217" s="370"/>
      <c r="AG217" s="370"/>
      <c r="AH217" s="370"/>
      <c r="AI217" s="370"/>
      <c r="AJ217" s="370"/>
      <c r="AK217" s="370"/>
      <c r="AL217" s="370"/>
      <c r="AM217" s="370"/>
      <c r="AN217" s="370"/>
      <c r="AO217" s="370"/>
      <c r="AP217" s="370"/>
      <c r="AQ217" s="370"/>
      <c r="AR217" s="370"/>
      <c r="AS217" s="370"/>
      <c r="AT217" s="370"/>
      <c r="AU217" s="370"/>
      <c r="AV217" s="370"/>
      <c r="AW217" s="370"/>
      <c r="AX217" s="370"/>
      <c r="AY217" s="370"/>
      <c r="AZ217" s="370"/>
      <c r="BA217" s="370"/>
      <c r="BB217" s="370"/>
      <c r="BC217" s="370"/>
      <c r="BD217" s="370"/>
    </row>
    <row r="218" spans="1:62" ht="18.75" customHeight="1">
      <c r="A218" s="57"/>
      <c r="B218" s="370" t="s">
        <v>907</v>
      </c>
      <c r="C218" s="370"/>
      <c r="D218" s="370"/>
      <c r="E218" s="370"/>
      <c r="F218" s="370"/>
      <c r="G218" s="370"/>
      <c r="H218" s="370"/>
      <c r="I218" s="370"/>
      <c r="J218" s="370"/>
      <c r="K218" s="370"/>
      <c r="L218" s="370"/>
      <c r="M218" s="370"/>
      <c r="N218" s="370"/>
      <c r="O218" s="370"/>
      <c r="P218" s="370"/>
      <c r="Q218" s="370"/>
      <c r="R218" s="370"/>
      <c r="S218" s="370"/>
      <c r="T218" s="370"/>
      <c r="U218" s="370"/>
      <c r="V218" s="370"/>
      <c r="W218" s="370"/>
      <c r="X218" s="370"/>
      <c r="Y218" s="370"/>
      <c r="Z218" s="370"/>
      <c r="AA218" s="370"/>
      <c r="AB218" s="370"/>
      <c r="AC218" s="370"/>
      <c r="AD218" s="370"/>
      <c r="AE218" s="370"/>
      <c r="AF218" s="370"/>
      <c r="AG218" s="370"/>
      <c r="AH218" s="370"/>
      <c r="AI218" s="370"/>
      <c r="AJ218" s="370"/>
      <c r="AK218" s="370"/>
      <c r="AL218" s="370"/>
      <c r="AM218" s="370"/>
      <c r="AN218" s="370"/>
      <c r="AO218" s="370"/>
      <c r="AP218" s="370"/>
      <c r="AQ218" s="370"/>
      <c r="AR218" s="370"/>
      <c r="AS218" s="370"/>
      <c r="AT218" s="370"/>
      <c r="AU218" s="370"/>
      <c r="AV218" s="370"/>
      <c r="AW218" s="370"/>
      <c r="AX218" s="370"/>
      <c r="AY218" s="370"/>
      <c r="AZ218" s="370"/>
      <c r="BA218" s="370"/>
      <c r="BB218" s="370"/>
      <c r="BC218" s="370"/>
      <c r="BD218" s="370"/>
    </row>
    <row r="219" spans="1:62" ht="18.75" customHeight="1">
      <c r="A219" s="57"/>
      <c r="B219" s="370"/>
      <c r="C219" s="370" t="s">
        <v>911</v>
      </c>
      <c r="D219" s="370"/>
      <c r="E219" s="370"/>
      <c r="F219" s="370"/>
      <c r="G219" s="370"/>
      <c r="H219" s="370"/>
      <c r="I219" s="370"/>
      <c r="J219" s="370"/>
      <c r="K219" s="370"/>
      <c r="L219" s="370"/>
      <c r="M219" s="370"/>
      <c r="N219" s="370"/>
      <c r="O219" s="370"/>
      <c r="P219" s="370"/>
      <c r="Q219" s="370"/>
      <c r="R219" s="370"/>
      <c r="S219" s="370"/>
      <c r="T219" s="370"/>
      <c r="U219" s="370"/>
      <c r="V219" s="370"/>
      <c r="W219" s="370"/>
      <c r="X219" s="370"/>
      <c r="Y219" s="370"/>
      <c r="Z219" s="370"/>
      <c r="AA219" s="370"/>
      <c r="AB219" s="370"/>
      <c r="AC219" s="370"/>
      <c r="AD219" s="370"/>
      <c r="AE219" s="370"/>
      <c r="AF219" s="370"/>
      <c r="AG219" s="370"/>
      <c r="AH219" s="370"/>
      <c r="AI219" s="370"/>
      <c r="AJ219" s="370"/>
      <c r="AK219" s="370"/>
      <c r="AL219" s="370"/>
      <c r="AM219" s="370"/>
      <c r="AN219" s="370"/>
      <c r="AO219" s="370"/>
      <c r="AP219" s="370"/>
      <c r="AQ219" s="370"/>
      <c r="AR219" s="370"/>
      <c r="AS219" s="370"/>
      <c r="AT219" s="370"/>
      <c r="AU219" s="370"/>
      <c r="AV219" s="370"/>
      <c r="AW219" s="370"/>
      <c r="AX219" s="370"/>
      <c r="AY219" s="370"/>
      <c r="AZ219" s="370"/>
      <c r="BA219" s="370"/>
      <c r="BB219" s="370"/>
      <c r="BC219" s="370"/>
      <c r="BD219" s="370"/>
    </row>
    <row r="220" spans="1:62" ht="18.75" customHeight="1">
      <c r="B220" s="370"/>
      <c r="C220" s="370" t="s">
        <v>1104</v>
      </c>
      <c r="D220" s="370"/>
      <c r="E220" s="370"/>
      <c r="F220" s="370"/>
      <c r="G220" s="370"/>
      <c r="H220" s="370"/>
      <c r="I220" s="370"/>
      <c r="J220" s="370"/>
      <c r="K220" s="370"/>
      <c r="L220" s="370"/>
      <c r="M220" s="370"/>
      <c r="N220" s="370"/>
      <c r="O220" s="370"/>
      <c r="P220" s="370"/>
      <c r="Q220" s="370"/>
      <c r="R220" s="370"/>
      <c r="S220" s="370"/>
      <c r="T220" s="370"/>
      <c r="U220" s="370"/>
      <c r="V220" s="370"/>
      <c r="W220" s="370"/>
      <c r="X220" s="370"/>
      <c r="Y220" s="370"/>
      <c r="Z220" s="370"/>
      <c r="AA220" s="370"/>
      <c r="AB220" s="370"/>
      <c r="AC220" s="370"/>
      <c r="AD220" s="370"/>
      <c r="AE220" s="370"/>
      <c r="AF220" s="370"/>
      <c r="AG220" s="370"/>
      <c r="AH220" s="370"/>
      <c r="AI220" s="370"/>
      <c r="AJ220" s="370"/>
      <c r="AK220" s="370"/>
      <c r="AL220" s="370"/>
      <c r="AM220" s="370"/>
      <c r="AN220" s="370"/>
      <c r="AO220" s="370"/>
      <c r="AP220" s="370"/>
      <c r="AQ220" s="370"/>
      <c r="AR220" s="370"/>
      <c r="AS220" s="370"/>
      <c r="AT220" s="370"/>
      <c r="AU220" s="370"/>
      <c r="AV220" s="370"/>
      <c r="AW220" s="370"/>
      <c r="AX220" s="370"/>
      <c r="AY220" s="370"/>
      <c r="AZ220" s="370"/>
      <c r="BA220" s="370"/>
      <c r="BB220" s="370"/>
      <c r="BC220" s="370"/>
      <c r="BD220" s="370"/>
    </row>
    <row r="221" spans="1:62" ht="18.75" customHeight="1">
      <c r="A221" s="370"/>
      <c r="B221" s="370"/>
      <c r="C221" s="56" t="s">
        <v>1105</v>
      </c>
      <c r="AL221" s="370"/>
      <c r="AM221" s="370"/>
      <c r="AN221" s="370"/>
      <c r="AO221" s="370"/>
      <c r="AP221" s="370"/>
      <c r="AQ221" s="370"/>
      <c r="AR221" s="370"/>
      <c r="AS221" s="370"/>
      <c r="AT221" s="370"/>
      <c r="AU221" s="370"/>
      <c r="AV221" s="370"/>
      <c r="AW221" s="370"/>
      <c r="AX221" s="370"/>
      <c r="AY221" s="370"/>
      <c r="AZ221" s="370"/>
      <c r="BA221" s="370"/>
      <c r="BB221" s="370"/>
    </row>
    <row r="222" spans="1:62" ht="18.75" customHeight="1">
      <c r="A222" s="370"/>
      <c r="B222" s="370"/>
      <c r="AL222" s="370"/>
      <c r="AM222" s="370"/>
      <c r="AN222" s="370"/>
      <c r="AO222" s="370"/>
      <c r="AP222" s="370"/>
      <c r="AQ222" s="370"/>
      <c r="AR222" s="370"/>
      <c r="AS222" s="370"/>
      <c r="AT222" s="370"/>
      <c r="AU222" s="370"/>
      <c r="AV222" s="370"/>
      <c r="AW222" s="370"/>
      <c r="AX222" s="370"/>
      <c r="AY222" s="370"/>
      <c r="AZ222" s="370"/>
      <c r="BA222" s="370"/>
      <c r="BB222" s="370"/>
    </row>
    <row r="223" spans="1:62" ht="18.75" customHeight="1">
      <c r="A223" s="370"/>
      <c r="B223" s="370"/>
      <c r="C223" s="370"/>
      <c r="D223" s="370"/>
      <c r="E223" s="59"/>
      <c r="F223" s="370"/>
      <c r="G223" s="370"/>
      <c r="H223" s="197" t="s">
        <v>1106</v>
      </c>
      <c r="I223" s="514" t="e">
        <f ca="1">Calcu!E58</f>
        <v>#N/A</v>
      </c>
      <c r="J223" s="514"/>
      <c r="K223" s="514"/>
      <c r="L223" s="212" t="s">
        <v>851</v>
      </c>
      <c r="M223" s="515" t="e">
        <f ca="1">F205</f>
        <v>#N/A</v>
      </c>
      <c r="N223" s="515"/>
      <c r="O223" s="515"/>
      <c r="P223" s="371"/>
      <c r="Q223" s="350"/>
      <c r="R223" s="516" t="e">
        <f ca="1">K205</f>
        <v>#N/A</v>
      </c>
      <c r="S223" s="517"/>
      <c r="T223" s="517"/>
      <c r="U223" s="370"/>
      <c r="V223" s="370"/>
      <c r="W223" s="370"/>
      <c r="X223" s="518" t="str">
        <f>Q205</f>
        <v>μm</v>
      </c>
      <c r="Y223" s="518"/>
      <c r="Z223" s="212" t="s">
        <v>845</v>
      </c>
      <c r="AA223" s="515" t="e">
        <f ca="1">Calcu!C47</f>
        <v>#N/A</v>
      </c>
      <c r="AB223" s="515"/>
      <c r="AC223" s="515"/>
      <c r="AD223" s="371"/>
      <c r="AE223" s="350"/>
      <c r="AF223" s="516" t="e">
        <f ca="1">Calcu!D47</f>
        <v>#N/A</v>
      </c>
      <c r="AG223" s="517"/>
      <c r="AH223" s="517"/>
      <c r="AI223" s="370"/>
      <c r="AJ223" s="370"/>
      <c r="AK223" s="370"/>
      <c r="AL223" s="518" t="str">
        <f>X223</f>
        <v>μm</v>
      </c>
      <c r="AM223" s="518"/>
      <c r="AN223" s="341" t="s">
        <v>915</v>
      </c>
      <c r="AO223" s="519" t="e">
        <f ca="1">AA223</f>
        <v>#N/A</v>
      </c>
      <c r="AP223" s="519"/>
      <c r="AQ223" s="519"/>
      <c r="AR223" s="371"/>
      <c r="AS223" s="616" t="e">
        <f ca="1">AF223</f>
        <v>#N/A</v>
      </c>
      <c r="AT223" s="616"/>
      <c r="AU223" s="616"/>
      <c r="AV223" s="352"/>
      <c r="AW223" s="370"/>
      <c r="AX223" s="370"/>
      <c r="AY223" s="370"/>
      <c r="AZ223" s="518" t="str">
        <f>AL223</f>
        <v>μm</v>
      </c>
      <c r="BA223" s="518"/>
    </row>
    <row r="228" spans="1:44" s="382" customFormat="1" ht="31.5">
      <c r="A228" s="67" t="s">
        <v>916</v>
      </c>
    </row>
    <row r="229" spans="1:44" s="382" customFormat="1" ht="18.75" customHeight="1"/>
    <row r="230" spans="1:44" s="382" customFormat="1" ht="18.75" customHeight="1">
      <c r="A230" s="68" t="s">
        <v>1107</v>
      </c>
    </row>
    <row r="231" spans="1:44" s="382" customFormat="1" ht="18.75" customHeight="1">
      <c r="B231" s="552" t="s">
        <v>1108</v>
      </c>
      <c r="C231" s="552"/>
      <c r="D231" s="552"/>
      <c r="E231" s="552"/>
      <c r="F231" s="552"/>
      <c r="G231" s="552"/>
      <c r="H231" s="553" t="s">
        <v>1109</v>
      </c>
      <c r="I231" s="553"/>
      <c r="J231" s="553"/>
      <c r="K231" s="553"/>
      <c r="L231" s="553"/>
      <c r="M231" s="553"/>
      <c r="N231" s="552" t="s">
        <v>1110</v>
      </c>
      <c r="O231" s="552"/>
      <c r="P231" s="552"/>
      <c r="Q231" s="552"/>
      <c r="R231" s="552"/>
      <c r="S231" s="552"/>
      <c r="T231" s="552" t="s">
        <v>1111</v>
      </c>
      <c r="U231" s="552"/>
      <c r="V231" s="552"/>
      <c r="W231" s="552"/>
      <c r="X231" s="552"/>
      <c r="Y231" s="552"/>
    </row>
    <row r="232" spans="1:44" s="382" customFormat="1" ht="18.75" customHeight="1">
      <c r="B232" s="554">
        <f>Calcu!H66</f>
        <v>0</v>
      </c>
      <c r="C232" s="554"/>
      <c r="D232" s="554"/>
      <c r="E232" s="554"/>
      <c r="F232" s="554"/>
      <c r="G232" s="554"/>
      <c r="H232" s="555">
        <f>Calcu!I66</f>
        <v>1</v>
      </c>
      <c r="I232" s="555"/>
      <c r="J232" s="555"/>
      <c r="K232" s="555"/>
      <c r="L232" s="555"/>
      <c r="M232" s="555"/>
      <c r="N232" s="554" t="str">
        <f>N5</f>
        <v>측정투영기</v>
      </c>
      <c r="O232" s="554"/>
      <c r="P232" s="554"/>
      <c r="Q232" s="554"/>
      <c r="R232" s="554"/>
      <c r="S232" s="554"/>
      <c r="T232" s="554" t="str">
        <f>T5</f>
        <v>표준자</v>
      </c>
      <c r="U232" s="554"/>
      <c r="V232" s="554"/>
      <c r="W232" s="554"/>
      <c r="X232" s="554"/>
      <c r="Y232" s="554"/>
    </row>
    <row r="233" spans="1:44" s="382" customFormat="1" ht="18.75" customHeight="1"/>
    <row r="234" spans="1:44" ht="18.75" customHeight="1">
      <c r="A234" s="57" t="s">
        <v>799</v>
      </c>
      <c r="B234" s="341"/>
      <c r="C234" s="341"/>
      <c r="D234" s="341"/>
      <c r="E234" s="341"/>
      <c r="F234" s="341"/>
      <c r="G234" s="341"/>
      <c r="H234" s="341"/>
      <c r="I234" s="341"/>
      <c r="J234" s="341"/>
      <c r="K234" s="341"/>
      <c r="L234" s="341"/>
      <c r="M234" s="341"/>
      <c r="N234" s="341"/>
      <c r="O234" s="341"/>
      <c r="P234" s="341"/>
      <c r="Q234" s="341"/>
      <c r="R234" s="341"/>
      <c r="S234" s="341"/>
      <c r="T234" s="341"/>
      <c r="U234" s="341"/>
      <c r="V234" s="341"/>
      <c r="W234" s="341"/>
      <c r="X234" s="341"/>
      <c r="Y234" s="341"/>
      <c r="Z234" s="341"/>
      <c r="AA234" s="341"/>
      <c r="AB234" s="341"/>
      <c r="AC234" s="341"/>
      <c r="AD234" s="341"/>
      <c r="AE234" s="341"/>
      <c r="AF234" s="341"/>
      <c r="AG234" s="341"/>
      <c r="AH234" s="341"/>
      <c r="AI234" s="341"/>
      <c r="AJ234" s="341"/>
      <c r="AK234" s="341"/>
      <c r="AL234" s="341"/>
      <c r="AM234" s="341"/>
      <c r="AN234" s="341"/>
      <c r="AO234" s="341"/>
      <c r="AP234" s="341"/>
      <c r="AQ234" s="341"/>
      <c r="AR234" s="341"/>
    </row>
    <row r="235" spans="1:44" ht="18.75" customHeight="1">
      <c r="A235" s="57"/>
      <c r="B235" s="546" t="s">
        <v>1112</v>
      </c>
      <c r="C235" s="547"/>
      <c r="D235" s="547"/>
      <c r="E235" s="547"/>
      <c r="F235" s="548"/>
      <c r="G235" s="511" t="str">
        <f>N232&amp;" 지시값"</f>
        <v>측정투영기 지시값</v>
      </c>
      <c r="H235" s="512"/>
      <c r="I235" s="512"/>
      <c r="J235" s="512"/>
      <c r="K235" s="512"/>
      <c r="L235" s="512"/>
      <c r="M235" s="512"/>
      <c r="N235" s="512"/>
      <c r="O235" s="512"/>
      <c r="P235" s="512"/>
      <c r="Q235" s="512"/>
      <c r="R235" s="512"/>
      <c r="S235" s="512"/>
      <c r="T235" s="512"/>
      <c r="U235" s="512"/>
      <c r="V235" s="512"/>
      <c r="W235" s="512"/>
      <c r="X235" s="512"/>
      <c r="Y235" s="512"/>
      <c r="Z235" s="512"/>
      <c r="AA235" s="512"/>
      <c r="AB235" s="512"/>
      <c r="AC235" s="512"/>
      <c r="AD235" s="512"/>
      <c r="AE235" s="513"/>
      <c r="AF235" s="546" t="s">
        <v>800</v>
      </c>
      <c r="AG235" s="547"/>
      <c r="AH235" s="547"/>
      <c r="AI235" s="547"/>
      <c r="AJ235" s="548"/>
      <c r="AK235" s="546" t="s">
        <v>1113</v>
      </c>
      <c r="AL235" s="547"/>
      <c r="AM235" s="547"/>
      <c r="AN235" s="547"/>
      <c r="AO235" s="548"/>
    </row>
    <row r="236" spans="1:44" ht="18.75" customHeight="1">
      <c r="A236" s="57"/>
      <c r="B236" s="549"/>
      <c r="C236" s="550"/>
      <c r="D236" s="550"/>
      <c r="E236" s="550"/>
      <c r="F236" s="551"/>
      <c r="G236" s="511" t="s">
        <v>1114</v>
      </c>
      <c r="H236" s="512"/>
      <c r="I236" s="512"/>
      <c r="J236" s="512"/>
      <c r="K236" s="513"/>
      <c r="L236" s="511" t="s">
        <v>919</v>
      </c>
      <c r="M236" s="512"/>
      <c r="N236" s="512"/>
      <c r="O236" s="512"/>
      <c r="P236" s="513"/>
      <c r="Q236" s="511" t="s">
        <v>802</v>
      </c>
      <c r="R236" s="512"/>
      <c r="S236" s="512"/>
      <c r="T236" s="512"/>
      <c r="U236" s="513"/>
      <c r="V236" s="511" t="s">
        <v>920</v>
      </c>
      <c r="W236" s="512"/>
      <c r="X236" s="512"/>
      <c r="Y236" s="512"/>
      <c r="Z236" s="513"/>
      <c r="AA236" s="511" t="s">
        <v>1115</v>
      </c>
      <c r="AB236" s="512"/>
      <c r="AC236" s="512"/>
      <c r="AD236" s="512"/>
      <c r="AE236" s="513"/>
      <c r="AF236" s="549"/>
      <c r="AG236" s="550"/>
      <c r="AH236" s="550"/>
      <c r="AI236" s="550"/>
      <c r="AJ236" s="551"/>
      <c r="AK236" s="549"/>
      <c r="AL236" s="550"/>
      <c r="AM236" s="550"/>
      <c r="AN236" s="550"/>
      <c r="AO236" s="551"/>
    </row>
    <row r="237" spans="1:44" ht="18.75" customHeight="1">
      <c r="A237" s="57"/>
      <c r="B237" s="511" t="s">
        <v>1116</v>
      </c>
      <c r="C237" s="512"/>
      <c r="D237" s="512"/>
      <c r="E237" s="512"/>
      <c r="F237" s="513"/>
      <c r="G237" s="511" t="str">
        <f>B237</f>
        <v>mm</v>
      </c>
      <c r="H237" s="512"/>
      <c r="I237" s="512"/>
      <c r="J237" s="512"/>
      <c r="K237" s="513"/>
      <c r="L237" s="511" t="str">
        <f>G237</f>
        <v>mm</v>
      </c>
      <c r="M237" s="512"/>
      <c r="N237" s="512"/>
      <c r="O237" s="512"/>
      <c r="P237" s="513"/>
      <c r="Q237" s="511" t="str">
        <f>L237</f>
        <v>mm</v>
      </c>
      <c r="R237" s="512"/>
      <c r="S237" s="512"/>
      <c r="T237" s="512"/>
      <c r="U237" s="513"/>
      <c r="V237" s="511" t="str">
        <f>Q237</f>
        <v>mm</v>
      </c>
      <c r="W237" s="512"/>
      <c r="X237" s="512"/>
      <c r="Y237" s="512"/>
      <c r="Z237" s="513"/>
      <c r="AA237" s="511" t="str">
        <f>V237</f>
        <v>mm</v>
      </c>
      <c r="AB237" s="512"/>
      <c r="AC237" s="512"/>
      <c r="AD237" s="512"/>
      <c r="AE237" s="513"/>
      <c r="AF237" s="511" t="s">
        <v>1117</v>
      </c>
      <c r="AG237" s="512"/>
      <c r="AH237" s="512"/>
      <c r="AI237" s="512"/>
      <c r="AJ237" s="513"/>
      <c r="AK237" s="511" t="s">
        <v>1117</v>
      </c>
      <c r="AL237" s="512"/>
      <c r="AM237" s="512"/>
      <c r="AN237" s="512"/>
      <c r="AO237" s="513"/>
    </row>
    <row r="238" spans="1:44" ht="18.75" customHeight="1">
      <c r="A238" s="57"/>
      <c r="B238" s="540" t="str">
        <f>Calcu!T72</f>
        <v/>
      </c>
      <c r="C238" s="541"/>
      <c r="D238" s="541"/>
      <c r="E238" s="541"/>
      <c r="F238" s="542"/>
      <c r="G238" s="540" t="str">
        <f>IF(Calcu!B72=TRUE,Calcu!E72*$H$232,"")</f>
        <v/>
      </c>
      <c r="H238" s="541"/>
      <c r="I238" s="541"/>
      <c r="J238" s="541"/>
      <c r="K238" s="542"/>
      <c r="L238" s="540" t="str">
        <f>IF(Calcu!B72=TRUE,Calcu!F72*H$232,"")</f>
        <v/>
      </c>
      <c r="M238" s="541"/>
      <c r="N238" s="541"/>
      <c r="O238" s="541"/>
      <c r="P238" s="542"/>
      <c r="Q238" s="540" t="str">
        <f>IF(Calcu!B72=TRUE,Calcu!G72*H$232,"")</f>
        <v/>
      </c>
      <c r="R238" s="541"/>
      <c r="S238" s="541"/>
      <c r="T238" s="541"/>
      <c r="U238" s="542"/>
      <c r="V238" s="540" t="str">
        <f>IF(Calcu!B72=TRUE,Calcu!H72*H$232,"")</f>
        <v/>
      </c>
      <c r="W238" s="541"/>
      <c r="X238" s="541"/>
      <c r="Y238" s="541"/>
      <c r="Z238" s="542"/>
      <c r="AA238" s="540" t="str">
        <f>IF(Calcu!B72=TRUE,Calcu!I72*H$232,"")</f>
        <v/>
      </c>
      <c r="AB238" s="541"/>
      <c r="AC238" s="541"/>
      <c r="AD238" s="541"/>
      <c r="AE238" s="542"/>
      <c r="AF238" s="540" t="str">
        <f>Calcu!M72</f>
        <v/>
      </c>
      <c r="AG238" s="541"/>
      <c r="AH238" s="541"/>
      <c r="AI238" s="541"/>
      <c r="AJ238" s="542"/>
      <c r="AK238" s="540" t="str">
        <f>Calcu!K72</f>
        <v/>
      </c>
      <c r="AL238" s="541"/>
      <c r="AM238" s="541"/>
      <c r="AN238" s="541"/>
      <c r="AO238" s="542"/>
    </row>
    <row r="239" spans="1:44" ht="18.75" customHeight="1">
      <c r="A239" s="57"/>
      <c r="B239" s="540" t="str">
        <f>Calcu!T73</f>
        <v/>
      </c>
      <c r="C239" s="541"/>
      <c r="D239" s="541"/>
      <c r="E239" s="541"/>
      <c r="F239" s="542"/>
      <c r="G239" s="540" t="str">
        <f>IF(Calcu!B73=TRUE,Calcu!E73*$H$232,"")</f>
        <v/>
      </c>
      <c r="H239" s="541"/>
      <c r="I239" s="541"/>
      <c r="J239" s="541"/>
      <c r="K239" s="542"/>
      <c r="L239" s="540" t="str">
        <f>IF(Calcu!B73=TRUE,Calcu!F73*H$232,"")</f>
        <v/>
      </c>
      <c r="M239" s="541"/>
      <c r="N239" s="541"/>
      <c r="O239" s="541"/>
      <c r="P239" s="542"/>
      <c r="Q239" s="540" t="str">
        <f>IF(Calcu!B73=TRUE,Calcu!G73*H$232,"")</f>
        <v/>
      </c>
      <c r="R239" s="541"/>
      <c r="S239" s="541"/>
      <c r="T239" s="541"/>
      <c r="U239" s="542"/>
      <c r="V239" s="540" t="str">
        <f>IF(Calcu!B73=TRUE,Calcu!H73*H$232,"")</f>
        <v/>
      </c>
      <c r="W239" s="541"/>
      <c r="X239" s="541"/>
      <c r="Y239" s="541"/>
      <c r="Z239" s="542"/>
      <c r="AA239" s="540" t="str">
        <f>IF(Calcu!B73=TRUE,Calcu!I73*H$232,"")</f>
        <v/>
      </c>
      <c r="AB239" s="541"/>
      <c r="AC239" s="541"/>
      <c r="AD239" s="541"/>
      <c r="AE239" s="542"/>
      <c r="AF239" s="540" t="str">
        <f>Calcu!M73</f>
        <v/>
      </c>
      <c r="AG239" s="541"/>
      <c r="AH239" s="541"/>
      <c r="AI239" s="541"/>
      <c r="AJ239" s="542"/>
      <c r="AK239" s="540" t="str">
        <f>Calcu!K73</f>
        <v/>
      </c>
      <c r="AL239" s="541"/>
      <c r="AM239" s="541"/>
      <c r="AN239" s="541"/>
      <c r="AO239" s="542"/>
    </row>
    <row r="240" spans="1:44" ht="18.75" customHeight="1">
      <c r="A240" s="57"/>
      <c r="B240" s="540" t="str">
        <f>Calcu!T74</f>
        <v/>
      </c>
      <c r="C240" s="541"/>
      <c r="D240" s="541"/>
      <c r="E240" s="541"/>
      <c r="F240" s="542"/>
      <c r="G240" s="540" t="str">
        <f>IF(Calcu!B74=TRUE,Calcu!E74*$H$232,"")</f>
        <v/>
      </c>
      <c r="H240" s="541"/>
      <c r="I240" s="541"/>
      <c r="J240" s="541"/>
      <c r="K240" s="542"/>
      <c r="L240" s="540" t="str">
        <f>IF(Calcu!B74=TRUE,Calcu!F74*H$232,"")</f>
        <v/>
      </c>
      <c r="M240" s="541"/>
      <c r="N240" s="541"/>
      <c r="O240" s="541"/>
      <c r="P240" s="542"/>
      <c r="Q240" s="540" t="str">
        <f>IF(Calcu!B74=TRUE,Calcu!G74*H$232,"")</f>
        <v/>
      </c>
      <c r="R240" s="541"/>
      <c r="S240" s="541"/>
      <c r="T240" s="541"/>
      <c r="U240" s="542"/>
      <c r="V240" s="540" t="str">
        <f>IF(Calcu!B74=TRUE,Calcu!H74*H$232,"")</f>
        <v/>
      </c>
      <c r="W240" s="541"/>
      <c r="X240" s="541"/>
      <c r="Y240" s="541"/>
      <c r="Z240" s="542"/>
      <c r="AA240" s="540" t="str">
        <f>IF(Calcu!B74=TRUE,Calcu!I74*H$232,"")</f>
        <v/>
      </c>
      <c r="AB240" s="541"/>
      <c r="AC240" s="541"/>
      <c r="AD240" s="541"/>
      <c r="AE240" s="542"/>
      <c r="AF240" s="540" t="str">
        <f>Calcu!M74</f>
        <v/>
      </c>
      <c r="AG240" s="541"/>
      <c r="AH240" s="541"/>
      <c r="AI240" s="541"/>
      <c r="AJ240" s="542"/>
      <c r="AK240" s="540" t="str">
        <f>Calcu!K74</f>
        <v/>
      </c>
      <c r="AL240" s="541"/>
      <c r="AM240" s="541"/>
      <c r="AN240" s="541"/>
      <c r="AO240" s="542"/>
    </row>
    <row r="241" spans="1:41" ht="18.75" customHeight="1">
      <c r="A241" s="57"/>
      <c r="B241" s="540" t="str">
        <f>Calcu!T75</f>
        <v/>
      </c>
      <c r="C241" s="541"/>
      <c r="D241" s="541"/>
      <c r="E241" s="541"/>
      <c r="F241" s="542"/>
      <c r="G241" s="540" t="str">
        <f>IF(Calcu!B75=TRUE,Calcu!E75*$H$232,"")</f>
        <v/>
      </c>
      <c r="H241" s="541"/>
      <c r="I241" s="541"/>
      <c r="J241" s="541"/>
      <c r="K241" s="542"/>
      <c r="L241" s="540" t="str">
        <f>IF(Calcu!B75=TRUE,Calcu!F75*H$232,"")</f>
        <v/>
      </c>
      <c r="M241" s="541"/>
      <c r="N241" s="541"/>
      <c r="O241" s="541"/>
      <c r="P241" s="542"/>
      <c r="Q241" s="540" t="str">
        <f>IF(Calcu!B75=TRUE,Calcu!G75*H$232,"")</f>
        <v/>
      </c>
      <c r="R241" s="541"/>
      <c r="S241" s="541"/>
      <c r="T241" s="541"/>
      <c r="U241" s="542"/>
      <c r="V241" s="540" t="str">
        <f>IF(Calcu!B75=TRUE,Calcu!H75*H$232,"")</f>
        <v/>
      </c>
      <c r="W241" s="541"/>
      <c r="X241" s="541"/>
      <c r="Y241" s="541"/>
      <c r="Z241" s="542"/>
      <c r="AA241" s="540" t="str">
        <f>IF(Calcu!B75=TRUE,Calcu!I75*H$232,"")</f>
        <v/>
      </c>
      <c r="AB241" s="541"/>
      <c r="AC241" s="541"/>
      <c r="AD241" s="541"/>
      <c r="AE241" s="542"/>
      <c r="AF241" s="540" t="str">
        <f>Calcu!M75</f>
        <v/>
      </c>
      <c r="AG241" s="541"/>
      <c r="AH241" s="541"/>
      <c r="AI241" s="541"/>
      <c r="AJ241" s="542"/>
      <c r="AK241" s="540" t="str">
        <f>Calcu!K75</f>
        <v/>
      </c>
      <c r="AL241" s="541"/>
      <c r="AM241" s="541"/>
      <c r="AN241" s="541"/>
      <c r="AO241" s="542"/>
    </row>
    <row r="242" spans="1:41" ht="18.75" customHeight="1">
      <c r="A242" s="57"/>
      <c r="B242" s="540" t="str">
        <f>Calcu!T76</f>
        <v/>
      </c>
      <c r="C242" s="541"/>
      <c r="D242" s="541"/>
      <c r="E242" s="541"/>
      <c r="F242" s="542"/>
      <c r="G242" s="540" t="str">
        <f>IF(Calcu!B76=TRUE,Calcu!E76*$H$232,"")</f>
        <v/>
      </c>
      <c r="H242" s="541"/>
      <c r="I242" s="541"/>
      <c r="J242" s="541"/>
      <c r="K242" s="542"/>
      <c r="L242" s="540" t="str">
        <f>IF(Calcu!B76=TRUE,Calcu!F76*H$232,"")</f>
        <v/>
      </c>
      <c r="M242" s="541"/>
      <c r="N242" s="541"/>
      <c r="O242" s="541"/>
      <c r="P242" s="542"/>
      <c r="Q242" s="540" t="str">
        <f>IF(Calcu!B76=TRUE,Calcu!G76*H$232,"")</f>
        <v/>
      </c>
      <c r="R242" s="541"/>
      <c r="S242" s="541"/>
      <c r="T242" s="541"/>
      <c r="U242" s="542"/>
      <c r="V242" s="540" t="str">
        <f>IF(Calcu!B76=TRUE,Calcu!H76*H$232,"")</f>
        <v/>
      </c>
      <c r="W242" s="541"/>
      <c r="X242" s="541"/>
      <c r="Y242" s="541"/>
      <c r="Z242" s="542"/>
      <c r="AA242" s="540" t="str">
        <f>IF(Calcu!B76=TRUE,Calcu!I76*H$232,"")</f>
        <v/>
      </c>
      <c r="AB242" s="541"/>
      <c r="AC242" s="541"/>
      <c r="AD242" s="541"/>
      <c r="AE242" s="542"/>
      <c r="AF242" s="540" t="str">
        <f>Calcu!M76</f>
        <v/>
      </c>
      <c r="AG242" s="541"/>
      <c r="AH242" s="541"/>
      <c r="AI242" s="541"/>
      <c r="AJ242" s="542"/>
      <c r="AK242" s="540" t="str">
        <f>Calcu!K76</f>
        <v/>
      </c>
      <c r="AL242" s="541"/>
      <c r="AM242" s="541"/>
      <c r="AN242" s="541"/>
      <c r="AO242" s="542"/>
    </row>
    <row r="243" spans="1:41" ht="18.75" customHeight="1">
      <c r="A243" s="57"/>
      <c r="B243" s="540" t="str">
        <f>Calcu!T77</f>
        <v/>
      </c>
      <c r="C243" s="541"/>
      <c r="D243" s="541"/>
      <c r="E243" s="541"/>
      <c r="F243" s="542"/>
      <c r="G243" s="540" t="str">
        <f>IF(Calcu!B77=TRUE,Calcu!E77*$H$232,"")</f>
        <v/>
      </c>
      <c r="H243" s="541"/>
      <c r="I243" s="541"/>
      <c r="J243" s="541"/>
      <c r="K243" s="542"/>
      <c r="L243" s="540" t="str">
        <f>IF(Calcu!B77=TRUE,Calcu!F77*H$232,"")</f>
        <v/>
      </c>
      <c r="M243" s="541"/>
      <c r="N243" s="541"/>
      <c r="O243" s="541"/>
      <c r="P243" s="542"/>
      <c r="Q243" s="540" t="str">
        <f>IF(Calcu!B77=TRUE,Calcu!G77*H$232,"")</f>
        <v/>
      </c>
      <c r="R243" s="541"/>
      <c r="S243" s="541"/>
      <c r="T243" s="541"/>
      <c r="U243" s="542"/>
      <c r="V243" s="540" t="str">
        <f>IF(Calcu!B77=TRUE,Calcu!H77*H$232,"")</f>
        <v/>
      </c>
      <c r="W243" s="541"/>
      <c r="X243" s="541"/>
      <c r="Y243" s="541"/>
      <c r="Z243" s="542"/>
      <c r="AA243" s="540" t="str">
        <f>IF(Calcu!B77=TRUE,Calcu!I77*H$232,"")</f>
        <v/>
      </c>
      <c r="AB243" s="541"/>
      <c r="AC243" s="541"/>
      <c r="AD243" s="541"/>
      <c r="AE243" s="542"/>
      <c r="AF243" s="540" t="str">
        <f>Calcu!M77</f>
        <v/>
      </c>
      <c r="AG243" s="541"/>
      <c r="AH243" s="541"/>
      <c r="AI243" s="541"/>
      <c r="AJ243" s="542"/>
      <c r="AK243" s="540" t="str">
        <f>Calcu!K77</f>
        <v/>
      </c>
      <c r="AL243" s="541"/>
      <c r="AM243" s="541"/>
      <c r="AN243" s="541"/>
      <c r="AO243" s="542"/>
    </row>
    <row r="244" spans="1:41" ht="18.75" customHeight="1">
      <c r="A244" s="57"/>
      <c r="B244" s="540" t="str">
        <f>Calcu!T78</f>
        <v/>
      </c>
      <c r="C244" s="541"/>
      <c r="D244" s="541"/>
      <c r="E244" s="541"/>
      <c r="F244" s="542"/>
      <c r="G244" s="540" t="str">
        <f>IF(Calcu!B78=TRUE,Calcu!E78*$H$232,"")</f>
        <v/>
      </c>
      <c r="H244" s="541"/>
      <c r="I244" s="541"/>
      <c r="J244" s="541"/>
      <c r="K244" s="542"/>
      <c r="L244" s="540" t="str">
        <f>IF(Calcu!B78=TRUE,Calcu!F78*H$232,"")</f>
        <v/>
      </c>
      <c r="M244" s="541"/>
      <c r="N244" s="541"/>
      <c r="O244" s="541"/>
      <c r="P244" s="542"/>
      <c r="Q244" s="540" t="str">
        <f>IF(Calcu!B78=TRUE,Calcu!G78*H$232,"")</f>
        <v/>
      </c>
      <c r="R244" s="541"/>
      <c r="S244" s="541"/>
      <c r="T244" s="541"/>
      <c r="U244" s="542"/>
      <c r="V244" s="540" t="str">
        <f>IF(Calcu!B78=TRUE,Calcu!H78*H$232,"")</f>
        <v/>
      </c>
      <c r="W244" s="541"/>
      <c r="X244" s="541"/>
      <c r="Y244" s="541"/>
      <c r="Z244" s="542"/>
      <c r="AA244" s="540" t="str">
        <f>IF(Calcu!B78=TRUE,Calcu!I78*H$232,"")</f>
        <v/>
      </c>
      <c r="AB244" s="541"/>
      <c r="AC244" s="541"/>
      <c r="AD244" s="541"/>
      <c r="AE244" s="542"/>
      <c r="AF244" s="540" t="str">
        <f>Calcu!M78</f>
        <v/>
      </c>
      <c r="AG244" s="541"/>
      <c r="AH244" s="541"/>
      <c r="AI244" s="541"/>
      <c r="AJ244" s="542"/>
      <c r="AK244" s="540" t="str">
        <f>Calcu!K78</f>
        <v/>
      </c>
      <c r="AL244" s="541"/>
      <c r="AM244" s="541"/>
      <c r="AN244" s="541"/>
      <c r="AO244" s="542"/>
    </row>
    <row r="245" spans="1:41" ht="18.75" customHeight="1">
      <c r="A245" s="57"/>
      <c r="B245" s="540" t="str">
        <f>Calcu!T79</f>
        <v/>
      </c>
      <c r="C245" s="541"/>
      <c r="D245" s="541"/>
      <c r="E245" s="541"/>
      <c r="F245" s="542"/>
      <c r="G245" s="540" t="str">
        <f>IF(Calcu!B79=TRUE,Calcu!E79*$H$232,"")</f>
        <v/>
      </c>
      <c r="H245" s="541"/>
      <c r="I245" s="541"/>
      <c r="J245" s="541"/>
      <c r="K245" s="542"/>
      <c r="L245" s="540" t="str">
        <f>IF(Calcu!B79=TRUE,Calcu!F79*H$232,"")</f>
        <v/>
      </c>
      <c r="M245" s="541"/>
      <c r="N245" s="541"/>
      <c r="O245" s="541"/>
      <c r="P245" s="542"/>
      <c r="Q245" s="540" t="str">
        <f>IF(Calcu!B79=TRUE,Calcu!G79*H$232,"")</f>
        <v/>
      </c>
      <c r="R245" s="541"/>
      <c r="S245" s="541"/>
      <c r="T245" s="541"/>
      <c r="U245" s="542"/>
      <c r="V245" s="540" t="str">
        <f>IF(Calcu!B79=TRUE,Calcu!H79*H$232,"")</f>
        <v/>
      </c>
      <c r="W245" s="541"/>
      <c r="X245" s="541"/>
      <c r="Y245" s="541"/>
      <c r="Z245" s="542"/>
      <c r="AA245" s="540" t="str">
        <f>IF(Calcu!B79=TRUE,Calcu!I79*H$232,"")</f>
        <v/>
      </c>
      <c r="AB245" s="541"/>
      <c r="AC245" s="541"/>
      <c r="AD245" s="541"/>
      <c r="AE245" s="542"/>
      <c r="AF245" s="540" t="str">
        <f>Calcu!M79</f>
        <v/>
      </c>
      <c r="AG245" s="541"/>
      <c r="AH245" s="541"/>
      <c r="AI245" s="541"/>
      <c r="AJ245" s="542"/>
      <c r="AK245" s="540" t="str">
        <f>Calcu!K79</f>
        <v/>
      </c>
      <c r="AL245" s="541"/>
      <c r="AM245" s="541"/>
      <c r="AN245" s="541"/>
      <c r="AO245" s="542"/>
    </row>
    <row r="246" spans="1:41" ht="18.75" customHeight="1">
      <c r="A246" s="57"/>
      <c r="B246" s="540" t="str">
        <f>Calcu!T80</f>
        <v/>
      </c>
      <c r="C246" s="541"/>
      <c r="D246" s="541"/>
      <c r="E246" s="541"/>
      <c r="F246" s="542"/>
      <c r="G246" s="540" t="str">
        <f>IF(Calcu!B80=TRUE,Calcu!E80*$H$232,"")</f>
        <v/>
      </c>
      <c r="H246" s="541"/>
      <c r="I246" s="541"/>
      <c r="J246" s="541"/>
      <c r="K246" s="542"/>
      <c r="L246" s="540" t="str">
        <f>IF(Calcu!B80=TRUE,Calcu!F80*H$232,"")</f>
        <v/>
      </c>
      <c r="M246" s="541"/>
      <c r="N246" s="541"/>
      <c r="O246" s="541"/>
      <c r="P246" s="542"/>
      <c r="Q246" s="540" t="str">
        <f>IF(Calcu!B80=TRUE,Calcu!G80*H$232,"")</f>
        <v/>
      </c>
      <c r="R246" s="541"/>
      <c r="S246" s="541"/>
      <c r="T246" s="541"/>
      <c r="U246" s="542"/>
      <c r="V246" s="540" t="str">
        <f>IF(Calcu!B80=TRUE,Calcu!H80*H$232,"")</f>
        <v/>
      </c>
      <c r="W246" s="541"/>
      <c r="X246" s="541"/>
      <c r="Y246" s="541"/>
      <c r="Z246" s="542"/>
      <c r="AA246" s="540" t="str">
        <f>IF(Calcu!B80=TRUE,Calcu!I80*H$232,"")</f>
        <v/>
      </c>
      <c r="AB246" s="541"/>
      <c r="AC246" s="541"/>
      <c r="AD246" s="541"/>
      <c r="AE246" s="542"/>
      <c r="AF246" s="540" t="str">
        <f>Calcu!M80</f>
        <v/>
      </c>
      <c r="AG246" s="541"/>
      <c r="AH246" s="541"/>
      <c r="AI246" s="541"/>
      <c r="AJ246" s="542"/>
      <c r="AK246" s="540" t="str">
        <f>Calcu!K80</f>
        <v/>
      </c>
      <c r="AL246" s="541"/>
      <c r="AM246" s="541"/>
      <c r="AN246" s="541"/>
      <c r="AO246" s="542"/>
    </row>
    <row r="247" spans="1:41" ht="18.75" customHeight="1">
      <c r="A247" s="57"/>
      <c r="B247" s="540" t="str">
        <f>Calcu!T81</f>
        <v/>
      </c>
      <c r="C247" s="541"/>
      <c r="D247" s="541"/>
      <c r="E247" s="541"/>
      <c r="F247" s="542"/>
      <c r="G247" s="540" t="str">
        <f>IF(Calcu!B81=TRUE,Calcu!E81*$H$232,"")</f>
        <v/>
      </c>
      <c r="H247" s="541"/>
      <c r="I247" s="541"/>
      <c r="J247" s="541"/>
      <c r="K247" s="542"/>
      <c r="L247" s="540" t="str">
        <f>IF(Calcu!B81=TRUE,Calcu!F81*H$232,"")</f>
        <v/>
      </c>
      <c r="M247" s="541"/>
      <c r="N247" s="541"/>
      <c r="O247" s="541"/>
      <c r="P247" s="542"/>
      <c r="Q247" s="540" t="str">
        <f>IF(Calcu!B81=TRUE,Calcu!G81*H$232,"")</f>
        <v/>
      </c>
      <c r="R247" s="541"/>
      <c r="S247" s="541"/>
      <c r="T247" s="541"/>
      <c r="U247" s="542"/>
      <c r="V247" s="540" t="str">
        <f>IF(Calcu!B81=TRUE,Calcu!H81*H$232,"")</f>
        <v/>
      </c>
      <c r="W247" s="541"/>
      <c r="X247" s="541"/>
      <c r="Y247" s="541"/>
      <c r="Z247" s="542"/>
      <c r="AA247" s="540" t="str">
        <f>IF(Calcu!B81=TRUE,Calcu!I81*H$232,"")</f>
        <v/>
      </c>
      <c r="AB247" s="541"/>
      <c r="AC247" s="541"/>
      <c r="AD247" s="541"/>
      <c r="AE247" s="542"/>
      <c r="AF247" s="540" t="str">
        <f>Calcu!M81</f>
        <v/>
      </c>
      <c r="AG247" s="541"/>
      <c r="AH247" s="541"/>
      <c r="AI247" s="541"/>
      <c r="AJ247" s="542"/>
      <c r="AK247" s="540" t="str">
        <f>Calcu!K81</f>
        <v/>
      </c>
      <c r="AL247" s="541"/>
      <c r="AM247" s="541"/>
      <c r="AN247" s="541"/>
      <c r="AO247" s="542"/>
    </row>
    <row r="248" spans="1:41" ht="18.75" customHeight="1">
      <c r="A248" s="57"/>
      <c r="B248" s="540" t="str">
        <f>Calcu!T82</f>
        <v/>
      </c>
      <c r="C248" s="541"/>
      <c r="D248" s="541"/>
      <c r="E248" s="541"/>
      <c r="F248" s="542"/>
      <c r="G248" s="540" t="str">
        <f>IF(Calcu!B82=TRUE,Calcu!E82*$H$232,"")</f>
        <v/>
      </c>
      <c r="H248" s="541"/>
      <c r="I248" s="541"/>
      <c r="J248" s="541"/>
      <c r="K248" s="542"/>
      <c r="L248" s="540" t="str">
        <f>IF(Calcu!B82=TRUE,Calcu!F82*H$232,"")</f>
        <v/>
      </c>
      <c r="M248" s="541"/>
      <c r="N248" s="541"/>
      <c r="O248" s="541"/>
      <c r="P248" s="542"/>
      <c r="Q248" s="540" t="str">
        <f>IF(Calcu!B82=TRUE,Calcu!G82*H$232,"")</f>
        <v/>
      </c>
      <c r="R248" s="541"/>
      <c r="S248" s="541"/>
      <c r="T248" s="541"/>
      <c r="U248" s="542"/>
      <c r="V248" s="540" t="str">
        <f>IF(Calcu!B82=TRUE,Calcu!H82*H$232,"")</f>
        <v/>
      </c>
      <c r="W248" s="541"/>
      <c r="X248" s="541"/>
      <c r="Y248" s="541"/>
      <c r="Z248" s="542"/>
      <c r="AA248" s="540" t="str">
        <f>IF(Calcu!B82=TRUE,Calcu!I82*H$232,"")</f>
        <v/>
      </c>
      <c r="AB248" s="541"/>
      <c r="AC248" s="541"/>
      <c r="AD248" s="541"/>
      <c r="AE248" s="542"/>
      <c r="AF248" s="540" t="str">
        <f>Calcu!M82</f>
        <v/>
      </c>
      <c r="AG248" s="541"/>
      <c r="AH248" s="541"/>
      <c r="AI248" s="541"/>
      <c r="AJ248" s="542"/>
      <c r="AK248" s="540" t="str">
        <f>Calcu!K82</f>
        <v/>
      </c>
      <c r="AL248" s="541"/>
      <c r="AM248" s="541"/>
      <c r="AN248" s="541"/>
      <c r="AO248" s="542"/>
    </row>
    <row r="249" spans="1:41" ht="18.75" customHeight="1">
      <c r="A249" s="57"/>
      <c r="B249" s="540" t="str">
        <f>Calcu!T83</f>
        <v/>
      </c>
      <c r="C249" s="541"/>
      <c r="D249" s="541"/>
      <c r="E249" s="541"/>
      <c r="F249" s="542"/>
      <c r="G249" s="540" t="str">
        <f>IF(Calcu!B83=TRUE,Calcu!E83*$H$232,"")</f>
        <v/>
      </c>
      <c r="H249" s="541"/>
      <c r="I249" s="541"/>
      <c r="J249" s="541"/>
      <c r="K249" s="542"/>
      <c r="L249" s="540" t="str">
        <f>IF(Calcu!B83=TRUE,Calcu!F83*H$232,"")</f>
        <v/>
      </c>
      <c r="M249" s="541"/>
      <c r="N249" s="541"/>
      <c r="O249" s="541"/>
      <c r="P249" s="542"/>
      <c r="Q249" s="540" t="str">
        <f>IF(Calcu!B83=TRUE,Calcu!G83*H$232,"")</f>
        <v/>
      </c>
      <c r="R249" s="541"/>
      <c r="S249" s="541"/>
      <c r="T249" s="541"/>
      <c r="U249" s="542"/>
      <c r="V249" s="540" t="str">
        <f>IF(Calcu!B83=TRUE,Calcu!H83*H$232,"")</f>
        <v/>
      </c>
      <c r="W249" s="541"/>
      <c r="X249" s="541"/>
      <c r="Y249" s="541"/>
      <c r="Z249" s="542"/>
      <c r="AA249" s="540" t="str">
        <f>IF(Calcu!B83=TRUE,Calcu!I83*H$232,"")</f>
        <v/>
      </c>
      <c r="AB249" s="541"/>
      <c r="AC249" s="541"/>
      <c r="AD249" s="541"/>
      <c r="AE249" s="542"/>
      <c r="AF249" s="540" t="str">
        <f>Calcu!M83</f>
        <v/>
      </c>
      <c r="AG249" s="541"/>
      <c r="AH249" s="541"/>
      <c r="AI249" s="541"/>
      <c r="AJ249" s="542"/>
      <c r="AK249" s="540" t="str">
        <f>Calcu!K83</f>
        <v/>
      </c>
      <c r="AL249" s="541"/>
      <c r="AM249" s="541"/>
      <c r="AN249" s="541"/>
      <c r="AO249" s="542"/>
    </row>
    <row r="250" spans="1:41" ht="18.75" customHeight="1">
      <c r="A250" s="57"/>
      <c r="B250" s="540" t="str">
        <f>Calcu!T84</f>
        <v/>
      </c>
      <c r="C250" s="541"/>
      <c r="D250" s="541"/>
      <c r="E250" s="541"/>
      <c r="F250" s="542"/>
      <c r="G250" s="540" t="str">
        <f>IF(Calcu!B84=TRUE,Calcu!E84*$H$232,"")</f>
        <v/>
      </c>
      <c r="H250" s="541"/>
      <c r="I250" s="541"/>
      <c r="J250" s="541"/>
      <c r="K250" s="542"/>
      <c r="L250" s="540" t="str">
        <f>IF(Calcu!B84=TRUE,Calcu!F84*H$232,"")</f>
        <v/>
      </c>
      <c r="M250" s="541"/>
      <c r="N250" s="541"/>
      <c r="O250" s="541"/>
      <c r="P250" s="542"/>
      <c r="Q250" s="540" t="str">
        <f>IF(Calcu!B84=TRUE,Calcu!G84*H$232,"")</f>
        <v/>
      </c>
      <c r="R250" s="541"/>
      <c r="S250" s="541"/>
      <c r="T250" s="541"/>
      <c r="U250" s="542"/>
      <c r="V250" s="540" t="str">
        <f>IF(Calcu!B84=TRUE,Calcu!H84*H$232,"")</f>
        <v/>
      </c>
      <c r="W250" s="541"/>
      <c r="X250" s="541"/>
      <c r="Y250" s="541"/>
      <c r="Z250" s="542"/>
      <c r="AA250" s="540" t="str">
        <f>IF(Calcu!B84=TRUE,Calcu!I84*H$232,"")</f>
        <v/>
      </c>
      <c r="AB250" s="541"/>
      <c r="AC250" s="541"/>
      <c r="AD250" s="541"/>
      <c r="AE250" s="542"/>
      <c r="AF250" s="540" t="str">
        <f>Calcu!M84</f>
        <v/>
      </c>
      <c r="AG250" s="541"/>
      <c r="AH250" s="541"/>
      <c r="AI250" s="541"/>
      <c r="AJ250" s="542"/>
      <c r="AK250" s="540" t="str">
        <f>Calcu!K84</f>
        <v/>
      </c>
      <c r="AL250" s="541"/>
      <c r="AM250" s="541"/>
      <c r="AN250" s="541"/>
      <c r="AO250" s="542"/>
    </row>
    <row r="251" spans="1:41" ht="18.75" customHeight="1">
      <c r="A251" s="57"/>
      <c r="B251" s="540" t="str">
        <f>Calcu!T85</f>
        <v/>
      </c>
      <c r="C251" s="541"/>
      <c r="D251" s="541"/>
      <c r="E251" s="541"/>
      <c r="F251" s="542"/>
      <c r="G251" s="540" t="str">
        <f>IF(Calcu!B85=TRUE,Calcu!E85*$H$232,"")</f>
        <v/>
      </c>
      <c r="H251" s="541"/>
      <c r="I251" s="541"/>
      <c r="J251" s="541"/>
      <c r="K251" s="542"/>
      <c r="L251" s="540" t="str">
        <f>IF(Calcu!B85=TRUE,Calcu!F85*H$232,"")</f>
        <v/>
      </c>
      <c r="M251" s="541"/>
      <c r="N251" s="541"/>
      <c r="O251" s="541"/>
      <c r="P251" s="542"/>
      <c r="Q251" s="540" t="str">
        <f>IF(Calcu!B85=TRUE,Calcu!G85*H$232,"")</f>
        <v/>
      </c>
      <c r="R251" s="541"/>
      <c r="S251" s="541"/>
      <c r="T251" s="541"/>
      <c r="U251" s="542"/>
      <c r="V251" s="540" t="str">
        <f>IF(Calcu!B85=TRUE,Calcu!H85*H$232,"")</f>
        <v/>
      </c>
      <c r="W251" s="541"/>
      <c r="X251" s="541"/>
      <c r="Y251" s="541"/>
      <c r="Z251" s="542"/>
      <c r="AA251" s="540" t="str">
        <f>IF(Calcu!B85=TRUE,Calcu!I85*H$232,"")</f>
        <v/>
      </c>
      <c r="AB251" s="541"/>
      <c r="AC251" s="541"/>
      <c r="AD251" s="541"/>
      <c r="AE251" s="542"/>
      <c r="AF251" s="540" t="str">
        <f>Calcu!M85</f>
        <v/>
      </c>
      <c r="AG251" s="541"/>
      <c r="AH251" s="541"/>
      <c r="AI251" s="541"/>
      <c r="AJ251" s="542"/>
      <c r="AK251" s="540" t="str">
        <f>Calcu!K85</f>
        <v/>
      </c>
      <c r="AL251" s="541"/>
      <c r="AM251" s="541"/>
      <c r="AN251" s="541"/>
      <c r="AO251" s="542"/>
    </row>
    <row r="252" spans="1:41" ht="18.75" customHeight="1">
      <c r="A252" s="57"/>
      <c r="B252" s="540" t="str">
        <f>Calcu!T86</f>
        <v/>
      </c>
      <c r="C252" s="541"/>
      <c r="D252" s="541"/>
      <c r="E252" s="541"/>
      <c r="F252" s="542"/>
      <c r="G252" s="540" t="str">
        <f>IF(Calcu!B86=TRUE,Calcu!E86*$H$232,"")</f>
        <v/>
      </c>
      <c r="H252" s="541"/>
      <c r="I252" s="541"/>
      <c r="J252" s="541"/>
      <c r="K252" s="542"/>
      <c r="L252" s="540" t="str">
        <f>IF(Calcu!B86=TRUE,Calcu!F86*H$232,"")</f>
        <v/>
      </c>
      <c r="M252" s="541"/>
      <c r="N252" s="541"/>
      <c r="O252" s="541"/>
      <c r="P252" s="542"/>
      <c r="Q252" s="540" t="str">
        <f>IF(Calcu!B86=TRUE,Calcu!G86*H$232,"")</f>
        <v/>
      </c>
      <c r="R252" s="541"/>
      <c r="S252" s="541"/>
      <c r="T252" s="541"/>
      <c r="U252" s="542"/>
      <c r="V252" s="540" t="str">
        <f>IF(Calcu!B86=TRUE,Calcu!H86*H$232,"")</f>
        <v/>
      </c>
      <c r="W252" s="541"/>
      <c r="X252" s="541"/>
      <c r="Y252" s="541"/>
      <c r="Z252" s="542"/>
      <c r="AA252" s="540" t="str">
        <f>IF(Calcu!B86=TRUE,Calcu!I86*H$232,"")</f>
        <v/>
      </c>
      <c r="AB252" s="541"/>
      <c r="AC252" s="541"/>
      <c r="AD252" s="541"/>
      <c r="AE252" s="542"/>
      <c r="AF252" s="540" t="str">
        <f>Calcu!M86</f>
        <v/>
      </c>
      <c r="AG252" s="541"/>
      <c r="AH252" s="541"/>
      <c r="AI252" s="541"/>
      <c r="AJ252" s="542"/>
      <c r="AK252" s="540" t="str">
        <f>Calcu!K86</f>
        <v/>
      </c>
      <c r="AL252" s="541"/>
      <c r="AM252" s="541"/>
      <c r="AN252" s="541"/>
      <c r="AO252" s="542"/>
    </row>
    <row r="253" spans="1:41" ht="18.75" customHeight="1">
      <c r="A253" s="57"/>
      <c r="B253" s="540" t="str">
        <f>Calcu!T87</f>
        <v/>
      </c>
      <c r="C253" s="541"/>
      <c r="D253" s="541"/>
      <c r="E253" s="541"/>
      <c r="F253" s="542"/>
      <c r="G253" s="540" t="str">
        <f>IF(Calcu!B87=TRUE,Calcu!E87*$H$232,"")</f>
        <v/>
      </c>
      <c r="H253" s="541"/>
      <c r="I253" s="541"/>
      <c r="J253" s="541"/>
      <c r="K253" s="542"/>
      <c r="L253" s="540" t="str">
        <f>IF(Calcu!B87=TRUE,Calcu!F87*H$232,"")</f>
        <v/>
      </c>
      <c r="M253" s="541"/>
      <c r="N253" s="541"/>
      <c r="O253" s="541"/>
      <c r="P253" s="542"/>
      <c r="Q253" s="540" t="str">
        <f>IF(Calcu!B87=TRUE,Calcu!G87*H$232,"")</f>
        <v/>
      </c>
      <c r="R253" s="541"/>
      <c r="S253" s="541"/>
      <c r="T253" s="541"/>
      <c r="U253" s="542"/>
      <c r="V253" s="540" t="str">
        <f>IF(Calcu!B87=TRUE,Calcu!H87*H$232,"")</f>
        <v/>
      </c>
      <c r="W253" s="541"/>
      <c r="X253" s="541"/>
      <c r="Y253" s="541"/>
      <c r="Z253" s="542"/>
      <c r="AA253" s="540" t="str">
        <f>IF(Calcu!B87=TRUE,Calcu!I87*H$232,"")</f>
        <v/>
      </c>
      <c r="AB253" s="541"/>
      <c r="AC253" s="541"/>
      <c r="AD253" s="541"/>
      <c r="AE253" s="542"/>
      <c r="AF253" s="540" t="str">
        <f>Calcu!M87</f>
        <v/>
      </c>
      <c r="AG253" s="541"/>
      <c r="AH253" s="541"/>
      <c r="AI253" s="541"/>
      <c r="AJ253" s="542"/>
      <c r="AK253" s="540" t="str">
        <f>Calcu!K87</f>
        <v/>
      </c>
      <c r="AL253" s="541"/>
      <c r="AM253" s="541"/>
      <c r="AN253" s="541"/>
      <c r="AO253" s="542"/>
    </row>
    <row r="254" spans="1:41" ht="18.75" customHeight="1">
      <c r="A254" s="57"/>
      <c r="B254" s="540" t="str">
        <f>Calcu!T88</f>
        <v/>
      </c>
      <c r="C254" s="541"/>
      <c r="D254" s="541"/>
      <c r="E254" s="541"/>
      <c r="F254" s="542"/>
      <c r="G254" s="540" t="str">
        <f>IF(Calcu!B88=TRUE,Calcu!E88*$H$232,"")</f>
        <v/>
      </c>
      <c r="H254" s="541"/>
      <c r="I254" s="541"/>
      <c r="J254" s="541"/>
      <c r="K254" s="542"/>
      <c r="L254" s="540" t="str">
        <f>IF(Calcu!B88=TRUE,Calcu!F88*H$232,"")</f>
        <v/>
      </c>
      <c r="M254" s="541"/>
      <c r="N254" s="541"/>
      <c r="O254" s="541"/>
      <c r="P254" s="542"/>
      <c r="Q254" s="540" t="str">
        <f>IF(Calcu!B88=TRUE,Calcu!G88*H$232,"")</f>
        <v/>
      </c>
      <c r="R254" s="541"/>
      <c r="S254" s="541"/>
      <c r="T254" s="541"/>
      <c r="U254" s="542"/>
      <c r="V254" s="540" t="str">
        <f>IF(Calcu!B88=TRUE,Calcu!H88*H$232,"")</f>
        <v/>
      </c>
      <c r="W254" s="541"/>
      <c r="X254" s="541"/>
      <c r="Y254" s="541"/>
      <c r="Z254" s="542"/>
      <c r="AA254" s="540" t="str">
        <f>IF(Calcu!B88=TRUE,Calcu!I88*H$232,"")</f>
        <v/>
      </c>
      <c r="AB254" s="541"/>
      <c r="AC254" s="541"/>
      <c r="AD254" s="541"/>
      <c r="AE254" s="542"/>
      <c r="AF254" s="540" t="str">
        <f>Calcu!M88</f>
        <v/>
      </c>
      <c r="AG254" s="541"/>
      <c r="AH254" s="541"/>
      <c r="AI254" s="541"/>
      <c r="AJ254" s="542"/>
      <c r="AK254" s="540" t="str">
        <f>Calcu!K88</f>
        <v/>
      </c>
      <c r="AL254" s="541"/>
      <c r="AM254" s="541"/>
      <c r="AN254" s="541"/>
      <c r="AO254" s="542"/>
    </row>
    <row r="255" spans="1:41" ht="18.75" customHeight="1">
      <c r="A255" s="57"/>
      <c r="B255" s="540" t="str">
        <f>Calcu!T89</f>
        <v/>
      </c>
      <c r="C255" s="541"/>
      <c r="D255" s="541"/>
      <c r="E255" s="541"/>
      <c r="F255" s="542"/>
      <c r="G255" s="540" t="str">
        <f>IF(Calcu!B89=TRUE,Calcu!E89*$H$232,"")</f>
        <v/>
      </c>
      <c r="H255" s="541"/>
      <c r="I255" s="541"/>
      <c r="J255" s="541"/>
      <c r="K255" s="542"/>
      <c r="L255" s="540" t="str">
        <f>IF(Calcu!B89=TRUE,Calcu!F89*H$232,"")</f>
        <v/>
      </c>
      <c r="M255" s="541"/>
      <c r="N255" s="541"/>
      <c r="O255" s="541"/>
      <c r="P255" s="542"/>
      <c r="Q255" s="540" t="str">
        <f>IF(Calcu!B89=TRUE,Calcu!G89*H$232,"")</f>
        <v/>
      </c>
      <c r="R255" s="541"/>
      <c r="S255" s="541"/>
      <c r="T255" s="541"/>
      <c r="U255" s="542"/>
      <c r="V255" s="540" t="str">
        <f>IF(Calcu!B89=TRUE,Calcu!H89*H$232,"")</f>
        <v/>
      </c>
      <c r="W255" s="541"/>
      <c r="X255" s="541"/>
      <c r="Y255" s="541"/>
      <c r="Z255" s="542"/>
      <c r="AA255" s="540" t="str">
        <f>IF(Calcu!B89=TRUE,Calcu!I89*H$232,"")</f>
        <v/>
      </c>
      <c r="AB255" s="541"/>
      <c r="AC255" s="541"/>
      <c r="AD255" s="541"/>
      <c r="AE255" s="542"/>
      <c r="AF255" s="540" t="str">
        <f>Calcu!M89</f>
        <v/>
      </c>
      <c r="AG255" s="541"/>
      <c r="AH255" s="541"/>
      <c r="AI255" s="541"/>
      <c r="AJ255" s="542"/>
      <c r="AK255" s="540" t="str">
        <f>Calcu!K89</f>
        <v/>
      </c>
      <c r="AL255" s="541"/>
      <c r="AM255" s="541"/>
      <c r="AN255" s="541"/>
      <c r="AO255" s="542"/>
    </row>
    <row r="256" spans="1:41" ht="18.75" customHeight="1">
      <c r="A256" s="57"/>
      <c r="B256" s="540" t="str">
        <f>Calcu!T90</f>
        <v/>
      </c>
      <c r="C256" s="541"/>
      <c r="D256" s="541"/>
      <c r="E256" s="541"/>
      <c r="F256" s="542"/>
      <c r="G256" s="540" t="str">
        <f>IF(Calcu!B90=TRUE,Calcu!E90*$H$232,"")</f>
        <v/>
      </c>
      <c r="H256" s="541"/>
      <c r="I256" s="541"/>
      <c r="J256" s="541"/>
      <c r="K256" s="542"/>
      <c r="L256" s="540" t="str">
        <f>IF(Calcu!B90=TRUE,Calcu!F90*H$232,"")</f>
        <v/>
      </c>
      <c r="M256" s="541"/>
      <c r="N256" s="541"/>
      <c r="O256" s="541"/>
      <c r="P256" s="542"/>
      <c r="Q256" s="540" t="str">
        <f>IF(Calcu!B90=TRUE,Calcu!G90*H$232,"")</f>
        <v/>
      </c>
      <c r="R256" s="541"/>
      <c r="S256" s="541"/>
      <c r="T256" s="541"/>
      <c r="U256" s="542"/>
      <c r="V256" s="540" t="str">
        <f>IF(Calcu!B90=TRUE,Calcu!H90*H$232,"")</f>
        <v/>
      </c>
      <c r="W256" s="541"/>
      <c r="X256" s="541"/>
      <c r="Y256" s="541"/>
      <c r="Z256" s="542"/>
      <c r="AA256" s="540" t="str">
        <f>IF(Calcu!B90=TRUE,Calcu!I90*H$232,"")</f>
        <v/>
      </c>
      <c r="AB256" s="541"/>
      <c r="AC256" s="541"/>
      <c r="AD256" s="541"/>
      <c r="AE256" s="542"/>
      <c r="AF256" s="540" t="str">
        <f>Calcu!M90</f>
        <v/>
      </c>
      <c r="AG256" s="541"/>
      <c r="AH256" s="541"/>
      <c r="AI256" s="541"/>
      <c r="AJ256" s="542"/>
      <c r="AK256" s="540" t="str">
        <f>Calcu!K90</f>
        <v/>
      </c>
      <c r="AL256" s="541"/>
      <c r="AM256" s="541"/>
      <c r="AN256" s="541"/>
      <c r="AO256" s="542"/>
    </row>
    <row r="257" spans="1:58" ht="18.75" customHeight="1">
      <c r="A257" s="57"/>
      <c r="B257" s="540" t="str">
        <f>Calcu!T91</f>
        <v/>
      </c>
      <c r="C257" s="541"/>
      <c r="D257" s="541"/>
      <c r="E257" s="541"/>
      <c r="F257" s="542"/>
      <c r="G257" s="540" t="str">
        <f>IF(Calcu!B91=TRUE,Calcu!E91*$H$232,"")</f>
        <v/>
      </c>
      <c r="H257" s="541"/>
      <c r="I257" s="541"/>
      <c r="J257" s="541"/>
      <c r="K257" s="542"/>
      <c r="L257" s="540" t="str">
        <f>IF(Calcu!B91=TRUE,Calcu!F91*H$232,"")</f>
        <v/>
      </c>
      <c r="M257" s="541"/>
      <c r="N257" s="541"/>
      <c r="O257" s="541"/>
      <c r="P257" s="542"/>
      <c r="Q257" s="540" t="str">
        <f>IF(Calcu!B91=TRUE,Calcu!G91*H$232,"")</f>
        <v/>
      </c>
      <c r="R257" s="541"/>
      <c r="S257" s="541"/>
      <c r="T257" s="541"/>
      <c r="U257" s="542"/>
      <c r="V257" s="540" t="str">
        <f>IF(Calcu!B91=TRUE,Calcu!H91*H$232,"")</f>
        <v/>
      </c>
      <c r="W257" s="541"/>
      <c r="X257" s="541"/>
      <c r="Y257" s="541"/>
      <c r="Z257" s="542"/>
      <c r="AA257" s="540" t="str">
        <f>IF(Calcu!B91=TRUE,Calcu!I91*H$232,"")</f>
        <v/>
      </c>
      <c r="AB257" s="541"/>
      <c r="AC257" s="541"/>
      <c r="AD257" s="541"/>
      <c r="AE257" s="542"/>
      <c r="AF257" s="540" t="str">
        <f>Calcu!M91</f>
        <v/>
      </c>
      <c r="AG257" s="541"/>
      <c r="AH257" s="541"/>
      <c r="AI257" s="541"/>
      <c r="AJ257" s="542"/>
      <c r="AK257" s="540" t="str">
        <f>Calcu!K91</f>
        <v/>
      </c>
      <c r="AL257" s="541"/>
      <c r="AM257" s="541"/>
      <c r="AN257" s="541"/>
      <c r="AO257" s="542"/>
    </row>
    <row r="258" spans="1:58" ht="18.75" customHeight="1">
      <c r="A258" s="57"/>
      <c r="B258" s="341"/>
      <c r="C258" s="341"/>
      <c r="D258" s="341"/>
      <c r="E258" s="341"/>
      <c r="F258" s="341"/>
      <c r="G258" s="341"/>
      <c r="H258" s="341"/>
      <c r="I258" s="341"/>
      <c r="J258" s="341"/>
      <c r="K258" s="341"/>
      <c r="L258" s="341"/>
      <c r="M258" s="341"/>
      <c r="N258" s="341"/>
      <c r="O258" s="341"/>
      <c r="P258" s="341"/>
      <c r="Q258" s="341"/>
      <c r="R258" s="341"/>
      <c r="S258" s="341"/>
      <c r="T258" s="341"/>
      <c r="U258" s="341"/>
      <c r="V258" s="341"/>
      <c r="W258" s="341"/>
      <c r="X258" s="341"/>
      <c r="Y258" s="341"/>
      <c r="Z258" s="341"/>
      <c r="AA258" s="341"/>
      <c r="AB258" s="341"/>
      <c r="AC258" s="341"/>
      <c r="AD258" s="341"/>
      <c r="AE258" s="341"/>
      <c r="AF258" s="341"/>
      <c r="AG258" s="341"/>
      <c r="AH258" s="341"/>
      <c r="AI258" s="341"/>
      <c r="AJ258" s="341"/>
      <c r="AK258" s="341"/>
      <c r="AL258" s="341"/>
      <c r="AM258" s="341"/>
      <c r="AN258" s="341"/>
      <c r="AO258" s="341"/>
      <c r="AP258" s="341"/>
      <c r="AQ258" s="341"/>
      <c r="AR258" s="341"/>
      <c r="AS258" s="341"/>
      <c r="AT258" s="341"/>
    </row>
    <row r="259" spans="1:58" ht="18.75" customHeight="1">
      <c r="A259" s="60" t="s">
        <v>815</v>
      </c>
      <c r="B259" s="370"/>
      <c r="C259" s="370"/>
      <c r="D259" s="370"/>
      <c r="E259" s="370"/>
      <c r="F259" s="370"/>
      <c r="G259" s="370"/>
      <c r="H259" s="370"/>
      <c r="I259" s="370"/>
      <c r="J259" s="370"/>
      <c r="K259" s="370"/>
      <c r="L259" s="370"/>
      <c r="M259" s="370"/>
      <c r="N259" s="370"/>
      <c r="O259" s="370"/>
      <c r="P259" s="370"/>
      <c r="Q259" s="370"/>
      <c r="R259" s="370"/>
      <c r="S259" s="370"/>
      <c r="T259" s="370"/>
      <c r="U259" s="370"/>
      <c r="V259" s="370"/>
      <c r="W259" s="370"/>
      <c r="X259" s="370"/>
      <c r="Y259" s="370"/>
      <c r="Z259" s="370"/>
      <c r="AA259" s="370"/>
      <c r="AB259" s="370"/>
      <c r="AC259" s="370"/>
      <c r="AD259" s="370"/>
      <c r="AE259" s="370"/>
      <c r="AF259" s="370"/>
      <c r="AG259" s="370"/>
      <c r="AH259" s="370"/>
      <c r="AI259" s="370"/>
      <c r="AJ259" s="370"/>
      <c r="AK259" s="370"/>
      <c r="AL259" s="370"/>
      <c r="AM259" s="370"/>
      <c r="AN259" s="370"/>
      <c r="AO259" s="370"/>
      <c r="AP259" s="370"/>
      <c r="AQ259" s="370"/>
      <c r="AR259" s="370"/>
      <c r="AS259" s="370"/>
      <c r="AT259" s="370"/>
    </row>
    <row r="260" spans="1:58" ht="18.75" customHeight="1">
      <c r="A260" s="370"/>
      <c r="B260" s="558"/>
      <c r="C260" s="560"/>
      <c r="D260" s="537"/>
      <c r="E260" s="538"/>
      <c r="F260" s="538"/>
      <c r="G260" s="539"/>
      <c r="H260" s="522">
        <v>1</v>
      </c>
      <c r="I260" s="522"/>
      <c r="J260" s="522"/>
      <c r="K260" s="522"/>
      <c r="L260" s="522"/>
      <c r="M260" s="522"/>
      <c r="N260" s="522"/>
      <c r="O260" s="537">
        <v>2</v>
      </c>
      <c r="P260" s="538"/>
      <c r="Q260" s="538"/>
      <c r="R260" s="538"/>
      <c r="S260" s="538"/>
      <c r="T260" s="538"/>
      <c r="U260" s="538"/>
      <c r="V260" s="538"/>
      <c r="W260" s="538"/>
      <c r="X260" s="538"/>
      <c r="Y260" s="538"/>
      <c r="Z260" s="538"/>
      <c r="AA260" s="539"/>
      <c r="AB260" s="522">
        <v>3</v>
      </c>
      <c r="AC260" s="522"/>
      <c r="AD260" s="522"/>
      <c r="AE260" s="522"/>
      <c r="AF260" s="522"/>
      <c r="AG260" s="537">
        <v>4</v>
      </c>
      <c r="AH260" s="538"/>
      <c r="AI260" s="538"/>
      <c r="AJ260" s="538"/>
      <c r="AK260" s="538"/>
      <c r="AL260" s="538"/>
      <c r="AM260" s="538"/>
      <c r="AN260" s="538"/>
      <c r="AO260" s="539"/>
      <c r="AP260" s="537">
        <v>5</v>
      </c>
      <c r="AQ260" s="538"/>
      <c r="AR260" s="538"/>
      <c r="AS260" s="538"/>
      <c r="AT260" s="538"/>
      <c r="AU260" s="538"/>
      <c r="AV260" s="538"/>
      <c r="AW260" s="538"/>
      <c r="AX260" s="538"/>
      <c r="AY260" s="538"/>
      <c r="AZ260" s="538"/>
      <c r="BA260" s="538"/>
      <c r="BB260" s="539"/>
      <c r="BC260" s="522">
        <v>6</v>
      </c>
      <c r="BD260" s="522"/>
      <c r="BE260" s="522"/>
      <c r="BF260" s="522"/>
    </row>
    <row r="261" spans="1:58" ht="18.75" customHeight="1">
      <c r="A261" s="370"/>
      <c r="B261" s="563"/>
      <c r="C261" s="564"/>
      <c r="D261" s="558" t="s">
        <v>816</v>
      </c>
      <c r="E261" s="559"/>
      <c r="F261" s="559"/>
      <c r="G261" s="560"/>
      <c r="H261" s="557" t="s">
        <v>817</v>
      </c>
      <c r="I261" s="557"/>
      <c r="J261" s="557"/>
      <c r="K261" s="557"/>
      <c r="L261" s="557"/>
      <c r="M261" s="557"/>
      <c r="N261" s="557"/>
      <c r="O261" s="558" t="s">
        <v>818</v>
      </c>
      <c r="P261" s="559"/>
      <c r="Q261" s="559"/>
      <c r="R261" s="559"/>
      <c r="S261" s="559"/>
      <c r="T261" s="559"/>
      <c r="U261" s="559"/>
      <c r="V261" s="559"/>
      <c r="W261" s="559"/>
      <c r="X261" s="559"/>
      <c r="Y261" s="559"/>
      <c r="Z261" s="559"/>
      <c r="AA261" s="560"/>
      <c r="AB261" s="557" t="s">
        <v>819</v>
      </c>
      <c r="AC261" s="557"/>
      <c r="AD261" s="557"/>
      <c r="AE261" s="557"/>
      <c r="AF261" s="557"/>
      <c r="AG261" s="558" t="s">
        <v>820</v>
      </c>
      <c r="AH261" s="559"/>
      <c r="AI261" s="559"/>
      <c r="AJ261" s="559"/>
      <c r="AK261" s="559"/>
      <c r="AL261" s="559"/>
      <c r="AM261" s="559"/>
      <c r="AN261" s="559"/>
      <c r="AO261" s="560"/>
      <c r="AP261" s="558" t="s">
        <v>821</v>
      </c>
      <c r="AQ261" s="559"/>
      <c r="AR261" s="559"/>
      <c r="AS261" s="559"/>
      <c r="AT261" s="559"/>
      <c r="AU261" s="559"/>
      <c r="AV261" s="559"/>
      <c r="AW261" s="559"/>
      <c r="AX261" s="559"/>
      <c r="AY261" s="559"/>
      <c r="AZ261" s="559"/>
      <c r="BA261" s="559"/>
      <c r="BB261" s="560"/>
      <c r="BC261" s="557" t="s">
        <v>822</v>
      </c>
      <c r="BD261" s="557"/>
      <c r="BE261" s="557"/>
      <c r="BF261" s="557"/>
    </row>
    <row r="262" spans="1:58" ht="18.75" customHeight="1">
      <c r="A262" s="370"/>
      <c r="B262" s="565"/>
      <c r="C262" s="566"/>
      <c r="D262" s="572" t="s">
        <v>823</v>
      </c>
      <c r="E262" s="573"/>
      <c r="F262" s="573"/>
      <c r="G262" s="574"/>
      <c r="H262" s="556" t="s">
        <v>824</v>
      </c>
      <c r="I262" s="556"/>
      <c r="J262" s="556"/>
      <c r="K262" s="556"/>
      <c r="L262" s="556"/>
      <c r="M262" s="556"/>
      <c r="N262" s="556"/>
      <c r="O262" s="567" t="s">
        <v>825</v>
      </c>
      <c r="P262" s="568"/>
      <c r="Q262" s="568"/>
      <c r="R262" s="568"/>
      <c r="S262" s="568"/>
      <c r="T262" s="568"/>
      <c r="U262" s="568"/>
      <c r="V262" s="568"/>
      <c r="W262" s="568"/>
      <c r="X262" s="568"/>
      <c r="Y262" s="568"/>
      <c r="Z262" s="568"/>
      <c r="AA262" s="569"/>
      <c r="AB262" s="556"/>
      <c r="AC262" s="556"/>
      <c r="AD262" s="556"/>
      <c r="AE262" s="556"/>
      <c r="AF262" s="556"/>
      <c r="AG262" s="567" t="s">
        <v>826</v>
      </c>
      <c r="AH262" s="568"/>
      <c r="AI262" s="568"/>
      <c r="AJ262" s="568"/>
      <c r="AK262" s="568"/>
      <c r="AL262" s="568"/>
      <c r="AM262" s="568"/>
      <c r="AN262" s="568"/>
      <c r="AO262" s="569"/>
      <c r="AP262" s="567" t="s">
        <v>827</v>
      </c>
      <c r="AQ262" s="568"/>
      <c r="AR262" s="568"/>
      <c r="AS262" s="568"/>
      <c r="AT262" s="568"/>
      <c r="AU262" s="568"/>
      <c r="AV262" s="568"/>
      <c r="AW262" s="568"/>
      <c r="AX262" s="568"/>
      <c r="AY262" s="568"/>
      <c r="AZ262" s="568"/>
      <c r="BA262" s="568"/>
      <c r="BB262" s="569"/>
      <c r="BC262" s="556"/>
      <c r="BD262" s="556"/>
      <c r="BE262" s="556"/>
      <c r="BF262" s="556"/>
    </row>
    <row r="263" spans="1:58" ht="18.75" customHeight="1">
      <c r="A263" s="370"/>
      <c r="B263" s="522" t="s">
        <v>828</v>
      </c>
      <c r="C263" s="522"/>
      <c r="D263" s="523" t="s">
        <v>807</v>
      </c>
      <c r="E263" s="524"/>
      <c r="F263" s="524"/>
      <c r="G263" s="525"/>
      <c r="H263" s="526" t="e">
        <f ca="1">Calcu!E96</f>
        <v>#N/A</v>
      </c>
      <c r="I263" s="527"/>
      <c r="J263" s="527"/>
      <c r="K263" s="527"/>
      <c r="L263" s="527"/>
      <c r="M263" s="528" t="str">
        <f>Calcu!F96</f>
        <v>mm</v>
      </c>
      <c r="N263" s="529"/>
      <c r="O263" s="570" t="e">
        <f ca="1">Calcu!K96</f>
        <v>#N/A</v>
      </c>
      <c r="P263" s="571"/>
      <c r="Q263" s="571"/>
      <c r="R263" s="374"/>
      <c r="S263" s="338"/>
      <c r="T263" s="541" t="e">
        <f ca="1">Calcu!L96</f>
        <v>#N/A</v>
      </c>
      <c r="U263" s="541"/>
      <c r="V263" s="541"/>
      <c r="W263" s="339"/>
      <c r="X263" s="339"/>
      <c r="Y263" s="339"/>
      <c r="Z263" s="520" t="str">
        <f>Calcu!M96</f>
        <v>μm</v>
      </c>
      <c r="AA263" s="521"/>
      <c r="AB263" s="522" t="str">
        <f>Calcu!N96</f>
        <v>정규</v>
      </c>
      <c r="AC263" s="522"/>
      <c r="AD263" s="522"/>
      <c r="AE263" s="522"/>
      <c r="AF263" s="522"/>
      <c r="AG263" s="537">
        <f>Calcu!Q96</f>
        <v>1</v>
      </c>
      <c r="AH263" s="538"/>
      <c r="AI263" s="538"/>
      <c r="AJ263" s="538"/>
      <c r="AK263" s="538"/>
      <c r="AL263" s="538"/>
      <c r="AM263" s="538"/>
      <c r="AN263" s="538"/>
      <c r="AO263" s="539"/>
      <c r="AP263" s="570" t="e">
        <f ca="1">Calcu!S96</f>
        <v>#N/A</v>
      </c>
      <c r="AQ263" s="571"/>
      <c r="AR263" s="571"/>
      <c r="AS263" s="374"/>
      <c r="AT263" s="338"/>
      <c r="AU263" s="541" t="e">
        <f ca="1">Calcu!T96</f>
        <v>#N/A</v>
      </c>
      <c r="AV263" s="541"/>
      <c r="AW263" s="541"/>
      <c r="AX263" s="339"/>
      <c r="AY263" s="339"/>
      <c r="AZ263" s="339"/>
      <c r="BA263" s="520" t="str">
        <f>Calcu!U96</f>
        <v>μm</v>
      </c>
      <c r="BB263" s="521"/>
      <c r="BC263" s="522" t="str">
        <f>Calcu!V96</f>
        <v>∞</v>
      </c>
      <c r="BD263" s="522"/>
      <c r="BE263" s="522"/>
      <c r="BF263" s="522"/>
    </row>
    <row r="264" spans="1:58" ht="18.75" customHeight="1">
      <c r="A264" s="370"/>
      <c r="B264" s="522" t="s">
        <v>829</v>
      </c>
      <c r="C264" s="522"/>
      <c r="D264" s="523" t="s">
        <v>1002</v>
      </c>
      <c r="E264" s="524"/>
      <c r="F264" s="524"/>
      <c r="G264" s="525"/>
      <c r="H264" s="526" t="e">
        <f ca="1">Calcu!E97</f>
        <v>#N/A</v>
      </c>
      <c r="I264" s="527"/>
      <c r="J264" s="527"/>
      <c r="K264" s="527"/>
      <c r="L264" s="527"/>
      <c r="M264" s="528" t="str">
        <f>Calcu!F97</f>
        <v>mm</v>
      </c>
      <c r="N264" s="529"/>
      <c r="O264" s="533">
        <f>Calcu!K97</f>
        <v>0</v>
      </c>
      <c r="P264" s="534"/>
      <c r="Q264" s="534"/>
      <c r="R264" s="534"/>
      <c r="S264" s="534"/>
      <c r="T264" s="534"/>
      <c r="U264" s="534"/>
      <c r="V264" s="535" t="str">
        <f>Calcu!M97</f>
        <v>μm</v>
      </c>
      <c r="W264" s="535"/>
      <c r="X264" s="535"/>
      <c r="Y264" s="535"/>
      <c r="Z264" s="535"/>
      <c r="AA264" s="536"/>
      <c r="AB264" s="522" t="str">
        <f>Calcu!N97</f>
        <v>t</v>
      </c>
      <c r="AC264" s="522"/>
      <c r="AD264" s="522"/>
      <c r="AE264" s="522"/>
      <c r="AF264" s="522"/>
      <c r="AG264" s="537">
        <f>Calcu!Q97</f>
        <v>-1</v>
      </c>
      <c r="AH264" s="538"/>
      <c r="AI264" s="538"/>
      <c r="AJ264" s="538"/>
      <c r="AK264" s="538"/>
      <c r="AL264" s="538"/>
      <c r="AM264" s="538"/>
      <c r="AN264" s="538"/>
      <c r="AO264" s="539"/>
      <c r="AP264" s="533">
        <f>Calcu!S97</f>
        <v>0</v>
      </c>
      <c r="AQ264" s="534"/>
      <c r="AR264" s="534"/>
      <c r="AS264" s="534"/>
      <c r="AT264" s="534"/>
      <c r="AU264" s="534">
        <v>0</v>
      </c>
      <c r="AV264" s="534"/>
      <c r="AW264" s="535" t="str">
        <f>Calcu!U97</f>
        <v>μm</v>
      </c>
      <c r="AX264" s="535"/>
      <c r="AY264" s="535"/>
      <c r="AZ264" s="535"/>
      <c r="BA264" s="535"/>
      <c r="BB264" s="536"/>
      <c r="BC264" s="522">
        <f>Calcu!V97</f>
        <v>4</v>
      </c>
      <c r="BD264" s="522"/>
      <c r="BE264" s="522"/>
      <c r="BF264" s="522"/>
    </row>
    <row r="265" spans="1:58" ht="18.75" customHeight="1">
      <c r="A265" s="370"/>
      <c r="B265" s="522" t="s">
        <v>921</v>
      </c>
      <c r="C265" s="522"/>
      <c r="D265" s="523"/>
      <c r="E265" s="524"/>
      <c r="F265" s="524"/>
      <c r="G265" s="525"/>
      <c r="H265" s="526" t="e">
        <f ca="1">Calcu!E98</f>
        <v>#N/A</v>
      </c>
      <c r="I265" s="527"/>
      <c r="J265" s="527"/>
      <c r="K265" s="527"/>
      <c r="L265" s="527"/>
      <c r="M265" s="528" t="str">
        <f>Calcu!F98</f>
        <v>/℃</v>
      </c>
      <c r="N265" s="529"/>
      <c r="O265" s="530">
        <f>Calcu!L98</f>
        <v>4.0824829046386305E-7</v>
      </c>
      <c r="P265" s="531"/>
      <c r="Q265" s="531"/>
      <c r="R265" s="531"/>
      <c r="S265" s="531"/>
      <c r="T265" s="531"/>
      <c r="U265" s="531"/>
      <c r="V265" s="531"/>
      <c r="W265" s="531"/>
      <c r="X265" s="520" t="str">
        <f>Calcu!M98</f>
        <v>/℃</v>
      </c>
      <c r="Y265" s="520"/>
      <c r="Z265" s="520"/>
      <c r="AA265" s="521"/>
      <c r="AB265" s="522" t="str">
        <f>Calcu!N98</f>
        <v>삼각형</v>
      </c>
      <c r="AC265" s="522"/>
      <c r="AD265" s="522"/>
      <c r="AE265" s="522"/>
      <c r="AF265" s="522"/>
      <c r="AG265" s="532">
        <f>Calcu!Q98</f>
        <v>-200</v>
      </c>
      <c r="AH265" s="520"/>
      <c r="AI265" s="520"/>
      <c r="AJ265" s="520"/>
      <c r="AK265" s="520" t="s">
        <v>830</v>
      </c>
      <c r="AL265" s="520"/>
      <c r="AM265" s="520"/>
      <c r="AN265" s="520"/>
      <c r="AO265" s="521"/>
      <c r="AP265" s="561">
        <f>Calcu!T98</f>
        <v>8.1649658092772609E-5</v>
      </c>
      <c r="AQ265" s="562"/>
      <c r="AR265" s="562"/>
      <c r="AS265" s="562"/>
      <c r="AT265" s="562"/>
      <c r="AU265" s="562" t="s">
        <v>283</v>
      </c>
      <c r="AV265" s="562"/>
      <c r="AW265" s="520" t="s">
        <v>831</v>
      </c>
      <c r="AX265" s="520"/>
      <c r="AY265" s="520"/>
      <c r="AZ265" s="520"/>
      <c r="BA265" s="520"/>
      <c r="BB265" s="521"/>
      <c r="BC265" s="522">
        <f>Calcu!V98</f>
        <v>100</v>
      </c>
      <c r="BD265" s="522"/>
      <c r="BE265" s="522"/>
      <c r="BF265" s="522"/>
    </row>
    <row r="266" spans="1:58" ht="18.75" customHeight="1">
      <c r="A266" s="370"/>
      <c r="B266" s="522" t="s">
        <v>1118</v>
      </c>
      <c r="C266" s="522"/>
      <c r="D266" s="523" t="s">
        <v>809</v>
      </c>
      <c r="E266" s="524"/>
      <c r="F266" s="524"/>
      <c r="G266" s="525"/>
      <c r="H266" s="526" t="str">
        <f>Calcu!E99</f>
        <v/>
      </c>
      <c r="I266" s="527"/>
      <c r="J266" s="527"/>
      <c r="K266" s="527"/>
      <c r="L266" s="527"/>
      <c r="M266" s="528" t="str">
        <f>Calcu!F99</f>
        <v>℃</v>
      </c>
      <c r="N266" s="529"/>
      <c r="O266" s="533">
        <f>Calcu!L99</f>
        <v>0.11547005383792516</v>
      </c>
      <c r="P266" s="534"/>
      <c r="Q266" s="534"/>
      <c r="R266" s="534"/>
      <c r="S266" s="534"/>
      <c r="T266" s="534"/>
      <c r="U266" s="534"/>
      <c r="V266" s="535" t="str">
        <f>Calcu!M99</f>
        <v>℃</v>
      </c>
      <c r="W266" s="535"/>
      <c r="X266" s="535"/>
      <c r="Y266" s="535"/>
      <c r="Z266" s="535"/>
      <c r="AA266" s="536"/>
      <c r="AB266" s="522" t="str">
        <f>Calcu!N99</f>
        <v>직사각형</v>
      </c>
      <c r="AC266" s="522"/>
      <c r="AD266" s="522"/>
      <c r="AE266" s="522"/>
      <c r="AF266" s="522"/>
      <c r="AG266" s="532" t="e">
        <f ca="1">Calcu!Q99</f>
        <v>#N/A</v>
      </c>
      <c r="AH266" s="520"/>
      <c r="AI266" s="520"/>
      <c r="AJ266" s="520"/>
      <c r="AK266" s="520" t="s">
        <v>832</v>
      </c>
      <c r="AL266" s="520"/>
      <c r="AM266" s="520"/>
      <c r="AN266" s="520"/>
      <c r="AO266" s="521"/>
      <c r="AP266" s="561" t="e">
        <f ca="1">Calcu!T99</f>
        <v>#N/A</v>
      </c>
      <c r="AQ266" s="562"/>
      <c r="AR266" s="562"/>
      <c r="AS266" s="562"/>
      <c r="AT266" s="562"/>
      <c r="AU266" s="562" t="s">
        <v>284</v>
      </c>
      <c r="AV266" s="562"/>
      <c r="AW266" s="520" t="s">
        <v>1009</v>
      </c>
      <c r="AX266" s="520"/>
      <c r="AY266" s="520"/>
      <c r="AZ266" s="520"/>
      <c r="BA266" s="520"/>
      <c r="BB266" s="521"/>
      <c r="BC266" s="522">
        <f>Calcu!V99</f>
        <v>12</v>
      </c>
      <c r="BD266" s="522"/>
      <c r="BE266" s="522"/>
      <c r="BF266" s="522"/>
    </row>
    <row r="267" spans="1:58" ht="18.75" customHeight="1">
      <c r="A267" s="370"/>
      <c r="B267" s="522" t="s">
        <v>923</v>
      </c>
      <c r="C267" s="522"/>
      <c r="D267" s="523" t="s">
        <v>810</v>
      </c>
      <c r="E267" s="524"/>
      <c r="F267" s="524"/>
      <c r="G267" s="525"/>
      <c r="H267" s="526" t="e">
        <f ca="1">Calcu!E100</f>
        <v>#N/A</v>
      </c>
      <c r="I267" s="527"/>
      <c r="J267" s="527"/>
      <c r="K267" s="527"/>
      <c r="L267" s="527"/>
      <c r="M267" s="528" t="str">
        <f>Calcu!F100</f>
        <v>/℃</v>
      </c>
      <c r="N267" s="529"/>
      <c r="O267" s="530">
        <f>Calcu!L100</f>
        <v>8.1649658092772609E-7</v>
      </c>
      <c r="P267" s="531"/>
      <c r="Q267" s="531"/>
      <c r="R267" s="531"/>
      <c r="S267" s="531"/>
      <c r="T267" s="531"/>
      <c r="U267" s="531"/>
      <c r="V267" s="531"/>
      <c r="W267" s="531"/>
      <c r="X267" s="520" t="str">
        <f>Calcu!M100</f>
        <v>/℃</v>
      </c>
      <c r="Y267" s="520"/>
      <c r="Z267" s="520"/>
      <c r="AA267" s="521"/>
      <c r="AB267" s="522" t="str">
        <f>Calcu!N100</f>
        <v>삼각형</v>
      </c>
      <c r="AC267" s="522"/>
      <c r="AD267" s="522"/>
      <c r="AE267" s="522"/>
      <c r="AF267" s="522"/>
      <c r="AG267" s="532">
        <f>Calcu!Q100</f>
        <v>-100</v>
      </c>
      <c r="AH267" s="520"/>
      <c r="AI267" s="520"/>
      <c r="AJ267" s="520"/>
      <c r="AK267" s="520" t="s">
        <v>830</v>
      </c>
      <c r="AL267" s="520"/>
      <c r="AM267" s="520"/>
      <c r="AN267" s="520"/>
      <c r="AO267" s="521"/>
      <c r="AP267" s="561">
        <f>Calcu!T100</f>
        <v>8.1649658092772609E-5</v>
      </c>
      <c r="AQ267" s="562"/>
      <c r="AR267" s="562"/>
      <c r="AS267" s="562"/>
      <c r="AT267" s="562"/>
      <c r="AU267" s="562" t="s">
        <v>283</v>
      </c>
      <c r="AV267" s="562"/>
      <c r="AW267" s="520" t="s">
        <v>831</v>
      </c>
      <c r="AX267" s="520"/>
      <c r="AY267" s="520"/>
      <c r="AZ267" s="520"/>
      <c r="BA267" s="520"/>
      <c r="BB267" s="521"/>
      <c r="BC267" s="522">
        <f>Calcu!V100</f>
        <v>100</v>
      </c>
      <c r="BD267" s="522"/>
      <c r="BE267" s="522"/>
      <c r="BF267" s="522"/>
    </row>
    <row r="268" spans="1:58" ht="18.75" customHeight="1">
      <c r="A268" s="370"/>
      <c r="B268" s="522" t="s">
        <v>924</v>
      </c>
      <c r="C268" s="522"/>
      <c r="D268" s="523" t="s">
        <v>811</v>
      </c>
      <c r="E268" s="524"/>
      <c r="F268" s="524"/>
      <c r="G268" s="525"/>
      <c r="H268" s="526">
        <f>Calcu!E101</f>
        <v>0.1</v>
      </c>
      <c r="I268" s="527"/>
      <c r="J268" s="527"/>
      <c r="K268" s="527"/>
      <c r="L268" s="527"/>
      <c r="M268" s="528" t="str">
        <f>Calcu!F101</f>
        <v>℃</v>
      </c>
      <c r="N268" s="529"/>
      <c r="O268" s="533">
        <f>Calcu!L101</f>
        <v>0.57735026918962584</v>
      </c>
      <c r="P268" s="534"/>
      <c r="Q268" s="534"/>
      <c r="R268" s="534"/>
      <c r="S268" s="534"/>
      <c r="T268" s="534"/>
      <c r="U268" s="534"/>
      <c r="V268" s="535" t="str">
        <f>Calcu!M101</f>
        <v>℃</v>
      </c>
      <c r="W268" s="535"/>
      <c r="X268" s="535"/>
      <c r="Y268" s="535"/>
      <c r="Z268" s="535"/>
      <c r="AA268" s="536"/>
      <c r="AB268" s="522" t="str">
        <f>Calcu!N101</f>
        <v>직사각형</v>
      </c>
      <c r="AC268" s="522"/>
      <c r="AD268" s="522"/>
      <c r="AE268" s="522"/>
      <c r="AF268" s="522"/>
      <c r="AG268" s="532" t="e">
        <f ca="1">Calcu!Q101</f>
        <v>#N/A</v>
      </c>
      <c r="AH268" s="520"/>
      <c r="AI268" s="520"/>
      <c r="AJ268" s="520"/>
      <c r="AK268" s="520" t="s">
        <v>832</v>
      </c>
      <c r="AL268" s="520"/>
      <c r="AM268" s="520"/>
      <c r="AN268" s="520"/>
      <c r="AO268" s="521"/>
      <c r="AP268" s="561" t="e">
        <f ca="1">Calcu!T101</f>
        <v>#N/A</v>
      </c>
      <c r="AQ268" s="562"/>
      <c r="AR268" s="562"/>
      <c r="AS268" s="562"/>
      <c r="AT268" s="562"/>
      <c r="AU268" s="562" t="s">
        <v>284</v>
      </c>
      <c r="AV268" s="562"/>
      <c r="AW268" s="520" t="s">
        <v>831</v>
      </c>
      <c r="AX268" s="520"/>
      <c r="AY268" s="520"/>
      <c r="AZ268" s="520"/>
      <c r="BA268" s="520"/>
      <c r="BB268" s="521"/>
      <c r="BC268" s="522">
        <f>Calcu!V101</f>
        <v>12</v>
      </c>
      <c r="BD268" s="522"/>
      <c r="BE268" s="522"/>
      <c r="BF268" s="522"/>
    </row>
    <row r="269" spans="1:58" ht="18.75" customHeight="1">
      <c r="A269" s="370"/>
      <c r="B269" s="522" t="s">
        <v>833</v>
      </c>
      <c r="C269" s="522"/>
      <c r="D269" s="523" t="s">
        <v>1279</v>
      </c>
      <c r="E269" s="524"/>
      <c r="F269" s="524"/>
      <c r="G269" s="525"/>
      <c r="H269" s="526">
        <f>Calcu!E102</f>
        <v>0</v>
      </c>
      <c r="I269" s="527"/>
      <c r="J269" s="527"/>
      <c r="K269" s="527"/>
      <c r="L269" s="527"/>
      <c r="M269" s="528" t="str">
        <f>Calcu!F102</f>
        <v>mm</v>
      </c>
      <c r="N269" s="529"/>
      <c r="O269" s="533">
        <f>Calcu!K102</f>
        <v>0</v>
      </c>
      <c r="P269" s="534"/>
      <c r="Q269" s="534"/>
      <c r="R269" s="534"/>
      <c r="S269" s="534"/>
      <c r="T269" s="534"/>
      <c r="U269" s="534"/>
      <c r="V269" s="535" t="str">
        <f>Calcu!M102</f>
        <v>μm</v>
      </c>
      <c r="W269" s="535"/>
      <c r="X269" s="535"/>
      <c r="Y269" s="535"/>
      <c r="Z269" s="535"/>
      <c r="AA269" s="536"/>
      <c r="AB269" s="522" t="str">
        <f>Calcu!N102</f>
        <v>직사각형</v>
      </c>
      <c r="AC269" s="522"/>
      <c r="AD269" s="522"/>
      <c r="AE269" s="522"/>
      <c r="AF269" s="522"/>
      <c r="AG269" s="537">
        <f>Calcu!Q102</f>
        <v>1</v>
      </c>
      <c r="AH269" s="538"/>
      <c r="AI269" s="538"/>
      <c r="AJ269" s="538"/>
      <c r="AK269" s="538"/>
      <c r="AL269" s="538"/>
      <c r="AM269" s="538"/>
      <c r="AN269" s="538"/>
      <c r="AO269" s="539"/>
      <c r="AP269" s="533">
        <f>Calcu!S102</f>
        <v>0</v>
      </c>
      <c r="AQ269" s="534"/>
      <c r="AR269" s="534"/>
      <c r="AS269" s="534"/>
      <c r="AT269" s="534"/>
      <c r="AU269" s="534">
        <v>0</v>
      </c>
      <c r="AV269" s="534"/>
      <c r="AW269" s="535" t="str">
        <f>Calcu!U102</f>
        <v>μm</v>
      </c>
      <c r="AX269" s="535"/>
      <c r="AY269" s="535"/>
      <c r="AZ269" s="535"/>
      <c r="BA269" s="535"/>
      <c r="BB269" s="536"/>
      <c r="BC269" s="522" t="str">
        <f>Calcu!V102</f>
        <v>∞</v>
      </c>
      <c r="BD269" s="522"/>
      <c r="BE269" s="522"/>
      <c r="BF269" s="522"/>
    </row>
    <row r="270" spans="1:58" ht="18.75" customHeight="1">
      <c r="A270" s="370"/>
      <c r="B270" s="522" t="s">
        <v>835</v>
      </c>
      <c r="C270" s="522"/>
      <c r="D270" s="523" t="s">
        <v>1286</v>
      </c>
      <c r="E270" s="524"/>
      <c r="F270" s="524"/>
      <c r="G270" s="525"/>
      <c r="H270" s="526">
        <f>Calcu!E103</f>
        <v>0</v>
      </c>
      <c r="I270" s="527"/>
      <c r="J270" s="527"/>
      <c r="K270" s="527"/>
      <c r="L270" s="527"/>
      <c r="M270" s="528" t="str">
        <f>Calcu!F103</f>
        <v>mm</v>
      </c>
      <c r="N270" s="529"/>
      <c r="O270" s="533">
        <f>Calcu!K103</f>
        <v>0.28867513459481292</v>
      </c>
      <c r="P270" s="534"/>
      <c r="Q270" s="534"/>
      <c r="R270" s="534"/>
      <c r="S270" s="534"/>
      <c r="T270" s="534"/>
      <c r="U270" s="534"/>
      <c r="V270" s="535" t="str">
        <f>Calcu!M103</f>
        <v>μm</v>
      </c>
      <c r="W270" s="535"/>
      <c r="X270" s="535"/>
      <c r="Y270" s="535"/>
      <c r="Z270" s="535"/>
      <c r="AA270" s="536"/>
      <c r="AB270" s="522" t="str">
        <f>Calcu!N103</f>
        <v>직사각형</v>
      </c>
      <c r="AC270" s="522"/>
      <c r="AD270" s="522"/>
      <c r="AE270" s="522"/>
      <c r="AF270" s="522"/>
      <c r="AG270" s="537">
        <f>Calcu!Q103</f>
        <v>1</v>
      </c>
      <c r="AH270" s="538"/>
      <c r="AI270" s="538"/>
      <c r="AJ270" s="538"/>
      <c r="AK270" s="538"/>
      <c r="AL270" s="538"/>
      <c r="AM270" s="538"/>
      <c r="AN270" s="538"/>
      <c r="AO270" s="539"/>
      <c r="AP270" s="533">
        <f>Calcu!S103</f>
        <v>0.28867513459481292</v>
      </c>
      <c r="AQ270" s="534"/>
      <c r="AR270" s="534"/>
      <c r="AS270" s="534"/>
      <c r="AT270" s="534"/>
      <c r="AU270" s="534">
        <v>0</v>
      </c>
      <c r="AV270" s="534"/>
      <c r="AW270" s="535" t="str">
        <f>Calcu!U103</f>
        <v>μm</v>
      </c>
      <c r="AX270" s="535"/>
      <c r="AY270" s="535"/>
      <c r="AZ270" s="535"/>
      <c r="BA270" s="535"/>
      <c r="BB270" s="536"/>
      <c r="BC270" s="522">
        <f>Calcu!V103</f>
        <v>12</v>
      </c>
      <c r="BD270" s="522"/>
      <c r="BE270" s="522"/>
      <c r="BF270" s="522"/>
    </row>
    <row r="271" spans="1:58" ht="18.75" customHeight="1">
      <c r="A271" s="370"/>
      <c r="B271" s="522" t="s">
        <v>836</v>
      </c>
      <c r="C271" s="522"/>
      <c r="D271" s="523" t="s">
        <v>986</v>
      </c>
      <c r="E271" s="524"/>
      <c r="F271" s="524"/>
      <c r="G271" s="525"/>
      <c r="H271" s="526">
        <f>Calcu!E104</f>
        <v>0</v>
      </c>
      <c r="I271" s="527"/>
      <c r="J271" s="527"/>
      <c r="K271" s="527"/>
      <c r="L271" s="527"/>
      <c r="M271" s="528" t="str">
        <f>Calcu!F104</f>
        <v>mm</v>
      </c>
      <c r="N271" s="529"/>
      <c r="O271" s="533">
        <f>Calcu!K104</f>
        <v>0</v>
      </c>
      <c r="P271" s="534"/>
      <c r="Q271" s="534"/>
      <c r="R271" s="534"/>
      <c r="S271" s="534"/>
      <c r="T271" s="534"/>
      <c r="U271" s="534"/>
      <c r="V271" s="535" t="str">
        <f>Calcu!M104</f>
        <v>μm</v>
      </c>
      <c r="W271" s="535"/>
      <c r="X271" s="535"/>
      <c r="Y271" s="535"/>
      <c r="Z271" s="535"/>
      <c r="AA271" s="536"/>
      <c r="AB271" s="522" t="str">
        <f>Calcu!N104</f>
        <v>직사각형</v>
      </c>
      <c r="AC271" s="522"/>
      <c r="AD271" s="522"/>
      <c r="AE271" s="522"/>
      <c r="AF271" s="522"/>
      <c r="AG271" s="537">
        <f>Calcu!Q104</f>
        <v>1</v>
      </c>
      <c r="AH271" s="538"/>
      <c r="AI271" s="538"/>
      <c r="AJ271" s="538"/>
      <c r="AK271" s="538"/>
      <c r="AL271" s="538"/>
      <c r="AM271" s="538"/>
      <c r="AN271" s="538"/>
      <c r="AO271" s="539"/>
      <c r="AP271" s="533">
        <f>Calcu!S104</f>
        <v>0</v>
      </c>
      <c r="AQ271" s="534"/>
      <c r="AR271" s="534"/>
      <c r="AS271" s="534"/>
      <c r="AT271" s="534"/>
      <c r="AU271" s="534">
        <v>0</v>
      </c>
      <c r="AV271" s="534"/>
      <c r="AW271" s="535" t="str">
        <f>Calcu!U104</f>
        <v>μm</v>
      </c>
      <c r="AX271" s="535"/>
      <c r="AY271" s="535"/>
      <c r="AZ271" s="535"/>
      <c r="BA271" s="535"/>
      <c r="BB271" s="536"/>
      <c r="BC271" s="522" t="str">
        <f>Calcu!V104</f>
        <v>∞</v>
      </c>
      <c r="BD271" s="522"/>
      <c r="BE271" s="522"/>
      <c r="BF271" s="522"/>
    </row>
    <row r="272" spans="1:58" ht="18.75" customHeight="1">
      <c r="A272" s="370"/>
      <c r="B272" s="522" t="s">
        <v>1119</v>
      </c>
      <c r="C272" s="522"/>
      <c r="D272" s="523" t="s">
        <v>806</v>
      </c>
      <c r="E272" s="524"/>
      <c r="F272" s="524"/>
      <c r="G272" s="525"/>
      <c r="H272" s="526" t="e">
        <f ca="1">Calcu!E105</f>
        <v>#N/A</v>
      </c>
      <c r="I272" s="527"/>
      <c r="J272" s="527"/>
      <c r="K272" s="527"/>
      <c r="L272" s="527"/>
      <c r="M272" s="528" t="str">
        <f>Calcu!F105</f>
        <v>mm</v>
      </c>
      <c r="N272" s="529"/>
      <c r="O272" s="537"/>
      <c r="P272" s="538"/>
      <c r="Q272" s="538"/>
      <c r="R272" s="538"/>
      <c r="S272" s="538"/>
      <c r="T272" s="538"/>
      <c r="U272" s="538"/>
      <c r="V272" s="538"/>
      <c r="W272" s="538"/>
      <c r="X272" s="538"/>
      <c r="Y272" s="538"/>
      <c r="Z272" s="538"/>
      <c r="AA272" s="539"/>
      <c r="AB272" s="522"/>
      <c r="AC272" s="522"/>
      <c r="AD272" s="522"/>
      <c r="AE272" s="522"/>
      <c r="AF272" s="522"/>
      <c r="AG272" s="537"/>
      <c r="AH272" s="538"/>
      <c r="AI272" s="538"/>
      <c r="AJ272" s="538"/>
      <c r="AK272" s="538"/>
      <c r="AL272" s="538"/>
      <c r="AM272" s="538"/>
      <c r="AN272" s="538"/>
      <c r="AO272" s="539"/>
      <c r="AP272" s="570" t="e">
        <f ca="1">Calcu!S105</f>
        <v>#N/A</v>
      </c>
      <c r="AQ272" s="571"/>
      <c r="AR272" s="571"/>
      <c r="AS272" s="374"/>
      <c r="AT272" s="338"/>
      <c r="AU272" s="541" t="e">
        <f ca="1">Calcu!T105</f>
        <v>#N/A</v>
      </c>
      <c r="AV272" s="541"/>
      <c r="AW272" s="541"/>
      <c r="AX272" s="339"/>
      <c r="AY272" s="339"/>
      <c r="AZ272" s="339"/>
      <c r="BA272" s="520" t="str">
        <f>Calcu!U105</f>
        <v>μm</v>
      </c>
      <c r="BB272" s="521"/>
      <c r="BC272" s="522" t="e">
        <f ca="1">Calcu!V105</f>
        <v>#N/A</v>
      </c>
      <c r="BD272" s="522"/>
      <c r="BE272" s="522"/>
      <c r="BF272" s="522"/>
    </row>
    <row r="273" spans="1:75" ht="18.75" customHeight="1">
      <c r="A273" s="370"/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70"/>
      <c r="N273" s="370"/>
      <c r="O273" s="370"/>
      <c r="P273" s="370"/>
      <c r="Q273" s="370"/>
      <c r="R273" s="370"/>
      <c r="S273" s="370"/>
      <c r="T273" s="370"/>
      <c r="U273" s="370"/>
      <c r="V273" s="370"/>
      <c r="W273" s="370"/>
      <c r="X273" s="370"/>
      <c r="Y273" s="370"/>
      <c r="Z273" s="370"/>
      <c r="AA273" s="370"/>
      <c r="AB273" s="370"/>
      <c r="AC273" s="370"/>
      <c r="AD273" s="370"/>
      <c r="AE273" s="370"/>
      <c r="AF273" s="370"/>
      <c r="AG273" s="223" t="s">
        <v>839</v>
      </c>
      <c r="AH273" s="370"/>
      <c r="AI273" s="370"/>
      <c r="AJ273" s="370"/>
      <c r="AK273" s="370"/>
      <c r="AL273" s="370"/>
      <c r="AM273" s="370"/>
      <c r="AN273" s="370"/>
      <c r="AO273" s="370"/>
      <c r="AP273" s="370"/>
      <c r="AQ273" s="370"/>
      <c r="AR273" s="370"/>
      <c r="AS273" s="370"/>
      <c r="AT273" s="370"/>
    </row>
    <row r="274" spans="1:75" s="135" customFormat="1" ht="18.75" customHeight="1">
      <c r="B274" s="341"/>
      <c r="C274" s="57"/>
      <c r="D274" s="346"/>
      <c r="E274" s="346"/>
      <c r="F274" s="346"/>
      <c r="G274" s="341"/>
      <c r="H274" s="346"/>
      <c r="I274" s="346"/>
      <c r="J274" s="346"/>
      <c r="K274" s="346"/>
      <c r="L274" s="346"/>
      <c r="M274" s="346"/>
      <c r="N274" s="346"/>
      <c r="O274" s="346"/>
      <c r="P274" s="346"/>
      <c r="Q274" s="346"/>
      <c r="R274" s="346"/>
      <c r="S274" s="346"/>
      <c r="T274" s="346"/>
      <c r="U274" s="346"/>
      <c r="V274" s="346"/>
      <c r="W274" s="346"/>
      <c r="X274" s="346"/>
      <c r="Y274" s="346"/>
      <c r="Z274" s="346"/>
      <c r="AA274" s="346"/>
      <c r="AB274" s="346"/>
      <c r="AC274" s="346"/>
      <c r="AD274" s="346"/>
      <c r="AE274" s="341"/>
      <c r="AF274" s="346"/>
      <c r="AG274" s="341"/>
      <c r="AH274" s="341"/>
      <c r="AI274" s="341"/>
      <c r="AJ274" s="341"/>
      <c r="AK274" s="341"/>
      <c r="AL274" s="341"/>
      <c r="AM274" s="341"/>
      <c r="AN274" s="341"/>
      <c r="AO274" s="341"/>
      <c r="AP274" s="341"/>
      <c r="AQ274" s="341"/>
      <c r="AR274" s="341"/>
      <c r="AS274" s="341"/>
      <c r="AT274" s="341"/>
      <c r="AU274" s="341"/>
      <c r="AV274" s="341"/>
      <c r="AW274" s="341"/>
      <c r="AX274" s="341"/>
      <c r="AY274" s="341"/>
      <c r="AZ274" s="341"/>
      <c r="BA274" s="341"/>
      <c r="BB274" s="341"/>
      <c r="BC274" s="341"/>
      <c r="BD274" s="341"/>
      <c r="BE274" s="341"/>
      <c r="BF274" s="341"/>
      <c r="BG274" s="341"/>
    </row>
    <row r="275" spans="1:75" s="135" customFormat="1" ht="18.75" customHeight="1">
      <c r="A275" s="57" t="s">
        <v>904</v>
      </c>
      <c r="B275" s="341"/>
      <c r="C275" s="341"/>
      <c r="D275" s="341"/>
      <c r="E275" s="341"/>
      <c r="F275" s="341"/>
      <c r="G275" s="341"/>
      <c r="H275" s="341"/>
      <c r="I275" s="341"/>
      <c r="J275" s="341"/>
      <c r="K275" s="341"/>
      <c r="L275" s="341"/>
      <c r="M275" s="341"/>
      <c r="N275" s="341"/>
      <c r="O275" s="341"/>
      <c r="P275" s="341"/>
      <c r="Q275" s="341"/>
      <c r="R275" s="341"/>
      <c r="S275" s="341"/>
      <c r="T275" s="341"/>
      <c r="U275" s="341"/>
      <c r="V275" s="341"/>
      <c r="W275" s="341"/>
      <c r="X275" s="341"/>
      <c r="Y275" s="341"/>
      <c r="Z275" s="341"/>
      <c r="AA275" s="341"/>
      <c r="AB275" s="341"/>
      <c r="AC275" s="341"/>
      <c r="AD275" s="341"/>
      <c r="AE275" s="341"/>
      <c r="AF275" s="341"/>
      <c r="AG275" s="341"/>
      <c r="AH275" s="341"/>
      <c r="AI275" s="341"/>
      <c r="AJ275" s="341"/>
      <c r="AK275" s="341"/>
      <c r="AL275" s="341"/>
      <c r="AM275" s="341"/>
      <c r="AN275" s="341"/>
      <c r="AO275" s="341"/>
      <c r="AP275" s="341"/>
      <c r="AQ275" s="341"/>
      <c r="AR275" s="341"/>
      <c r="AS275" s="341"/>
      <c r="AT275" s="341"/>
      <c r="AU275" s="341"/>
      <c r="AV275" s="341"/>
      <c r="AW275" s="341"/>
      <c r="AX275" s="341"/>
      <c r="AY275" s="341"/>
      <c r="AZ275" s="341"/>
      <c r="BA275" s="341"/>
      <c r="BB275" s="341"/>
      <c r="BC275" s="341"/>
      <c r="BD275" s="341"/>
      <c r="BE275" s="341"/>
      <c r="BF275" s="341"/>
    </row>
    <row r="276" spans="1:75" s="135" customFormat="1" ht="18.75" customHeight="1">
      <c r="A276" s="341"/>
      <c r="B276" s="341"/>
      <c r="C276" s="341"/>
      <c r="D276" s="341"/>
      <c r="E276" s="341"/>
      <c r="F276" s="341"/>
      <c r="G276" s="341"/>
      <c r="H276" s="341"/>
      <c r="I276" s="341"/>
      <c r="J276" s="341"/>
      <c r="K276" s="341"/>
      <c r="L276" s="341"/>
      <c r="M276" s="341"/>
      <c r="N276" s="341"/>
      <c r="O276" s="341"/>
      <c r="P276" s="341"/>
      <c r="Q276" s="341"/>
      <c r="R276" s="341"/>
      <c r="S276" s="341"/>
      <c r="T276" s="341"/>
      <c r="U276" s="341"/>
      <c r="V276" s="341"/>
      <c r="W276" s="341"/>
      <c r="X276" s="341"/>
      <c r="Y276" s="341"/>
      <c r="Z276" s="341"/>
      <c r="AA276" s="341"/>
      <c r="AB276" s="341"/>
      <c r="AC276" s="341"/>
      <c r="AD276" s="341"/>
      <c r="AE276" s="346"/>
      <c r="AF276" s="341"/>
      <c r="AG276" s="341"/>
      <c r="AH276" s="341"/>
      <c r="AI276" s="341"/>
      <c r="AJ276" s="341"/>
      <c r="AK276" s="346"/>
      <c r="AL276" s="346"/>
      <c r="AM276" s="363"/>
      <c r="AN276" s="363"/>
      <c r="AO276" s="363"/>
      <c r="AP276" s="363"/>
      <c r="AQ276" s="346"/>
      <c r="AR276" s="341"/>
      <c r="AT276" s="369"/>
      <c r="AU276" s="369"/>
      <c r="AV276" s="369"/>
      <c r="AW276" s="346"/>
      <c r="AX276" s="346"/>
      <c r="AY276" s="341"/>
      <c r="BA276" s="341"/>
      <c r="BB276" s="341"/>
      <c r="BC276" s="341"/>
      <c r="BD276" s="341"/>
      <c r="BE276" s="341"/>
      <c r="BF276" s="341"/>
    </row>
    <row r="277" spans="1:75" s="135" customFormat="1" ht="18.75" customHeight="1">
      <c r="A277" s="341"/>
      <c r="B277" s="341"/>
      <c r="C277" s="341"/>
      <c r="D277" s="341"/>
      <c r="E277" s="341" t="s">
        <v>845</v>
      </c>
      <c r="F277" s="515" t="e">
        <f ca="1">AP263</f>
        <v>#N/A</v>
      </c>
      <c r="G277" s="515"/>
      <c r="H277" s="515"/>
      <c r="I277" s="346" t="s">
        <v>847</v>
      </c>
      <c r="J277" s="346"/>
      <c r="K277" s="514" t="s">
        <v>1120</v>
      </c>
      <c r="L277" s="514"/>
      <c r="M277" s="610" t="e">
        <f ca="1">AU263</f>
        <v>#N/A</v>
      </c>
      <c r="N277" s="610"/>
      <c r="O277" s="610"/>
      <c r="P277" s="346" t="s">
        <v>1121</v>
      </c>
      <c r="Q277" s="346"/>
      <c r="R277" s="341"/>
      <c r="T277" s="514" t="s">
        <v>905</v>
      </c>
      <c r="U277" s="514"/>
      <c r="V277" s="611">
        <f>AP264</f>
        <v>0</v>
      </c>
      <c r="W277" s="611"/>
      <c r="X277" s="611"/>
      <c r="Y277" s="346" t="s">
        <v>847</v>
      </c>
      <c r="Z277" s="346"/>
      <c r="AA277" s="514" t="s">
        <v>1093</v>
      </c>
      <c r="AB277" s="514"/>
      <c r="AC277" s="612">
        <f>AP265</f>
        <v>8.1649658092772609E-5</v>
      </c>
      <c r="AD277" s="612"/>
      <c r="AE277" s="612"/>
      <c r="AF277" s="612"/>
      <c r="AG277" s="346" t="s">
        <v>831</v>
      </c>
      <c r="AH277" s="341"/>
      <c r="AK277" s="514" t="s">
        <v>905</v>
      </c>
      <c r="AL277" s="514"/>
      <c r="AM277" s="612" t="e">
        <f ca="1">AP266</f>
        <v>#N/A</v>
      </c>
      <c r="AN277" s="612"/>
      <c r="AO277" s="612"/>
      <c r="AP277" s="612"/>
      <c r="AQ277" s="346" t="s">
        <v>831</v>
      </c>
      <c r="AR277" s="341"/>
      <c r="AU277" s="341"/>
      <c r="AV277" s="341"/>
      <c r="AW277" s="341"/>
      <c r="AX277" s="341"/>
      <c r="AY277" s="341"/>
      <c r="AZ277" s="341"/>
      <c r="BA277" s="341"/>
      <c r="BB277" s="341"/>
      <c r="BC277" s="341"/>
      <c r="BD277" s="341"/>
      <c r="BE277" s="341"/>
      <c r="BF277" s="341"/>
    </row>
    <row r="278" spans="1:75" s="135" customFormat="1" ht="18.75" customHeight="1">
      <c r="A278" s="341"/>
      <c r="B278" s="341"/>
      <c r="C278" s="341"/>
      <c r="D278" s="341"/>
      <c r="E278" s="341"/>
      <c r="F278" s="514" t="s">
        <v>1097</v>
      </c>
      <c r="G278" s="514"/>
      <c r="H278" s="612">
        <f>AP267</f>
        <v>8.1649658092772609E-5</v>
      </c>
      <c r="I278" s="612"/>
      <c r="J278" s="612"/>
      <c r="K278" s="612"/>
      <c r="L278" s="346" t="s">
        <v>831</v>
      </c>
      <c r="M278" s="341"/>
      <c r="P278" s="514" t="s">
        <v>1122</v>
      </c>
      <c r="Q278" s="514"/>
      <c r="R278" s="612" t="e">
        <f ca="1">AP268</f>
        <v>#N/A</v>
      </c>
      <c r="S278" s="612"/>
      <c r="T278" s="612"/>
      <c r="U278" s="612"/>
      <c r="V278" s="346" t="s">
        <v>831</v>
      </c>
      <c r="W278" s="341"/>
      <c r="Z278" s="514" t="s">
        <v>1097</v>
      </c>
      <c r="AA278" s="514"/>
      <c r="AB278" s="611">
        <f>AP269</f>
        <v>0</v>
      </c>
      <c r="AC278" s="611"/>
      <c r="AD278" s="611"/>
      <c r="AE278" s="346" t="s">
        <v>1123</v>
      </c>
      <c r="AF278" s="346"/>
      <c r="AG278" s="352"/>
      <c r="AH278" s="514" t="s">
        <v>1097</v>
      </c>
      <c r="AI278" s="514"/>
      <c r="AJ278" s="611">
        <f>AP270</f>
        <v>0.28867513459481292</v>
      </c>
      <c r="AK278" s="611"/>
      <c r="AL278" s="611"/>
      <c r="AM278" s="346" t="s">
        <v>847</v>
      </c>
      <c r="AN278" s="346"/>
      <c r="AO278" s="346"/>
      <c r="AP278" s="514" t="s">
        <v>1097</v>
      </c>
      <c r="AQ278" s="514"/>
      <c r="AR278" s="611">
        <f>AP271</f>
        <v>0</v>
      </c>
      <c r="AS278" s="611"/>
      <c r="AT278" s="611"/>
      <c r="AU278" s="346" t="s">
        <v>1067</v>
      </c>
      <c r="AV278" s="346"/>
      <c r="AW278" s="341"/>
      <c r="AX278" s="341"/>
      <c r="AY278" s="341"/>
      <c r="AZ278" s="341"/>
      <c r="BA278" s="341"/>
      <c r="BB278" s="341"/>
      <c r="BC278" s="341"/>
      <c r="BD278" s="341"/>
      <c r="BE278" s="341"/>
      <c r="BF278" s="341"/>
    </row>
    <row r="279" spans="1:75" s="58" customFormat="1" ht="18.75" customHeight="1">
      <c r="A279" s="346"/>
      <c r="B279" s="346"/>
      <c r="C279" s="346"/>
      <c r="D279" s="346"/>
      <c r="E279" s="341" t="s">
        <v>1019</v>
      </c>
      <c r="F279" s="515" t="e">
        <f ca="1">AP272</f>
        <v>#N/A</v>
      </c>
      <c r="G279" s="515"/>
      <c r="H279" s="515"/>
      <c r="I279" s="346" t="s">
        <v>847</v>
      </c>
      <c r="J279" s="346"/>
      <c r="K279" s="514" t="s">
        <v>905</v>
      </c>
      <c r="L279" s="514"/>
      <c r="M279" s="610" t="e">
        <f ca="1">AU272</f>
        <v>#N/A</v>
      </c>
      <c r="N279" s="610"/>
      <c r="O279" s="610"/>
      <c r="P279" s="346" t="s">
        <v>831</v>
      </c>
      <c r="Q279" s="346"/>
      <c r="R279" s="341"/>
      <c r="S279" s="135"/>
      <c r="T279" s="346"/>
      <c r="U279" s="346"/>
      <c r="V279" s="346"/>
      <c r="W279" s="346"/>
      <c r="X279" s="346"/>
      <c r="Y279" s="346"/>
      <c r="Z279" s="346"/>
      <c r="AA279" s="346"/>
      <c r="AB279" s="346"/>
      <c r="AC279" s="346"/>
      <c r="AD279" s="346"/>
      <c r="AE279" s="346"/>
      <c r="AF279" s="346"/>
      <c r="AG279" s="341"/>
      <c r="AH279" s="346"/>
      <c r="AI279" s="346"/>
      <c r="AJ279" s="346"/>
      <c r="AK279" s="346"/>
      <c r="AL279" s="346"/>
      <c r="AM279" s="346"/>
      <c r="AN279" s="346"/>
      <c r="AO279" s="346"/>
      <c r="AP279" s="346"/>
      <c r="AQ279" s="346"/>
      <c r="AR279" s="346"/>
      <c r="AS279" s="346"/>
      <c r="AT279" s="346"/>
      <c r="AU279" s="346"/>
      <c r="AV279" s="346"/>
      <c r="AW279" s="346"/>
      <c r="AX279" s="346"/>
      <c r="AY279" s="346"/>
      <c r="AZ279" s="346"/>
      <c r="BA279" s="346"/>
      <c r="BB279" s="346"/>
      <c r="BC279" s="346"/>
      <c r="BD279" s="346"/>
      <c r="BE279" s="346"/>
      <c r="BF279" s="346"/>
      <c r="BG279" s="346"/>
      <c r="BH279" s="346"/>
    </row>
    <row r="280" spans="1:75" s="58" customFormat="1" ht="18.75" customHeight="1">
      <c r="A280" s="346"/>
      <c r="B280" s="346"/>
      <c r="C280" s="346"/>
      <c r="D280" s="349"/>
      <c r="E280" s="349"/>
      <c r="F280" s="349"/>
      <c r="G280" s="346"/>
      <c r="H280" s="346"/>
      <c r="I280" s="341"/>
      <c r="J280" s="341"/>
      <c r="K280" s="145"/>
      <c r="L280" s="145"/>
      <c r="M280" s="145"/>
      <c r="N280" s="145"/>
      <c r="O280" s="346"/>
      <c r="P280" s="346"/>
      <c r="Q280" s="346"/>
      <c r="R280" s="346"/>
      <c r="S280" s="346"/>
      <c r="T280" s="346"/>
      <c r="U280" s="346"/>
      <c r="V280" s="346"/>
      <c r="W280" s="346"/>
      <c r="X280" s="346"/>
      <c r="Y280" s="346"/>
      <c r="Z280" s="346"/>
      <c r="AA280" s="346"/>
      <c r="AB280" s="346"/>
      <c r="AC280" s="346"/>
      <c r="AD280" s="346"/>
      <c r="AE280" s="346"/>
      <c r="AF280" s="346"/>
      <c r="AG280" s="346"/>
      <c r="AH280" s="346"/>
      <c r="AI280" s="346"/>
      <c r="AJ280" s="346"/>
      <c r="AK280" s="346"/>
      <c r="AL280" s="346"/>
      <c r="AM280" s="346"/>
      <c r="AN280" s="346"/>
      <c r="AO280" s="346"/>
      <c r="AP280" s="346"/>
      <c r="AQ280" s="346"/>
      <c r="AR280" s="346"/>
      <c r="AS280" s="346"/>
      <c r="AT280" s="346"/>
      <c r="AU280" s="346"/>
      <c r="AV280" s="346"/>
      <c r="AW280" s="346"/>
      <c r="AX280" s="346"/>
      <c r="AY280" s="346"/>
      <c r="AZ280" s="346"/>
      <c r="BA280" s="346"/>
      <c r="BB280" s="346"/>
      <c r="BC280" s="346"/>
      <c r="BD280" s="346"/>
      <c r="BE280" s="346"/>
      <c r="BF280" s="346"/>
    </row>
    <row r="281" spans="1:75" s="135" customFormat="1" ht="18.75" customHeight="1">
      <c r="A281" s="341"/>
      <c r="B281" s="341"/>
      <c r="C281" s="341"/>
      <c r="D281" s="379" t="s">
        <v>1124</v>
      </c>
      <c r="E281" s="341" t="s">
        <v>1019</v>
      </c>
      <c r="F281" s="515" t="e">
        <f ca="1">F279</f>
        <v>#N/A</v>
      </c>
      <c r="G281" s="515"/>
      <c r="H281" s="515"/>
      <c r="I281" s="371"/>
      <c r="J281" s="350"/>
      <c r="K281" s="516" t="e">
        <f ca="1">M279</f>
        <v>#N/A</v>
      </c>
      <c r="L281" s="517"/>
      <c r="M281" s="517"/>
      <c r="N281" s="370"/>
      <c r="O281" s="370"/>
      <c r="P281" s="370"/>
      <c r="Q281" s="518" t="str">
        <f>BA272</f>
        <v>μm</v>
      </c>
      <c r="R281" s="518"/>
      <c r="T281" s="346"/>
      <c r="U281" s="346"/>
      <c r="V281" s="346"/>
      <c r="W281" s="346"/>
      <c r="X281" s="346"/>
      <c r="Y281" s="341"/>
      <c r="Z281" s="341"/>
      <c r="AA281" s="341"/>
      <c r="AB281" s="341"/>
      <c r="AC281" s="341"/>
      <c r="AD281" s="341"/>
      <c r="AE281" s="346"/>
      <c r="AF281" s="341"/>
      <c r="AG281" s="341"/>
      <c r="AH281" s="341"/>
      <c r="AI281" s="341"/>
      <c r="AJ281" s="341"/>
      <c r="AK281" s="341"/>
      <c r="AL281" s="341"/>
      <c r="AM281" s="341"/>
      <c r="AN281" s="341"/>
      <c r="AO281" s="341"/>
      <c r="AP281" s="341"/>
      <c r="AQ281" s="341"/>
      <c r="AR281" s="341"/>
      <c r="AS281" s="341"/>
      <c r="AT281" s="341"/>
      <c r="AU281" s="341"/>
      <c r="AV281" s="341"/>
      <c r="AW281" s="341"/>
      <c r="AX281" s="341"/>
      <c r="AY281" s="341"/>
      <c r="AZ281" s="341"/>
      <c r="BA281" s="341"/>
      <c r="BB281" s="341"/>
      <c r="BC281" s="341"/>
      <c r="BD281" s="341"/>
      <c r="BE281" s="341"/>
      <c r="BF281" s="341"/>
    </row>
    <row r="282" spans="1:75" s="346" customFormat="1" ht="18.75" customHeight="1"/>
    <row r="283" spans="1:75" ht="18.75" customHeight="1">
      <c r="A283" s="57" t="s">
        <v>925</v>
      </c>
      <c r="B283" s="370"/>
      <c r="C283" s="370"/>
      <c r="D283" s="370"/>
      <c r="E283" s="370"/>
      <c r="F283" s="370"/>
      <c r="G283" s="370"/>
      <c r="H283" s="370"/>
      <c r="I283" s="370"/>
      <c r="J283" s="370"/>
      <c r="K283" s="370"/>
      <c r="L283" s="370"/>
      <c r="M283" s="370"/>
      <c r="N283" s="370"/>
      <c r="O283" s="370"/>
      <c r="P283" s="370"/>
      <c r="Q283" s="370"/>
      <c r="R283" s="370"/>
      <c r="S283" s="370"/>
      <c r="T283" s="370"/>
      <c r="U283" s="370"/>
      <c r="V283" s="370"/>
      <c r="W283" s="370"/>
      <c r="X283" s="370"/>
      <c r="Y283" s="370"/>
      <c r="Z283" s="370"/>
      <c r="AA283" s="370"/>
      <c r="AB283" s="370"/>
      <c r="AC283" s="370"/>
      <c r="AD283" s="370"/>
      <c r="AE283" s="370"/>
      <c r="AF283" s="370"/>
      <c r="AG283" s="370"/>
      <c r="AH283" s="370"/>
      <c r="AI283" s="370"/>
      <c r="AJ283" s="370"/>
      <c r="AK283" s="370"/>
      <c r="AL283" s="370"/>
      <c r="AM283" s="370"/>
      <c r="AN283" s="370"/>
      <c r="AO283" s="370"/>
      <c r="AP283" s="370"/>
      <c r="AQ283" s="370"/>
      <c r="AR283" s="370"/>
      <c r="AS283" s="370"/>
      <c r="AZ283" s="370"/>
      <c r="BA283" s="370"/>
      <c r="BB283" s="370"/>
      <c r="BC283" s="370"/>
      <c r="BD283" s="370"/>
      <c r="BE283" s="370"/>
      <c r="BF283" s="370"/>
    </row>
    <row r="284" spans="1:75" ht="18.75" customHeight="1">
      <c r="A284" s="370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613" t="e">
        <f ca="1">Calcu!W105</f>
        <v>#N/A</v>
      </c>
      <c r="M284" s="613"/>
      <c r="N284" s="613"/>
      <c r="O284" s="613"/>
      <c r="P284" s="613"/>
      <c r="Q284" s="613"/>
      <c r="R284" s="613"/>
      <c r="S284" s="613"/>
      <c r="T284" s="613"/>
      <c r="U284" s="613"/>
      <c r="V284" s="613"/>
      <c r="W284" s="613"/>
      <c r="X284" s="613"/>
      <c r="Y284" s="613"/>
      <c r="Z284" s="613"/>
      <c r="AA284" s="613"/>
      <c r="AB284" s="613"/>
      <c r="AC284" s="613"/>
      <c r="AD284" s="613"/>
      <c r="AE284" s="613"/>
      <c r="AF284" s="613"/>
      <c r="AG284" s="613"/>
      <c r="AH284" s="613"/>
      <c r="AI284" s="613"/>
      <c r="AJ284" s="613"/>
      <c r="AK284" s="613"/>
      <c r="AL284" s="613"/>
      <c r="AM284" s="613"/>
      <c r="AN284" s="613"/>
      <c r="AO284" s="613"/>
      <c r="AP284" s="613"/>
      <c r="AQ284" s="613"/>
      <c r="AR284" s="613"/>
      <c r="AS284" s="613"/>
      <c r="AT284" s="613"/>
      <c r="AU284" s="613"/>
      <c r="AV284" s="613"/>
      <c r="AW284" s="613"/>
      <c r="AX284" s="613"/>
      <c r="AY284" s="613"/>
      <c r="AZ284" s="613"/>
      <c r="BA284" s="613"/>
      <c r="BB284" s="613"/>
      <c r="BC284" s="613"/>
      <c r="BD284" s="514" t="s">
        <v>1019</v>
      </c>
      <c r="BE284" s="614" t="e">
        <f ca="1">TRIM(BC272)</f>
        <v>#N/A</v>
      </c>
      <c r="BF284" s="614"/>
      <c r="BG284" s="614"/>
      <c r="BH284" s="614"/>
      <c r="BI284" s="614"/>
      <c r="BJ284" s="146"/>
      <c r="BK284" s="58"/>
      <c r="BL284" s="58"/>
      <c r="BM284" s="58"/>
      <c r="BN284" s="58"/>
      <c r="BO284" s="58"/>
      <c r="BP284" s="58"/>
      <c r="BQ284" s="58"/>
      <c r="BR284" s="58"/>
      <c r="BS284" s="58"/>
      <c r="BT284" s="58"/>
      <c r="BU284" s="58"/>
      <c r="BV284" s="58"/>
      <c r="BW284" s="58"/>
    </row>
    <row r="285" spans="1:75" ht="18.75" customHeight="1">
      <c r="A285" s="370"/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615" t="e">
        <f ca="1">Calcu!W96</f>
        <v>#N/A</v>
      </c>
      <c r="M285" s="615"/>
      <c r="N285" s="615"/>
      <c r="O285" s="615"/>
      <c r="P285" s="514" t="s">
        <v>905</v>
      </c>
      <c r="Q285" s="615">
        <f>Calcu!W97</f>
        <v>0</v>
      </c>
      <c r="R285" s="615"/>
      <c r="S285" s="615"/>
      <c r="T285" s="615"/>
      <c r="U285" s="514" t="s">
        <v>1097</v>
      </c>
      <c r="V285" s="613">
        <f>Calcu!W98</f>
        <v>0</v>
      </c>
      <c r="W285" s="613"/>
      <c r="X285" s="613"/>
      <c r="Y285" s="613"/>
      <c r="Z285" s="514" t="s">
        <v>1125</v>
      </c>
      <c r="AA285" s="615" t="e">
        <f ca="1">Calcu!W99</f>
        <v>#N/A</v>
      </c>
      <c r="AB285" s="615"/>
      <c r="AC285" s="615"/>
      <c r="AD285" s="615"/>
      <c r="AE285" s="514" t="s">
        <v>905</v>
      </c>
      <c r="AF285" s="613">
        <f>Calcu!W100</f>
        <v>0</v>
      </c>
      <c r="AG285" s="613"/>
      <c r="AH285" s="613"/>
      <c r="AI285" s="613"/>
      <c r="AJ285" s="514" t="s">
        <v>1097</v>
      </c>
      <c r="AK285" s="613" t="e">
        <f ca="1">Calcu!W101</f>
        <v>#N/A</v>
      </c>
      <c r="AL285" s="613"/>
      <c r="AM285" s="613"/>
      <c r="AN285" s="613"/>
      <c r="AO285" s="514" t="s">
        <v>1097</v>
      </c>
      <c r="AP285" s="613">
        <f>Calcu!W102</f>
        <v>0</v>
      </c>
      <c r="AQ285" s="613"/>
      <c r="AR285" s="613"/>
      <c r="AS285" s="613"/>
      <c r="AT285" s="514" t="s">
        <v>905</v>
      </c>
      <c r="AU285" s="613">
        <f>Calcu!W103</f>
        <v>0.28867513459481292</v>
      </c>
      <c r="AV285" s="613"/>
      <c r="AW285" s="613"/>
      <c r="AX285" s="613"/>
      <c r="AY285" s="514" t="s">
        <v>905</v>
      </c>
      <c r="AZ285" s="613">
        <f>Calcu!W104</f>
        <v>0</v>
      </c>
      <c r="BA285" s="613"/>
      <c r="BB285" s="613"/>
      <c r="BC285" s="613"/>
      <c r="BD285" s="514"/>
      <c r="BE285" s="614"/>
      <c r="BF285" s="614"/>
      <c r="BG285" s="614"/>
      <c r="BH285" s="614"/>
      <c r="BI285" s="614"/>
      <c r="BJ285" s="146"/>
    </row>
    <row r="286" spans="1:75" ht="18.75" customHeight="1">
      <c r="A286" s="370"/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514" t="str">
        <f>BC263</f>
        <v>∞</v>
      </c>
      <c r="M286" s="514"/>
      <c r="N286" s="514"/>
      <c r="O286" s="514"/>
      <c r="P286" s="514"/>
      <c r="Q286" s="514">
        <f>BC264</f>
        <v>4</v>
      </c>
      <c r="R286" s="514"/>
      <c r="S286" s="514"/>
      <c r="T286" s="514"/>
      <c r="U286" s="514"/>
      <c r="V286" s="514">
        <f>BC265</f>
        <v>100</v>
      </c>
      <c r="W286" s="514"/>
      <c r="X286" s="514"/>
      <c r="Y286" s="514"/>
      <c r="Z286" s="514"/>
      <c r="AA286" s="514">
        <f>BC266</f>
        <v>12</v>
      </c>
      <c r="AB286" s="514"/>
      <c r="AC286" s="514"/>
      <c r="AD286" s="514"/>
      <c r="AE286" s="514"/>
      <c r="AF286" s="559">
        <f>BC267</f>
        <v>100</v>
      </c>
      <c r="AG286" s="559"/>
      <c r="AH286" s="559"/>
      <c r="AI286" s="559"/>
      <c r="AJ286" s="514"/>
      <c r="AK286" s="514">
        <f>BC268</f>
        <v>12</v>
      </c>
      <c r="AL286" s="514"/>
      <c r="AM286" s="514"/>
      <c r="AN286" s="514"/>
      <c r="AO286" s="514"/>
      <c r="AP286" s="514" t="str">
        <f>BC269</f>
        <v>∞</v>
      </c>
      <c r="AQ286" s="514"/>
      <c r="AR286" s="514"/>
      <c r="AS286" s="514"/>
      <c r="AT286" s="514"/>
      <c r="AU286" s="514">
        <f>BC270</f>
        <v>12</v>
      </c>
      <c r="AV286" s="514"/>
      <c r="AW286" s="514"/>
      <c r="AX286" s="514"/>
      <c r="AY286" s="514"/>
      <c r="AZ286" s="514" t="str">
        <f>BC271</f>
        <v>∞</v>
      </c>
      <c r="BA286" s="514"/>
      <c r="BB286" s="514"/>
      <c r="BC286" s="514"/>
    </row>
    <row r="287" spans="1:75" ht="18.75" customHeight="1">
      <c r="A287" s="370"/>
      <c r="B287" s="370"/>
      <c r="C287" s="370"/>
      <c r="D287" s="370"/>
      <c r="E287" s="370"/>
      <c r="F287" s="370"/>
      <c r="G287" s="370"/>
      <c r="H287" s="370"/>
      <c r="I287" s="370"/>
      <c r="J287" s="370"/>
      <c r="K287" s="370"/>
      <c r="L287" s="370"/>
      <c r="M287" s="370"/>
      <c r="N287" s="370"/>
      <c r="O287" s="370"/>
      <c r="P287" s="370"/>
      <c r="Q287" s="370"/>
      <c r="R287" s="370"/>
      <c r="S287" s="370"/>
      <c r="T287" s="370"/>
      <c r="U287" s="370"/>
      <c r="V287" s="370"/>
      <c r="W287" s="370"/>
      <c r="X287" s="370"/>
      <c r="Y287" s="370"/>
      <c r="Z287" s="370"/>
      <c r="AA287" s="370"/>
      <c r="AB287" s="370"/>
      <c r="AC287" s="370"/>
      <c r="AD287" s="370"/>
      <c r="AE287" s="370"/>
      <c r="AF287" s="370"/>
      <c r="AG287" s="370"/>
      <c r="AH287" s="370"/>
      <c r="AI287" s="370"/>
      <c r="AJ287" s="370"/>
      <c r="AK287" s="370"/>
      <c r="AL287" s="370"/>
      <c r="AM287" s="370"/>
      <c r="AN287" s="370"/>
      <c r="AO287" s="370"/>
      <c r="AP287" s="370"/>
      <c r="AQ287" s="370"/>
      <c r="AR287" s="370"/>
      <c r="AS287" s="370"/>
      <c r="AT287" s="370"/>
      <c r="AU287" s="370"/>
      <c r="AV287" s="370"/>
      <c r="AW287" s="370"/>
      <c r="AX287" s="370"/>
      <c r="AY287" s="370"/>
      <c r="AZ287" s="370"/>
      <c r="BA287" s="370"/>
      <c r="BB287" s="370"/>
      <c r="BC287" s="370"/>
      <c r="BD287" s="370"/>
      <c r="BE287" s="370"/>
      <c r="BF287" s="370"/>
      <c r="BG287" s="370"/>
      <c r="BH287" s="370"/>
    </row>
    <row r="288" spans="1:75" ht="18.75" customHeight="1">
      <c r="A288" s="57" t="s">
        <v>1126</v>
      </c>
      <c r="B288" s="370"/>
      <c r="C288" s="370"/>
      <c r="D288" s="370"/>
      <c r="E288" s="370"/>
      <c r="F288" s="370"/>
      <c r="G288" s="370"/>
      <c r="H288" s="370"/>
      <c r="I288" s="370"/>
      <c r="J288" s="370"/>
      <c r="K288" s="370"/>
      <c r="L288" s="370"/>
      <c r="M288" s="370"/>
      <c r="N288" s="370"/>
      <c r="O288" s="370"/>
      <c r="P288" s="370"/>
      <c r="Q288" s="370"/>
      <c r="R288" s="370"/>
      <c r="S288" s="370"/>
      <c r="T288" s="370"/>
      <c r="U288" s="370"/>
      <c r="V288" s="370"/>
      <c r="W288" s="370"/>
      <c r="X288" s="370"/>
      <c r="Y288" s="370"/>
      <c r="Z288" s="370"/>
      <c r="AA288" s="370"/>
      <c r="AB288" s="370"/>
      <c r="AC288" s="370"/>
      <c r="AD288" s="370"/>
      <c r="AE288" s="370"/>
      <c r="AF288" s="370"/>
      <c r="AG288" s="370"/>
      <c r="AH288" s="370"/>
      <c r="AI288" s="370"/>
      <c r="AJ288" s="370"/>
      <c r="AK288" s="370"/>
      <c r="AL288" s="370"/>
      <c r="AM288" s="370"/>
      <c r="AN288" s="370"/>
      <c r="AO288" s="370"/>
      <c r="AP288" s="370"/>
      <c r="AQ288" s="370"/>
      <c r="AR288" s="370"/>
      <c r="AS288" s="370"/>
      <c r="AT288" s="370"/>
      <c r="AU288" s="370"/>
      <c r="AV288" s="370"/>
      <c r="AW288" s="370"/>
      <c r="AX288" s="370"/>
      <c r="AY288" s="370"/>
      <c r="AZ288" s="370"/>
      <c r="BA288" s="370"/>
      <c r="BB288" s="370"/>
      <c r="BC288" s="370"/>
      <c r="BD288" s="370"/>
    </row>
    <row r="289" spans="1:53" ht="18.75" customHeight="1">
      <c r="A289" s="370"/>
      <c r="B289" s="370"/>
      <c r="C289" s="370"/>
      <c r="D289" s="370"/>
      <c r="E289" s="59"/>
      <c r="F289" s="370"/>
      <c r="G289" s="370"/>
      <c r="H289" s="197" t="s">
        <v>914</v>
      </c>
      <c r="I289" s="514" t="e">
        <f ca="1">Calcu!E120</f>
        <v>#N/A</v>
      </c>
      <c r="J289" s="514"/>
      <c r="K289" s="514"/>
      <c r="L289" s="212" t="s">
        <v>1018</v>
      </c>
      <c r="M289" s="515" t="e">
        <f ca="1">F281</f>
        <v>#N/A</v>
      </c>
      <c r="N289" s="515"/>
      <c r="O289" s="515"/>
      <c r="P289" s="371"/>
      <c r="Q289" s="350"/>
      <c r="R289" s="516" t="e">
        <f ca="1">K281</f>
        <v>#N/A</v>
      </c>
      <c r="S289" s="517"/>
      <c r="T289" s="517"/>
      <c r="U289" s="370"/>
      <c r="V289" s="370"/>
      <c r="W289" s="370"/>
      <c r="X289" s="518" t="str">
        <f>Q281</f>
        <v>μm</v>
      </c>
      <c r="Y289" s="518"/>
      <c r="Z289" s="212" t="s">
        <v>1019</v>
      </c>
      <c r="AA289" s="515" t="e">
        <f ca="1">Calcu!C109</f>
        <v>#N/A</v>
      </c>
      <c r="AB289" s="515"/>
      <c r="AC289" s="515"/>
      <c r="AD289" s="371"/>
      <c r="AE289" s="350"/>
      <c r="AF289" s="516" t="e">
        <f ca="1">Calcu!D109</f>
        <v>#N/A</v>
      </c>
      <c r="AG289" s="517"/>
      <c r="AH289" s="517"/>
      <c r="AI289" s="370"/>
      <c r="AJ289" s="370"/>
      <c r="AK289" s="370"/>
      <c r="AL289" s="518" t="str">
        <f>X289</f>
        <v>μm</v>
      </c>
      <c r="AM289" s="518"/>
      <c r="AN289" s="341" t="s">
        <v>915</v>
      </c>
      <c r="AO289" s="519" t="e">
        <f ca="1">AA289</f>
        <v>#N/A</v>
      </c>
      <c r="AP289" s="519"/>
      <c r="AQ289" s="519"/>
      <c r="AR289" s="371"/>
      <c r="AS289" s="616" t="e">
        <f ca="1">AF289</f>
        <v>#N/A</v>
      </c>
      <c r="AT289" s="616"/>
      <c r="AU289" s="616"/>
      <c r="AV289" s="352"/>
      <c r="AW289" s="370"/>
      <c r="AX289" s="370"/>
      <c r="AY289" s="370"/>
      <c r="AZ289" s="518" t="str">
        <f>AL289</f>
        <v>μm</v>
      </c>
      <c r="BA289" s="518"/>
    </row>
    <row r="294" spans="1:53" s="382" customFormat="1" ht="31.5">
      <c r="A294" s="67" t="s">
        <v>1127</v>
      </c>
    </row>
    <row r="295" spans="1:53" s="382" customFormat="1" ht="18.75" customHeight="1"/>
    <row r="296" spans="1:53" s="382" customFormat="1" ht="18.75" customHeight="1">
      <c r="A296" s="68" t="s">
        <v>1107</v>
      </c>
    </row>
    <row r="297" spans="1:53" s="382" customFormat="1" ht="18.75" customHeight="1">
      <c r="B297" s="552" t="s">
        <v>1128</v>
      </c>
      <c r="C297" s="552"/>
      <c r="D297" s="552"/>
      <c r="E297" s="552"/>
      <c r="F297" s="552"/>
      <c r="G297" s="552"/>
      <c r="H297" s="553" t="s">
        <v>1109</v>
      </c>
      <c r="I297" s="553"/>
      <c r="J297" s="553"/>
      <c r="K297" s="553"/>
      <c r="L297" s="553"/>
      <c r="M297" s="553"/>
      <c r="N297" s="552" t="s">
        <v>1129</v>
      </c>
      <c r="O297" s="552"/>
      <c r="P297" s="552"/>
      <c r="Q297" s="552"/>
      <c r="R297" s="552"/>
      <c r="S297" s="552"/>
      <c r="T297" s="552" t="s">
        <v>1111</v>
      </c>
      <c r="U297" s="552"/>
      <c r="V297" s="552"/>
      <c r="W297" s="552"/>
      <c r="X297" s="552"/>
      <c r="Y297" s="552"/>
    </row>
    <row r="298" spans="1:53" s="382" customFormat="1" ht="18.75" customHeight="1">
      <c r="B298" s="554">
        <f>Calcu!I128</f>
        <v>0</v>
      </c>
      <c r="C298" s="554"/>
      <c r="D298" s="554"/>
      <c r="E298" s="554"/>
      <c r="F298" s="554"/>
      <c r="G298" s="554"/>
      <c r="H298" s="555">
        <v>1</v>
      </c>
      <c r="I298" s="555"/>
      <c r="J298" s="555"/>
      <c r="K298" s="555"/>
      <c r="L298" s="555"/>
      <c r="M298" s="555"/>
      <c r="N298" s="554" t="s">
        <v>1130</v>
      </c>
      <c r="O298" s="554"/>
      <c r="P298" s="554"/>
      <c r="Q298" s="554"/>
      <c r="R298" s="554"/>
      <c r="S298" s="554"/>
      <c r="T298" s="554" t="s">
        <v>1131</v>
      </c>
      <c r="U298" s="554"/>
      <c r="V298" s="554"/>
      <c r="W298" s="554"/>
      <c r="X298" s="554"/>
      <c r="Y298" s="554"/>
    </row>
    <row r="299" spans="1:53" s="382" customFormat="1" ht="18.75" customHeight="1"/>
    <row r="300" spans="1:53" ht="18.75" customHeight="1">
      <c r="A300" s="57" t="s">
        <v>1132</v>
      </c>
      <c r="B300" s="341"/>
      <c r="C300" s="341"/>
      <c r="D300" s="341"/>
      <c r="E300" s="341"/>
      <c r="F300" s="341"/>
      <c r="G300" s="341"/>
      <c r="H300" s="341"/>
      <c r="I300" s="341"/>
      <c r="J300" s="341"/>
      <c r="K300" s="341"/>
      <c r="L300" s="341"/>
      <c r="M300" s="341"/>
      <c r="N300" s="341"/>
      <c r="O300" s="341"/>
      <c r="P300" s="341"/>
      <c r="Q300" s="341"/>
      <c r="R300" s="341"/>
      <c r="S300" s="341"/>
      <c r="T300" s="341"/>
      <c r="U300" s="341"/>
      <c r="V300" s="341"/>
      <c r="W300" s="341"/>
      <c r="X300" s="341"/>
      <c r="Y300" s="341"/>
      <c r="Z300" s="341"/>
      <c r="AA300" s="341"/>
      <c r="AB300" s="341"/>
      <c r="AC300" s="341"/>
      <c r="AD300" s="341"/>
      <c r="AE300" s="341"/>
      <c r="AF300" s="341"/>
      <c r="AG300" s="341"/>
      <c r="AH300" s="341"/>
      <c r="AI300" s="341"/>
      <c r="AJ300" s="341"/>
      <c r="AK300" s="341"/>
      <c r="AL300" s="341"/>
      <c r="AM300" s="341"/>
      <c r="AN300" s="341"/>
      <c r="AO300" s="341"/>
      <c r="AP300" s="341"/>
      <c r="AQ300" s="341"/>
      <c r="AR300" s="341"/>
    </row>
    <row r="301" spans="1:53" ht="18.75" customHeight="1">
      <c r="A301" s="57"/>
      <c r="B301" s="546" t="s">
        <v>1133</v>
      </c>
      <c r="C301" s="547"/>
      <c r="D301" s="547"/>
      <c r="E301" s="547"/>
      <c r="F301" s="548"/>
      <c r="G301" s="546" t="s">
        <v>1134</v>
      </c>
      <c r="H301" s="547"/>
      <c r="I301" s="547"/>
      <c r="J301" s="547"/>
      <c r="K301" s="548"/>
      <c r="L301" s="511" t="str">
        <f>Calcu!I131</f>
        <v>투영된 투영상의 눈금 길이 측정값 (mm)</v>
      </c>
      <c r="M301" s="512"/>
      <c r="N301" s="512"/>
      <c r="O301" s="512"/>
      <c r="P301" s="512"/>
      <c r="Q301" s="512"/>
      <c r="R301" s="512"/>
      <c r="S301" s="512"/>
      <c r="T301" s="512"/>
      <c r="U301" s="512"/>
      <c r="V301" s="512"/>
      <c r="W301" s="512"/>
      <c r="X301" s="512"/>
      <c r="Y301" s="512"/>
      <c r="Z301" s="512"/>
      <c r="AA301" s="512"/>
      <c r="AB301" s="512"/>
      <c r="AC301" s="512"/>
      <c r="AD301" s="512"/>
      <c r="AE301" s="512"/>
      <c r="AF301" s="512"/>
      <c r="AG301" s="512"/>
      <c r="AH301" s="512"/>
      <c r="AI301" s="512"/>
      <c r="AJ301" s="513"/>
      <c r="AK301" s="546" t="s">
        <v>1135</v>
      </c>
      <c r="AL301" s="547"/>
      <c r="AM301" s="547"/>
      <c r="AN301" s="547"/>
      <c r="AO301" s="548"/>
      <c r="AP301" s="546" t="s">
        <v>1136</v>
      </c>
      <c r="AQ301" s="547"/>
      <c r="AR301" s="547"/>
      <c r="AS301" s="547"/>
      <c r="AT301" s="548"/>
    </row>
    <row r="302" spans="1:53" ht="18.75" customHeight="1">
      <c r="A302" s="57"/>
      <c r="B302" s="549"/>
      <c r="C302" s="550"/>
      <c r="D302" s="550"/>
      <c r="E302" s="550"/>
      <c r="F302" s="551"/>
      <c r="G302" s="549"/>
      <c r="H302" s="550"/>
      <c r="I302" s="550"/>
      <c r="J302" s="550"/>
      <c r="K302" s="551"/>
      <c r="L302" s="511" t="s">
        <v>1137</v>
      </c>
      <c r="M302" s="512"/>
      <c r="N302" s="512"/>
      <c r="O302" s="512"/>
      <c r="P302" s="513"/>
      <c r="Q302" s="511" t="s">
        <v>1138</v>
      </c>
      <c r="R302" s="512"/>
      <c r="S302" s="512"/>
      <c r="T302" s="512"/>
      <c r="U302" s="513"/>
      <c r="V302" s="511" t="s">
        <v>1139</v>
      </c>
      <c r="W302" s="512"/>
      <c r="X302" s="512"/>
      <c r="Y302" s="512"/>
      <c r="Z302" s="513"/>
      <c r="AA302" s="511" t="s">
        <v>1140</v>
      </c>
      <c r="AB302" s="512"/>
      <c r="AC302" s="512"/>
      <c r="AD302" s="512"/>
      <c r="AE302" s="513"/>
      <c r="AF302" s="511" t="s">
        <v>1141</v>
      </c>
      <c r="AG302" s="512"/>
      <c r="AH302" s="512"/>
      <c r="AI302" s="512"/>
      <c r="AJ302" s="513"/>
      <c r="AK302" s="549"/>
      <c r="AL302" s="550"/>
      <c r="AM302" s="550"/>
      <c r="AN302" s="550"/>
      <c r="AO302" s="551"/>
      <c r="AP302" s="549"/>
      <c r="AQ302" s="550"/>
      <c r="AR302" s="550"/>
      <c r="AS302" s="550"/>
      <c r="AT302" s="551"/>
    </row>
    <row r="303" spans="1:53" ht="18.75" customHeight="1">
      <c r="A303" s="57"/>
      <c r="B303" s="511" t="s">
        <v>1142</v>
      </c>
      <c r="C303" s="512"/>
      <c r="D303" s="512"/>
      <c r="E303" s="512"/>
      <c r="F303" s="513"/>
      <c r="G303" s="511" t="s">
        <v>1143</v>
      </c>
      <c r="H303" s="512"/>
      <c r="I303" s="512"/>
      <c r="J303" s="512"/>
      <c r="K303" s="513"/>
      <c r="L303" s="511" t="str">
        <f>G303</f>
        <v>mm</v>
      </c>
      <c r="M303" s="512"/>
      <c r="N303" s="512"/>
      <c r="O303" s="512"/>
      <c r="P303" s="513"/>
      <c r="Q303" s="511" t="str">
        <f>L303</f>
        <v>mm</v>
      </c>
      <c r="R303" s="512"/>
      <c r="S303" s="512"/>
      <c r="T303" s="512"/>
      <c r="U303" s="513"/>
      <c r="V303" s="511" t="str">
        <f>Q303</f>
        <v>mm</v>
      </c>
      <c r="W303" s="512"/>
      <c r="X303" s="512"/>
      <c r="Y303" s="512"/>
      <c r="Z303" s="513"/>
      <c r="AA303" s="511" t="str">
        <f>V303</f>
        <v>mm</v>
      </c>
      <c r="AB303" s="512"/>
      <c r="AC303" s="512"/>
      <c r="AD303" s="512"/>
      <c r="AE303" s="513"/>
      <c r="AF303" s="511" t="str">
        <f>AA303</f>
        <v>mm</v>
      </c>
      <c r="AG303" s="512"/>
      <c r="AH303" s="512"/>
      <c r="AI303" s="512"/>
      <c r="AJ303" s="513"/>
      <c r="AK303" s="511" t="s">
        <v>804</v>
      </c>
      <c r="AL303" s="512"/>
      <c r="AM303" s="512"/>
      <c r="AN303" s="512"/>
      <c r="AO303" s="513"/>
      <c r="AP303" s="511" t="s">
        <v>1144</v>
      </c>
      <c r="AQ303" s="512"/>
      <c r="AR303" s="512"/>
      <c r="AS303" s="512"/>
      <c r="AT303" s="513"/>
    </row>
    <row r="304" spans="1:53" ht="18.75" customHeight="1">
      <c r="A304" s="57"/>
      <c r="B304" s="540" t="str">
        <f>Calcu!E134</f>
        <v/>
      </c>
      <c r="C304" s="541"/>
      <c r="D304" s="541"/>
      <c r="E304" s="541"/>
      <c r="F304" s="542"/>
      <c r="G304" s="540" t="str">
        <f>Calcu!C134</f>
        <v/>
      </c>
      <c r="H304" s="541"/>
      <c r="I304" s="541"/>
      <c r="J304" s="541"/>
      <c r="K304" s="542"/>
      <c r="L304" s="540" t="str">
        <f>Calcu!I134</f>
        <v/>
      </c>
      <c r="M304" s="541"/>
      <c r="N304" s="541"/>
      <c r="O304" s="541"/>
      <c r="P304" s="542"/>
      <c r="Q304" s="540" t="str">
        <f>Calcu!J134</f>
        <v/>
      </c>
      <c r="R304" s="541"/>
      <c r="S304" s="541"/>
      <c r="T304" s="541"/>
      <c r="U304" s="542"/>
      <c r="V304" s="540" t="str">
        <f>Calcu!K134</f>
        <v/>
      </c>
      <c r="W304" s="541"/>
      <c r="X304" s="541"/>
      <c r="Y304" s="541"/>
      <c r="Z304" s="542"/>
      <c r="AA304" s="540" t="str">
        <f>Calcu!L134</f>
        <v/>
      </c>
      <c r="AB304" s="541"/>
      <c r="AC304" s="541"/>
      <c r="AD304" s="541"/>
      <c r="AE304" s="542"/>
      <c r="AF304" s="540" t="str">
        <f>Calcu!M134</f>
        <v/>
      </c>
      <c r="AG304" s="541"/>
      <c r="AH304" s="541"/>
      <c r="AI304" s="541"/>
      <c r="AJ304" s="542"/>
      <c r="AK304" s="540" t="str">
        <f>Calcu!N134</f>
        <v/>
      </c>
      <c r="AL304" s="541"/>
      <c r="AM304" s="541"/>
      <c r="AN304" s="541"/>
      <c r="AO304" s="542"/>
      <c r="AP304" s="617" t="str">
        <f>Calcu!O134</f>
        <v/>
      </c>
      <c r="AQ304" s="618"/>
      <c r="AR304" s="618"/>
      <c r="AS304" s="618"/>
      <c r="AT304" s="619"/>
    </row>
    <row r="305" spans="1:46" ht="18.75" customHeight="1">
      <c r="A305" s="57"/>
      <c r="B305" s="540" t="str">
        <f>Calcu!E135</f>
        <v/>
      </c>
      <c r="C305" s="541"/>
      <c r="D305" s="541"/>
      <c r="E305" s="541"/>
      <c r="F305" s="542"/>
      <c r="G305" s="540" t="str">
        <f>Calcu!C135</f>
        <v/>
      </c>
      <c r="H305" s="541"/>
      <c r="I305" s="541"/>
      <c r="J305" s="541"/>
      <c r="K305" s="542"/>
      <c r="L305" s="540" t="str">
        <f>Calcu!I135</f>
        <v/>
      </c>
      <c r="M305" s="541"/>
      <c r="N305" s="541"/>
      <c r="O305" s="541"/>
      <c r="P305" s="542"/>
      <c r="Q305" s="540" t="str">
        <f>Calcu!J135</f>
        <v/>
      </c>
      <c r="R305" s="541"/>
      <c r="S305" s="541"/>
      <c r="T305" s="541"/>
      <c r="U305" s="542"/>
      <c r="V305" s="540" t="str">
        <f>Calcu!K135</f>
        <v/>
      </c>
      <c r="W305" s="541"/>
      <c r="X305" s="541"/>
      <c r="Y305" s="541"/>
      <c r="Z305" s="542"/>
      <c r="AA305" s="540" t="str">
        <f>Calcu!L135</f>
        <v/>
      </c>
      <c r="AB305" s="541"/>
      <c r="AC305" s="541"/>
      <c r="AD305" s="541"/>
      <c r="AE305" s="542"/>
      <c r="AF305" s="540" t="str">
        <f>Calcu!M135</f>
        <v/>
      </c>
      <c r="AG305" s="541"/>
      <c r="AH305" s="541"/>
      <c r="AI305" s="541"/>
      <c r="AJ305" s="542"/>
      <c r="AK305" s="540" t="str">
        <f>Calcu!N135</f>
        <v/>
      </c>
      <c r="AL305" s="541"/>
      <c r="AM305" s="541"/>
      <c r="AN305" s="541"/>
      <c r="AO305" s="542"/>
      <c r="AP305" s="617" t="str">
        <f>Calcu!O135</f>
        <v/>
      </c>
      <c r="AQ305" s="618"/>
      <c r="AR305" s="618"/>
      <c r="AS305" s="618"/>
      <c r="AT305" s="619"/>
    </row>
    <row r="306" spans="1:46" ht="18.75" customHeight="1">
      <c r="A306" s="57"/>
      <c r="B306" s="540" t="str">
        <f>Calcu!E136</f>
        <v/>
      </c>
      <c r="C306" s="541"/>
      <c r="D306" s="541"/>
      <c r="E306" s="541"/>
      <c r="F306" s="542"/>
      <c r="G306" s="540" t="str">
        <f>Calcu!C136</f>
        <v/>
      </c>
      <c r="H306" s="541"/>
      <c r="I306" s="541"/>
      <c r="J306" s="541"/>
      <c r="K306" s="542"/>
      <c r="L306" s="540" t="str">
        <f>Calcu!I136</f>
        <v/>
      </c>
      <c r="M306" s="541"/>
      <c r="N306" s="541"/>
      <c r="O306" s="541"/>
      <c r="P306" s="542"/>
      <c r="Q306" s="540" t="str">
        <f>Calcu!J136</f>
        <v/>
      </c>
      <c r="R306" s="541"/>
      <c r="S306" s="541"/>
      <c r="T306" s="541"/>
      <c r="U306" s="542"/>
      <c r="V306" s="540" t="str">
        <f>Calcu!K136</f>
        <v/>
      </c>
      <c r="W306" s="541"/>
      <c r="X306" s="541"/>
      <c r="Y306" s="541"/>
      <c r="Z306" s="542"/>
      <c r="AA306" s="540" t="str">
        <f>Calcu!L136</f>
        <v/>
      </c>
      <c r="AB306" s="541"/>
      <c r="AC306" s="541"/>
      <c r="AD306" s="541"/>
      <c r="AE306" s="542"/>
      <c r="AF306" s="540" t="str">
        <f>Calcu!M136</f>
        <v/>
      </c>
      <c r="AG306" s="541"/>
      <c r="AH306" s="541"/>
      <c r="AI306" s="541"/>
      <c r="AJ306" s="542"/>
      <c r="AK306" s="540" t="str">
        <f>Calcu!N136</f>
        <v/>
      </c>
      <c r="AL306" s="541"/>
      <c r="AM306" s="541"/>
      <c r="AN306" s="541"/>
      <c r="AO306" s="542"/>
      <c r="AP306" s="617" t="str">
        <f>Calcu!O136</f>
        <v/>
      </c>
      <c r="AQ306" s="618"/>
      <c r="AR306" s="618"/>
      <c r="AS306" s="618"/>
      <c r="AT306" s="619"/>
    </row>
    <row r="307" spans="1:46" ht="18.75" customHeight="1">
      <c r="A307" s="57"/>
      <c r="B307" s="540" t="str">
        <f>Calcu!E137</f>
        <v/>
      </c>
      <c r="C307" s="541"/>
      <c r="D307" s="541"/>
      <c r="E307" s="541"/>
      <c r="F307" s="542"/>
      <c r="G307" s="540" t="str">
        <f>Calcu!C137</f>
        <v/>
      </c>
      <c r="H307" s="541"/>
      <c r="I307" s="541"/>
      <c r="J307" s="541"/>
      <c r="K307" s="542"/>
      <c r="L307" s="540" t="str">
        <f>Calcu!I137</f>
        <v/>
      </c>
      <c r="M307" s="541"/>
      <c r="N307" s="541"/>
      <c r="O307" s="541"/>
      <c r="P307" s="542"/>
      <c r="Q307" s="540" t="str">
        <f>Calcu!J137</f>
        <v/>
      </c>
      <c r="R307" s="541"/>
      <c r="S307" s="541"/>
      <c r="T307" s="541"/>
      <c r="U307" s="542"/>
      <c r="V307" s="540" t="str">
        <f>Calcu!K137</f>
        <v/>
      </c>
      <c r="W307" s="541"/>
      <c r="X307" s="541"/>
      <c r="Y307" s="541"/>
      <c r="Z307" s="542"/>
      <c r="AA307" s="540" t="str">
        <f>Calcu!L137</f>
        <v/>
      </c>
      <c r="AB307" s="541"/>
      <c r="AC307" s="541"/>
      <c r="AD307" s="541"/>
      <c r="AE307" s="542"/>
      <c r="AF307" s="540" t="str">
        <f>Calcu!M137</f>
        <v/>
      </c>
      <c r="AG307" s="541"/>
      <c r="AH307" s="541"/>
      <c r="AI307" s="541"/>
      <c r="AJ307" s="542"/>
      <c r="AK307" s="540" t="str">
        <f>Calcu!N137</f>
        <v/>
      </c>
      <c r="AL307" s="541"/>
      <c r="AM307" s="541"/>
      <c r="AN307" s="541"/>
      <c r="AO307" s="542"/>
      <c r="AP307" s="617" t="str">
        <f>Calcu!O137</f>
        <v/>
      </c>
      <c r="AQ307" s="618"/>
      <c r="AR307" s="618"/>
      <c r="AS307" s="618"/>
      <c r="AT307" s="619"/>
    </row>
    <row r="308" spans="1:46" ht="18.75" customHeight="1">
      <c r="A308" s="57"/>
      <c r="B308" s="540" t="str">
        <f>Calcu!E138</f>
        <v/>
      </c>
      <c r="C308" s="541"/>
      <c r="D308" s="541"/>
      <c r="E308" s="541"/>
      <c r="F308" s="542"/>
      <c r="G308" s="540" t="str">
        <f>Calcu!C138</f>
        <v/>
      </c>
      <c r="H308" s="541"/>
      <c r="I308" s="541"/>
      <c r="J308" s="541"/>
      <c r="K308" s="542"/>
      <c r="L308" s="540" t="str">
        <f>Calcu!I138</f>
        <v/>
      </c>
      <c r="M308" s="541"/>
      <c r="N308" s="541"/>
      <c r="O308" s="541"/>
      <c r="P308" s="542"/>
      <c r="Q308" s="540" t="str">
        <f>Calcu!J138</f>
        <v/>
      </c>
      <c r="R308" s="541"/>
      <c r="S308" s="541"/>
      <c r="T308" s="541"/>
      <c r="U308" s="542"/>
      <c r="V308" s="540" t="str">
        <f>Calcu!K138</f>
        <v/>
      </c>
      <c r="W308" s="541"/>
      <c r="X308" s="541"/>
      <c r="Y308" s="541"/>
      <c r="Z308" s="542"/>
      <c r="AA308" s="540" t="str">
        <f>Calcu!L138</f>
        <v/>
      </c>
      <c r="AB308" s="541"/>
      <c r="AC308" s="541"/>
      <c r="AD308" s="541"/>
      <c r="AE308" s="542"/>
      <c r="AF308" s="540" t="str">
        <f>Calcu!M138</f>
        <v/>
      </c>
      <c r="AG308" s="541"/>
      <c r="AH308" s="541"/>
      <c r="AI308" s="541"/>
      <c r="AJ308" s="542"/>
      <c r="AK308" s="540" t="str">
        <f>Calcu!N138</f>
        <v/>
      </c>
      <c r="AL308" s="541"/>
      <c r="AM308" s="541"/>
      <c r="AN308" s="541"/>
      <c r="AO308" s="542"/>
      <c r="AP308" s="617" t="str">
        <f>Calcu!O138</f>
        <v/>
      </c>
      <c r="AQ308" s="618"/>
      <c r="AR308" s="618"/>
      <c r="AS308" s="618"/>
      <c r="AT308" s="619"/>
    </row>
    <row r="309" spans="1:46" ht="18.75" customHeight="1">
      <c r="A309" s="57"/>
      <c r="B309" s="540" t="str">
        <f>Calcu!E139</f>
        <v/>
      </c>
      <c r="C309" s="541"/>
      <c r="D309" s="541"/>
      <c r="E309" s="541"/>
      <c r="F309" s="542"/>
      <c r="G309" s="540" t="str">
        <f>Calcu!C139</f>
        <v/>
      </c>
      <c r="H309" s="541"/>
      <c r="I309" s="541"/>
      <c r="J309" s="541"/>
      <c r="K309" s="542"/>
      <c r="L309" s="540" t="str">
        <f>Calcu!I139</f>
        <v/>
      </c>
      <c r="M309" s="541"/>
      <c r="N309" s="541"/>
      <c r="O309" s="541"/>
      <c r="P309" s="542"/>
      <c r="Q309" s="540" t="str">
        <f>Calcu!J139</f>
        <v/>
      </c>
      <c r="R309" s="541"/>
      <c r="S309" s="541"/>
      <c r="T309" s="541"/>
      <c r="U309" s="542"/>
      <c r="V309" s="540" t="str">
        <f>Calcu!K139</f>
        <v/>
      </c>
      <c r="W309" s="541"/>
      <c r="X309" s="541"/>
      <c r="Y309" s="541"/>
      <c r="Z309" s="542"/>
      <c r="AA309" s="540" t="str">
        <f>Calcu!L139</f>
        <v/>
      </c>
      <c r="AB309" s="541"/>
      <c r="AC309" s="541"/>
      <c r="AD309" s="541"/>
      <c r="AE309" s="542"/>
      <c r="AF309" s="540" t="str">
        <f>Calcu!M139</f>
        <v/>
      </c>
      <c r="AG309" s="541"/>
      <c r="AH309" s="541"/>
      <c r="AI309" s="541"/>
      <c r="AJ309" s="542"/>
      <c r="AK309" s="540" t="str">
        <f>Calcu!N139</f>
        <v/>
      </c>
      <c r="AL309" s="541"/>
      <c r="AM309" s="541"/>
      <c r="AN309" s="541"/>
      <c r="AO309" s="542"/>
      <c r="AP309" s="617" t="str">
        <f>Calcu!O139</f>
        <v/>
      </c>
      <c r="AQ309" s="618"/>
      <c r="AR309" s="618"/>
      <c r="AS309" s="618"/>
      <c r="AT309" s="619"/>
    </row>
    <row r="310" spans="1:46" ht="18.75" customHeight="1">
      <c r="A310" s="57"/>
      <c r="B310" s="540" t="str">
        <f>Calcu!E140</f>
        <v/>
      </c>
      <c r="C310" s="541"/>
      <c r="D310" s="541"/>
      <c r="E310" s="541"/>
      <c r="F310" s="542"/>
      <c r="G310" s="540" t="str">
        <f>Calcu!C140</f>
        <v/>
      </c>
      <c r="H310" s="541"/>
      <c r="I310" s="541"/>
      <c r="J310" s="541"/>
      <c r="K310" s="542"/>
      <c r="L310" s="540" t="str">
        <f>Calcu!I140</f>
        <v/>
      </c>
      <c r="M310" s="541"/>
      <c r="N310" s="541"/>
      <c r="O310" s="541"/>
      <c r="P310" s="542"/>
      <c r="Q310" s="540" t="str">
        <f>Calcu!J140</f>
        <v/>
      </c>
      <c r="R310" s="541"/>
      <c r="S310" s="541"/>
      <c r="T310" s="541"/>
      <c r="U310" s="542"/>
      <c r="V310" s="540" t="str">
        <f>Calcu!K140</f>
        <v/>
      </c>
      <c r="W310" s="541"/>
      <c r="X310" s="541"/>
      <c r="Y310" s="541"/>
      <c r="Z310" s="542"/>
      <c r="AA310" s="540" t="str">
        <f>Calcu!L140</f>
        <v/>
      </c>
      <c r="AB310" s="541"/>
      <c r="AC310" s="541"/>
      <c r="AD310" s="541"/>
      <c r="AE310" s="542"/>
      <c r="AF310" s="540" t="str">
        <f>Calcu!M140</f>
        <v/>
      </c>
      <c r="AG310" s="541"/>
      <c r="AH310" s="541"/>
      <c r="AI310" s="541"/>
      <c r="AJ310" s="542"/>
      <c r="AK310" s="540" t="str">
        <f>Calcu!N140</f>
        <v/>
      </c>
      <c r="AL310" s="541"/>
      <c r="AM310" s="541"/>
      <c r="AN310" s="541"/>
      <c r="AO310" s="542"/>
      <c r="AP310" s="617" t="str">
        <f>Calcu!O140</f>
        <v/>
      </c>
      <c r="AQ310" s="618"/>
      <c r="AR310" s="618"/>
      <c r="AS310" s="618"/>
      <c r="AT310" s="619"/>
    </row>
    <row r="311" spans="1:46" ht="18.75" customHeight="1">
      <c r="A311" s="57"/>
      <c r="B311" s="540" t="str">
        <f>Calcu!E141</f>
        <v/>
      </c>
      <c r="C311" s="541"/>
      <c r="D311" s="541"/>
      <c r="E311" s="541"/>
      <c r="F311" s="542"/>
      <c r="G311" s="540" t="str">
        <f>Calcu!C141</f>
        <v/>
      </c>
      <c r="H311" s="541"/>
      <c r="I311" s="541"/>
      <c r="J311" s="541"/>
      <c r="K311" s="542"/>
      <c r="L311" s="540" t="str">
        <f>Calcu!I141</f>
        <v/>
      </c>
      <c r="M311" s="541"/>
      <c r="N311" s="541"/>
      <c r="O311" s="541"/>
      <c r="P311" s="542"/>
      <c r="Q311" s="540" t="str">
        <f>Calcu!J141</f>
        <v/>
      </c>
      <c r="R311" s="541"/>
      <c r="S311" s="541"/>
      <c r="T311" s="541"/>
      <c r="U311" s="542"/>
      <c r="V311" s="540" t="str">
        <f>Calcu!K141</f>
        <v/>
      </c>
      <c r="W311" s="541"/>
      <c r="X311" s="541"/>
      <c r="Y311" s="541"/>
      <c r="Z311" s="542"/>
      <c r="AA311" s="540" t="str">
        <f>Calcu!L141</f>
        <v/>
      </c>
      <c r="AB311" s="541"/>
      <c r="AC311" s="541"/>
      <c r="AD311" s="541"/>
      <c r="AE311" s="542"/>
      <c r="AF311" s="540" t="str">
        <f>Calcu!M141</f>
        <v/>
      </c>
      <c r="AG311" s="541"/>
      <c r="AH311" s="541"/>
      <c r="AI311" s="541"/>
      <c r="AJ311" s="542"/>
      <c r="AK311" s="540" t="str">
        <f>Calcu!N141</f>
        <v/>
      </c>
      <c r="AL311" s="541"/>
      <c r="AM311" s="541"/>
      <c r="AN311" s="541"/>
      <c r="AO311" s="542"/>
      <c r="AP311" s="617" t="str">
        <f>Calcu!O141</f>
        <v/>
      </c>
      <c r="AQ311" s="618"/>
      <c r="AR311" s="618"/>
      <c r="AS311" s="618"/>
      <c r="AT311" s="619"/>
    </row>
    <row r="312" spans="1:46" ht="18.75" customHeight="1">
      <c r="A312" s="57"/>
      <c r="B312" s="540" t="str">
        <f>Calcu!E142</f>
        <v/>
      </c>
      <c r="C312" s="541"/>
      <c r="D312" s="541"/>
      <c r="E312" s="541"/>
      <c r="F312" s="542"/>
      <c r="G312" s="540" t="str">
        <f>Calcu!C142</f>
        <v/>
      </c>
      <c r="H312" s="541"/>
      <c r="I312" s="541"/>
      <c r="J312" s="541"/>
      <c r="K312" s="542"/>
      <c r="L312" s="540" t="str">
        <f>Calcu!I142</f>
        <v/>
      </c>
      <c r="M312" s="541"/>
      <c r="N312" s="541"/>
      <c r="O312" s="541"/>
      <c r="P312" s="542"/>
      <c r="Q312" s="540" t="str">
        <f>Calcu!J142</f>
        <v/>
      </c>
      <c r="R312" s="541"/>
      <c r="S312" s="541"/>
      <c r="T312" s="541"/>
      <c r="U312" s="542"/>
      <c r="V312" s="540" t="str">
        <f>Calcu!K142</f>
        <v/>
      </c>
      <c r="W312" s="541"/>
      <c r="X312" s="541"/>
      <c r="Y312" s="541"/>
      <c r="Z312" s="542"/>
      <c r="AA312" s="540" t="str">
        <f>Calcu!L142</f>
        <v/>
      </c>
      <c r="AB312" s="541"/>
      <c r="AC312" s="541"/>
      <c r="AD312" s="541"/>
      <c r="AE312" s="542"/>
      <c r="AF312" s="540" t="str">
        <f>Calcu!M142</f>
        <v/>
      </c>
      <c r="AG312" s="541"/>
      <c r="AH312" s="541"/>
      <c r="AI312" s="541"/>
      <c r="AJ312" s="542"/>
      <c r="AK312" s="540" t="str">
        <f>Calcu!N142</f>
        <v/>
      </c>
      <c r="AL312" s="541"/>
      <c r="AM312" s="541"/>
      <c r="AN312" s="541"/>
      <c r="AO312" s="542"/>
      <c r="AP312" s="617" t="str">
        <f>Calcu!O142</f>
        <v/>
      </c>
      <c r="AQ312" s="618"/>
      <c r="AR312" s="618"/>
      <c r="AS312" s="618"/>
      <c r="AT312" s="619"/>
    </row>
    <row r="313" spans="1:46" ht="18.75" customHeight="1">
      <c r="A313" s="57"/>
      <c r="B313" s="540" t="str">
        <f>Calcu!E143</f>
        <v/>
      </c>
      <c r="C313" s="541"/>
      <c r="D313" s="541"/>
      <c r="E313" s="541"/>
      <c r="F313" s="542"/>
      <c r="G313" s="540" t="str">
        <f>Calcu!C143</f>
        <v/>
      </c>
      <c r="H313" s="541"/>
      <c r="I313" s="541"/>
      <c r="J313" s="541"/>
      <c r="K313" s="542"/>
      <c r="L313" s="540" t="str">
        <f>Calcu!I143</f>
        <v/>
      </c>
      <c r="M313" s="541"/>
      <c r="N313" s="541"/>
      <c r="O313" s="541"/>
      <c r="P313" s="542"/>
      <c r="Q313" s="540" t="str">
        <f>Calcu!J143</f>
        <v/>
      </c>
      <c r="R313" s="541"/>
      <c r="S313" s="541"/>
      <c r="T313" s="541"/>
      <c r="U313" s="542"/>
      <c r="V313" s="540" t="str">
        <f>Calcu!K143</f>
        <v/>
      </c>
      <c r="W313" s="541"/>
      <c r="X313" s="541"/>
      <c r="Y313" s="541"/>
      <c r="Z313" s="542"/>
      <c r="AA313" s="540" t="str">
        <f>Calcu!L143</f>
        <v/>
      </c>
      <c r="AB313" s="541"/>
      <c r="AC313" s="541"/>
      <c r="AD313" s="541"/>
      <c r="AE313" s="542"/>
      <c r="AF313" s="540" t="str">
        <f>Calcu!M143</f>
        <v/>
      </c>
      <c r="AG313" s="541"/>
      <c r="AH313" s="541"/>
      <c r="AI313" s="541"/>
      <c r="AJ313" s="542"/>
      <c r="AK313" s="540" t="str">
        <f>Calcu!N143</f>
        <v/>
      </c>
      <c r="AL313" s="541"/>
      <c r="AM313" s="541"/>
      <c r="AN313" s="541"/>
      <c r="AO313" s="542"/>
      <c r="AP313" s="617" t="str">
        <f>Calcu!O143</f>
        <v/>
      </c>
      <c r="AQ313" s="618"/>
      <c r="AR313" s="618"/>
      <c r="AS313" s="618"/>
      <c r="AT313" s="619"/>
    </row>
    <row r="314" spans="1:46" ht="18.75" customHeight="1">
      <c r="A314" s="57"/>
      <c r="B314" s="540" t="str">
        <f>Calcu!E144</f>
        <v/>
      </c>
      <c r="C314" s="541"/>
      <c r="D314" s="541"/>
      <c r="E314" s="541"/>
      <c r="F314" s="542"/>
      <c r="G314" s="540" t="str">
        <f>Calcu!C144</f>
        <v/>
      </c>
      <c r="H314" s="541"/>
      <c r="I314" s="541"/>
      <c r="J314" s="541"/>
      <c r="K314" s="542"/>
      <c r="L314" s="540" t="str">
        <f>Calcu!I144</f>
        <v/>
      </c>
      <c r="M314" s="541"/>
      <c r="N314" s="541"/>
      <c r="O314" s="541"/>
      <c r="P314" s="542"/>
      <c r="Q314" s="540" t="str">
        <f>Calcu!J144</f>
        <v/>
      </c>
      <c r="R314" s="541"/>
      <c r="S314" s="541"/>
      <c r="T314" s="541"/>
      <c r="U314" s="542"/>
      <c r="V314" s="540" t="str">
        <f>Calcu!K144</f>
        <v/>
      </c>
      <c r="W314" s="541"/>
      <c r="X314" s="541"/>
      <c r="Y314" s="541"/>
      <c r="Z314" s="542"/>
      <c r="AA314" s="540" t="str">
        <f>Calcu!L144</f>
        <v/>
      </c>
      <c r="AB314" s="541"/>
      <c r="AC314" s="541"/>
      <c r="AD314" s="541"/>
      <c r="AE314" s="542"/>
      <c r="AF314" s="540" t="str">
        <f>Calcu!M144</f>
        <v/>
      </c>
      <c r="AG314" s="541"/>
      <c r="AH314" s="541"/>
      <c r="AI314" s="541"/>
      <c r="AJ314" s="542"/>
      <c r="AK314" s="540" t="str">
        <f>Calcu!N144</f>
        <v/>
      </c>
      <c r="AL314" s="541"/>
      <c r="AM314" s="541"/>
      <c r="AN314" s="541"/>
      <c r="AO314" s="542"/>
      <c r="AP314" s="617" t="str">
        <f>Calcu!O144</f>
        <v/>
      </c>
      <c r="AQ314" s="618"/>
      <c r="AR314" s="618"/>
      <c r="AS314" s="618"/>
      <c r="AT314" s="619"/>
    </row>
    <row r="315" spans="1:46" ht="18.75" customHeight="1">
      <c r="A315" s="57"/>
      <c r="B315" s="540" t="str">
        <f>Calcu!E145</f>
        <v/>
      </c>
      <c r="C315" s="541"/>
      <c r="D315" s="541"/>
      <c r="E315" s="541"/>
      <c r="F315" s="542"/>
      <c r="G315" s="540" t="str">
        <f>Calcu!C145</f>
        <v/>
      </c>
      <c r="H315" s="541"/>
      <c r="I315" s="541"/>
      <c r="J315" s="541"/>
      <c r="K315" s="542"/>
      <c r="L315" s="540" t="str">
        <f>Calcu!I145</f>
        <v/>
      </c>
      <c r="M315" s="541"/>
      <c r="N315" s="541"/>
      <c r="O315" s="541"/>
      <c r="P315" s="542"/>
      <c r="Q315" s="540" t="str">
        <f>Calcu!J145</f>
        <v/>
      </c>
      <c r="R315" s="541"/>
      <c r="S315" s="541"/>
      <c r="T315" s="541"/>
      <c r="U315" s="542"/>
      <c r="V315" s="540" t="str">
        <f>Calcu!K145</f>
        <v/>
      </c>
      <c r="W315" s="541"/>
      <c r="X315" s="541"/>
      <c r="Y315" s="541"/>
      <c r="Z315" s="542"/>
      <c r="AA315" s="540" t="str">
        <f>Calcu!L145</f>
        <v/>
      </c>
      <c r="AB315" s="541"/>
      <c r="AC315" s="541"/>
      <c r="AD315" s="541"/>
      <c r="AE315" s="542"/>
      <c r="AF315" s="540" t="str">
        <f>Calcu!M145</f>
        <v/>
      </c>
      <c r="AG315" s="541"/>
      <c r="AH315" s="541"/>
      <c r="AI315" s="541"/>
      <c r="AJ315" s="542"/>
      <c r="AK315" s="540" t="str">
        <f>Calcu!N145</f>
        <v/>
      </c>
      <c r="AL315" s="541"/>
      <c r="AM315" s="541"/>
      <c r="AN315" s="541"/>
      <c r="AO315" s="542"/>
      <c r="AP315" s="617" t="str">
        <f>Calcu!O145</f>
        <v/>
      </c>
      <c r="AQ315" s="618"/>
      <c r="AR315" s="618"/>
      <c r="AS315" s="618"/>
      <c r="AT315" s="619"/>
    </row>
    <row r="316" spans="1:46" ht="18.75" customHeight="1">
      <c r="A316" s="57"/>
      <c r="B316" s="540" t="str">
        <f>Calcu!E146</f>
        <v/>
      </c>
      <c r="C316" s="541"/>
      <c r="D316" s="541"/>
      <c r="E316" s="541"/>
      <c r="F316" s="542"/>
      <c r="G316" s="540" t="str">
        <f>Calcu!C146</f>
        <v/>
      </c>
      <c r="H316" s="541"/>
      <c r="I316" s="541"/>
      <c r="J316" s="541"/>
      <c r="K316" s="542"/>
      <c r="L316" s="540" t="str">
        <f>Calcu!I146</f>
        <v/>
      </c>
      <c r="M316" s="541"/>
      <c r="N316" s="541"/>
      <c r="O316" s="541"/>
      <c r="P316" s="542"/>
      <c r="Q316" s="540" t="str">
        <f>Calcu!J146</f>
        <v/>
      </c>
      <c r="R316" s="541"/>
      <c r="S316" s="541"/>
      <c r="T316" s="541"/>
      <c r="U316" s="542"/>
      <c r="V316" s="540" t="str">
        <f>Calcu!K146</f>
        <v/>
      </c>
      <c r="W316" s="541"/>
      <c r="X316" s="541"/>
      <c r="Y316" s="541"/>
      <c r="Z316" s="542"/>
      <c r="AA316" s="540" t="str">
        <f>Calcu!L146</f>
        <v/>
      </c>
      <c r="AB316" s="541"/>
      <c r="AC316" s="541"/>
      <c r="AD316" s="541"/>
      <c r="AE316" s="542"/>
      <c r="AF316" s="540" t="str">
        <f>Calcu!M146</f>
        <v/>
      </c>
      <c r="AG316" s="541"/>
      <c r="AH316" s="541"/>
      <c r="AI316" s="541"/>
      <c r="AJ316" s="542"/>
      <c r="AK316" s="540" t="str">
        <f>Calcu!N146</f>
        <v/>
      </c>
      <c r="AL316" s="541"/>
      <c r="AM316" s="541"/>
      <c r="AN316" s="541"/>
      <c r="AO316" s="542"/>
      <c r="AP316" s="617" t="str">
        <f>Calcu!O146</f>
        <v/>
      </c>
      <c r="AQ316" s="618"/>
      <c r="AR316" s="618"/>
      <c r="AS316" s="618"/>
      <c r="AT316" s="619"/>
    </row>
    <row r="317" spans="1:46" ht="18.75" customHeight="1">
      <c r="A317" s="57"/>
      <c r="B317" s="540" t="str">
        <f>Calcu!E147</f>
        <v/>
      </c>
      <c r="C317" s="541"/>
      <c r="D317" s="541"/>
      <c r="E317" s="541"/>
      <c r="F317" s="542"/>
      <c r="G317" s="540" t="str">
        <f>Calcu!C147</f>
        <v/>
      </c>
      <c r="H317" s="541"/>
      <c r="I317" s="541"/>
      <c r="J317" s="541"/>
      <c r="K317" s="542"/>
      <c r="L317" s="540" t="str">
        <f>Calcu!I147</f>
        <v/>
      </c>
      <c r="M317" s="541"/>
      <c r="N317" s="541"/>
      <c r="O317" s="541"/>
      <c r="P317" s="542"/>
      <c r="Q317" s="540" t="str">
        <f>Calcu!J147</f>
        <v/>
      </c>
      <c r="R317" s="541"/>
      <c r="S317" s="541"/>
      <c r="T317" s="541"/>
      <c r="U317" s="542"/>
      <c r="V317" s="540" t="str">
        <f>Calcu!K147</f>
        <v/>
      </c>
      <c r="W317" s="541"/>
      <c r="X317" s="541"/>
      <c r="Y317" s="541"/>
      <c r="Z317" s="542"/>
      <c r="AA317" s="540" t="str">
        <f>Calcu!L147</f>
        <v/>
      </c>
      <c r="AB317" s="541"/>
      <c r="AC317" s="541"/>
      <c r="AD317" s="541"/>
      <c r="AE317" s="542"/>
      <c r="AF317" s="540" t="str">
        <f>Calcu!M147</f>
        <v/>
      </c>
      <c r="AG317" s="541"/>
      <c r="AH317" s="541"/>
      <c r="AI317" s="541"/>
      <c r="AJ317" s="542"/>
      <c r="AK317" s="540" t="str">
        <f>Calcu!N147</f>
        <v/>
      </c>
      <c r="AL317" s="541"/>
      <c r="AM317" s="541"/>
      <c r="AN317" s="541"/>
      <c r="AO317" s="542"/>
      <c r="AP317" s="617" t="str">
        <f>Calcu!O147</f>
        <v/>
      </c>
      <c r="AQ317" s="618"/>
      <c r="AR317" s="618"/>
      <c r="AS317" s="618"/>
      <c r="AT317" s="619"/>
    </row>
    <row r="318" spans="1:46" ht="18.75" customHeight="1">
      <c r="A318" s="57"/>
      <c r="B318" s="540" t="str">
        <f>Calcu!E148</f>
        <v/>
      </c>
      <c r="C318" s="541"/>
      <c r="D318" s="541"/>
      <c r="E318" s="541"/>
      <c r="F318" s="542"/>
      <c r="G318" s="540" t="str">
        <f>Calcu!C148</f>
        <v/>
      </c>
      <c r="H318" s="541"/>
      <c r="I318" s="541"/>
      <c r="J318" s="541"/>
      <c r="K318" s="542"/>
      <c r="L318" s="540" t="str">
        <f>Calcu!I148</f>
        <v/>
      </c>
      <c r="M318" s="541"/>
      <c r="N318" s="541"/>
      <c r="O318" s="541"/>
      <c r="P318" s="542"/>
      <c r="Q318" s="540" t="str">
        <f>Calcu!J148</f>
        <v/>
      </c>
      <c r="R318" s="541"/>
      <c r="S318" s="541"/>
      <c r="T318" s="541"/>
      <c r="U318" s="542"/>
      <c r="V318" s="540" t="str">
        <f>Calcu!K148</f>
        <v/>
      </c>
      <c r="W318" s="541"/>
      <c r="X318" s="541"/>
      <c r="Y318" s="541"/>
      <c r="Z318" s="542"/>
      <c r="AA318" s="540" t="str">
        <f>Calcu!L148</f>
        <v/>
      </c>
      <c r="AB318" s="541"/>
      <c r="AC318" s="541"/>
      <c r="AD318" s="541"/>
      <c r="AE318" s="542"/>
      <c r="AF318" s="540" t="str">
        <f>Calcu!M148</f>
        <v/>
      </c>
      <c r="AG318" s="541"/>
      <c r="AH318" s="541"/>
      <c r="AI318" s="541"/>
      <c r="AJ318" s="542"/>
      <c r="AK318" s="540" t="str">
        <f>Calcu!N148</f>
        <v/>
      </c>
      <c r="AL318" s="541"/>
      <c r="AM318" s="541"/>
      <c r="AN318" s="541"/>
      <c r="AO318" s="542"/>
      <c r="AP318" s="617" t="str">
        <f>Calcu!O148</f>
        <v/>
      </c>
      <c r="AQ318" s="618"/>
      <c r="AR318" s="618"/>
      <c r="AS318" s="618"/>
      <c r="AT318" s="619"/>
    </row>
    <row r="319" spans="1:46" ht="18.75" customHeight="1">
      <c r="A319" s="57"/>
      <c r="B319" s="540" t="str">
        <f>Calcu!E149</f>
        <v/>
      </c>
      <c r="C319" s="541"/>
      <c r="D319" s="541"/>
      <c r="E319" s="541"/>
      <c r="F319" s="542"/>
      <c r="G319" s="540" t="str">
        <f>Calcu!C149</f>
        <v/>
      </c>
      <c r="H319" s="541"/>
      <c r="I319" s="541"/>
      <c r="J319" s="541"/>
      <c r="K319" s="542"/>
      <c r="L319" s="540" t="str">
        <f>Calcu!I149</f>
        <v/>
      </c>
      <c r="M319" s="541"/>
      <c r="N319" s="541"/>
      <c r="O319" s="541"/>
      <c r="P319" s="542"/>
      <c r="Q319" s="540" t="str">
        <f>Calcu!J149</f>
        <v/>
      </c>
      <c r="R319" s="541"/>
      <c r="S319" s="541"/>
      <c r="T319" s="541"/>
      <c r="U319" s="542"/>
      <c r="V319" s="540" t="str">
        <f>Calcu!K149</f>
        <v/>
      </c>
      <c r="W319" s="541"/>
      <c r="X319" s="541"/>
      <c r="Y319" s="541"/>
      <c r="Z319" s="542"/>
      <c r="AA319" s="540" t="str">
        <f>Calcu!L149</f>
        <v/>
      </c>
      <c r="AB319" s="541"/>
      <c r="AC319" s="541"/>
      <c r="AD319" s="541"/>
      <c r="AE319" s="542"/>
      <c r="AF319" s="540" t="str">
        <f>Calcu!M149</f>
        <v/>
      </c>
      <c r="AG319" s="541"/>
      <c r="AH319" s="541"/>
      <c r="AI319" s="541"/>
      <c r="AJ319" s="542"/>
      <c r="AK319" s="540" t="str">
        <f>Calcu!N149</f>
        <v/>
      </c>
      <c r="AL319" s="541"/>
      <c r="AM319" s="541"/>
      <c r="AN319" s="541"/>
      <c r="AO319" s="542"/>
      <c r="AP319" s="617" t="str">
        <f>Calcu!O149</f>
        <v/>
      </c>
      <c r="AQ319" s="618"/>
      <c r="AR319" s="618"/>
      <c r="AS319" s="618"/>
      <c r="AT319" s="619"/>
    </row>
    <row r="320" spans="1:46" ht="18.75" customHeight="1">
      <c r="A320" s="57"/>
      <c r="B320" s="540" t="str">
        <f>Calcu!E150</f>
        <v/>
      </c>
      <c r="C320" s="541"/>
      <c r="D320" s="541"/>
      <c r="E320" s="541"/>
      <c r="F320" s="542"/>
      <c r="G320" s="540" t="str">
        <f>Calcu!C150</f>
        <v/>
      </c>
      <c r="H320" s="541"/>
      <c r="I320" s="541"/>
      <c r="J320" s="541"/>
      <c r="K320" s="542"/>
      <c r="L320" s="540" t="str">
        <f>Calcu!I150</f>
        <v/>
      </c>
      <c r="M320" s="541"/>
      <c r="N320" s="541"/>
      <c r="O320" s="541"/>
      <c r="P320" s="542"/>
      <c r="Q320" s="540" t="str">
        <f>Calcu!J150</f>
        <v/>
      </c>
      <c r="R320" s="541"/>
      <c r="S320" s="541"/>
      <c r="T320" s="541"/>
      <c r="U320" s="542"/>
      <c r="V320" s="540" t="str">
        <f>Calcu!K150</f>
        <v/>
      </c>
      <c r="W320" s="541"/>
      <c r="X320" s="541"/>
      <c r="Y320" s="541"/>
      <c r="Z320" s="542"/>
      <c r="AA320" s="540" t="str">
        <f>Calcu!L150</f>
        <v/>
      </c>
      <c r="AB320" s="541"/>
      <c r="AC320" s="541"/>
      <c r="AD320" s="541"/>
      <c r="AE320" s="542"/>
      <c r="AF320" s="540" t="str">
        <f>Calcu!M150</f>
        <v/>
      </c>
      <c r="AG320" s="541"/>
      <c r="AH320" s="541"/>
      <c r="AI320" s="541"/>
      <c r="AJ320" s="542"/>
      <c r="AK320" s="540" t="str">
        <f>Calcu!N150</f>
        <v/>
      </c>
      <c r="AL320" s="541"/>
      <c r="AM320" s="541"/>
      <c r="AN320" s="541"/>
      <c r="AO320" s="542"/>
      <c r="AP320" s="617" t="str">
        <f>Calcu!O150</f>
        <v/>
      </c>
      <c r="AQ320" s="618"/>
      <c r="AR320" s="618"/>
      <c r="AS320" s="618"/>
      <c r="AT320" s="619"/>
    </row>
    <row r="321" spans="1:69" ht="18.75" customHeight="1">
      <c r="A321" s="57"/>
      <c r="B321" s="540" t="str">
        <f>Calcu!E151</f>
        <v/>
      </c>
      <c r="C321" s="541"/>
      <c r="D321" s="541"/>
      <c r="E321" s="541"/>
      <c r="F321" s="542"/>
      <c r="G321" s="540" t="str">
        <f>Calcu!C151</f>
        <v/>
      </c>
      <c r="H321" s="541"/>
      <c r="I321" s="541"/>
      <c r="J321" s="541"/>
      <c r="K321" s="542"/>
      <c r="L321" s="540" t="str">
        <f>Calcu!I151</f>
        <v/>
      </c>
      <c r="M321" s="541"/>
      <c r="N321" s="541"/>
      <c r="O321" s="541"/>
      <c r="P321" s="542"/>
      <c r="Q321" s="540" t="str">
        <f>Calcu!J151</f>
        <v/>
      </c>
      <c r="R321" s="541"/>
      <c r="S321" s="541"/>
      <c r="T321" s="541"/>
      <c r="U321" s="542"/>
      <c r="V321" s="540" t="str">
        <f>Calcu!K151</f>
        <v/>
      </c>
      <c r="W321" s="541"/>
      <c r="X321" s="541"/>
      <c r="Y321" s="541"/>
      <c r="Z321" s="542"/>
      <c r="AA321" s="540" t="str">
        <f>Calcu!L151</f>
        <v/>
      </c>
      <c r="AB321" s="541"/>
      <c r="AC321" s="541"/>
      <c r="AD321" s="541"/>
      <c r="AE321" s="542"/>
      <c r="AF321" s="540" t="str">
        <f>Calcu!M151</f>
        <v/>
      </c>
      <c r="AG321" s="541"/>
      <c r="AH321" s="541"/>
      <c r="AI321" s="541"/>
      <c r="AJ321" s="542"/>
      <c r="AK321" s="540" t="str">
        <f>Calcu!N151</f>
        <v/>
      </c>
      <c r="AL321" s="541"/>
      <c r="AM321" s="541"/>
      <c r="AN321" s="541"/>
      <c r="AO321" s="542"/>
      <c r="AP321" s="617" t="str">
        <f>Calcu!O151</f>
        <v/>
      </c>
      <c r="AQ321" s="618"/>
      <c r="AR321" s="618"/>
      <c r="AS321" s="618"/>
      <c r="AT321" s="619"/>
    </row>
    <row r="322" spans="1:69" ht="18.75" customHeight="1">
      <c r="A322" s="57"/>
      <c r="B322" s="540" t="str">
        <f>Calcu!E152</f>
        <v/>
      </c>
      <c r="C322" s="541"/>
      <c r="D322" s="541"/>
      <c r="E322" s="541"/>
      <c r="F322" s="542"/>
      <c r="G322" s="540" t="str">
        <f>Calcu!C152</f>
        <v/>
      </c>
      <c r="H322" s="541"/>
      <c r="I322" s="541"/>
      <c r="J322" s="541"/>
      <c r="K322" s="542"/>
      <c r="L322" s="540" t="str">
        <f>Calcu!I152</f>
        <v/>
      </c>
      <c r="M322" s="541"/>
      <c r="N322" s="541"/>
      <c r="O322" s="541"/>
      <c r="P322" s="542"/>
      <c r="Q322" s="540" t="str">
        <f>Calcu!J152</f>
        <v/>
      </c>
      <c r="R322" s="541"/>
      <c r="S322" s="541"/>
      <c r="T322" s="541"/>
      <c r="U322" s="542"/>
      <c r="V322" s="540" t="str">
        <f>Calcu!K152</f>
        <v/>
      </c>
      <c r="W322" s="541"/>
      <c r="X322" s="541"/>
      <c r="Y322" s="541"/>
      <c r="Z322" s="542"/>
      <c r="AA322" s="540" t="str">
        <f>Calcu!L152</f>
        <v/>
      </c>
      <c r="AB322" s="541"/>
      <c r="AC322" s="541"/>
      <c r="AD322" s="541"/>
      <c r="AE322" s="542"/>
      <c r="AF322" s="540" t="str">
        <f>Calcu!M152</f>
        <v/>
      </c>
      <c r="AG322" s="541"/>
      <c r="AH322" s="541"/>
      <c r="AI322" s="541"/>
      <c r="AJ322" s="542"/>
      <c r="AK322" s="540" t="str">
        <f>Calcu!N152</f>
        <v/>
      </c>
      <c r="AL322" s="541"/>
      <c r="AM322" s="541"/>
      <c r="AN322" s="541"/>
      <c r="AO322" s="542"/>
      <c r="AP322" s="617" t="str">
        <f>Calcu!O152</f>
        <v/>
      </c>
      <c r="AQ322" s="618"/>
      <c r="AR322" s="618"/>
      <c r="AS322" s="618"/>
      <c r="AT322" s="619"/>
    </row>
    <row r="323" spans="1:69" ht="18.75" customHeight="1">
      <c r="A323" s="57"/>
      <c r="B323" s="540" t="str">
        <f>Calcu!E153</f>
        <v/>
      </c>
      <c r="C323" s="541"/>
      <c r="D323" s="541"/>
      <c r="E323" s="541"/>
      <c r="F323" s="542"/>
      <c r="G323" s="540" t="str">
        <f>Calcu!C153</f>
        <v/>
      </c>
      <c r="H323" s="541"/>
      <c r="I323" s="541"/>
      <c r="J323" s="541"/>
      <c r="K323" s="542"/>
      <c r="L323" s="540" t="str">
        <f>Calcu!I153</f>
        <v/>
      </c>
      <c r="M323" s="541"/>
      <c r="N323" s="541"/>
      <c r="O323" s="541"/>
      <c r="P323" s="542"/>
      <c r="Q323" s="540" t="str">
        <f>Calcu!J153</f>
        <v/>
      </c>
      <c r="R323" s="541"/>
      <c r="S323" s="541"/>
      <c r="T323" s="541"/>
      <c r="U323" s="542"/>
      <c r="V323" s="540" t="str">
        <f>Calcu!K153</f>
        <v/>
      </c>
      <c r="W323" s="541"/>
      <c r="X323" s="541"/>
      <c r="Y323" s="541"/>
      <c r="Z323" s="542"/>
      <c r="AA323" s="540" t="str">
        <f>Calcu!L153</f>
        <v/>
      </c>
      <c r="AB323" s="541"/>
      <c r="AC323" s="541"/>
      <c r="AD323" s="541"/>
      <c r="AE323" s="542"/>
      <c r="AF323" s="540" t="str">
        <f>Calcu!M153</f>
        <v/>
      </c>
      <c r="AG323" s="541"/>
      <c r="AH323" s="541"/>
      <c r="AI323" s="541"/>
      <c r="AJ323" s="542"/>
      <c r="AK323" s="540" t="str">
        <f>Calcu!N153</f>
        <v/>
      </c>
      <c r="AL323" s="541"/>
      <c r="AM323" s="541"/>
      <c r="AN323" s="541"/>
      <c r="AO323" s="542"/>
      <c r="AP323" s="617" t="str">
        <f>Calcu!O153</f>
        <v/>
      </c>
      <c r="AQ323" s="618"/>
      <c r="AR323" s="618"/>
      <c r="AS323" s="618"/>
      <c r="AT323" s="619"/>
    </row>
    <row r="324" spans="1:69" ht="18.75" customHeight="1">
      <c r="A324" s="57"/>
      <c r="B324" s="341"/>
      <c r="C324" s="341"/>
      <c r="D324" s="341"/>
      <c r="E324" s="341"/>
      <c r="F324" s="341"/>
      <c r="G324" s="341"/>
      <c r="H324" s="341"/>
      <c r="I324" s="341"/>
      <c r="J324" s="341"/>
      <c r="K324" s="341"/>
      <c r="L324" s="341"/>
      <c r="M324" s="341"/>
      <c r="N324" s="341"/>
      <c r="O324" s="341"/>
      <c r="P324" s="341"/>
      <c r="Q324" s="341"/>
      <c r="R324" s="341"/>
      <c r="S324" s="341"/>
      <c r="T324" s="341"/>
      <c r="U324" s="341"/>
      <c r="V324" s="341"/>
      <c r="W324" s="341"/>
      <c r="X324" s="341"/>
      <c r="Y324" s="341"/>
      <c r="Z324" s="341"/>
      <c r="AA324" s="341"/>
      <c r="AB324" s="341"/>
      <c r="AC324" s="341"/>
      <c r="AD324" s="341"/>
      <c r="AE324" s="341"/>
      <c r="AF324" s="341"/>
      <c r="AG324" s="341"/>
      <c r="AH324" s="341"/>
      <c r="AI324" s="341"/>
      <c r="AJ324" s="341"/>
      <c r="AK324" s="341"/>
      <c r="AL324" s="341"/>
      <c r="AM324" s="341"/>
      <c r="AN324" s="341"/>
      <c r="AO324" s="341"/>
      <c r="AP324" s="341"/>
      <c r="AQ324" s="341"/>
      <c r="AR324" s="341"/>
      <c r="AS324" s="341"/>
      <c r="AT324" s="341"/>
    </row>
    <row r="325" spans="1:69" ht="18.75" customHeight="1">
      <c r="A325" s="57" t="s">
        <v>805</v>
      </c>
      <c r="B325" s="370"/>
      <c r="C325" s="370"/>
      <c r="D325" s="370"/>
      <c r="E325" s="370"/>
      <c r="F325" s="370"/>
      <c r="G325" s="370"/>
      <c r="H325" s="370"/>
      <c r="I325" s="370"/>
      <c r="J325" s="370"/>
      <c r="K325" s="370"/>
      <c r="L325" s="370"/>
      <c r="M325" s="370"/>
      <c r="N325" s="370"/>
      <c r="O325" s="370"/>
      <c r="P325" s="370"/>
      <c r="Q325" s="370"/>
      <c r="R325" s="370"/>
      <c r="S325" s="370"/>
      <c r="T325" s="370"/>
      <c r="U325" s="370"/>
      <c r="V325" s="370"/>
      <c r="W325" s="370"/>
      <c r="X325" s="370"/>
      <c r="Y325" s="370"/>
      <c r="Z325" s="370"/>
      <c r="AA325" s="370"/>
      <c r="AB325" s="370"/>
      <c r="AC325" s="370"/>
      <c r="AD325" s="370"/>
      <c r="AE325" s="370"/>
      <c r="AF325" s="370"/>
      <c r="AG325" s="370"/>
      <c r="AH325" s="370"/>
      <c r="AI325" s="370"/>
      <c r="AJ325" s="370"/>
      <c r="AK325" s="370"/>
      <c r="AL325" s="370"/>
      <c r="AM325" s="370"/>
      <c r="AN325" s="370"/>
      <c r="AO325" s="370"/>
      <c r="AP325" s="370"/>
      <c r="AQ325" s="370"/>
      <c r="AR325" s="370"/>
      <c r="AS325" s="370"/>
      <c r="AT325" s="370"/>
    </row>
    <row r="326" spans="1:69" ht="18.75" customHeight="1">
      <c r="A326" s="69"/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0"/>
      <c r="O326" s="370"/>
      <c r="P326" s="370"/>
      <c r="Q326" s="370"/>
      <c r="R326" s="370"/>
      <c r="S326" s="370"/>
      <c r="T326" s="370"/>
      <c r="U326" s="370"/>
      <c r="V326" s="370"/>
      <c r="W326" s="370"/>
      <c r="X326" s="370"/>
      <c r="Y326" s="370"/>
      <c r="Z326" s="370"/>
      <c r="AA326" s="370"/>
      <c r="AB326" s="370"/>
      <c r="AC326" s="370"/>
      <c r="AD326" s="370"/>
      <c r="AE326" s="370"/>
      <c r="AF326" s="370"/>
      <c r="AG326" s="370"/>
      <c r="AH326" s="370"/>
      <c r="AI326" s="370"/>
      <c r="AJ326" s="370"/>
      <c r="AK326" s="370"/>
      <c r="AL326" s="370"/>
      <c r="AM326" s="370"/>
      <c r="AN326" s="370"/>
      <c r="AO326" s="370"/>
      <c r="AP326" s="370"/>
      <c r="AQ326" s="370"/>
      <c r="AR326" s="370"/>
      <c r="AS326" s="370"/>
      <c r="AT326" s="370"/>
    </row>
    <row r="327" spans="1:69" ht="18.75" customHeight="1">
      <c r="A327" s="69"/>
      <c r="B327" s="370"/>
      <c r="C327" s="370"/>
      <c r="D327" s="370"/>
      <c r="E327" s="370"/>
      <c r="F327" s="370"/>
      <c r="G327" s="370"/>
      <c r="H327" s="370"/>
      <c r="I327" s="370"/>
      <c r="J327" s="370"/>
      <c r="K327" s="370"/>
      <c r="L327" s="370"/>
      <c r="M327" s="370"/>
      <c r="N327" s="370"/>
      <c r="O327" s="370"/>
      <c r="P327" s="370"/>
      <c r="Q327" s="370"/>
      <c r="R327" s="370"/>
      <c r="S327" s="370"/>
      <c r="T327" s="370"/>
      <c r="U327" s="370"/>
      <c r="V327" s="370"/>
      <c r="W327" s="370"/>
      <c r="X327" s="370"/>
      <c r="Y327" s="370"/>
      <c r="Z327" s="370"/>
      <c r="AA327" s="370"/>
      <c r="AB327" s="370"/>
      <c r="AC327" s="370"/>
      <c r="AD327" s="370"/>
      <c r="AE327" s="370"/>
      <c r="AF327" s="370"/>
      <c r="AG327" s="370"/>
      <c r="AH327" s="370"/>
      <c r="AI327" s="370"/>
      <c r="AJ327" s="370"/>
      <c r="AK327" s="370"/>
      <c r="AL327" s="370"/>
      <c r="AM327" s="370"/>
      <c r="AN327" s="370"/>
      <c r="AO327" s="370"/>
      <c r="AP327" s="370"/>
      <c r="AQ327" s="370"/>
      <c r="AR327" s="370"/>
      <c r="AS327" s="370"/>
      <c r="AT327" s="370"/>
    </row>
    <row r="328" spans="1:69" ht="18.75" customHeight="1">
      <c r="A328" s="69"/>
      <c r="B328" s="370"/>
      <c r="C328" s="370"/>
      <c r="D328" s="370"/>
      <c r="E328" s="370"/>
      <c r="F328" s="370"/>
      <c r="G328" s="370"/>
      <c r="H328" s="370"/>
      <c r="I328" s="370"/>
      <c r="J328" s="370"/>
      <c r="K328" s="370"/>
      <c r="L328" s="370"/>
      <c r="M328" s="370"/>
      <c r="N328" s="370"/>
      <c r="O328" s="370"/>
      <c r="P328" s="370"/>
      <c r="Q328" s="370"/>
      <c r="R328" s="370"/>
      <c r="S328" s="370"/>
      <c r="T328" s="370"/>
      <c r="U328" s="370"/>
      <c r="V328" s="370"/>
      <c r="W328" s="370"/>
      <c r="X328" s="370"/>
      <c r="Y328" s="370"/>
      <c r="Z328" s="370"/>
      <c r="AA328" s="370"/>
      <c r="AB328" s="370"/>
      <c r="AC328" s="370"/>
      <c r="AD328" s="370"/>
      <c r="AE328" s="370"/>
      <c r="AF328" s="370"/>
      <c r="AG328" s="370"/>
      <c r="AH328" s="370"/>
      <c r="AI328" s="370"/>
      <c r="AJ328" s="370"/>
      <c r="AK328" s="370"/>
      <c r="AL328" s="370"/>
      <c r="AM328" s="370"/>
      <c r="AN328" s="370"/>
      <c r="AO328" s="370"/>
      <c r="AP328" s="370"/>
      <c r="AQ328" s="370"/>
      <c r="AR328" s="370"/>
      <c r="AS328" s="370"/>
      <c r="AT328" s="370"/>
    </row>
    <row r="329" spans="1:69" ht="18.75" customHeight="1">
      <c r="A329" s="69"/>
      <c r="B329" s="370"/>
      <c r="C329" s="370"/>
      <c r="D329" s="370"/>
      <c r="E329" s="370"/>
      <c r="F329" s="370"/>
      <c r="G329" s="370"/>
      <c r="H329" s="370"/>
      <c r="I329" s="370"/>
      <c r="J329" s="370"/>
      <c r="K329" s="370"/>
      <c r="L329" s="370"/>
      <c r="M329" s="370"/>
      <c r="N329" s="370"/>
      <c r="O329" s="370"/>
      <c r="P329" s="370"/>
      <c r="Q329" s="370"/>
      <c r="R329" s="370"/>
      <c r="S329" s="370"/>
      <c r="T329" s="370"/>
      <c r="U329" s="370"/>
      <c r="V329" s="370"/>
      <c r="W329" s="370"/>
      <c r="X329" s="370"/>
      <c r="Y329" s="370"/>
      <c r="Z329" s="370"/>
      <c r="AA329" s="370"/>
      <c r="AB329" s="370"/>
      <c r="AC329" s="370"/>
      <c r="AD329" s="370"/>
      <c r="AE329" s="370"/>
      <c r="AF329" s="370"/>
      <c r="AG329" s="370"/>
      <c r="AH329" s="370"/>
      <c r="AI329" s="370"/>
      <c r="AJ329" s="370"/>
      <c r="AK329" s="370"/>
      <c r="AL329" s="370"/>
      <c r="AM329" s="370"/>
      <c r="AN329" s="370"/>
      <c r="AO329" s="370"/>
      <c r="AP329" s="370"/>
      <c r="AQ329" s="370"/>
      <c r="AR329" s="370"/>
      <c r="AS329" s="370"/>
      <c r="AT329" s="370"/>
    </row>
    <row r="330" spans="1:69" ht="18.75" customHeight="1">
      <c r="A330" s="69"/>
      <c r="B330" s="370"/>
      <c r="C330" s="545" t="s">
        <v>926</v>
      </c>
      <c r="D330" s="545"/>
      <c r="E330" s="545"/>
      <c r="F330" s="341" t="s">
        <v>808</v>
      </c>
      <c r="G330" s="370" t="s">
        <v>927</v>
      </c>
      <c r="H330" s="370"/>
      <c r="I330" s="370"/>
      <c r="J330" s="370"/>
      <c r="K330" s="370"/>
      <c r="L330" s="370"/>
      <c r="M330" s="370"/>
      <c r="N330" s="370"/>
      <c r="O330" s="370"/>
      <c r="P330" s="370"/>
      <c r="Q330" s="370"/>
      <c r="R330" s="370"/>
      <c r="S330" s="370"/>
      <c r="W330" s="59"/>
      <c r="X330" s="59"/>
      <c r="Y330" s="59"/>
      <c r="Z330" s="370"/>
      <c r="AA330" s="370"/>
      <c r="AB330" s="370"/>
      <c r="AC330" s="370"/>
      <c r="AD330" s="370"/>
      <c r="AE330" s="370"/>
      <c r="AF330" s="370"/>
      <c r="AG330" s="370"/>
      <c r="AH330" s="370"/>
      <c r="AI330" s="370"/>
      <c r="AJ330" s="370"/>
      <c r="AK330" s="370"/>
      <c r="AL330" s="370"/>
      <c r="AM330" s="370"/>
      <c r="AN330" s="370"/>
      <c r="AO330" s="370"/>
      <c r="AP330" s="370"/>
      <c r="AQ330" s="370"/>
      <c r="AR330" s="370"/>
      <c r="AS330" s="370"/>
      <c r="AT330" s="370"/>
    </row>
    <row r="331" spans="1:69" ht="18.75" customHeight="1">
      <c r="A331" s="69"/>
      <c r="B331" s="370"/>
      <c r="C331" s="545" t="s">
        <v>807</v>
      </c>
      <c r="D331" s="545"/>
      <c r="E331" s="545"/>
      <c r="F331" s="341" t="s">
        <v>808</v>
      </c>
      <c r="G331" s="370" t="str">
        <f>T298&amp;"의 교정값"</f>
        <v>표준자의 교정값</v>
      </c>
      <c r="H331" s="370"/>
      <c r="I331" s="370"/>
      <c r="J331" s="370"/>
      <c r="K331" s="370"/>
      <c r="L331" s="370"/>
      <c r="M331" s="370"/>
      <c r="N331" s="370"/>
      <c r="O331" s="370"/>
      <c r="P331" s="370"/>
      <c r="Q331" s="370"/>
      <c r="R331" s="370"/>
      <c r="S331" s="370"/>
      <c r="T331" s="370"/>
      <c r="U331" s="370"/>
      <c r="V331" s="370"/>
      <c r="W331" s="370"/>
      <c r="X331" s="370"/>
      <c r="Y331" s="370"/>
      <c r="Z331" s="370"/>
      <c r="AA331" s="370"/>
      <c r="AB331" s="370"/>
      <c r="AC331" s="370"/>
      <c r="AD331" s="370"/>
      <c r="AE331" s="370"/>
      <c r="AF331" s="370"/>
      <c r="AG331" s="370"/>
      <c r="AH331" s="370"/>
      <c r="AI331" s="370"/>
      <c r="AJ331" s="370"/>
      <c r="AK331" s="370"/>
      <c r="AL331" s="370"/>
      <c r="AM331" s="370"/>
      <c r="AN331" s="370"/>
      <c r="AO331" s="370"/>
      <c r="AP331" s="370"/>
      <c r="AQ331" s="370"/>
      <c r="AR331" s="370"/>
      <c r="AS331" s="370"/>
      <c r="AT331" s="370"/>
      <c r="AU331" s="370"/>
      <c r="AV331" s="370"/>
      <c r="AW331" s="370"/>
      <c r="AX331" s="370"/>
      <c r="AY331" s="370"/>
      <c r="AZ331" s="370"/>
      <c r="BA331" s="370"/>
      <c r="BB331" s="370"/>
    </row>
    <row r="332" spans="1:69" ht="18.75" customHeight="1">
      <c r="A332" s="69"/>
      <c r="B332" s="370"/>
      <c r="C332" s="545" t="s">
        <v>1145</v>
      </c>
      <c r="D332" s="545"/>
      <c r="E332" s="545"/>
      <c r="F332" s="341" t="s">
        <v>808</v>
      </c>
      <c r="G332" s="370" t="s">
        <v>928</v>
      </c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U332" s="370"/>
      <c r="V332" s="370"/>
      <c r="W332" s="370"/>
      <c r="X332" s="370"/>
      <c r="Y332" s="370"/>
      <c r="Z332" s="370"/>
      <c r="AA332" s="370"/>
      <c r="AB332" s="370"/>
      <c r="AC332" s="370"/>
      <c r="AD332" s="370"/>
      <c r="AE332" s="370"/>
      <c r="AF332" s="370"/>
      <c r="AG332" s="370"/>
      <c r="AH332" s="370"/>
      <c r="AI332" s="370"/>
      <c r="AJ332" s="370"/>
      <c r="AK332" s="370"/>
      <c r="AL332" s="370"/>
      <c r="AM332" s="370"/>
      <c r="AN332" s="370"/>
      <c r="AO332" s="370"/>
      <c r="AP332" s="370"/>
      <c r="AQ332" s="370"/>
      <c r="AR332" s="370"/>
      <c r="AS332" s="370"/>
      <c r="AT332" s="370"/>
      <c r="AU332" s="370"/>
      <c r="AV332" s="370"/>
      <c r="AW332" s="370"/>
      <c r="AX332" s="370"/>
      <c r="AY332" s="370"/>
      <c r="AZ332" s="370"/>
      <c r="BA332" s="370"/>
      <c r="BB332" s="370"/>
    </row>
    <row r="333" spans="1:69" ht="18.75" customHeight="1">
      <c r="A333" s="69"/>
      <c r="B333" s="370"/>
      <c r="C333" s="545" t="s">
        <v>929</v>
      </c>
      <c r="D333" s="545"/>
      <c r="E333" s="545"/>
      <c r="F333" s="341" t="s">
        <v>984</v>
      </c>
      <c r="G333" s="370" t="s">
        <v>1146</v>
      </c>
      <c r="H333" s="370"/>
      <c r="I333" s="370"/>
      <c r="J333" s="370"/>
      <c r="K333" s="370"/>
      <c r="L333" s="370"/>
      <c r="M333" s="370"/>
      <c r="N333" s="370"/>
      <c r="O333" s="370"/>
      <c r="P333" s="370"/>
      <c r="Q333" s="370"/>
      <c r="R333" s="370"/>
      <c r="S333" s="370"/>
      <c r="T333" s="370"/>
      <c r="U333" s="370"/>
      <c r="V333" s="370"/>
      <c r="W333" s="370"/>
      <c r="X333" s="370"/>
      <c r="Y333" s="370"/>
      <c r="Z333" s="370"/>
      <c r="AA333" s="370"/>
      <c r="AB333" s="370"/>
      <c r="AC333" s="370"/>
      <c r="AD333" s="370"/>
      <c r="AE333" s="370"/>
      <c r="AF333" s="370"/>
      <c r="AG333" s="370"/>
      <c r="AH333" s="370"/>
      <c r="AI333" s="370"/>
      <c r="AJ333" s="370"/>
      <c r="AK333" s="370"/>
      <c r="AL333" s="370"/>
      <c r="AM333" s="370"/>
      <c r="AN333" s="370"/>
      <c r="AO333" s="370"/>
      <c r="AP333" s="370"/>
      <c r="AQ333" s="370"/>
      <c r="AR333" s="370"/>
      <c r="AS333" s="370"/>
      <c r="AT333" s="370"/>
      <c r="AU333" s="370"/>
      <c r="AV333" s="370"/>
      <c r="AW333" s="370"/>
      <c r="AX333" s="370"/>
      <c r="AY333" s="370"/>
      <c r="AZ333" s="370"/>
      <c r="BA333" s="370"/>
      <c r="BB333" s="370"/>
    </row>
    <row r="334" spans="1:69" ht="18.75" customHeight="1">
      <c r="A334" s="69"/>
      <c r="B334" s="370"/>
      <c r="C334" s="545" t="s">
        <v>834</v>
      </c>
      <c r="D334" s="545"/>
      <c r="E334" s="545"/>
      <c r="F334" s="341" t="s">
        <v>808</v>
      </c>
      <c r="G334" s="370" t="s">
        <v>930</v>
      </c>
      <c r="H334" s="370"/>
      <c r="I334" s="370"/>
      <c r="J334" s="370"/>
      <c r="K334" s="370"/>
      <c r="L334" s="370"/>
      <c r="M334" s="370"/>
      <c r="N334" s="370"/>
      <c r="O334" s="370"/>
      <c r="P334" s="370"/>
      <c r="Q334" s="370"/>
      <c r="R334" s="370"/>
      <c r="S334" s="370"/>
      <c r="T334" s="370"/>
      <c r="U334" s="370"/>
      <c r="V334" s="370"/>
      <c r="W334" s="370"/>
      <c r="X334" s="370"/>
      <c r="Y334" s="370"/>
      <c r="Z334" s="370"/>
      <c r="AA334" s="370"/>
      <c r="AB334" s="370"/>
      <c r="AC334" s="370"/>
      <c r="AD334" s="370"/>
      <c r="AE334" s="370"/>
      <c r="AF334" s="370"/>
      <c r="AG334" s="370"/>
      <c r="AH334" s="370"/>
      <c r="AI334" s="370"/>
      <c r="AJ334" s="370"/>
      <c r="AK334" s="370"/>
      <c r="AL334" s="370"/>
      <c r="AM334" s="370"/>
      <c r="AN334" s="370"/>
      <c r="AO334" s="370"/>
      <c r="AP334" s="370"/>
      <c r="AQ334" s="370"/>
      <c r="AR334" s="370"/>
      <c r="AS334" s="370"/>
      <c r="AT334" s="370"/>
      <c r="AU334" s="370"/>
      <c r="AV334" s="370"/>
      <c r="AW334" s="370"/>
      <c r="AX334" s="370"/>
      <c r="AY334" s="370"/>
      <c r="AZ334" s="370"/>
      <c r="BA334" s="370"/>
      <c r="BB334" s="370"/>
    </row>
    <row r="335" spans="1:69" ht="18.75" customHeight="1">
      <c r="A335" s="69"/>
      <c r="B335" s="370"/>
      <c r="C335" s="545" t="s">
        <v>1287</v>
      </c>
      <c r="D335" s="545"/>
      <c r="E335" s="545"/>
      <c r="F335" s="341" t="s">
        <v>979</v>
      </c>
      <c r="G335" s="370" t="s">
        <v>931</v>
      </c>
      <c r="H335" s="370"/>
      <c r="I335" s="370"/>
      <c r="J335" s="370"/>
      <c r="K335" s="370"/>
      <c r="L335" s="370"/>
      <c r="M335" s="370"/>
      <c r="N335" s="370"/>
      <c r="O335" s="370"/>
      <c r="P335" s="370"/>
      <c r="Q335" s="370"/>
      <c r="R335" s="370"/>
      <c r="S335" s="370"/>
      <c r="T335" s="370"/>
      <c r="U335" s="370"/>
      <c r="V335" s="370"/>
      <c r="W335" s="370"/>
      <c r="X335" s="370"/>
      <c r="Y335" s="370"/>
      <c r="Z335" s="370"/>
      <c r="AA335" s="370"/>
      <c r="AB335" s="370"/>
      <c r="AC335" s="370"/>
      <c r="AD335" s="370"/>
      <c r="AE335" s="370"/>
      <c r="AF335" s="370"/>
      <c r="AG335" s="370"/>
      <c r="AH335" s="370"/>
      <c r="AI335" s="370"/>
      <c r="AJ335" s="370"/>
      <c r="AK335" s="370"/>
      <c r="AL335" s="370"/>
      <c r="AM335" s="370"/>
      <c r="AN335" s="370"/>
      <c r="AO335" s="370"/>
      <c r="AP335" s="370"/>
      <c r="AQ335" s="370"/>
      <c r="AR335" s="370"/>
      <c r="AS335" s="370"/>
      <c r="AT335" s="370"/>
      <c r="AU335" s="370"/>
      <c r="AV335" s="370"/>
      <c r="AW335" s="370"/>
      <c r="AX335" s="370"/>
      <c r="AY335" s="370"/>
      <c r="AZ335" s="370"/>
      <c r="BA335" s="370"/>
      <c r="BB335" s="370"/>
    </row>
    <row r="336" spans="1:69" ht="18.75" customHeight="1">
      <c r="A336" s="69"/>
      <c r="B336" s="370"/>
      <c r="C336" s="545"/>
      <c r="D336" s="545"/>
      <c r="E336" s="545"/>
      <c r="G336" s="370"/>
      <c r="H336" s="370"/>
      <c r="I336" s="370"/>
      <c r="J336" s="370"/>
      <c r="K336" s="370"/>
      <c r="L336" s="370"/>
      <c r="M336" s="370"/>
      <c r="N336" s="370"/>
      <c r="O336" s="370"/>
      <c r="P336" s="370"/>
      <c r="Q336" s="370"/>
      <c r="R336" s="370"/>
      <c r="S336" s="370"/>
      <c r="T336" s="370"/>
      <c r="U336" s="370"/>
      <c r="V336" s="370"/>
      <c r="W336" s="370"/>
      <c r="X336" s="370"/>
      <c r="Y336" s="370"/>
      <c r="Z336" s="370"/>
      <c r="AA336" s="370"/>
      <c r="AB336" s="370"/>
      <c r="AC336" s="370"/>
      <c r="AD336" s="370"/>
      <c r="AE336" s="370"/>
      <c r="AF336" s="370"/>
      <c r="AG336" s="370"/>
      <c r="AH336" s="370"/>
      <c r="AI336" s="370"/>
      <c r="AJ336" s="370"/>
      <c r="AK336" s="370"/>
      <c r="AL336" s="370"/>
      <c r="AM336" s="370"/>
      <c r="AN336" s="370"/>
      <c r="AO336" s="370"/>
      <c r="AP336" s="370"/>
      <c r="AQ336" s="370"/>
      <c r="AR336" s="370"/>
      <c r="AS336" s="370"/>
      <c r="AT336" s="370"/>
      <c r="AU336" s="370"/>
      <c r="AV336" s="370"/>
      <c r="AW336" s="370"/>
      <c r="AX336" s="370"/>
      <c r="AY336" s="370"/>
      <c r="AZ336" s="370"/>
      <c r="BA336" s="370"/>
      <c r="BB336" s="370"/>
      <c r="BD336" s="58"/>
      <c r="BE336" s="58"/>
      <c r="BF336" s="58"/>
      <c r="BG336" s="58"/>
      <c r="BH336" s="58"/>
      <c r="BI336" s="58"/>
      <c r="BJ336" s="58"/>
      <c r="BK336" s="58"/>
      <c r="BL336" s="58"/>
      <c r="BM336" s="58"/>
      <c r="BN336" s="58"/>
      <c r="BO336" s="58"/>
      <c r="BP336" s="58"/>
      <c r="BQ336" s="58"/>
    </row>
    <row r="337" spans="1:58" ht="18.75" customHeight="1">
      <c r="A337" s="57" t="s">
        <v>1147</v>
      </c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0"/>
      <c r="M337" s="370"/>
      <c r="N337" s="370"/>
      <c r="O337" s="370"/>
      <c r="P337" s="370"/>
      <c r="Q337" s="370"/>
      <c r="R337" s="370"/>
      <c r="S337" s="370"/>
      <c r="T337" s="370"/>
      <c r="U337" s="370"/>
      <c r="V337" s="370"/>
      <c r="W337" s="370"/>
      <c r="X337" s="370"/>
      <c r="Y337" s="370"/>
      <c r="Z337" s="370"/>
      <c r="AA337" s="370"/>
      <c r="AB337" s="370"/>
      <c r="AC337" s="370"/>
      <c r="AD337" s="370"/>
      <c r="AE337" s="370"/>
      <c r="AF337" s="370"/>
      <c r="AG337" s="370"/>
      <c r="AH337" s="370"/>
      <c r="AI337" s="370"/>
      <c r="AJ337" s="370"/>
      <c r="AK337" s="370"/>
      <c r="AL337" s="370"/>
      <c r="AM337" s="370"/>
      <c r="AN337" s="370"/>
      <c r="AO337" s="370"/>
      <c r="AP337" s="370"/>
      <c r="AQ337" s="370"/>
      <c r="AR337" s="370"/>
      <c r="AS337" s="370"/>
      <c r="AT337" s="370"/>
    </row>
    <row r="338" spans="1:58" ht="18.75" customHeight="1">
      <c r="A338" s="370"/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0"/>
      <c r="M338" s="370"/>
      <c r="N338" s="370"/>
      <c r="O338" s="370"/>
      <c r="P338" s="370"/>
      <c r="Q338" s="370"/>
      <c r="R338" s="370"/>
      <c r="S338" s="370"/>
      <c r="T338" s="370"/>
      <c r="U338" s="370"/>
      <c r="V338" s="370"/>
      <c r="W338" s="370"/>
      <c r="X338" s="370"/>
      <c r="Y338" s="370"/>
      <c r="Z338" s="370"/>
      <c r="AA338" s="370"/>
      <c r="AB338" s="370"/>
      <c r="AC338" s="370"/>
      <c r="AD338" s="370"/>
      <c r="AE338" s="370"/>
      <c r="AF338" s="370"/>
      <c r="AG338" s="370"/>
      <c r="AH338" s="370"/>
      <c r="AI338" s="370"/>
      <c r="AJ338" s="370"/>
      <c r="AK338" s="370"/>
      <c r="AL338" s="370"/>
      <c r="AM338" s="370"/>
      <c r="AN338" s="370"/>
      <c r="AO338" s="370"/>
      <c r="AP338" s="370"/>
      <c r="AQ338" s="370"/>
      <c r="AR338" s="370"/>
      <c r="AS338" s="370"/>
      <c r="AT338" s="370"/>
    </row>
    <row r="339" spans="1:58" ht="18.75" customHeight="1">
      <c r="A339" s="370"/>
      <c r="B339" s="370"/>
      <c r="C339" s="370" t="s">
        <v>1148</v>
      </c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370"/>
      <c r="Z339" s="370"/>
      <c r="AA339" s="370"/>
      <c r="AB339" s="370"/>
      <c r="AC339" s="370"/>
      <c r="AD339" s="370"/>
      <c r="AE339" s="370"/>
      <c r="AF339" s="370"/>
      <c r="AG339" s="370"/>
      <c r="AH339" s="370"/>
      <c r="AI339" s="370"/>
      <c r="AJ339" s="370"/>
      <c r="AK339" s="370"/>
      <c r="AL339" s="370"/>
      <c r="AM339" s="370"/>
      <c r="AN339" s="370"/>
      <c r="AO339" s="370"/>
      <c r="AP339" s="370"/>
      <c r="AQ339" s="370"/>
      <c r="AR339" s="370"/>
      <c r="AS339" s="370"/>
      <c r="AT339" s="370"/>
    </row>
    <row r="340" spans="1:58" ht="18.75" customHeight="1">
      <c r="A340" s="370"/>
      <c r="B340" s="370"/>
      <c r="C340" s="370"/>
      <c r="D340" s="370"/>
      <c r="E340" s="370"/>
      <c r="F340" s="370"/>
      <c r="G340" s="370"/>
      <c r="H340" s="370"/>
      <c r="I340" s="370"/>
      <c r="J340" s="370"/>
      <c r="K340" s="370"/>
      <c r="L340" s="370"/>
      <c r="M340" s="370"/>
      <c r="N340" s="370"/>
      <c r="O340" s="370"/>
      <c r="P340" s="370"/>
      <c r="Q340" s="370"/>
      <c r="R340" s="370"/>
      <c r="S340" s="370"/>
      <c r="T340" s="370"/>
      <c r="U340" s="370"/>
      <c r="V340" s="370"/>
      <c r="W340" s="370"/>
      <c r="X340" s="370"/>
      <c r="Y340" s="370"/>
      <c r="Z340" s="370"/>
      <c r="AA340" s="370"/>
      <c r="AB340" s="370"/>
      <c r="AC340" s="370"/>
      <c r="AD340" s="370"/>
      <c r="AE340" s="370"/>
      <c r="AF340" s="370"/>
      <c r="AG340" s="370"/>
      <c r="AH340" s="370"/>
      <c r="AI340" s="370"/>
      <c r="AJ340" s="370"/>
      <c r="AK340" s="370"/>
      <c r="AL340" s="370"/>
      <c r="AM340" s="370"/>
      <c r="AN340" s="370"/>
      <c r="AO340" s="370"/>
      <c r="AP340" s="370"/>
      <c r="AQ340" s="370"/>
      <c r="AR340" s="370"/>
      <c r="AS340" s="370"/>
      <c r="AT340" s="370"/>
    </row>
    <row r="341" spans="1:58" ht="18.75" customHeight="1">
      <c r="A341" s="370"/>
      <c r="B341" s="370"/>
      <c r="C341" s="370"/>
      <c r="D341" s="370"/>
      <c r="E341" s="370"/>
      <c r="F341" s="370"/>
      <c r="G341" s="370"/>
      <c r="H341" s="370"/>
      <c r="I341" s="370"/>
      <c r="J341" s="370"/>
      <c r="K341" s="370"/>
      <c r="L341" s="370"/>
      <c r="M341" s="370"/>
      <c r="N341" s="370"/>
      <c r="O341" s="370"/>
      <c r="P341" s="370"/>
      <c r="Q341" s="370"/>
      <c r="R341" s="370"/>
      <c r="S341" s="370"/>
      <c r="T341" s="370"/>
      <c r="U341" s="370"/>
      <c r="V341" s="370"/>
      <c r="W341" s="370"/>
      <c r="X341" s="370"/>
      <c r="Y341" s="370"/>
      <c r="Z341" s="370"/>
      <c r="AA341" s="370"/>
      <c r="AB341" s="370"/>
      <c r="AC341" s="370"/>
      <c r="AD341" s="370"/>
      <c r="AE341" s="370"/>
      <c r="AF341" s="370"/>
      <c r="AG341" s="370"/>
      <c r="AH341" s="370"/>
      <c r="AI341" s="370"/>
      <c r="AJ341" s="370"/>
      <c r="AK341" s="370"/>
      <c r="AL341" s="370"/>
      <c r="AM341" s="370"/>
      <c r="AN341" s="370"/>
      <c r="AO341" s="370"/>
      <c r="AP341" s="370"/>
      <c r="AQ341" s="370"/>
      <c r="AR341" s="370"/>
      <c r="AS341" s="370"/>
      <c r="AT341" s="370"/>
    </row>
    <row r="342" spans="1:58" ht="18.75" customHeight="1">
      <c r="A342" s="370"/>
      <c r="B342" s="370"/>
      <c r="C342" s="370"/>
      <c r="D342" s="370"/>
      <c r="E342" s="370"/>
      <c r="F342" s="370"/>
      <c r="G342" s="370"/>
      <c r="H342" s="370"/>
      <c r="I342" s="370"/>
      <c r="J342" s="370"/>
      <c r="K342" s="370"/>
      <c r="L342" s="370"/>
      <c r="M342" s="370"/>
      <c r="N342" s="370"/>
      <c r="O342" s="370"/>
      <c r="P342" s="370"/>
      <c r="Q342" s="370"/>
      <c r="R342" s="370"/>
      <c r="S342" s="370"/>
      <c r="T342" s="370"/>
      <c r="U342" s="370"/>
      <c r="V342" s="370"/>
      <c r="W342" s="370"/>
      <c r="X342" s="370"/>
      <c r="Y342" s="370"/>
      <c r="Z342" s="370"/>
      <c r="AA342" s="370"/>
      <c r="AB342" s="370"/>
      <c r="AC342" s="370"/>
      <c r="AD342" s="370"/>
      <c r="AE342" s="370"/>
      <c r="AF342" s="370"/>
      <c r="AG342" s="370"/>
      <c r="AH342" s="370"/>
      <c r="AI342" s="370"/>
      <c r="AJ342" s="370"/>
      <c r="AK342" s="370"/>
      <c r="AL342" s="370"/>
      <c r="AM342" s="370"/>
      <c r="AN342" s="370"/>
      <c r="AO342" s="370"/>
      <c r="AP342" s="370"/>
      <c r="AQ342" s="370"/>
      <c r="AR342" s="370"/>
      <c r="AS342" s="370"/>
      <c r="AT342" s="370"/>
    </row>
    <row r="343" spans="1:58" ht="18.75" customHeight="1">
      <c r="A343" s="60" t="s">
        <v>1149</v>
      </c>
      <c r="B343" s="370"/>
      <c r="C343" s="370"/>
      <c r="D343" s="370"/>
      <c r="E343" s="370"/>
      <c r="F343" s="370"/>
      <c r="G343" s="370"/>
      <c r="H343" s="370"/>
      <c r="I343" s="370"/>
      <c r="J343" s="370"/>
      <c r="K343" s="370"/>
      <c r="L343" s="370"/>
      <c r="M343" s="370"/>
      <c r="N343" s="370"/>
      <c r="O343" s="370"/>
      <c r="P343" s="370"/>
      <c r="Q343" s="370"/>
      <c r="R343" s="370"/>
      <c r="S343" s="370"/>
      <c r="T343" s="370"/>
      <c r="U343" s="370"/>
      <c r="V343" s="370"/>
      <c r="W343" s="370"/>
      <c r="X343" s="370"/>
      <c r="Y343" s="370"/>
      <c r="Z343" s="370"/>
      <c r="AA343" s="370"/>
      <c r="AB343" s="370"/>
      <c r="AC343" s="370"/>
      <c r="AD343" s="370"/>
      <c r="AE343" s="370"/>
      <c r="AF343" s="370"/>
      <c r="AG343" s="370"/>
      <c r="AH343" s="370"/>
      <c r="AI343" s="370"/>
      <c r="AJ343" s="370"/>
      <c r="AK343" s="370"/>
      <c r="AL343" s="370"/>
      <c r="AM343" s="370"/>
      <c r="AN343" s="370"/>
      <c r="AO343" s="370"/>
      <c r="AP343" s="370"/>
      <c r="AQ343" s="370"/>
      <c r="AR343" s="370"/>
      <c r="AS343" s="370"/>
      <c r="AT343" s="370"/>
    </row>
    <row r="344" spans="1:58" ht="18.75" customHeight="1">
      <c r="A344" s="370"/>
      <c r="B344" s="558"/>
      <c r="C344" s="560"/>
      <c r="D344" s="537"/>
      <c r="E344" s="538"/>
      <c r="F344" s="538"/>
      <c r="G344" s="539"/>
      <c r="H344" s="522">
        <v>1</v>
      </c>
      <c r="I344" s="522"/>
      <c r="J344" s="522"/>
      <c r="K344" s="522"/>
      <c r="L344" s="522"/>
      <c r="M344" s="522"/>
      <c r="N344" s="522"/>
      <c r="O344" s="537">
        <v>2</v>
      </c>
      <c r="P344" s="538"/>
      <c r="Q344" s="538"/>
      <c r="R344" s="538"/>
      <c r="S344" s="538"/>
      <c r="T344" s="538"/>
      <c r="U344" s="538"/>
      <c r="V344" s="538"/>
      <c r="W344" s="538"/>
      <c r="X344" s="538"/>
      <c r="Y344" s="538"/>
      <c r="Z344" s="538"/>
      <c r="AA344" s="539"/>
      <c r="AB344" s="522">
        <v>3</v>
      </c>
      <c r="AC344" s="522"/>
      <c r="AD344" s="522"/>
      <c r="AE344" s="522"/>
      <c r="AF344" s="522"/>
      <c r="AG344" s="537">
        <v>4</v>
      </c>
      <c r="AH344" s="538"/>
      <c r="AI344" s="538"/>
      <c r="AJ344" s="538"/>
      <c r="AK344" s="538"/>
      <c r="AL344" s="538"/>
      <c r="AM344" s="538"/>
      <c r="AN344" s="538"/>
      <c r="AO344" s="539"/>
      <c r="AP344" s="537">
        <v>5</v>
      </c>
      <c r="AQ344" s="538"/>
      <c r="AR344" s="538"/>
      <c r="AS344" s="538"/>
      <c r="AT344" s="538"/>
      <c r="AU344" s="538"/>
      <c r="AV344" s="538"/>
      <c r="AW344" s="538"/>
      <c r="AX344" s="538"/>
      <c r="AY344" s="538"/>
      <c r="AZ344" s="538"/>
      <c r="BA344" s="538"/>
      <c r="BB344" s="539"/>
      <c r="BC344" s="522">
        <v>6</v>
      </c>
      <c r="BD344" s="522"/>
      <c r="BE344" s="522"/>
      <c r="BF344" s="522"/>
    </row>
    <row r="345" spans="1:58" ht="18.75" customHeight="1">
      <c r="A345" s="370"/>
      <c r="B345" s="563"/>
      <c r="C345" s="564"/>
      <c r="D345" s="558" t="s">
        <v>816</v>
      </c>
      <c r="E345" s="559"/>
      <c r="F345" s="559"/>
      <c r="G345" s="560"/>
      <c r="H345" s="557" t="s">
        <v>1150</v>
      </c>
      <c r="I345" s="557"/>
      <c r="J345" s="557"/>
      <c r="K345" s="557"/>
      <c r="L345" s="557"/>
      <c r="M345" s="557"/>
      <c r="N345" s="557"/>
      <c r="O345" s="558" t="s">
        <v>818</v>
      </c>
      <c r="P345" s="559"/>
      <c r="Q345" s="559"/>
      <c r="R345" s="559"/>
      <c r="S345" s="559"/>
      <c r="T345" s="559"/>
      <c r="U345" s="559"/>
      <c r="V345" s="559"/>
      <c r="W345" s="559"/>
      <c r="X345" s="559"/>
      <c r="Y345" s="559"/>
      <c r="Z345" s="559"/>
      <c r="AA345" s="560"/>
      <c r="AB345" s="557" t="s">
        <v>819</v>
      </c>
      <c r="AC345" s="557"/>
      <c r="AD345" s="557"/>
      <c r="AE345" s="557"/>
      <c r="AF345" s="557"/>
      <c r="AG345" s="558" t="s">
        <v>820</v>
      </c>
      <c r="AH345" s="559"/>
      <c r="AI345" s="559"/>
      <c r="AJ345" s="559"/>
      <c r="AK345" s="559"/>
      <c r="AL345" s="559"/>
      <c r="AM345" s="559"/>
      <c r="AN345" s="559"/>
      <c r="AO345" s="560"/>
      <c r="AP345" s="558" t="s">
        <v>993</v>
      </c>
      <c r="AQ345" s="559"/>
      <c r="AR345" s="559"/>
      <c r="AS345" s="559"/>
      <c r="AT345" s="559"/>
      <c r="AU345" s="559"/>
      <c r="AV345" s="559"/>
      <c r="AW345" s="559"/>
      <c r="AX345" s="559"/>
      <c r="AY345" s="559"/>
      <c r="AZ345" s="559"/>
      <c r="BA345" s="559"/>
      <c r="BB345" s="560"/>
      <c r="BC345" s="557" t="s">
        <v>822</v>
      </c>
      <c r="BD345" s="557"/>
      <c r="BE345" s="557"/>
      <c r="BF345" s="557"/>
    </row>
    <row r="346" spans="1:58" ht="18.75" customHeight="1">
      <c r="A346" s="370"/>
      <c r="B346" s="565"/>
      <c r="C346" s="566"/>
      <c r="D346" s="572" t="s">
        <v>823</v>
      </c>
      <c r="E346" s="573"/>
      <c r="F346" s="573"/>
      <c r="G346" s="574"/>
      <c r="H346" s="556" t="s">
        <v>996</v>
      </c>
      <c r="I346" s="556"/>
      <c r="J346" s="556"/>
      <c r="K346" s="556"/>
      <c r="L346" s="556"/>
      <c r="M346" s="556"/>
      <c r="N346" s="556"/>
      <c r="O346" s="567" t="s">
        <v>825</v>
      </c>
      <c r="P346" s="568"/>
      <c r="Q346" s="568"/>
      <c r="R346" s="568"/>
      <c r="S346" s="568"/>
      <c r="T346" s="568"/>
      <c r="U346" s="568"/>
      <c r="V346" s="568"/>
      <c r="W346" s="568"/>
      <c r="X346" s="568"/>
      <c r="Y346" s="568"/>
      <c r="Z346" s="568"/>
      <c r="AA346" s="569"/>
      <c r="AB346" s="556"/>
      <c r="AC346" s="556"/>
      <c r="AD346" s="556"/>
      <c r="AE346" s="556"/>
      <c r="AF346" s="556"/>
      <c r="AG346" s="567" t="s">
        <v>998</v>
      </c>
      <c r="AH346" s="568"/>
      <c r="AI346" s="568"/>
      <c r="AJ346" s="568"/>
      <c r="AK346" s="568"/>
      <c r="AL346" s="568"/>
      <c r="AM346" s="568"/>
      <c r="AN346" s="568"/>
      <c r="AO346" s="569"/>
      <c r="AP346" s="567" t="s">
        <v>827</v>
      </c>
      <c r="AQ346" s="568"/>
      <c r="AR346" s="568"/>
      <c r="AS346" s="568"/>
      <c r="AT346" s="568"/>
      <c r="AU346" s="568"/>
      <c r="AV346" s="568"/>
      <c r="AW346" s="568"/>
      <c r="AX346" s="568"/>
      <c r="AY346" s="568"/>
      <c r="AZ346" s="568"/>
      <c r="BA346" s="568"/>
      <c r="BB346" s="569"/>
      <c r="BC346" s="556"/>
      <c r="BD346" s="556"/>
      <c r="BE346" s="556"/>
      <c r="BF346" s="556"/>
    </row>
    <row r="347" spans="1:58" ht="18.75" customHeight="1">
      <c r="A347" s="370"/>
      <c r="B347" s="522" t="s">
        <v>828</v>
      </c>
      <c r="C347" s="522"/>
      <c r="D347" s="523" t="s">
        <v>807</v>
      </c>
      <c r="E347" s="524"/>
      <c r="F347" s="524"/>
      <c r="G347" s="525"/>
      <c r="H347" s="526" t="e">
        <f ca="1">Calcu!E158</f>
        <v>#N/A</v>
      </c>
      <c r="I347" s="527"/>
      <c r="J347" s="527"/>
      <c r="K347" s="527"/>
      <c r="L347" s="527"/>
      <c r="M347" s="528" t="str">
        <f>Calcu!F158</f>
        <v>mm</v>
      </c>
      <c r="N347" s="529"/>
      <c r="O347" s="620" t="e">
        <f ca="1">Calcu!K158</f>
        <v>#N/A</v>
      </c>
      <c r="P347" s="621"/>
      <c r="Q347" s="621"/>
      <c r="R347" s="621"/>
      <c r="S347" s="621"/>
      <c r="T347" s="621"/>
      <c r="U347" s="621"/>
      <c r="V347" s="535" t="str">
        <f>Calcu!L158</f>
        <v>mm</v>
      </c>
      <c r="W347" s="535"/>
      <c r="X347" s="535"/>
      <c r="Y347" s="535"/>
      <c r="Z347" s="535"/>
      <c r="AA347" s="536"/>
      <c r="AB347" s="522" t="str">
        <f>Calcu!M158</f>
        <v>정규</v>
      </c>
      <c r="AC347" s="522"/>
      <c r="AD347" s="522"/>
      <c r="AE347" s="522"/>
      <c r="AF347" s="522"/>
      <c r="AG347" s="533" t="e">
        <f ca="1">Calcu!P158</f>
        <v>#N/A</v>
      </c>
      <c r="AH347" s="534"/>
      <c r="AI347" s="534"/>
      <c r="AJ347" s="534"/>
      <c r="AK347" s="534"/>
      <c r="AL347" s="520" t="str">
        <f>Calcu!Q158</f>
        <v>/mm</v>
      </c>
      <c r="AM347" s="520"/>
      <c r="AN347" s="520"/>
      <c r="AO347" s="521"/>
      <c r="AP347" s="622" t="e">
        <f ca="1">LEFT(TEXT(Calcu!R158,"0.0E+#"),3)</f>
        <v>#N/A</v>
      </c>
      <c r="AQ347" s="623"/>
      <c r="AR347" s="623"/>
      <c r="AS347" s="623"/>
      <c r="AT347" s="623"/>
      <c r="AU347" s="623"/>
      <c r="AV347" s="624" t="s">
        <v>1151</v>
      </c>
      <c r="AW347" s="624"/>
      <c r="AX347" s="625" t="e">
        <f ca="1">MID(TEXT(Calcu!R158,"0.0E+#"),5,3)</f>
        <v>#N/A</v>
      </c>
      <c r="AY347" s="625"/>
      <c r="AZ347" s="625"/>
      <c r="BA347" s="625"/>
      <c r="BB347" s="626"/>
      <c r="BC347" s="522" t="str">
        <f>Calcu!S158</f>
        <v>∞</v>
      </c>
      <c r="BD347" s="522"/>
      <c r="BE347" s="522"/>
      <c r="BF347" s="522"/>
    </row>
    <row r="348" spans="1:58" ht="18.75" customHeight="1">
      <c r="A348" s="370"/>
      <c r="B348" s="522" t="s">
        <v>1152</v>
      </c>
      <c r="C348" s="522"/>
      <c r="D348" s="523" t="s">
        <v>1002</v>
      </c>
      <c r="E348" s="524"/>
      <c r="F348" s="524"/>
      <c r="G348" s="525"/>
      <c r="H348" s="526" t="e">
        <f ca="1">Calcu!E159</f>
        <v>#N/A</v>
      </c>
      <c r="I348" s="527"/>
      <c r="J348" s="527"/>
      <c r="K348" s="527"/>
      <c r="L348" s="527"/>
      <c r="M348" s="528" t="str">
        <f>Calcu!F159</f>
        <v>mm</v>
      </c>
      <c r="N348" s="529"/>
      <c r="O348" s="620">
        <f>Calcu!K159</f>
        <v>0</v>
      </c>
      <c r="P348" s="621"/>
      <c r="Q348" s="621"/>
      <c r="R348" s="621"/>
      <c r="S348" s="621"/>
      <c r="T348" s="621"/>
      <c r="U348" s="621"/>
      <c r="V348" s="535" t="str">
        <f>Calcu!L159</f>
        <v>mm</v>
      </c>
      <c r="W348" s="535"/>
      <c r="X348" s="535"/>
      <c r="Y348" s="535"/>
      <c r="Z348" s="535"/>
      <c r="AA348" s="536"/>
      <c r="AB348" s="522" t="str">
        <f>Calcu!M159</f>
        <v>t</v>
      </c>
      <c r="AC348" s="522"/>
      <c r="AD348" s="522"/>
      <c r="AE348" s="522"/>
      <c r="AF348" s="522"/>
      <c r="AG348" s="533" t="e">
        <f ca="1">Calcu!P159</f>
        <v>#N/A</v>
      </c>
      <c r="AH348" s="534"/>
      <c r="AI348" s="534"/>
      <c r="AJ348" s="534"/>
      <c r="AK348" s="534"/>
      <c r="AL348" s="520" t="str">
        <f>Calcu!Q159</f>
        <v>/mm</v>
      </c>
      <c r="AM348" s="520"/>
      <c r="AN348" s="520"/>
      <c r="AO348" s="521"/>
      <c r="AP348" s="622" t="e">
        <f ca="1">LEFT(TEXT(Calcu!R159,"0.0E+#"),3)</f>
        <v>#N/A</v>
      </c>
      <c r="AQ348" s="623"/>
      <c r="AR348" s="623"/>
      <c r="AS348" s="623"/>
      <c r="AT348" s="623"/>
      <c r="AU348" s="623"/>
      <c r="AV348" s="624" t="s">
        <v>932</v>
      </c>
      <c r="AW348" s="624"/>
      <c r="AX348" s="625" t="e">
        <f ca="1">MID(TEXT(Calcu!R159,"0.0E+#"),5,3)</f>
        <v>#N/A</v>
      </c>
      <c r="AY348" s="625"/>
      <c r="AZ348" s="625"/>
      <c r="BA348" s="625"/>
      <c r="BB348" s="626"/>
      <c r="BC348" s="522">
        <f>Calcu!S159</f>
        <v>4</v>
      </c>
      <c r="BD348" s="522"/>
      <c r="BE348" s="522"/>
      <c r="BF348" s="522"/>
    </row>
    <row r="349" spans="1:58" ht="18.75" customHeight="1">
      <c r="A349" s="370"/>
      <c r="B349" s="522" t="s">
        <v>921</v>
      </c>
      <c r="C349" s="522"/>
      <c r="D349" s="523" t="s">
        <v>834</v>
      </c>
      <c r="E349" s="524"/>
      <c r="F349" s="524"/>
      <c r="G349" s="525"/>
      <c r="H349" s="526">
        <f>Calcu!E160</f>
        <v>0</v>
      </c>
      <c r="I349" s="527"/>
      <c r="J349" s="527"/>
      <c r="K349" s="527"/>
      <c r="L349" s="527"/>
      <c r="M349" s="528" t="str">
        <f>Calcu!F160</f>
        <v>mm</v>
      </c>
      <c r="N349" s="529"/>
      <c r="O349" s="620">
        <f>Calcu!K160</f>
        <v>0</v>
      </c>
      <c r="P349" s="621"/>
      <c r="Q349" s="621"/>
      <c r="R349" s="621"/>
      <c r="S349" s="621"/>
      <c r="T349" s="621"/>
      <c r="U349" s="621"/>
      <c r="V349" s="535" t="str">
        <f>Calcu!L160</f>
        <v>mm</v>
      </c>
      <c r="W349" s="535"/>
      <c r="X349" s="535"/>
      <c r="Y349" s="535"/>
      <c r="Z349" s="535"/>
      <c r="AA349" s="536"/>
      <c r="AB349" s="522" t="str">
        <f>Calcu!M160</f>
        <v>직사각형</v>
      </c>
      <c r="AC349" s="522"/>
      <c r="AD349" s="522"/>
      <c r="AE349" s="522"/>
      <c r="AF349" s="522"/>
      <c r="AG349" s="533" t="e">
        <f ca="1">Calcu!P160</f>
        <v>#N/A</v>
      </c>
      <c r="AH349" s="534"/>
      <c r="AI349" s="534"/>
      <c r="AJ349" s="534"/>
      <c r="AK349" s="534"/>
      <c r="AL349" s="520" t="str">
        <f>Calcu!Q160</f>
        <v>/mm</v>
      </c>
      <c r="AM349" s="520"/>
      <c r="AN349" s="520"/>
      <c r="AO349" s="521"/>
      <c r="AP349" s="622" t="e">
        <f ca="1">LEFT(TEXT(Calcu!R160,"0.0E+#"),3)</f>
        <v>#N/A</v>
      </c>
      <c r="AQ349" s="623"/>
      <c r="AR349" s="623"/>
      <c r="AS349" s="623"/>
      <c r="AT349" s="623"/>
      <c r="AU349" s="623"/>
      <c r="AV349" s="624" t="s">
        <v>932</v>
      </c>
      <c r="AW349" s="624"/>
      <c r="AX349" s="625" t="e">
        <f ca="1">MID(TEXT(Calcu!R160,"0.0E+#"),5,3)</f>
        <v>#N/A</v>
      </c>
      <c r="AY349" s="625"/>
      <c r="AZ349" s="625"/>
      <c r="BA349" s="625"/>
      <c r="BB349" s="626"/>
      <c r="BC349" s="522" t="str">
        <f>Calcu!S160</f>
        <v>∞</v>
      </c>
      <c r="BD349" s="522"/>
      <c r="BE349" s="522"/>
      <c r="BF349" s="522"/>
    </row>
    <row r="350" spans="1:58" ht="18.75" customHeight="1">
      <c r="A350" s="370"/>
      <c r="B350" s="522" t="s">
        <v>922</v>
      </c>
      <c r="C350" s="522"/>
      <c r="D350" s="523" t="s">
        <v>1288</v>
      </c>
      <c r="E350" s="524"/>
      <c r="F350" s="524"/>
      <c r="G350" s="525"/>
      <c r="H350" s="526">
        <f>Calcu!E161</f>
        <v>0</v>
      </c>
      <c r="I350" s="527"/>
      <c r="J350" s="527"/>
      <c r="K350" s="527"/>
      <c r="L350" s="527"/>
      <c r="M350" s="528" t="str">
        <f>Calcu!F161</f>
        <v>mm</v>
      </c>
      <c r="N350" s="529"/>
      <c r="O350" s="620" t="e">
        <f ca="1">Calcu!K161</f>
        <v>#N/A</v>
      </c>
      <c r="P350" s="621"/>
      <c r="Q350" s="621"/>
      <c r="R350" s="621"/>
      <c r="S350" s="621"/>
      <c r="T350" s="621"/>
      <c r="U350" s="621"/>
      <c r="V350" s="535" t="str">
        <f>Calcu!L161</f>
        <v>mm</v>
      </c>
      <c r="W350" s="535"/>
      <c r="X350" s="535"/>
      <c r="Y350" s="535"/>
      <c r="Z350" s="535"/>
      <c r="AA350" s="536"/>
      <c r="AB350" s="522" t="str">
        <f>Calcu!M161</f>
        <v>직사각형</v>
      </c>
      <c r="AC350" s="522"/>
      <c r="AD350" s="522"/>
      <c r="AE350" s="522"/>
      <c r="AF350" s="522"/>
      <c r="AG350" s="533" t="e">
        <f ca="1">Calcu!P161</f>
        <v>#N/A</v>
      </c>
      <c r="AH350" s="534"/>
      <c r="AI350" s="534"/>
      <c r="AJ350" s="534"/>
      <c r="AK350" s="534"/>
      <c r="AL350" s="520" t="str">
        <f>Calcu!Q161</f>
        <v>/mm</v>
      </c>
      <c r="AM350" s="520"/>
      <c r="AN350" s="520"/>
      <c r="AO350" s="521"/>
      <c r="AP350" s="622" t="e">
        <f ca="1">LEFT(TEXT(Calcu!R161,"0.0E+#"),3)</f>
        <v>#N/A</v>
      </c>
      <c r="AQ350" s="623"/>
      <c r="AR350" s="623"/>
      <c r="AS350" s="623"/>
      <c r="AT350" s="623"/>
      <c r="AU350" s="623"/>
      <c r="AV350" s="624" t="s">
        <v>1153</v>
      </c>
      <c r="AW350" s="624"/>
      <c r="AX350" s="625" t="e">
        <f ca="1">MID(TEXT(Calcu!R161,"0.0E+#"),5,3)</f>
        <v>#N/A</v>
      </c>
      <c r="AY350" s="625"/>
      <c r="AZ350" s="625"/>
      <c r="BA350" s="625"/>
      <c r="BB350" s="626"/>
      <c r="BC350" s="522">
        <f>Calcu!S161</f>
        <v>12</v>
      </c>
      <c r="BD350" s="522"/>
      <c r="BE350" s="522"/>
      <c r="BF350" s="522"/>
    </row>
    <row r="351" spans="1:58" ht="18.75" customHeight="1">
      <c r="A351" s="370"/>
      <c r="B351" s="522" t="s">
        <v>1154</v>
      </c>
      <c r="C351" s="522"/>
      <c r="D351" s="523" t="s">
        <v>926</v>
      </c>
      <c r="E351" s="524"/>
      <c r="F351" s="524"/>
      <c r="G351" s="525"/>
      <c r="H351" s="627" t="e">
        <f ca="1">Calcu!E162</f>
        <v>#N/A</v>
      </c>
      <c r="I351" s="628"/>
      <c r="J351" s="628"/>
      <c r="K351" s="628"/>
      <c r="L351" s="628"/>
      <c r="M351" s="528" t="str">
        <f>Calcu!F162</f>
        <v>%</v>
      </c>
      <c r="N351" s="529"/>
      <c r="O351" s="537"/>
      <c r="P351" s="538"/>
      <c r="Q351" s="538"/>
      <c r="R351" s="538"/>
      <c r="S351" s="538"/>
      <c r="T351" s="538"/>
      <c r="U351" s="538"/>
      <c r="V351" s="538"/>
      <c r="W351" s="538"/>
      <c r="X351" s="538"/>
      <c r="Y351" s="538"/>
      <c r="Z351" s="538"/>
      <c r="AA351" s="539"/>
      <c r="AB351" s="522"/>
      <c r="AC351" s="522"/>
      <c r="AD351" s="522"/>
      <c r="AE351" s="522"/>
      <c r="AF351" s="522"/>
      <c r="AG351" s="537"/>
      <c r="AH351" s="538"/>
      <c r="AI351" s="538"/>
      <c r="AJ351" s="538"/>
      <c r="AK351" s="538"/>
      <c r="AL351" s="538"/>
      <c r="AM351" s="538"/>
      <c r="AN351" s="538"/>
      <c r="AO351" s="539"/>
      <c r="AP351" s="622" t="e">
        <f ca="1">LEFT(TEXT(Calcu!R162,"0.0E+#"),3)</f>
        <v>#N/A</v>
      </c>
      <c r="AQ351" s="623"/>
      <c r="AR351" s="623"/>
      <c r="AS351" s="623"/>
      <c r="AT351" s="623"/>
      <c r="AU351" s="623"/>
      <c r="AV351" s="624" t="s">
        <v>932</v>
      </c>
      <c r="AW351" s="624"/>
      <c r="AX351" s="625" t="e">
        <f ca="1">MID(TEXT(Calcu!R162,"0.0E+#"),5,3)</f>
        <v>#N/A</v>
      </c>
      <c r="AY351" s="625"/>
      <c r="AZ351" s="625"/>
      <c r="BA351" s="625"/>
      <c r="BB351" s="626"/>
      <c r="BC351" s="522" t="e">
        <f ca="1">Calcu!S162</f>
        <v>#N/A</v>
      </c>
      <c r="BD351" s="522"/>
      <c r="BE351" s="522"/>
      <c r="BF351" s="522"/>
    </row>
    <row r="352" spans="1:58" ht="18.75" customHeight="1">
      <c r="A352" s="370"/>
      <c r="B352" s="370"/>
      <c r="C352" s="370"/>
      <c r="D352" s="370"/>
      <c r="E352" s="370"/>
      <c r="F352" s="370"/>
      <c r="G352" s="370"/>
      <c r="H352" s="370"/>
      <c r="I352" s="370"/>
      <c r="J352" s="370"/>
      <c r="K352" s="370"/>
      <c r="L352" s="370"/>
      <c r="M352" s="370"/>
      <c r="N352" s="370"/>
      <c r="O352" s="370"/>
      <c r="P352" s="370"/>
      <c r="Q352" s="370"/>
      <c r="R352" s="370"/>
      <c r="S352" s="370"/>
      <c r="T352" s="370"/>
      <c r="U352" s="370"/>
      <c r="V352" s="370"/>
      <c r="W352" s="370"/>
      <c r="X352" s="370"/>
      <c r="Y352" s="370"/>
      <c r="Z352" s="370"/>
      <c r="AA352" s="370"/>
      <c r="AB352" s="370"/>
      <c r="AC352" s="370"/>
      <c r="AD352" s="370"/>
      <c r="AE352" s="370"/>
      <c r="AF352" s="370"/>
      <c r="AG352" s="223"/>
      <c r="AH352" s="370"/>
      <c r="AI352" s="370"/>
      <c r="AJ352" s="370"/>
      <c r="AK352" s="370"/>
      <c r="AL352" s="370"/>
      <c r="AM352" s="370"/>
      <c r="AN352" s="370"/>
      <c r="AO352" s="370"/>
      <c r="AP352" s="370"/>
      <c r="AQ352" s="370"/>
      <c r="AR352" s="370"/>
      <c r="AS352" s="370"/>
      <c r="AT352" s="370"/>
    </row>
    <row r="353" spans="1:60" ht="18.75" customHeight="1">
      <c r="A353" s="57" t="s">
        <v>933</v>
      </c>
      <c r="B353" s="370"/>
      <c r="C353" s="370"/>
      <c r="D353" s="370"/>
      <c r="E353" s="370"/>
      <c r="F353" s="370"/>
      <c r="G353" s="370"/>
      <c r="H353" s="370"/>
      <c r="I353" s="370"/>
      <c r="J353" s="370"/>
      <c r="K353" s="370"/>
      <c r="L353" s="370"/>
      <c r="M353" s="370"/>
      <c r="N353" s="370"/>
      <c r="O353" s="370"/>
      <c r="P353" s="370"/>
      <c r="Q353" s="370"/>
      <c r="R353" s="370"/>
      <c r="S353" s="370"/>
      <c r="T353" s="370"/>
      <c r="U353" s="370"/>
      <c r="V353" s="370"/>
      <c r="W353" s="370"/>
      <c r="X353" s="370"/>
      <c r="Y353" s="370"/>
      <c r="Z353" s="370"/>
      <c r="AA353" s="370"/>
      <c r="AB353" s="370"/>
      <c r="AC353" s="370"/>
      <c r="AD353" s="370"/>
      <c r="AE353" s="370"/>
      <c r="AF353" s="370"/>
      <c r="AG353" s="370"/>
      <c r="AH353" s="370"/>
      <c r="AI353" s="370"/>
      <c r="AJ353" s="370"/>
      <c r="AK353" s="370"/>
      <c r="AL353" s="370"/>
      <c r="AM353" s="370"/>
      <c r="AN353" s="370"/>
      <c r="AO353" s="370"/>
      <c r="AP353" s="370"/>
      <c r="AQ353" s="370"/>
      <c r="AR353" s="370"/>
      <c r="AS353" s="370"/>
      <c r="AT353" s="370"/>
    </row>
    <row r="354" spans="1:60" ht="18.75" customHeight="1">
      <c r="A354" s="370"/>
      <c r="B354" s="200" t="str">
        <f>"1. "&amp;T298&amp;"에 의한 표준불확도,"</f>
        <v>1. 표준자에 의한 표준불확도,</v>
      </c>
      <c r="C354" s="370"/>
      <c r="D354" s="370"/>
      <c r="E354" s="370"/>
      <c r="F354" s="370"/>
      <c r="G354" s="370"/>
      <c r="H354" s="370"/>
      <c r="I354" s="370"/>
      <c r="J354" s="370"/>
      <c r="K354" s="370"/>
      <c r="L354" s="370"/>
      <c r="O354" s="201" t="s">
        <v>1155</v>
      </c>
      <c r="P354" s="370"/>
      <c r="Q354" s="370"/>
      <c r="R354" s="370"/>
      <c r="S354" s="370"/>
      <c r="T354" s="370"/>
      <c r="U354" s="370"/>
      <c r="V354" s="370"/>
      <c r="W354" s="370"/>
      <c r="X354" s="370"/>
      <c r="Y354" s="370"/>
      <c r="Z354" s="370"/>
      <c r="AA354" s="370"/>
      <c r="AB354" s="370"/>
      <c r="AC354" s="370"/>
      <c r="AD354" s="370"/>
      <c r="AE354" s="370"/>
      <c r="AF354" s="370"/>
      <c r="AG354" s="370"/>
      <c r="AH354" s="370"/>
      <c r="AI354" s="370"/>
      <c r="AJ354" s="370"/>
      <c r="AK354" s="370"/>
      <c r="AL354" s="370"/>
      <c r="AM354" s="370"/>
      <c r="AN354" s="370"/>
      <c r="AO354" s="370"/>
      <c r="AP354" s="370"/>
      <c r="AQ354" s="370"/>
      <c r="AR354" s="370"/>
      <c r="AS354" s="370"/>
      <c r="AT354" s="370"/>
    </row>
    <row r="355" spans="1:60" ht="18.75" customHeight="1">
      <c r="A355" s="370"/>
      <c r="B355" s="370"/>
      <c r="C355" s="370" t="s">
        <v>1156</v>
      </c>
      <c r="D355" s="370"/>
      <c r="E355" s="370"/>
      <c r="F355" s="370"/>
      <c r="G355" s="370"/>
      <c r="H355" s="370"/>
      <c r="I355" s="629" t="e">
        <f ca="1">H347</f>
        <v>#N/A</v>
      </c>
      <c r="J355" s="629"/>
      <c r="K355" s="629"/>
      <c r="L355" s="629"/>
      <c r="M355" s="629"/>
      <c r="N355" s="576" t="str">
        <f>M347</f>
        <v>mm</v>
      </c>
      <c r="O355" s="576"/>
      <c r="P355" s="350"/>
      <c r="Q355" s="370"/>
      <c r="R355" s="370"/>
      <c r="S355" s="370"/>
      <c r="T355" s="370"/>
      <c r="U355" s="370"/>
      <c r="V355" s="370"/>
      <c r="W355" s="370"/>
      <c r="X355" s="370"/>
      <c r="Y355" s="370"/>
      <c r="Z355" s="370"/>
      <c r="AA355" s="370"/>
      <c r="AB355" s="370"/>
      <c r="AC355" s="370"/>
      <c r="AD355" s="370"/>
      <c r="AE355" s="370"/>
      <c r="AF355" s="370"/>
      <c r="AG355" s="370"/>
      <c r="AH355" s="370"/>
      <c r="AI355" s="370"/>
      <c r="AJ355" s="370"/>
      <c r="AK355" s="370"/>
      <c r="AL355" s="370"/>
      <c r="AM355" s="370"/>
      <c r="AN355" s="370"/>
      <c r="AO355" s="370"/>
      <c r="AP355" s="370"/>
      <c r="AQ355" s="370"/>
      <c r="AR355" s="370"/>
      <c r="AS355" s="370"/>
      <c r="AT355" s="370"/>
    </row>
    <row r="356" spans="1:60" s="382" customFormat="1" ht="18.75" customHeight="1">
      <c r="B356" s="57"/>
      <c r="C356" s="361" t="s">
        <v>841</v>
      </c>
      <c r="D356" s="361"/>
      <c r="E356" s="361"/>
      <c r="F356" s="361"/>
      <c r="G356" s="361"/>
      <c r="H356" s="361"/>
      <c r="I356" s="361"/>
      <c r="J356" s="361" t="str">
        <f>"※ "&amp;T298&amp;"의 측정불확도가 "</f>
        <v xml:space="preserve">※ 표준자의 측정불확도가 </v>
      </c>
      <c r="K356" s="361"/>
      <c r="L356" s="361"/>
      <c r="M356" s="361"/>
      <c r="N356" s="361"/>
      <c r="O356" s="361"/>
      <c r="P356" s="361"/>
      <c r="Q356" s="361"/>
      <c r="R356" s="361"/>
      <c r="S356" s="361"/>
      <c r="T356" s="361"/>
      <c r="U356" s="361"/>
      <c r="V356" s="361"/>
      <c r="W356" s="361"/>
      <c r="X356" s="361"/>
      <c r="Y356" s="577" t="e">
        <f ca="1">Calcu!G158</f>
        <v>#N/A</v>
      </c>
      <c r="Z356" s="577"/>
      <c r="AB356" s="578" t="e">
        <f ca="1">Calcu!H158/IF(Calcu!I158="L=m",1000,1)</f>
        <v>#N/A</v>
      </c>
      <c r="AC356" s="578"/>
      <c r="AD356" s="578"/>
      <c r="AE356" s="361"/>
      <c r="AF356" s="361"/>
      <c r="AH356" s="361" t="s">
        <v>1157</v>
      </c>
      <c r="AJ356" s="361"/>
      <c r="AK356" s="361"/>
      <c r="AL356" s="361"/>
      <c r="AM356" s="361"/>
      <c r="AN356" s="361"/>
      <c r="AO356" s="361"/>
      <c r="AP356" s="361"/>
      <c r="AQ356" s="361"/>
      <c r="AR356" s="361"/>
      <c r="AS356" s="361"/>
      <c r="AT356" s="361"/>
      <c r="AU356" s="361"/>
      <c r="AV356" s="361"/>
      <c r="AW356" s="361"/>
      <c r="AX356" s="361"/>
      <c r="AY356" s="361"/>
      <c r="BB356" s="361"/>
      <c r="BC356" s="361"/>
      <c r="BD356" s="361"/>
      <c r="BE356" s="361"/>
      <c r="BF356" s="361"/>
      <c r="BG356" s="361"/>
    </row>
    <row r="357" spans="1:60" s="382" customFormat="1" ht="18.75" customHeight="1">
      <c r="B357" s="57"/>
      <c r="D357" s="361"/>
      <c r="E357" s="361"/>
      <c r="F357" s="361"/>
      <c r="G357" s="361"/>
      <c r="H357" s="361"/>
      <c r="I357" s="361"/>
      <c r="J357" s="361"/>
      <c r="K357" s="361" t="s">
        <v>1158</v>
      </c>
      <c r="L357" s="361"/>
      <c r="M357" s="361"/>
      <c r="N357" s="361"/>
      <c r="O357" s="361"/>
      <c r="P357" s="361"/>
      <c r="Q357" s="361"/>
      <c r="R357" s="361"/>
      <c r="S357" s="361"/>
      <c r="T357" s="361"/>
      <c r="U357" s="361"/>
      <c r="V357" s="361"/>
      <c r="W357" s="361"/>
      <c r="X357" s="361"/>
      <c r="Y357" s="361"/>
      <c r="Z357" s="361"/>
      <c r="AA357" s="361"/>
      <c r="AB357" s="361"/>
      <c r="AC357" s="361"/>
      <c r="AD357" s="361"/>
      <c r="AE357" s="361"/>
      <c r="AF357" s="361"/>
      <c r="AG357" s="361"/>
      <c r="AH357" s="361"/>
      <c r="AI357" s="361"/>
      <c r="AJ357" s="361"/>
      <c r="AK357" s="361"/>
      <c r="AL357" s="361"/>
      <c r="AM357" s="361"/>
      <c r="AN357" s="361"/>
      <c r="AO357" s="361"/>
      <c r="AP357" s="361"/>
      <c r="AQ357" s="361"/>
      <c r="AR357" s="361"/>
      <c r="AS357" s="361"/>
      <c r="AT357" s="361"/>
      <c r="AU357" s="361"/>
      <c r="AV357" s="361"/>
      <c r="AW357" s="361"/>
      <c r="AX357" s="361"/>
      <c r="AY357" s="361"/>
      <c r="AZ357" s="361"/>
      <c r="BA357" s="361"/>
      <c r="BB357" s="361"/>
      <c r="BC357" s="361"/>
      <c r="BD357" s="361"/>
      <c r="BE357" s="361"/>
      <c r="BF357" s="361"/>
      <c r="BG357" s="361"/>
    </row>
    <row r="358" spans="1:60" s="382" customFormat="1" ht="18.75" customHeight="1">
      <c r="B358" s="57"/>
      <c r="C358" s="361"/>
      <c r="D358" s="361"/>
      <c r="E358" s="361"/>
      <c r="F358" s="361"/>
      <c r="G358" s="361"/>
      <c r="H358" s="361"/>
      <c r="I358" s="361"/>
      <c r="J358" s="361"/>
      <c r="K358" s="579" t="s">
        <v>844</v>
      </c>
      <c r="L358" s="579"/>
      <c r="M358" s="579"/>
      <c r="N358" s="577" t="s">
        <v>1019</v>
      </c>
      <c r="O358" s="381"/>
      <c r="P358" s="580" t="e">
        <f ca="1">Y356</f>
        <v>#N/A</v>
      </c>
      <c r="Q358" s="580"/>
      <c r="R358" s="381"/>
      <c r="S358" s="580" t="e">
        <f ca="1">AB356</f>
        <v>#N/A</v>
      </c>
      <c r="T358" s="580"/>
      <c r="U358" s="580"/>
      <c r="V358" s="224"/>
      <c r="W358" s="224"/>
      <c r="X358" s="224"/>
      <c r="Y358" s="581" t="s">
        <v>1159</v>
      </c>
      <c r="Z358" s="581"/>
      <c r="AA358" s="582" t="s">
        <v>1019</v>
      </c>
      <c r="AB358" s="225"/>
      <c r="AC358" s="583" t="e">
        <f ca="1">P358/P359</f>
        <v>#N/A</v>
      </c>
      <c r="AD358" s="583"/>
      <c r="AF358" s="584" t="e">
        <f ca="1">S358/P359</f>
        <v>#N/A</v>
      </c>
      <c r="AG358" s="584"/>
      <c r="AH358" s="584"/>
      <c r="AI358" s="584"/>
      <c r="AJ358" s="361"/>
      <c r="AM358" s="543" t="s">
        <v>1160</v>
      </c>
      <c r="AN358" s="543"/>
      <c r="AO358" s="582" t="s">
        <v>845</v>
      </c>
      <c r="AP358" s="630" t="e">
        <f ca="1">Calcu!K158</f>
        <v>#N/A</v>
      </c>
      <c r="AQ358" s="630"/>
      <c r="AR358" s="630"/>
      <c r="AS358" s="630"/>
      <c r="AT358" s="630" t="s">
        <v>1116</v>
      </c>
      <c r="AU358" s="630"/>
      <c r="AV358" s="228"/>
      <c r="AY358" s="361"/>
      <c r="AZ358" s="361"/>
      <c r="BC358" s="361"/>
      <c r="BD358" s="361"/>
      <c r="BE358" s="361"/>
      <c r="BF358" s="361"/>
      <c r="BG358" s="361"/>
      <c r="BH358" s="361"/>
    </row>
    <row r="359" spans="1:60" s="382" customFormat="1" ht="18.75" customHeight="1">
      <c r="B359" s="57"/>
      <c r="C359" s="361"/>
      <c r="D359" s="361"/>
      <c r="E359" s="361"/>
      <c r="F359" s="361"/>
      <c r="G359" s="361"/>
      <c r="H359" s="361"/>
      <c r="I359" s="361"/>
      <c r="J359" s="361"/>
      <c r="K359" s="579"/>
      <c r="L359" s="579"/>
      <c r="M359" s="579"/>
      <c r="N359" s="577"/>
      <c r="O359" s="361"/>
      <c r="P359" s="585" t="e">
        <f ca="1">Calcu!J158</f>
        <v>#N/A</v>
      </c>
      <c r="Q359" s="585"/>
      <c r="R359" s="585"/>
      <c r="S359" s="585"/>
      <c r="T359" s="585"/>
      <c r="U359" s="585"/>
      <c r="V359" s="585"/>
      <c r="W359" s="585"/>
      <c r="X359" s="585"/>
      <c r="Y359" s="585"/>
      <c r="Z359" s="585"/>
      <c r="AA359" s="582"/>
      <c r="AB359" s="225"/>
      <c r="AC359" s="583"/>
      <c r="AD359" s="583"/>
      <c r="AE359" s="361"/>
      <c r="AF359" s="584"/>
      <c r="AG359" s="584"/>
      <c r="AH359" s="584"/>
      <c r="AI359" s="584"/>
      <c r="AJ359" s="361"/>
      <c r="AM359" s="543"/>
      <c r="AN359" s="543"/>
      <c r="AO359" s="582"/>
      <c r="AP359" s="630"/>
      <c r="AQ359" s="630"/>
      <c r="AR359" s="630"/>
      <c r="AS359" s="630"/>
      <c r="AT359" s="630"/>
      <c r="AU359" s="630"/>
      <c r="AV359" s="228"/>
      <c r="AY359" s="361"/>
      <c r="AZ359" s="361"/>
      <c r="BC359" s="361"/>
      <c r="BD359" s="361"/>
      <c r="BE359" s="361"/>
      <c r="BF359" s="361"/>
      <c r="BG359" s="361"/>
      <c r="BH359" s="361"/>
    </row>
    <row r="360" spans="1:60" s="382" customFormat="1" ht="18.75" customHeight="1">
      <c r="B360" s="57"/>
      <c r="C360" s="361" t="s">
        <v>1161</v>
      </c>
      <c r="D360" s="361"/>
      <c r="E360" s="361"/>
      <c r="F360" s="361"/>
      <c r="G360" s="361"/>
      <c r="H360" s="361"/>
      <c r="I360" s="543" t="str">
        <f>AB347</f>
        <v>정규</v>
      </c>
      <c r="J360" s="543"/>
      <c r="K360" s="543"/>
      <c r="L360" s="543"/>
      <c r="M360" s="543"/>
      <c r="N360" s="361"/>
      <c r="O360" s="361"/>
      <c r="P360" s="361"/>
      <c r="Q360" s="361"/>
      <c r="R360" s="361"/>
      <c r="S360" s="361"/>
      <c r="T360" s="361"/>
      <c r="U360" s="361"/>
      <c r="V360" s="361"/>
      <c r="W360" s="361"/>
      <c r="X360" s="361"/>
      <c r="Y360" s="361"/>
      <c r="Z360" s="361"/>
      <c r="AA360" s="361"/>
      <c r="AB360" s="361"/>
      <c r="AC360" s="361"/>
      <c r="AD360" s="361"/>
      <c r="AE360" s="361"/>
      <c r="AF360" s="361"/>
      <c r="AG360" s="361"/>
      <c r="AH360" s="361"/>
      <c r="AI360" s="361"/>
      <c r="AJ360" s="361"/>
      <c r="AK360" s="361"/>
      <c r="AL360" s="361"/>
      <c r="AM360" s="361"/>
      <c r="AN360" s="361"/>
      <c r="AO360" s="361"/>
      <c r="AP360" s="361"/>
      <c r="AQ360" s="361"/>
      <c r="AR360" s="361"/>
      <c r="AS360" s="361"/>
      <c r="AT360" s="361"/>
      <c r="AU360" s="361"/>
      <c r="AV360" s="361"/>
      <c r="AW360" s="361"/>
      <c r="AX360" s="361"/>
      <c r="AY360" s="361"/>
      <c r="AZ360" s="361"/>
      <c r="BA360" s="361"/>
      <c r="BB360" s="361"/>
      <c r="BC360" s="361"/>
      <c r="BD360" s="361"/>
      <c r="BE360" s="361"/>
      <c r="BF360" s="361"/>
      <c r="BG360" s="361"/>
    </row>
    <row r="361" spans="1:60" s="382" customFormat="1" ht="18.75" customHeight="1">
      <c r="B361" s="57"/>
      <c r="C361" s="543" t="s">
        <v>1162</v>
      </c>
      <c r="D361" s="543"/>
      <c r="E361" s="543"/>
      <c r="F361" s="543"/>
      <c r="G361" s="543"/>
      <c r="H361" s="543"/>
      <c r="I361" s="346"/>
      <c r="J361" s="346"/>
      <c r="K361" s="370"/>
      <c r="L361" s="370"/>
      <c r="M361" s="56"/>
      <c r="P361" s="361"/>
      <c r="Q361" s="361"/>
      <c r="R361" s="361"/>
      <c r="S361" s="361"/>
      <c r="T361" s="361"/>
      <c r="U361" s="361"/>
      <c r="V361" s="361"/>
      <c r="W361" s="361"/>
      <c r="X361" s="361"/>
      <c r="Y361" s="589" t="e">
        <f ca="1">AG347</f>
        <v>#N/A</v>
      </c>
      <c r="Z361" s="589"/>
      <c r="AA361" s="589"/>
      <c r="AB361" s="543" t="str">
        <f>AL347</f>
        <v>/mm</v>
      </c>
      <c r="AC361" s="543"/>
      <c r="AD361" s="543"/>
      <c r="AE361" s="361"/>
      <c r="AF361" s="361"/>
      <c r="AG361" s="361"/>
      <c r="AH361" s="361"/>
      <c r="AI361" s="361"/>
      <c r="AJ361" s="361"/>
      <c r="AK361" s="361"/>
      <c r="AL361" s="361"/>
      <c r="AM361" s="361"/>
      <c r="AN361" s="361"/>
      <c r="AQ361" s="361"/>
      <c r="AR361" s="361"/>
      <c r="AS361" s="361"/>
      <c r="AT361" s="361"/>
      <c r="AU361" s="361"/>
      <c r="AV361" s="361"/>
      <c r="AW361" s="361"/>
      <c r="AX361" s="361"/>
      <c r="AY361" s="361"/>
      <c r="AZ361" s="361"/>
      <c r="BA361" s="361"/>
      <c r="BB361" s="361"/>
      <c r="BC361" s="361"/>
      <c r="BD361" s="361"/>
      <c r="BE361" s="361"/>
      <c r="BF361" s="361"/>
      <c r="BG361" s="361"/>
    </row>
    <row r="362" spans="1:60" s="382" customFormat="1" ht="18.75" customHeight="1">
      <c r="B362" s="57"/>
      <c r="C362" s="543"/>
      <c r="D362" s="543"/>
      <c r="E362" s="543"/>
      <c r="F362" s="543"/>
      <c r="G362" s="543"/>
      <c r="H362" s="543"/>
      <c r="I362" s="353"/>
      <c r="J362" s="353"/>
      <c r="K362" s="370"/>
      <c r="L362" s="370"/>
      <c r="M362" s="56"/>
      <c r="P362" s="361"/>
      <c r="Q362" s="361"/>
      <c r="R362" s="361"/>
      <c r="S362" s="361"/>
      <c r="T362" s="361"/>
      <c r="U362" s="361"/>
      <c r="V362" s="361"/>
      <c r="W362" s="361"/>
      <c r="X362" s="361"/>
      <c r="Y362" s="589"/>
      <c r="Z362" s="589"/>
      <c r="AA362" s="589"/>
      <c r="AB362" s="543"/>
      <c r="AC362" s="543"/>
      <c r="AD362" s="543"/>
      <c r="AE362" s="361"/>
      <c r="AF362" s="361"/>
      <c r="AG362" s="361"/>
      <c r="AH362" s="361"/>
      <c r="AI362" s="361"/>
      <c r="AJ362" s="361"/>
      <c r="AK362" s="361"/>
      <c r="AL362" s="361"/>
      <c r="AM362" s="361"/>
      <c r="AN362" s="361"/>
      <c r="AQ362" s="361"/>
      <c r="AR362" s="361"/>
      <c r="AS362" s="361"/>
      <c r="AT362" s="361"/>
      <c r="AU362" s="361"/>
      <c r="AV362" s="361"/>
      <c r="AW362" s="361"/>
      <c r="AX362" s="361"/>
      <c r="AY362" s="361"/>
      <c r="AZ362" s="361"/>
      <c r="BA362" s="361"/>
      <c r="BB362" s="361"/>
      <c r="BC362" s="361"/>
      <c r="BD362" s="361"/>
      <c r="BE362" s="361"/>
      <c r="BF362" s="361"/>
      <c r="BG362" s="361"/>
      <c r="BH362" s="361"/>
    </row>
    <row r="363" spans="1:60" s="370" customFormat="1" ht="18.75" customHeight="1">
      <c r="C363" s="370" t="s">
        <v>1163</v>
      </c>
      <c r="K363" s="345" t="s">
        <v>1074</v>
      </c>
      <c r="L363" s="589" t="e">
        <f ca="1">Y361</f>
        <v>#N/A</v>
      </c>
      <c r="M363" s="589"/>
      <c r="N363" s="589"/>
      <c r="O363" s="631" t="str">
        <f>AB361</f>
        <v>/mm</v>
      </c>
      <c r="P363" s="631"/>
      <c r="Q363" s="631"/>
      <c r="R363" s="341" t="s">
        <v>851</v>
      </c>
      <c r="S363" s="575" t="e">
        <f ca="1">AP358</f>
        <v>#N/A</v>
      </c>
      <c r="T363" s="575"/>
      <c r="U363" s="575"/>
      <c r="V363" s="575"/>
      <c r="W363" s="590" t="str">
        <f>AT358</f>
        <v>mm</v>
      </c>
      <c r="X363" s="576"/>
      <c r="Y363" s="345" t="s">
        <v>850</v>
      </c>
      <c r="Z363" s="70" t="s">
        <v>845</v>
      </c>
      <c r="AA363" s="575" t="e">
        <f ca="1">S363</f>
        <v>#N/A</v>
      </c>
      <c r="AB363" s="575"/>
      <c r="AC363" s="575"/>
      <c r="AD363" s="575"/>
      <c r="AE363" s="590" t="str">
        <f>W363</f>
        <v>mm</v>
      </c>
      <c r="AF363" s="576"/>
      <c r="AG363" s="56"/>
      <c r="AH363" s="56"/>
      <c r="AI363" s="56"/>
      <c r="AJ363" s="56"/>
      <c r="AK363" s="56"/>
      <c r="AL363" s="56"/>
      <c r="AM363" s="56"/>
      <c r="AN363" s="56"/>
      <c r="AO363" s="56"/>
      <c r="AW363" s="56"/>
    </row>
    <row r="364" spans="1:60" ht="18.75" customHeight="1">
      <c r="A364" s="370"/>
      <c r="B364" s="370"/>
      <c r="C364" s="346" t="s">
        <v>1164</v>
      </c>
      <c r="D364" s="346"/>
      <c r="E364" s="346"/>
      <c r="F364" s="346"/>
      <c r="G364" s="346"/>
      <c r="I364" s="107" t="s">
        <v>853</v>
      </c>
      <c r="J364" s="370"/>
      <c r="K364" s="370"/>
      <c r="L364" s="370"/>
      <c r="M364" s="370"/>
      <c r="N364" s="370"/>
      <c r="O364" s="370"/>
      <c r="P364" s="370"/>
      <c r="Q364" s="370"/>
      <c r="R364" s="370"/>
      <c r="S364" s="169"/>
      <c r="T364" s="169"/>
      <c r="U364" s="370"/>
      <c r="V364" s="370"/>
      <c r="W364" s="370"/>
      <c r="X364" s="370"/>
      <c r="Y364" s="370"/>
      <c r="Z364" s="370"/>
      <c r="AA364" s="370"/>
      <c r="AB364" s="370"/>
      <c r="AC364" s="370"/>
      <c r="AD364" s="370"/>
      <c r="AG364" s="370"/>
      <c r="AH364" s="370"/>
      <c r="AI364" s="370"/>
      <c r="AJ364" s="370"/>
      <c r="AK364" s="370"/>
      <c r="AL364" s="370"/>
      <c r="AM364" s="370"/>
      <c r="AN364" s="370"/>
      <c r="AO364" s="370"/>
      <c r="AP364" s="370"/>
      <c r="AQ364" s="370"/>
      <c r="AR364" s="370"/>
      <c r="AS364" s="370"/>
      <c r="AT364" s="370"/>
    </row>
    <row r="365" spans="1:60" s="370" customFormat="1" ht="18.75" customHeight="1"/>
    <row r="366" spans="1:60" ht="18.75" customHeight="1">
      <c r="A366" s="370"/>
      <c r="B366" s="60" t="s">
        <v>934</v>
      </c>
      <c r="C366" s="370"/>
      <c r="D366" s="370"/>
      <c r="E366" s="370"/>
      <c r="F366" s="370"/>
      <c r="G366" s="370"/>
      <c r="H366" s="370"/>
      <c r="I366" s="370"/>
      <c r="J366" s="370"/>
      <c r="K366" s="370"/>
      <c r="L366" s="370"/>
      <c r="M366" s="370"/>
      <c r="N366" s="370"/>
      <c r="O366" s="370"/>
      <c r="P366" s="370"/>
      <c r="Q366" s="370"/>
      <c r="T366" s="370"/>
      <c r="V366" s="370"/>
      <c r="W366" s="201" t="s">
        <v>854</v>
      </c>
      <c r="X366" s="370"/>
      <c r="Y366" s="370"/>
      <c r="Z366" s="370"/>
      <c r="AA366" s="370"/>
      <c r="AB366" s="370"/>
      <c r="AC366" s="370"/>
      <c r="AD366" s="370"/>
      <c r="AE366" s="370"/>
      <c r="AF366" s="370"/>
      <c r="AG366" s="370"/>
      <c r="AH366" s="370"/>
      <c r="AI366" s="370"/>
      <c r="AJ366" s="370"/>
      <c r="AK366" s="370"/>
      <c r="AL366" s="370"/>
      <c r="AM366" s="370"/>
      <c r="AN366" s="370"/>
      <c r="AO366" s="370"/>
      <c r="AP366" s="370"/>
      <c r="AQ366" s="370"/>
      <c r="AR366" s="370"/>
      <c r="AS366" s="370"/>
      <c r="AT366" s="370"/>
    </row>
    <row r="367" spans="1:60" ht="18.75" customHeight="1">
      <c r="A367" s="370"/>
      <c r="C367" s="370" t="s">
        <v>855</v>
      </c>
      <c r="D367" s="370"/>
      <c r="E367" s="370"/>
      <c r="F367" s="370"/>
      <c r="G367" s="370"/>
      <c r="H367" s="370"/>
      <c r="I367" s="370"/>
      <c r="J367" s="370"/>
      <c r="K367" s="370"/>
      <c r="L367" s="370"/>
      <c r="M367" s="370"/>
      <c r="N367" s="370"/>
      <c r="O367" s="370"/>
      <c r="P367" s="370"/>
      <c r="Q367" s="370"/>
      <c r="R367" s="370"/>
      <c r="S367" s="370"/>
      <c r="T367" s="370"/>
      <c r="U367" s="370"/>
      <c r="V367" s="370"/>
      <c r="W367" s="370"/>
      <c r="X367" s="370"/>
      <c r="Y367" s="370"/>
      <c r="Z367" s="370"/>
      <c r="AA367" s="370"/>
      <c r="AB367" s="370"/>
      <c r="AC367" s="370"/>
      <c r="AD367" s="370"/>
      <c r="AE367" s="370"/>
      <c r="AF367" s="370"/>
      <c r="AG367" s="370"/>
      <c r="AH367" s="370"/>
      <c r="AI367" s="370"/>
      <c r="AJ367" s="370"/>
      <c r="AK367" s="370"/>
      <c r="AL367" s="370"/>
      <c r="AM367" s="370"/>
      <c r="AN367" s="370"/>
      <c r="AO367" s="370"/>
      <c r="AP367" s="370"/>
      <c r="AQ367" s="370"/>
      <c r="AR367" s="370"/>
      <c r="AS367" s="370"/>
      <c r="AT367" s="370"/>
    </row>
    <row r="368" spans="1:60" ht="18.75" customHeight="1">
      <c r="A368" s="370"/>
      <c r="C368" s="60"/>
      <c r="D368" s="370" t="s">
        <v>856</v>
      </c>
      <c r="E368" s="370"/>
      <c r="F368" s="370"/>
      <c r="G368" s="370"/>
      <c r="H368" s="370"/>
      <c r="I368" s="370"/>
      <c r="J368" s="370"/>
      <c r="K368" s="370"/>
      <c r="L368" s="370"/>
      <c r="M368" s="370"/>
      <c r="N368" s="370"/>
      <c r="O368" s="370"/>
      <c r="P368" s="370"/>
      <c r="Q368" s="370"/>
      <c r="R368" s="370"/>
      <c r="S368" s="370"/>
      <c r="T368" s="370"/>
      <c r="U368" s="370"/>
      <c r="V368" s="370"/>
      <c r="W368" s="370"/>
      <c r="X368" s="370"/>
      <c r="Y368" s="370"/>
      <c r="Z368" s="370"/>
      <c r="AA368" s="370"/>
      <c r="AB368" s="370"/>
      <c r="AC368" s="370"/>
      <c r="AD368" s="370"/>
      <c r="AE368" s="370"/>
      <c r="AF368" s="370"/>
      <c r="AG368" s="370"/>
      <c r="AH368" s="370"/>
      <c r="AI368" s="370"/>
      <c r="AJ368" s="370"/>
      <c r="AK368" s="370"/>
      <c r="AL368" s="370"/>
      <c r="AM368" s="370"/>
      <c r="AN368" s="370"/>
      <c r="AO368" s="370"/>
      <c r="AP368" s="370"/>
      <c r="AQ368" s="370"/>
      <c r="AR368" s="370"/>
      <c r="AS368" s="370"/>
      <c r="AT368" s="370"/>
    </row>
    <row r="369" spans="2:60" ht="18.75" customHeight="1">
      <c r="B369" s="370"/>
      <c r="C369" s="370" t="s">
        <v>857</v>
      </c>
      <c r="D369" s="370"/>
      <c r="E369" s="370"/>
      <c r="F369" s="370"/>
      <c r="G369" s="370"/>
      <c r="H369" s="370"/>
      <c r="I369" s="576" t="e">
        <f ca="1">H348</f>
        <v>#N/A</v>
      </c>
      <c r="J369" s="576"/>
      <c r="K369" s="576"/>
      <c r="L369" s="576"/>
      <c r="M369" s="576"/>
      <c r="N369" s="576" t="str">
        <f>M348</f>
        <v>mm</v>
      </c>
      <c r="O369" s="576"/>
      <c r="P369" s="350"/>
      <c r="Q369" s="370"/>
      <c r="R369" s="370"/>
      <c r="S369" s="370"/>
      <c r="T369" s="370"/>
      <c r="U369" s="370"/>
      <c r="V369" s="370"/>
      <c r="W369" s="370"/>
      <c r="X369" s="370"/>
      <c r="Y369" s="370"/>
      <c r="Z369" s="370"/>
      <c r="AA369" s="370"/>
      <c r="AB369" s="370"/>
      <c r="AC369" s="370"/>
      <c r="AD369" s="370"/>
      <c r="AE369" s="370"/>
      <c r="AF369" s="370"/>
      <c r="AG369" s="370"/>
      <c r="AH369" s="370"/>
      <c r="AI369" s="370"/>
      <c r="AJ369" s="370"/>
      <c r="AK369" s="370"/>
      <c r="AL369" s="370"/>
      <c r="AM369" s="370"/>
      <c r="AN369" s="370"/>
      <c r="AO369" s="370"/>
      <c r="AP369" s="370"/>
      <c r="AQ369" s="370"/>
      <c r="AR369" s="370"/>
      <c r="AS369" s="370"/>
      <c r="AT369" s="370"/>
      <c r="AU369" s="370"/>
    </row>
    <row r="370" spans="2:60" ht="18.75" customHeight="1">
      <c r="B370" s="370"/>
      <c r="C370" s="370" t="s">
        <v>858</v>
      </c>
      <c r="D370" s="370"/>
      <c r="E370" s="370"/>
      <c r="F370" s="370"/>
      <c r="G370" s="370"/>
      <c r="H370" s="370"/>
      <c r="I370" s="370"/>
      <c r="J370" s="61" t="s">
        <v>935</v>
      </c>
      <c r="K370" s="370"/>
      <c r="L370" s="370"/>
      <c r="M370" s="370"/>
      <c r="N370" s="370"/>
      <c r="O370" s="370"/>
      <c r="P370" s="370"/>
      <c r="Q370" s="629">
        <f>MAX(AP304:AT323)</f>
        <v>0</v>
      </c>
      <c r="R370" s="576"/>
      <c r="S370" s="576"/>
      <c r="T370" s="586" t="s">
        <v>1143</v>
      </c>
      <c r="U370" s="586"/>
      <c r="V370" s="370"/>
      <c r="W370" s="370"/>
      <c r="X370" s="370"/>
      <c r="Y370" s="370"/>
      <c r="Z370" s="370"/>
      <c r="AA370" s="370"/>
      <c r="AB370" s="370"/>
      <c r="AC370" s="370"/>
      <c r="AD370" s="370"/>
      <c r="AE370" s="370"/>
      <c r="AF370" s="370"/>
      <c r="AG370" s="370"/>
      <c r="AH370" s="370"/>
      <c r="AI370" s="370"/>
      <c r="AJ370" s="370"/>
      <c r="AK370" s="370"/>
      <c r="AL370" s="370"/>
      <c r="AM370" s="370"/>
      <c r="AN370" s="370"/>
      <c r="AO370" s="370"/>
      <c r="AP370" s="370"/>
      <c r="AQ370" s="370"/>
      <c r="AR370" s="370"/>
      <c r="AS370" s="370"/>
      <c r="AT370" s="370"/>
      <c r="AU370" s="370"/>
    </row>
    <row r="371" spans="2:60" ht="18.75" customHeight="1">
      <c r="B371" s="370"/>
      <c r="C371" s="370"/>
      <c r="D371" s="370"/>
      <c r="E371" s="370"/>
      <c r="F371" s="370"/>
      <c r="G371" s="370"/>
      <c r="H371" s="370"/>
      <c r="I371" s="370"/>
      <c r="J371" s="370"/>
      <c r="K371" s="545" t="s">
        <v>859</v>
      </c>
      <c r="L371" s="545"/>
      <c r="M371" s="545"/>
      <c r="N371" s="545" t="s">
        <v>845</v>
      </c>
      <c r="O371" s="573" t="s">
        <v>860</v>
      </c>
      <c r="P371" s="573"/>
      <c r="Q371" s="545" t="s">
        <v>1165</v>
      </c>
      <c r="R371" s="632">
        <f>Q370</f>
        <v>0</v>
      </c>
      <c r="S371" s="632"/>
      <c r="T371" s="632"/>
      <c r="U371" s="588" t="str">
        <f>T370</f>
        <v>mm</v>
      </c>
      <c r="V371" s="588"/>
      <c r="W371" s="545" t="s">
        <v>845</v>
      </c>
      <c r="X371" s="575">
        <f>R371/SQRT(5)</f>
        <v>0</v>
      </c>
      <c r="Y371" s="575"/>
      <c r="Z371" s="575"/>
      <c r="AA371" s="575"/>
      <c r="AB371" s="590" t="str">
        <f>T370</f>
        <v>mm</v>
      </c>
      <c r="AC371" s="590"/>
      <c r="AD371" s="351"/>
      <c r="AE371" s="351"/>
      <c r="AF371" s="370"/>
      <c r="AG371" s="370"/>
      <c r="AH371" s="370"/>
      <c r="AI371" s="370"/>
      <c r="AJ371" s="370"/>
      <c r="AK371" s="370"/>
      <c r="AL371" s="370"/>
      <c r="AM371" s="370"/>
      <c r="AN371" s="370"/>
      <c r="AO371" s="370"/>
      <c r="AP371" s="370"/>
      <c r="AQ371" s="370"/>
      <c r="AR371" s="370"/>
      <c r="AS371" s="370"/>
      <c r="AT371" s="370"/>
      <c r="AU371" s="370"/>
      <c r="AV371" s="370"/>
      <c r="AW371" s="370"/>
    </row>
    <row r="372" spans="2:60" ht="18.75" customHeight="1">
      <c r="B372" s="370"/>
      <c r="C372" s="370"/>
      <c r="D372" s="370"/>
      <c r="E372" s="370"/>
      <c r="F372" s="370"/>
      <c r="G372" s="370"/>
      <c r="H372" s="370"/>
      <c r="I372" s="370"/>
      <c r="J372" s="370"/>
      <c r="K372" s="545"/>
      <c r="L372" s="545"/>
      <c r="M372" s="545"/>
      <c r="N372" s="545"/>
      <c r="O372" s="591"/>
      <c r="P372" s="591"/>
      <c r="Q372" s="545"/>
      <c r="R372" s="559"/>
      <c r="S372" s="559"/>
      <c r="T372" s="559"/>
      <c r="U372" s="559"/>
      <c r="V372" s="559"/>
      <c r="W372" s="545"/>
      <c r="X372" s="575"/>
      <c r="Y372" s="575"/>
      <c r="Z372" s="575"/>
      <c r="AA372" s="575"/>
      <c r="AB372" s="590"/>
      <c r="AC372" s="590"/>
      <c r="AD372" s="351"/>
      <c r="AE372" s="351"/>
      <c r="AF372" s="370"/>
      <c r="AG372" s="370"/>
      <c r="AH372" s="370"/>
      <c r="AI372" s="370"/>
      <c r="AJ372" s="370"/>
      <c r="AK372" s="370"/>
      <c r="AL372" s="370"/>
      <c r="AM372" s="370"/>
      <c r="AN372" s="370"/>
      <c r="AO372" s="370"/>
      <c r="AP372" s="370"/>
      <c r="AQ372" s="370"/>
      <c r="AR372" s="370"/>
      <c r="AS372" s="370"/>
      <c r="AT372" s="370"/>
      <c r="AU372" s="370"/>
      <c r="AV372" s="370"/>
      <c r="AW372" s="370"/>
    </row>
    <row r="373" spans="2:60" ht="18.75" customHeight="1">
      <c r="B373" s="370"/>
      <c r="C373" s="370" t="s">
        <v>861</v>
      </c>
      <c r="D373" s="370"/>
      <c r="E373" s="370"/>
      <c r="F373" s="370"/>
      <c r="G373" s="370"/>
      <c r="H373" s="370"/>
      <c r="I373" s="544" t="str">
        <f>AB348</f>
        <v>t</v>
      </c>
      <c r="J373" s="544"/>
      <c r="K373" s="544"/>
      <c r="L373" s="544"/>
      <c r="M373" s="544"/>
      <c r="N373" s="544"/>
      <c r="O373" s="544"/>
      <c r="P373" s="544"/>
      <c r="Q373" s="370"/>
      <c r="R373" s="370"/>
      <c r="S373" s="370"/>
      <c r="T373" s="370"/>
      <c r="U373" s="370"/>
      <c r="V373" s="370"/>
      <c r="W373" s="370"/>
      <c r="X373" s="370"/>
      <c r="Y373" s="370"/>
      <c r="Z373" s="370"/>
      <c r="AA373" s="370"/>
      <c r="AB373" s="370"/>
      <c r="AC373" s="370"/>
      <c r="AD373" s="370"/>
      <c r="AE373" s="370"/>
      <c r="AF373" s="370"/>
      <c r="AG373" s="370"/>
      <c r="AH373" s="370"/>
      <c r="AI373" s="370"/>
      <c r="AJ373" s="370"/>
      <c r="AK373" s="370"/>
      <c r="AL373" s="370"/>
      <c r="AM373" s="370"/>
      <c r="AN373" s="370"/>
      <c r="AO373" s="370"/>
      <c r="AP373" s="370"/>
      <c r="AQ373" s="370"/>
      <c r="AR373" s="370"/>
      <c r="AS373" s="370"/>
      <c r="AT373" s="370"/>
      <c r="AU373" s="370"/>
    </row>
    <row r="374" spans="2:60" ht="18.75" customHeight="1">
      <c r="B374" s="370"/>
      <c r="C374" s="518" t="s">
        <v>1027</v>
      </c>
      <c r="D374" s="518"/>
      <c r="E374" s="518"/>
      <c r="F374" s="518"/>
      <c r="G374" s="518"/>
      <c r="H374" s="518"/>
      <c r="I374" s="346"/>
      <c r="J374" s="346"/>
      <c r="K374" s="370"/>
      <c r="L374" s="370"/>
      <c r="R374" s="370"/>
      <c r="S374" s="370"/>
      <c r="T374" s="589" t="e">
        <f ca="1">AG348</f>
        <v>#N/A</v>
      </c>
      <c r="U374" s="589"/>
      <c r="V374" s="589"/>
      <c r="W374" s="543" t="str">
        <f>AL348</f>
        <v>/mm</v>
      </c>
      <c r="X374" s="543"/>
      <c r="Y374" s="543"/>
      <c r="Z374" s="370"/>
      <c r="AA374" s="370"/>
      <c r="AB374" s="370"/>
      <c r="AC374" s="370"/>
      <c r="AD374" s="370"/>
      <c r="AE374" s="370"/>
      <c r="AF374" s="370"/>
      <c r="AG374" s="370"/>
      <c r="AH374" s="370"/>
      <c r="AI374" s="370"/>
      <c r="AL374" s="370"/>
      <c r="AM374" s="370"/>
      <c r="AN374" s="370"/>
      <c r="AO374" s="370"/>
      <c r="AP374" s="370"/>
      <c r="AQ374" s="370"/>
      <c r="AR374" s="370"/>
      <c r="AS374" s="370"/>
      <c r="AT374" s="370"/>
      <c r="AU374" s="370"/>
    </row>
    <row r="375" spans="2:60" ht="18.75" customHeight="1">
      <c r="B375" s="370"/>
      <c r="C375" s="518"/>
      <c r="D375" s="518"/>
      <c r="E375" s="518"/>
      <c r="F375" s="518"/>
      <c r="G375" s="518"/>
      <c r="H375" s="518"/>
      <c r="I375" s="353"/>
      <c r="J375" s="353"/>
      <c r="K375" s="370"/>
      <c r="L375" s="370"/>
      <c r="R375" s="370"/>
      <c r="S375" s="370"/>
      <c r="T375" s="589"/>
      <c r="U375" s="589"/>
      <c r="V375" s="589"/>
      <c r="W375" s="543"/>
      <c r="X375" s="543"/>
      <c r="Y375" s="543"/>
      <c r="Z375" s="370"/>
      <c r="AA375" s="370"/>
      <c r="AB375" s="370"/>
      <c r="AC375" s="370"/>
      <c r="AD375" s="370"/>
      <c r="AE375" s="370"/>
      <c r="AF375" s="370"/>
      <c r="AG375" s="370"/>
      <c r="AH375" s="370"/>
      <c r="AI375" s="370"/>
      <c r="AL375" s="370"/>
      <c r="AM375" s="370"/>
      <c r="AN375" s="370"/>
      <c r="AO375" s="370"/>
      <c r="AP375" s="370"/>
      <c r="AQ375" s="370"/>
      <c r="AR375" s="370"/>
      <c r="AS375" s="370"/>
      <c r="AT375" s="370"/>
      <c r="AU375" s="370"/>
    </row>
    <row r="376" spans="2:60" ht="18.75" customHeight="1">
      <c r="B376" s="370"/>
      <c r="C376" s="370" t="s">
        <v>936</v>
      </c>
      <c r="D376" s="370"/>
      <c r="E376" s="370"/>
      <c r="F376" s="370"/>
      <c r="G376" s="370"/>
      <c r="H376" s="370"/>
      <c r="I376" s="370"/>
      <c r="J376" s="370"/>
      <c r="K376" s="345" t="s">
        <v>850</v>
      </c>
      <c r="L376" s="589" t="e">
        <f ca="1">T374</f>
        <v>#N/A</v>
      </c>
      <c r="M376" s="589"/>
      <c r="N376" s="589"/>
      <c r="O376" s="631" t="str">
        <f>W374</f>
        <v>/mm</v>
      </c>
      <c r="P376" s="631"/>
      <c r="Q376" s="631"/>
      <c r="R376" s="341" t="s">
        <v>851</v>
      </c>
      <c r="S376" s="575">
        <f>X371</f>
        <v>0</v>
      </c>
      <c r="T376" s="575"/>
      <c r="U376" s="575"/>
      <c r="V376" s="575"/>
      <c r="W376" s="590" t="str">
        <f>AB371</f>
        <v>mm</v>
      </c>
      <c r="X376" s="576"/>
      <c r="Y376" s="345" t="s">
        <v>850</v>
      </c>
      <c r="Z376" s="70" t="s">
        <v>845</v>
      </c>
      <c r="AA376" s="575">
        <f>S376</f>
        <v>0</v>
      </c>
      <c r="AB376" s="575"/>
      <c r="AC376" s="575"/>
      <c r="AD376" s="575"/>
      <c r="AE376" s="590" t="str">
        <f>W376</f>
        <v>mm</v>
      </c>
      <c r="AF376" s="576"/>
      <c r="AP376" s="370"/>
      <c r="AQ376" s="370"/>
      <c r="AR376" s="370"/>
      <c r="AS376" s="370"/>
      <c r="AT376" s="370"/>
      <c r="AU376" s="370"/>
      <c r="AV376" s="370"/>
    </row>
    <row r="377" spans="2:60" ht="18.75" customHeight="1">
      <c r="B377" s="370"/>
      <c r="C377" s="370" t="s">
        <v>1166</v>
      </c>
      <c r="D377" s="370"/>
      <c r="E377" s="370"/>
      <c r="F377" s="370"/>
      <c r="G377" s="370"/>
      <c r="H377" s="370"/>
      <c r="I377" s="107" t="s">
        <v>1030</v>
      </c>
      <c r="J377" s="107"/>
      <c r="K377" s="107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370"/>
      <c r="AB377" s="370"/>
      <c r="AC377" s="370"/>
      <c r="AD377" s="370"/>
      <c r="AE377" s="370"/>
      <c r="AF377" s="370"/>
    </row>
    <row r="378" spans="2:60" s="135" customFormat="1" ht="18.75" customHeight="1">
      <c r="B378" s="341"/>
      <c r="C378" s="346"/>
      <c r="D378" s="346"/>
      <c r="E378" s="346"/>
      <c r="F378" s="346"/>
      <c r="G378" s="341"/>
      <c r="H378" s="346"/>
      <c r="I378" s="346"/>
      <c r="J378" s="346"/>
      <c r="K378" s="346"/>
      <c r="L378" s="346"/>
      <c r="M378" s="346"/>
      <c r="N378" s="346"/>
      <c r="O378" s="346"/>
      <c r="P378" s="346"/>
      <c r="Q378" s="346"/>
      <c r="R378" s="346"/>
      <c r="S378" s="346"/>
      <c r="T378" s="346"/>
      <c r="U378" s="346"/>
      <c r="V378" s="346"/>
      <c r="W378" s="346"/>
      <c r="X378" s="341"/>
      <c r="Y378" s="341"/>
      <c r="Z378" s="341"/>
      <c r="AA378" s="341"/>
      <c r="AB378" s="341"/>
      <c r="AC378" s="341"/>
      <c r="AD378" s="341"/>
      <c r="AE378" s="341"/>
      <c r="AF378" s="341"/>
      <c r="AG378" s="341"/>
      <c r="AH378" s="341"/>
      <c r="AI378" s="341"/>
      <c r="AJ378" s="341"/>
      <c r="AK378" s="341"/>
      <c r="AL378" s="341"/>
      <c r="AM378" s="341"/>
      <c r="AN378" s="341"/>
      <c r="AO378" s="341"/>
      <c r="AP378" s="341"/>
      <c r="AQ378" s="341"/>
      <c r="AR378" s="341"/>
      <c r="AS378" s="341"/>
      <c r="AT378" s="341"/>
      <c r="AU378" s="341"/>
      <c r="AV378" s="341"/>
      <c r="AW378" s="341"/>
      <c r="AX378" s="341"/>
      <c r="AY378" s="341"/>
      <c r="AZ378" s="341"/>
      <c r="BA378" s="341"/>
      <c r="BB378" s="341"/>
      <c r="BC378" s="341"/>
      <c r="BD378" s="341"/>
      <c r="BE378" s="341"/>
      <c r="BF378" s="341"/>
      <c r="BG378" s="341"/>
    </row>
    <row r="379" spans="2:60" s="135" customFormat="1" ht="18.75" customHeight="1">
      <c r="B379" s="57" t="s">
        <v>937</v>
      </c>
      <c r="D379" s="346"/>
      <c r="E379" s="346"/>
      <c r="F379" s="346"/>
      <c r="G379" s="341"/>
      <c r="H379" s="346"/>
      <c r="I379" s="346"/>
      <c r="J379" s="346"/>
      <c r="K379" s="346"/>
      <c r="L379" s="346"/>
      <c r="M379" s="346"/>
      <c r="N379" s="346"/>
      <c r="O379" s="346"/>
      <c r="P379" s="346"/>
      <c r="Q379" s="346"/>
      <c r="R379" s="346"/>
      <c r="S379" s="346"/>
      <c r="V379" s="346"/>
      <c r="W379" s="346"/>
      <c r="X379" s="346"/>
      <c r="Z379" s="346"/>
      <c r="AA379" s="346"/>
      <c r="AC379" s="202" t="s">
        <v>889</v>
      </c>
      <c r="AD379" s="346"/>
      <c r="AE379" s="341"/>
      <c r="AF379" s="346"/>
      <c r="AG379" s="341"/>
      <c r="AH379" s="341"/>
      <c r="AI379" s="341"/>
      <c r="AJ379" s="341"/>
      <c r="AK379" s="341"/>
      <c r="AL379" s="341"/>
      <c r="AM379" s="341"/>
      <c r="AN379" s="341"/>
      <c r="AO379" s="341"/>
      <c r="AP379" s="341"/>
      <c r="AQ379" s="341"/>
      <c r="AR379" s="341"/>
      <c r="AS379" s="341"/>
      <c r="AT379" s="341"/>
      <c r="AU379" s="341"/>
      <c r="AV379" s="341"/>
      <c r="AW379" s="341"/>
      <c r="AX379" s="341"/>
      <c r="AY379" s="341"/>
      <c r="AZ379" s="341"/>
      <c r="BA379" s="341"/>
      <c r="BB379" s="341"/>
      <c r="BC379" s="341"/>
      <c r="BD379" s="341"/>
      <c r="BE379" s="341"/>
      <c r="BF379" s="341"/>
      <c r="BG379" s="341"/>
    </row>
    <row r="380" spans="2:60" s="135" customFormat="1" ht="18.75" customHeight="1">
      <c r="B380" s="57"/>
      <c r="C380" s="346" t="s">
        <v>1167</v>
      </c>
      <c r="D380" s="346"/>
      <c r="E380" s="346"/>
      <c r="F380" s="346"/>
      <c r="G380" s="341"/>
      <c r="H380" s="346"/>
      <c r="I380" s="346"/>
      <c r="J380" s="346"/>
      <c r="K380" s="346"/>
      <c r="L380" s="346"/>
      <c r="M380" s="346"/>
      <c r="N380" s="346"/>
      <c r="O380" s="346"/>
      <c r="P380" s="346"/>
      <c r="Q380" s="346"/>
      <c r="R380" s="346"/>
      <c r="S380" s="346"/>
      <c r="T380" s="346"/>
      <c r="U380" s="202"/>
      <c r="V380" s="346"/>
      <c r="W380" s="346"/>
      <c r="X380" s="346"/>
      <c r="Y380" s="346"/>
      <c r="Z380" s="346"/>
      <c r="AA380" s="346"/>
      <c r="AB380" s="346"/>
      <c r="AC380" s="346"/>
      <c r="AD380" s="346"/>
      <c r="AE380" s="341"/>
      <c r="AF380" s="346"/>
      <c r="AG380" s="341"/>
      <c r="AH380" s="341"/>
      <c r="AI380" s="341"/>
      <c r="AJ380" s="341"/>
      <c r="AK380" s="341"/>
      <c r="AL380" s="341"/>
      <c r="AM380" s="341"/>
      <c r="AN380" s="341"/>
      <c r="AO380" s="341"/>
      <c r="AP380" s="341"/>
      <c r="AQ380" s="341"/>
      <c r="AR380" s="341"/>
      <c r="AS380" s="341"/>
      <c r="AT380" s="341"/>
      <c r="AU380" s="341"/>
      <c r="AV380" s="341"/>
      <c r="AW380" s="341"/>
      <c r="AX380" s="341"/>
      <c r="AY380" s="341"/>
      <c r="AZ380" s="341"/>
      <c r="BA380" s="341"/>
      <c r="BB380" s="341"/>
      <c r="BC380" s="341"/>
      <c r="BD380" s="341"/>
      <c r="BE380" s="341"/>
      <c r="BF380" s="341"/>
      <c r="BG380" s="341"/>
    </row>
    <row r="381" spans="2:60" s="135" customFormat="1" ht="18.75" customHeight="1">
      <c r="B381" s="341"/>
      <c r="C381" s="353" t="s">
        <v>1168</v>
      </c>
      <c r="D381" s="341"/>
      <c r="E381" s="341"/>
      <c r="F381" s="341"/>
      <c r="G381" s="341"/>
      <c r="H381" s="370"/>
      <c r="I381" s="576">
        <f>H349</f>
        <v>0</v>
      </c>
      <c r="J381" s="576"/>
      <c r="K381" s="576"/>
      <c r="L381" s="576"/>
      <c r="M381" s="576"/>
      <c r="N381" s="576" t="str">
        <f>M349</f>
        <v>mm</v>
      </c>
      <c r="O381" s="576"/>
      <c r="P381" s="350"/>
      <c r="Q381" s="370"/>
      <c r="R381" s="346"/>
      <c r="S381" s="346"/>
      <c r="T381" s="346"/>
      <c r="U381" s="346"/>
      <c r="V381" s="346"/>
      <c r="W381" s="346"/>
      <c r="AC381" s="346"/>
      <c r="AD381" s="346"/>
      <c r="AE381" s="346"/>
      <c r="AF381" s="346"/>
      <c r="AG381" s="346"/>
      <c r="AH381" s="346"/>
      <c r="AI381" s="341"/>
      <c r="AJ381" s="341"/>
      <c r="AK381" s="341"/>
      <c r="AL381" s="341"/>
      <c r="AM381" s="341"/>
      <c r="AN381" s="341"/>
      <c r="AO381" s="341"/>
      <c r="AP381" s="341"/>
      <c r="AQ381" s="341"/>
      <c r="AR381" s="341"/>
      <c r="AS381" s="346"/>
      <c r="AT381" s="346"/>
      <c r="AU381" s="346"/>
      <c r="AV381" s="346"/>
      <c r="AW381" s="346"/>
      <c r="AX381" s="346"/>
      <c r="AY381" s="341"/>
      <c r="AZ381" s="341"/>
      <c r="BA381" s="341"/>
      <c r="BB381" s="341"/>
      <c r="BC381" s="341"/>
      <c r="BD381" s="341"/>
      <c r="BE381" s="341"/>
      <c r="BF381" s="341"/>
      <c r="BG381" s="341"/>
    </row>
    <row r="382" spans="2:60" s="135" customFormat="1" ht="18.75" customHeight="1">
      <c r="B382" s="341"/>
      <c r="C382" s="346" t="s">
        <v>865</v>
      </c>
      <c r="D382" s="346"/>
      <c r="E382" s="346"/>
      <c r="F382" s="346"/>
      <c r="G382" s="346"/>
      <c r="H382" s="346"/>
      <c r="I382" s="341"/>
      <c r="J382" s="61" t="s">
        <v>1066</v>
      </c>
      <c r="K382" s="346"/>
      <c r="L382" s="346"/>
      <c r="M382" s="346"/>
      <c r="N382" s="346"/>
      <c r="O382" s="346"/>
      <c r="P382" s="576">
        <f>T383/1000</f>
        <v>0</v>
      </c>
      <c r="Q382" s="576"/>
      <c r="R382" s="576"/>
      <c r="S382" s="350" t="s">
        <v>804</v>
      </c>
      <c r="T382" s="350"/>
      <c r="U382" s="346"/>
      <c r="V382" s="341"/>
      <c r="W382" s="341"/>
      <c r="X382" s="379"/>
      <c r="AD382" s="346"/>
      <c r="AE382" s="346"/>
      <c r="AF382" s="341"/>
      <c r="AG382" s="341"/>
      <c r="AH382" s="341"/>
      <c r="AI382" s="341"/>
      <c r="AJ382" s="341"/>
      <c r="AK382" s="341"/>
      <c r="AL382" s="341"/>
      <c r="AM382" s="341"/>
      <c r="AN382" s="346"/>
      <c r="AO382" s="346"/>
      <c r="AP382" s="346"/>
      <c r="AQ382" s="346"/>
      <c r="AR382" s="346"/>
      <c r="AS382" s="346"/>
      <c r="AT382" s="346"/>
      <c r="AU382" s="346"/>
      <c r="AV382" s="346"/>
      <c r="AW382" s="346"/>
      <c r="AX382" s="346"/>
      <c r="AY382" s="341"/>
      <c r="AZ382" s="341"/>
      <c r="BA382" s="341"/>
      <c r="BB382" s="341"/>
      <c r="BC382" s="341"/>
      <c r="BD382" s="341"/>
      <c r="BE382" s="341"/>
      <c r="BF382" s="341"/>
      <c r="BG382" s="341"/>
    </row>
    <row r="383" spans="2:60" s="135" customFormat="1" ht="18.75" customHeight="1">
      <c r="B383" s="341"/>
      <c r="C383" s="346"/>
      <c r="D383" s="346"/>
      <c r="E383" s="346"/>
      <c r="F383" s="346"/>
      <c r="G383" s="346"/>
      <c r="H383" s="346"/>
      <c r="I383" s="346"/>
      <c r="K383" s="602" t="s">
        <v>890</v>
      </c>
      <c r="L383" s="602"/>
      <c r="M383" s="602"/>
      <c r="N383" s="514" t="s">
        <v>845</v>
      </c>
      <c r="O383" s="603" t="s">
        <v>1169</v>
      </c>
      <c r="P383" s="604"/>
      <c r="Q383" s="604"/>
      <c r="R383" s="604"/>
      <c r="S383" s="514" t="s">
        <v>845</v>
      </c>
      <c r="T383" s="597">
        <f>Calcu!H160</f>
        <v>0</v>
      </c>
      <c r="U383" s="597"/>
      <c r="V383" s="355" t="s">
        <v>804</v>
      </c>
      <c r="W383" s="355"/>
      <c r="X383" s="519" t="s">
        <v>845</v>
      </c>
      <c r="Y383" s="575">
        <f>T383/2/SQRT(3)</f>
        <v>0</v>
      </c>
      <c r="Z383" s="575"/>
      <c r="AA383" s="575"/>
      <c r="AB383" s="575"/>
      <c r="AC383" s="576" t="str">
        <f>V383</f>
        <v>mm</v>
      </c>
      <c r="AD383" s="576"/>
      <c r="AE383" s="341"/>
      <c r="AF383" s="341"/>
      <c r="AG383" s="341"/>
      <c r="AH383" s="341"/>
      <c r="AI383" s="341"/>
      <c r="AJ383" s="341"/>
      <c r="AK383" s="341"/>
      <c r="AL383" s="341"/>
      <c r="AM383" s="341"/>
      <c r="AN383" s="341"/>
      <c r="AO383" s="341"/>
      <c r="AP383" s="341"/>
      <c r="AQ383" s="341"/>
      <c r="AR383" s="346"/>
      <c r="AS383" s="346"/>
      <c r="AT383" s="346"/>
      <c r="AU383" s="346"/>
      <c r="AV383" s="346"/>
      <c r="AW383" s="346"/>
      <c r="AX383" s="346"/>
      <c r="AY383" s="346"/>
      <c r="AZ383" s="341"/>
      <c r="BA383" s="341"/>
      <c r="BB383" s="341"/>
      <c r="BC383" s="341"/>
      <c r="BD383" s="341"/>
      <c r="BE383" s="341"/>
      <c r="BF383" s="341"/>
      <c r="BG383" s="341"/>
      <c r="BH383" s="341"/>
    </row>
    <row r="384" spans="2:60" s="135" customFormat="1" ht="18.75" customHeight="1">
      <c r="B384" s="341"/>
      <c r="C384" s="346"/>
      <c r="D384" s="346"/>
      <c r="E384" s="346"/>
      <c r="F384" s="346"/>
      <c r="G384" s="346"/>
      <c r="H384" s="346"/>
      <c r="I384" s="346"/>
      <c r="J384" s="203"/>
      <c r="K384" s="602"/>
      <c r="L384" s="602"/>
      <c r="M384" s="602"/>
      <c r="N384" s="514"/>
      <c r="O384" s="605"/>
      <c r="P384" s="605"/>
      <c r="Q384" s="605"/>
      <c r="R384" s="605"/>
      <c r="S384" s="514"/>
      <c r="T384" s="605"/>
      <c r="U384" s="605"/>
      <c r="V384" s="605"/>
      <c r="W384" s="605"/>
      <c r="X384" s="519"/>
      <c r="Y384" s="575"/>
      <c r="Z384" s="575"/>
      <c r="AA384" s="575"/>
      <c r="AB384" s="575"/>
      <c r="AC384" s="576"/>
      <c r="AD384" s="576"/>
      <c r="AE384" s="341"/>
      <c r="AF384" s="341"/>
      <c r="AG384" s="341"/>
      <c r="AH384" s="341"/>
      <c r="AI384" s="341"/>
      <c r="AJ384" s="341"/>
      <c r="AK384" s="341"/>
      <c r="AL384" s="341"/>
      <c r="AM384" s="341"/>
      <c r="AN384" s="341"/>
      <c r="AO384" s="341"/>
      <c r="AP384" s="341"/>
      <c r="AQ384" s="341"/>
      <c r="AR384" s="346"/>
      <c r="AS384" s="346"/>
      <c r="AT384" s="346"/>
      <c r="AU384" s="346"/>
      <c r="AV384" s="346"/>
      <c r="AW384" s="346"/>
      <c r="AX384" s="346"/>
      <c r="AY384" s="346"/>
      <c r="AZ384" s="341"/>
      <c r="BA384" s="341"/>
      <c r="BB384" s="341"/>
      <c r="BC384" s="341"/>
      <c r="BD384" s="341"/>
      <c r="BE384" s="341"/>
      <c r="BF384" s="341"/>
      <c r="BG384" s="341"/>
      <c r="BH384" s="341"/>
    </row>
    <row r="385" spans="1:59" s="135" customFormat="1" ht="18.75" customHeight="1">
      <c r="B385" s="341"/>
      <c r="C385" s="346" t="s">
        <v>1170</v>
      </c>
      <c r="D385" s="346"/>
      <c r="E385" s="346"/>
      <c r="F385" s="346"/>
      <c r="G385" s="346"/>
      <c r="H385" s="346"/>
      <c r="I385" s="544" t="str">
        <f>AB349</f>
        <v>직사각형</v>
      </c>
      <c r="J385" s="544"/>
      <c r="K385" s="544"/>
      <c r="L385" s="544"/>
      <c r="M385" s="544"/>
      <c r="N385" s="544"/>
      <c r="O385" s="544"/>
      <c r="P385" s="544"/>
      <c r="Q385" s="346"/>
      <c r="R385" s="346"/>
      <c r="S385" s="346"/>
      <c r="T385" s="346"/>
      <c r="U385" s="346"/>
      <c r="V385" s="346"/>
      <c r="W385" s="346"/>
      <c r="X385" s="346"/>
      <c r="Y385" s="346"/>
      <c r="Z385" s="341"/>
      <c r="AA385" s="341"/>
      <c r="AB385" s="341"/>
      <c r="AC385" s="341"/>
      <c r="AD385" s="341"/>
      <c r="AE385" s="341"/>
      <c r="AF385" s="341"/>
      <c r="AG385" s="341"/>
      <c r="AH385" s="346"/>
      <c r="AI385" s="346"/>
      <c r="AJ385" s="346"/>
      <c r="AK385" s="346"/>
      <c r="AL385" s="346"/>
      <c r="AM385" s="346"/>
      <c r="AN385" s="346"/>
      <c r="AO385" s="346"/>
      <c r="AP385" s="346"/>
      <c r="AQ385" s="346"/>
      <c r="AR385" s="346"/>
      <c r="AS385" s="346"/>
      <c r="AT385" s="346"/>
      <c r="AU385" s="346"/>
      <c r="AV385" s="346"/>
      <c r="AW385" s="346"/>
      <c r="AX385" s="346"/>
      <c r="AY385" s="341"/>
      <c r="AZ385" s="341"/>
      <c r="BA385" s="341"/>
      <c r="BB385" s="341"/>
      <c r="BC385" s="341"/>
      <c r="BD385" s="341"/>
      <c r="BE385" s="341"/>
      <c r="BF385" s="341"/>
      <c r="BG385" s="341"/>
    </row>
    <row r="386" spans="1:59" s="135" customFormat="1" ht="18.75" customHeight="1">
      <c r="B386" s="341"/>
      <c r="C386" s="518" t="s">
        <v>868</v>
      </c>
      <c r="D386" s="518"/>
      <c r="E386" s="518"/>
      <c r="F386" s="518"/>
      <c r="G386" s="518"/>
      <c r="H386" s="518"/>
      <c r="I386" s="346"/>
      <c r="J386" s="346"/>
      <c r="K386" s="346"/>
      <c r="L386" s="346"/>
      <c r="M386" s="346"/>
      <c r="P386" s="142"/>
      <c r="Q386" s="142"/>
      <c r="R386" s="142"/>
      <c r="S386" s="346"/>
      <c r="T386" s="346"/>
      <c r="U386" s="589" t="e">
        <f ca="1">AG349</f>
        <v>#N/A</v>
      </c>
      <c r="V386" s="589"/>
      <c r="W386" s="589"/>
      <c r="X386" s="543" t="str">
        <f>AL349</f>
        <v>/mm</v>
      </c>
      <c r="Y386" s="543"/>
      <c r="Z386" s="543"/>
      <c r="AA386" s="143"/>
      <c r="AB386" s="346"/>
      <c r="AC386" s="346"/>
      <c r="AD386" s="346"/>
      <c r="AE386" s="346"/>
      <c r="AF386" s="346"/>
      <c r="AG386" s="346"/>
      <c r="AH386" s="346"/>
      <c r="AI386" s="346"/>
      <c r="AJ386" s="346"/>
      <c r="AK386" s="346"/>
      <c r="AN386" s="341"/>
      <c r="AO386" s="346"/>
      <c r="AP386" s="346"/>
      <c r="AQ386" s="346"/>
      <c r="AR386" s="346"/>
      <c r="AS386" s="346"/>
      <c r="AT386" s="346"/>
      <c r="AU386" s="346"/>
      <c r="AV386" s="346"/>
      <c r="AW386" s="346"/>
      <c r="AX386" s="346"/>
      <c r="AY386" s="341"/>
      <c r="AZ386" s="341"/>
      <c r="BA386" s="341"/>
      <c r="BB386" s="341"/>
      <c r="BC386" s="341"/>
      <c r="BD386" s="341"/>
      <c r="BE386" s="341"/>
      <c r="BF386" s="341"/>
      <c r="BG386" s="341"/>
    </row>
    <row r="387" spans="1:59" s="135" customFormat="1" ht="18.75" customHeight="1">
      <c r="B387" s="341"/>
      <c r="C387" s="518"/>
      <c r="D387" s="518"/>
      <c r="E387" s="518"/>
      <c r="F387" s="518"/>
      <c r="G387" s="518"/>
      <c r="H387" s="518"/>
      <c r="I387" s="346"/>
      <c r="J387" s="346"/>
      <c r="K387" s="346"/>
      <c r="L387" s="346"/>
      <c r="M387" s="346"/>
      <c r="P387" s="142"/>
      <c r="Q387" s="142"/>
      <c r="R387" s="142"/>
      <c r="S387" s="346"/>
      <c r="T387" s="346"/>
      <c r="U387" s="589"/>
      <c r="V387" s="589"/>
      <c r="W387" s="589"/>
      <c r="X387" s="543"/>
      <c r="Y387" s="543"/>
      <c r="Z387" s="543"/>
      <c r="AA387" s="143"/>
      <c r="AB387" s="346"/>
      <c r="AC387" s="346"/>
      <c r="AD387" s="346"/>
      <c r="AE387" s="346"/>
      <c r="AF387" s="346"/>
      <c r="AG387" s="346"/>
      <c r="AH387" s="346"/>
      <c r="AI387" s="346"/>
      <c r="AJ387" s="346"/>
      <c r="AK387" s="346"/>
      <c r="AN387" s="341"/>
      <c r="AO387" s="346"/>
      <c r="AP387" s="346"/>
      <c r="AQ387" s="346"/>
      <c r="AR387" s="346"/>
      <c r="AS387" s="346"/>
      <c r="AT387" s="346"/>
      <c r="AU387" s="346"/>
      <c r="AV387" s="346"/>
      <c r="AW387" s="346"/>
      <c r="AX387" s="346"/>
      <c r="AY387" s="341"/>
      <c r="AZ387" s="341"/>
      <c r="BA387" s="341"/>
      <c r="BB387" s="341"/>
      <c r="BC387" s="341"/>
      <c r="BD387" s="341"/>
      <c r="BE387" s="341"/>
      <c r="BF387" s="341"/>
      <c r="BG387" s="341"/>
    </row>
    <row r="388" spans="1:59" s="135" customFormat="1" ht="18.75" customHeight="1">
      <c r="B388" s="341"/>
      <c r="C388" s="346" t="s">
        <v>869</v>
      </c>
      <c r="D388" s="346"/>
      <c r="E388" s="346"/>
      <c r="F388" s="346"/>
      <c r="G388" s="346"/>
      <c r="H388" s="346"/>
      <c r="I388" s="346"/>
      <c r="J388" s="341"/>
      <c r="K388" s="345" t="s">
        <v>850</v>
      </c>
      <c r="L388" s="589" t="e">
        <f ca="1">U386</f>
        <v>#N/A</v>
      </c>
      <c r="M388" s="589"/>
      <c r="N388" s="589"/>
      <c r="O388" s="631" t="str">
        <f>X386</f>
        <v>/mm</v>
      </c>
      <c r="P388" s="631"/>
      <c r="Q388" s="631"/>
      <c r="R388" s="341" t="s">
        <v>851</v>
      </c>
      <c r="S388" s="575">
        <f>Y383</f>
        <v>0</v>
      </c>
      <c r="T388" s="575"/>
      <c r="U388" s="575"/>
      <c r="V388" s="575"/>
      <c r="W388" s="590" t="str">
        <f>AC383</f>
        <v>mm</v>
      </c>
      <c r="X388" s="576"/>
      <c r="Y388" s="345" t="s">
        <v>850</v>
      </c>
      <c r="Z388" s="70" t="s">
        <v>845</v>
      </c>
      <c r="AA388" s="575">
        <f>S388</f>
        <v>0</v>
      </c>
      <c r="AB388" s="575"/>
      <c r="AC388" s="575"/>
      <c r="AD388" s="575"/>
      <c r="AE388" s="590" t="str">
        <f>W388</f>
        <v>mm</v>
      </c>
      <c r="AF388" s="576"/>
      <c r="AG388" s="56"/>
      <c r="AH388" s="56"/>
      <c r="AI388" s="56"/>
      <c r="AJ388" s="56"/>
      <c r="AK388" s="56"/>
      <c r="AL388" s="56"/>
      <c r="AM388" s="341"/>
      <c r="AN388" s="341"/>
      <c r="AO388" s="346"/>
      <c r="AP388" s="346"/>
      <c r="AQ388" s="346"/>
      <c r="AR388" s="346"/>
      <c r="AS388" s="346"/>
      <c r="AT388" s="346"/>
      <c r="AU388" s="346"/>
      <c r="AV388" s="346"/>
      <c r="AW388" s="346"/>
      <c r="AX388" s="346"/>
      <c r="AY388" s="341"/>
      <c r="AZ388" s="341"/>
      <c r="BA388" s="341"/>
      <c r="BB388" s="341"/>
      <c r="BC388" s="341"/>
      <c r="BD388" s="341"/>
      <c r="BE388" s="341"/>
      <c r="BF388" s="341"/>
      <c r="BG388" s="341"/>
    </row>
    <row r="389" spans="1:59" s="135" customFormat="1" ht="18.75" customHeight="1">
      <c r="B389" s="341"/>
      <c r="C389" s="518" t="s">
        <v>963</v>
      </c>
      <c r="D389" s="518"/>
      <c r="E389" s="518"/>
      <c r="F389" s="518"/>
      <c r="G389" s="518"/>
      <c r="H389" s="346"/>
      <c r="J389" s="346"/>
      <c r="K389" s="346"/>
      <c r="L389" s="346"/>
      <c r="M389" s="346"/>
      <c r="N389" s="346"/>
      <c r="O389" s="346"/>
      <c r="P389" s="346"/>
      <c r="Q389" s="346"/>
      <c r="R389" s="138"/>
      <c r="S389" s="346"/>
      <c r="T389" s="346"/>
      <c r="U389" s="346"/>
      <c r="W389" s="346"/>
      <c r="X389" s="370" t="s">
        <v>1091</v>
      </c>
      <c r="Y389" s="346"/>
      <c r="Z389" s="346"/>
      <c r="AA389" s="346"/>
      <c r="AB389" s="346"/>
      <c r="AC389" s="346"/>
      <c r="AD389" s="346"/>
      <c r="AE389" s="341"/>
      <c r="AF389" s="341"/>
      <c r="AG389" s="341"/>
      <c r="AH389" s="341"/>
      <c r="AI389" s="341"/>
      <c r="AJ389" s="341"/>
      <c r="AK389" s="341"/>
      <c r="AL389" s="341"/>
      <c r="AM389" s="341"/>
      <c r="AN389" s="341"/>
      <c r="AO389" s="341"/>
      <c r="AP389" s="341"/>
      <c r="AQ389" s="341"/>
      <c r="AR389" s="341"/>
      <c r="AS389" s="341"/>
      <c r="AT389" s="341"/>
      <c r="AU389" s="341"/>
      <c r="AV389" s="341"/>
      <c r="AW389" s="341"/>
      <c r="AX389" s="341"/>
      <c r="AY389" s="341"/>
      <c r="AZ389" s="341"/>
      <c r="BA389" s="341"/>
      <c r="BB389" s="341"/>
      <c r="BC389" s="341"/>
      <c r="BD389" s="341"/>
      <c r="BE389" s="341"/>
      <c r="BF389" s="341"/>
      <c r="BG389" s="341"/>
    </row>
    <row r="390" spans="1:59" s="135" customFormat="1" ht="18.75" customHeight="1">
      <c r="B390" s="341"/>
      <c r="C390" s="518"/>
      <c r="D390" s="518"/>
      <c r="E390" s="518"/>
      <c r="F390" s="518"/>
      <c r="G390" s="518"/>
      <c r="H390" s="346"/>
      <c r="I390" s="346"/>
      <c r="J390" s="346"/>
      <c r="K390" s="346"/>
      <c r="L390" s="346"/>
      <c r="M390" s="346"/>
      <c r="N390" s="346"/>
      <c r="O390" s="346"/>
      <c r="P390" s="346"/>
      <c r="Q390" s="346"/>
      <c r="R390" s="138"/>
      <c r="S390" s="346"/>
      <c r="T390" s="346"/>
      <c r="U390" s="346"/>
      <c r="V390" s="346"/>
      <c r="W390" s="346"/>
      <c r="X390" s="346"/>
      <c r="Y390" s="346"/>
      <c r="Z390" s="346"/>
      <c r="AA390" s="346"/>
      <c r="AB390" s="346"/>
      <c r="AC390" s="346"/>
      <c r="AD390" s="346"/>
      <c r="AE390" s="341"/>
      <c r="AF390" s="341"/>
      <c r="AG390" s="341"/>
      <c r="AH390" s="341"/>
      <c r="AI390" s="341"/>
      <c r="AJ390" s="341"/>
      <c r="AK390" s="341"/>
      <c r="AL390" s="341"/>
      <c r="AM390" s="341"/>
      <c r="AN390" s="341"/>
      <c r="AO390" s="341"/>
      <c r="AP390" s="341"/>
      <c r="AQ390" s="341"/>
      <c r="AR390" s="341"/>
      <c r="AS390" s="341"/>
      <c r="AT390" s="341"/>
      <c r="AU390" s="341"/>
      <c r="AV390" s="341"/>
      <c r="AW390" s="341"/>
      <c r="AX390" s="341"/>
      <c r="AY390" s="341"/>
      <c r="AZ390" s="341"/>
      <c r="BA390" s="341"/>
      <c r="BB390" s="341"/>
      <c r="BC390" s="341"/>
      <c r="BD390" s="341"/>
      <c r="BE390" s="341"/>
      <c r="BF390" s="341"/>
      <c r="BG390" s="341"/>
    </row>
    <row r="391" spans="1:59" s="135" customFormat="1" ht="18.75" customHeight="1">
      <c r="A391" s="341"/>
      <c r="B391" s="341"/>
      <c r="C391" s="57"/>
      <c r="D391" s="346"/>
      <c r="E391" s="346"/>
      <c r="F391" s="346"/>
      <c r="G391" s="341"/>
      <c r="H391" s="346"/>
      <c r="I391" s="346"/>
      <c r="J391" s="346"/>
      <c r="K391" s="346"/>
      <c r="L391" s="346"/>
      <c r="M391" s="346"/>
      <c r="N391" s="346"/>
      <c r="O391" s="346"/>
      <c r="P391" s="346"/>
      <c r="Q391" s="346"/>
      <c r="R391" s="346"/>
      <c r="S391" s="346"/>
      <c r="T391" s="346"/>
      <c r="U391" s="346"/>
      <c r="V391" s="346"/>
      <c r="W391" s="346"/>
      <c r="X391" s="346"/>
      <c r="Y391" s="346"/>
      <c r="Z391" s="346"/>
      <c r="AA391" s="346"/>
      <c r="AB391" s="346"/>
      <c r="AC391" s="346"/>
      <c r="AD391" s="346"/>
      <c r="AE391" s="341"/>
      <c r="AF391" s="346"/>
      <c r="AG391" s="341"/>
      <c r="AH391" s="341"/>
      <c r="AI391" s="341"/>
      <c r="AJ391" s="341"/>
      <c r="AK391" s="341"/>
      <c r="AL391" s="341"/>
      <c r="AM391" s="341"/>
      <c r="AN391" s="341"/>
      <c r="AO391" s="341"/>
      <c r="AP391" s="341"/>
      <c r="AQ391" s="341"/>
      <c r="AR391" s="341"/>
      <c r="AS391" s="341"/>
      <c r="AT391" s="341"/>
      <c r="AU391" s="341"/>
      <c r="AV391" s="341"/>
      <c r="AW391" s="341"/>
      <c r="AX391" s="341"/>
      <c r="AY391" s="341"/>
      <c r="AZ391" s="341"/>
      <c r="BA391" s="341"/>
      <c r="BB391" s="341"/>
      <c r="BC391" s="341"/>
      <c r="BD391" s="341"/>
      <c r="BE391" s="341"/>
      <c r="BF391" s="341"/>
      <c r="BG391" s="341"/>
    </row>
    <row r="392" spans="1:59" s="135" customFormat="1" ht="18.75" customHeight="1">
      <c r="A392" s="341"/>
      <c r="B392" s="57" t="s">
        <v>1171</v>
      </c>
      <c r="D392" s="346"/>
      <c r="E392" s="346"/>
      <c r="F392" s="346"/>
      <c r="G392" s="341"/>
      <c r="H392" s="346"/>
      <c r="I392" s="346"/>
      <c r="J392" s="346"/>
      <c r="K392" s="346"/>
      <c r="L392" s="346"/>
      <c r="M392" s="346"/>
      <c r="N392" s="346"/>
      <c r="O392" s="346"/>
      <c r="Q392" s="346"/>
      <c r="R392" s="346"/>
      <c r="T392" s="346"/>
      <c r="V392" s="202" t="s">
        <v>1289</v>
      </c>
      <c r="W392" s="346"/>
      <c r="X392" s="346"/>
      <c r="Y392" s="346"/>
      <c r="Z392" s="346"/>
      <c r="AA392" s="346"/>
      <c r="AB392" s="346"/>
      <c r="AC392" s="346"/>
      <c r="AD392" s="346"/>
      <c r="AE392" s="341"/>
      <c r="AF392" s="346"/>
      <c r="AG392" s="341"/>
      <c r="AH392" s="341"/>
      <c r="AI392" s="341"/>
      <c r="AJ392" s="341"/>
      <c r="AK392" s="341"/>
      <c r="AL392" s="341"/>
      <c r="AM392" s="341"/>
      <c r="AN392" s="341"/>
      <c r="AO392" s="341"/>
      <c r="AP392" s="341"/>
      <c r="BB392" s="341"/>
      <c r="BC392" s="341"/>
      <c r="BD392" s="341"/>
      <c r="BE392" s="341"/>
      <c r="BF392" s="341"/>
      <c r="BG392" s="341"/>
    </row>
    <row r="393" spans="1:59" s="135" customFormat="1" ht="18.75" customHeight="1">
      <c r="A393" s="341"/>
      <c r="B393" s="57"/>
      <c r="C393" s="346" t="s">
        <v>1172</v>
      </c>
      <c r="D393" s="346"/>
      <c r="E393" s="346"/>
      <c r="F393" s="346"/>
      <c r="G393" s="341"/>
      <c r="H393" s="346"/>
      <c r="I393" s="346"/>
      <c r="J393" s="346"/>
      <c r="K393" s="346"/>
      <c r="L393" s="346"/>
      <c r="M393" s="346"/>
      <c r="N393" s="346"/>
      <c r="O393" s="346"/>
      <c r="P393" s="346"/>
      <c r="Q393" s="346"/>
      <c r="R393" s="346"/>
      <c r="S393" s="346"/>
      <c r="T393" s="346"/>
      <c r="U393" s="202"/>
      <c r="V393" s="346"/>
      <c r="W393" s="346"/>
      <c r="X393" s="346"/>
      <c r="Y393" s="346"/>
      <c r="Z393" s="346"/>
      <c r="AA393" s="346"/>
      <c r="AB393" s="346"/>
      <c r="AC393" s="346"/>
      <c r="AD393" s="346"/>
      <c r="AE393" s="341"/>
      <c r="AF393" s="346"/>
      <c r="AG393" s="341"/>
      <c r="AH393" s="341"/>
      <c r="AI393" s="341"/>
      <c r="AJ393" s="341"/>
      <c r="AK393" s="341"/>
      <c r="AL393" s="341"/>
      <c r="AM393" s="341"/>
      <c r="AN393" s="341"/>
      <c r="AO393" s="341"/>
      <c r="AP393" s="341"/>
      <c r="BB393" s="341"/>
      <c r="BC393" s="341"/>
      <c r="BD393" s="341"/>
      <c r="BE393" s="341"/>
      <c r="BF393" s="341"/>
      <c r="BG393" s="341"/>
    </row>
    <row r="394" spans="1:59" s="135" customFormat="1" ht="18.75" customHeight="1">
      <c r="A394" s="341"/>
      <c r="B394" s="57"/>
      <c r="C394" s="346"/>
      <c r="D394" s="633" t="s">
        <v>939</v>
      </c>
      <c r="E394" s="633"/>
      <c r="F394" s="633"/>
      <c r="G394" s="633"/>
      <c r="H394" s="633"/>
      <c r="I394" s="633"/>
      <c r="J394" s="633"/>
      <c r="K394" s="633" t="s">
        <v>901</v>
      </c>
      <c r="L394" s="633" t="s">
        <v>940</v>
      </c>
      <c r="M394" s="633"/>
      <c r="N394" s="633"/>
      <c r="O394" s="633"/>
      <c r="P394" s="633"/>
      <c r="Q394" s="633"/>
      <c r="R394" s="633"/>
      <c r="S394" s="633" t="s">
        <v>941</v>
      </c>
      <c r="T394" s="634" t="s">
        <v>942</v>
      </c>
      <c r="U394" s="634"/>
      <c r="V394" s="634"/>
      <c r="W394" s="634"/>
      <c r="X394" s="634"/>
      <c r="Y394" s="634"/>
      <c r="Z394" s="634"/>
      <c r="AA394" s="634"/>
      <c r="AB394" s="634"/>
      <c r="AC394" s="634"/>
      <c r="AD394" s="634"/>
      <c r="AE394" s="634"/>
      <c r="AF394" s="634"/>
      <c r="AG394" s="634"/>
      <c r="AH394" s="633" t="s">
        <v>901</v>
      </c>
      <c r="AI394" s="635">
        <f>Calcu!G161</f>
        <v>20</v>
      </c>
      <c r="AJ394" s="635"/>
      <c r="AK394" s="635"/>
      <c r="AL394" s="633" t="s">
        <v>941</v>
      </c>
      <c r="AM394" s="636">
        <f>AI394</f>
        <v>20</v>
      </c>
      <c r="AN394" s="636"/>
      <c r="AO394" s="636"/>
      <c r="AP394" s="636"/>
      <c r="AQ394" s="633" t="s">
        <v>901</v>
      </c>
      <c r="AR394" s="637" t="e">
        <f ca="1">AI394*AM394/AM395</f>
        <v>#N/A</v>
      </c>
      <c r="AS394" s="637"/>
      <c r="AT394" s="637"/>
      <c r="AU394" s="637"/>
      <c r="AX394" s="341"/>
      <c r="AY394" s="341"/>
      <c r="AZ394" s="341"/>
      <c r="BA394" s="341"/>
      <c r="BB394" s="341"/>
      <c r="BC394" s="341"/>
      <c r="BD394" s="341"/>
      <c r="BE394" s="341"/>
      <c r="BF394" s="341"/>
      <c r="BG394" s="341"/>
    </row>
    <row r="395" spans="1:59" s="135" customFormat="1" ht="18.75" customHeight="1">
      <c r="A395" s="341"/>
      <c r="B395" s="346"/>
      <c r="C395" s="346"/>
      <c r="D395" s="633"/>
      <c r="E395" s="633"/>
      <c r="F395" s="633"/>
      <c r="G395" s="633"/>
      <c r="H395" s="633"/>
      <c r="I395" s="633"/>
      <c r="J395" s="633"/>
      <c r="K395" s="633"/>
      <c r="L395" s="633"/>
      <c r="M395" s="633"/>
      <c r="N395" s="633"/>
      <c r="O395" s="633"/>
      <c r="P395" s="633"/>
      <c r="Q395" s="633"/>
      <c r="R395" s="633"/>
      <c r="S395" s="633"/>
      <c r="T395" s="633" t="s">
        <v>943</v>
      </c>
      <c r="U395" s="633"/>
      <c r="V395" s="633"/>
      <c r="W395" s="633"/>
      <c r="X395" s="633"/>
      <c r="Y395" s="633"/>
      <c r="Z395" s="633"/>
      <c r="AA395" s="633"/>
      <c r="AB395" s="633"/>
      <c r="AC395" s="633"/>
      <c r="AD395" s="633"/>
      <c r="AE395" s="633"/>
      <c r="AF395" s="633"/>
      <c r="AG395" s="633"/>
      <c r="AH395" s="633"/>
      <c r="AI395" s="635"/>
      <c r="AJ395" s="635"/>
      <c r="AK395" s="635"/>
      <c r="AL395" s="633"/>
      <c r="AM395" s="638" t="e">
        <f ca="1">AI394*Calcu!F128</f>
        <v>#N/A</v>
      </c>
      <c r="AN395" s="638"/>
      <c r="AO395" s="638"/>
      <c r="AP395" s="638"/>
      <c r="AQ395" s="633"/>
      <c r="AR395" s="637"/>
      <c r="AS395" s="637"/>
      <c r="AT395" s="637"/>
      <c r="AU395" s="637"/>
      <c r="AV395" s="341"/>
      <c r="AW395" s="341"/>
      <c r="AX395" s="341"/>
      <c r="AY395" s="341"/>
      <c r="AZ395" s="341"/>
      <c r="BA395" s="341"/>
    </row>
    <row r="396" spans="1:59" s="135" customFormat="1" ht="18.75" customHeight="1">
      <c r="A396" s="341"/>
      <c r="B396" s="341"/>
      <c r="C396" s="353" t="s">
        <v>1173</v>
      </c>
      <c r="D396" s="341"/>
      <c r="E396" s="341"/>
      <c r="F396" s="341"/>
      <c r="G396" s="341"/>
      <c r="H396" s="601">
        <v>0</v>
      </c>
      <c r="I396" s="601"/>
      <c r="J396" s="601"/>
      <c r="K396" s="601"/>
      <c r="L396" s="601"/>
      <c r="M396" s="601"/>
      <c r="N396" s="601"/>
      <c r="O396" s="601"/>
      <c r="P396" s="350"/>
      <c r="Q396" s="346"/>
      <c r="R396" s="346"/>
      <c r="S396" s="346"/>
      <c r="T396" s="346"/>
      <c r="U396" s="346"/>
      <c r="V396" s="346"/>
      <c r="W396" s="346"/>
      <c r="AC396" s="346"/>
      <c r="AD396" s="346"/>
      <c r="AE396" s="346"/>
      <c r="AF396" s="346"/>
      <c r="AG396" s="346"/>
      <c r="AH396" s="346"/>
      <c r="AI396" s="341"/>
      <c r="AJ396" s="341"/>
      <c r="AK396" s="341"/>
      <c r="AL396" s="341"/>
      <c r="AM396" s="341"/>
      <c r="AN396" s="341"/>
      <c r="AO396" s="341"/>
      <c r="AP396" s="341"/>
      <c r="AQ396" s="341"/>
      <c r="AR396" s="341"/>
      <c r="AS396" s="346"/>
      <c r="AT396" s="346"/>
      <c r="AU396" s="346"/>
      <c r="AV396" s="346"/>
      <c r="AW396" s="346"/>
      <c r="AX396" s="346"/>
      <c r="AY396" s="341"/>
      <c r="AZ396" s="341"/>
      <c r="BA396" s="341"/>
      <c r="BB396" s="341"/>
      <c r="BC396" s="341"/>
      <c r="BD396" s="341"/>
      <c r="BE396" s="341"/>
      <c r="BF396" s="341"/>
      <c r="BG396" s="341"/>
    </row>
    <row r="397" spans="1:59" s="135" customFormat="1" ht="18.75" customHeight="1">
      <c r="A397" s="341"/>
      <c r="B397" s="341"/>
      <c r="C397" s="346" t="s">
        <v>874</v>
      </c>
      <c r="D397" s="346"/>
      <c r="E397" s="346"/>
      <c r="F397" s="346"/>
      <c r="G397" s="346"/>
      <c r="H397" s="346"/>
      <c r="I397" s="346"/>
      <c r="K397" s="602" t="s">
        <v>1290</v>
      </c>
      <c r="L397" s="602"/>
      <c r="M397" s="602"/>
      <c r="N397" s="514" t="s">
        <v>1019</v>
      </c>
      <c r="O397" s="597" t="e">
        <f ca="1">AR394/1000</f>
        <v>#N/A</v>
      </c>
      <c r="P397" s="597"/>
      <c r="Q397" s="597"/>
      <c r="R397" s="355" t="s">
        <v>1143</v>
      </c>
      <c r="S397" s="355"/>
      <c r="T397" s="519" t="s">
        <v>1165</v>
      </c>
      <c r="U397" s="575" t="e">
        <f ca="1">O397/2/SQRT(3)</f>
        <v>#N/A</v>
      </c>
      <c r="V397" s="575"/>
      <c r="W397" s="575"/>
      <c r="X397" s="575"/>
      <c r="Y397" s="576" t="str">
        <f>R397</f>
        <v>mm</v>
      </c>
      <c r="Z397" s="576"/>
      <c r="AA397" s="341"/>
      <c r="AB397" s="341"/>
      <c r="AC397" s="341"/>
      <c r="AD397" s="341"/>
      <c r="AE397" s="341"/>
      <c r="AF397" s="341"/>
      <c r="AG397" s="341"/>
      <c r="AH397" s="341"/>
      <c r="AI397" s="341"/>
      <c r="AJ397" s="341"/>
      <c r="AK397" s="341"/>
      <c r="AL397" s="341"/>
      <c r="AM397" s="346"/>
      <c r="AN397" s="346"/>
      <c r="AO397" s="346"/>
      <c r="AP397" s="346"/>
      <c r="AQ397" s="346"/>
      <c r="AR397" s="346"/>
      <c r="AS397" s="346"/>
      <c r="AT397" s="346"/>
      <c r="AU397" s="341"/>
      <c r="AV397" s="341"/>
      <c r="AW397" s="341"/>
      <c r="AX397" s="341"/>
      <c r="AY397" s="341"/>
      <c r="AZ397" s="341"/>
      <c r="BA397" s="341"/>
      <c r="BB397" s="341"/>
      <c r="BC397" s="341"/>
    </row>
    <row r="398" spans="1:59" s="135" customFormat="1" ht="18.75" customHeight="1">
      <c r="A398" s="341"/>
      <c r="B398" s="341"/>
      <c r="C398" s="346"/>
      <c r="D398" s="346"/>
      <c r="E398" s="346"/>
      <c r="F398" s="346"/>
      <c r="G398" s="346"/>
      <c r="H398" s="346"/>
      <c r="I398" s="346"/>
      <c r="J398" s="203"/>
      <c r="K398" s="602"/>
      <c r="L398" s="602"/>
      <c r="M398" s="602"/>
      <c r="N398" s="514"/>
      <c r="O398" s="609"/>
      <c r="P398" s="609"/>
      <c r="Q398" s="609"/>
      <c r="R398" s="609"/>
      <c r="S398" s="609"/>
      <c r="T398" s="519"/>
      <c r="U398" s="575"/>
      <c r="V398" s="575"/>
      <c r="W398" s="575"/>
      <c r="X398" s="575"/>
      <c r="Y398" s="576"/>
      <c r="Z398" s="576"/>
      <c r="AA398" s="341"/>
      <c r="AB398" s="341"/>
      <c r="AC398" s="341"/>
      <c r="AD398" s="341"/>
      <c r="AE398" s="341"/>
      <c r="AF398" s="341"/>
      <c r="AG398" s="341"/>
      <c r="AH398" s="341"/>
      <c r="AI398" s="341"/>
      <c r="AJ398" s="341"/>
      <c r="AK398" s="341"/>
      <c r="AL398" s="341"/>
      <c r="AM398" s="346"/>
      <c r="AN398" s="346"/>
      <c r="AO398" s="346"/>
      <c r="AP398" s="346"/>
      <c r="AQ398" s="346"/>
      <c r="AR398" s="346"/>
      <c r="AS398" s="346"/>
      <c r="AT398" s="346"/>
      <c r="AU398" s="341"/>
      <c r="AV398" s="341"/>
      <c r="AW398" s="341"/>
      <c r="AX398" s="341"/>
      <c r="AY398" s="341"/>
      <c r="AZ398" s="341"/>
      <c r="BA398" s="341"/>
      <c r="BB398" s="341"/>
      <c r="BC398" s="341"/>
    </row>
    <row r="399" spans="1:59" s="135" customFormat="1" ht="18.75" customHeight="1">
      <c r="A399" s="341"/>
      <c r="B399" s="341"/>
      <c r="C399" s="346" t="s">
        <v>1040</v>
      </c>
      <c r="D399" s="346"/>
      <c r="E399" s="346"/>
      <c r="F399" s="346"/>
      <c r="G399" s="346"/>
      <c r="H399" s="346"/>
      <c r="I399" s="544" t="str">
        <f>AB350</f>
        <v>직사각형</v>
      </c>
      <c r="J399" s="544"/>
      <c r="K399" s="544"/>
      <c r="L399" s="544"/>
      <c r="M399" s="544"/>
      <c r="N399" s="544"/>
      <c r="O399" s="544"/>
      <c r="P399" s="544"/>
      <c r="Q399" s="346"/>
      <c r="R399" s="346"/>
      <c r="S399" s="346"/>
      <c r="T399" s="346"/>
      <c r="U399" s="346"/>
      <c r="V399" s="346"/>
      <c r="W399" s="346"/>
      <c r="X399" s="346"/>
      <c r="Y399" s="346"/>
      <c r="Z399" s="341"/>
      <c r="AA399" s="341"/>
      <c r="AB399" s="341"/>
      <c r="AC399" s="341"/>
      <c r="AD399" s="341"/>
      <c r="AE399" s="341"/>
      <c r="AF399" s="341"/>
      <c r="AG399" s="341"/>
      <c r="AH399" s="346"/>
      <c r="AI399" s="346"/>
      <c r="AJ399" s="346"/>
      <c r="AK399" s="346"/>
      <c r="AL399" s="346"/>
      <c r="AM399" s="346"/>
      <c r="AN399" s="346"/>
      <c r="AO399" s="346"/>
      <c r="AP399" s="346"/>
      <c r="AQ399" s="346"/>
      <c r="AR399" s="346"/>
      <c r="AS399" s="346"/>
      <c r="AT399" s="346"/>
      <c r="AU399" s="346"/>
      <c r="AV399" s="346"/>
      <c r="AW399" s="346"/>
      <c r="AX399" s="346"/>
      <c r="AY399" s="341"/>
      <c r="AZ399" s="341"/>
      <c r="BA399" s="341"/>
      <c r="BB399" s="341"/>
      <c r="BC399" s="341"/>
      <c r="BD399" s="341"/>
      <c r="BE399" s="341"/>
      <c r="BF399" s="341"/>
      <c r="BG399" s="341"/>
    </row>
    <row r="400" spans="1:59" s="135" customFormat="1" ht="18.75" customHeight="1">
      <c r="B400" s="341"/>
      <c r="C400" s="518" t="s">
        <v>1174</v>
      </c>
      <c r="D400" s="518"/>
      <c r="E400" s="518"/>
      <c r="F400" s="518"/>
      <c r="G400" s="518"/>
      <c r="H400" s="518"/>
      <c r="I400" s="346"/>
      <c r="J400" s="346"/>
      <c r="K400" s="346"/>
      <c r="L400" s="346"/>
      <c r="M400" s="346"/>
      <c r="N400" s="346"/>
      <c r="O400" s="346"/>
      <c r="P400" s="142"/>
      <c r="Q400" s="142"/>
      <c r="R400" s="142"/>
      <c r="S400" s="346"/>
      <c r="T400" s="589" t="e">
        <f ca="1">AG350</f>
        <v>#N/A</v>
      </c>
      <c r="U400" s="589"/>
      <c r="V400" s="589"/>
      <c r="W400" s="543" t="str">
        <f>AL350</f>
        <v>/mm</v>
      </c>
      <c r="X400" s="543"/>
      <c r="Y400" s="543"/>
      <c r="Z400" s="143"/>
      <c r="AA400" s="143"/>
      <c r="AB400" s="346"/>
      <c r="AC400" s="346"/>
      <c r="AD400" s="346"/>
      <c r="AE400" s="346"/>
      <c r="AF400" s="346"/>
      <c r="AG400" s="346"/>
      <c r="AH400" s="346"/>
      <c r="AI400" s="346"/>
      <c r="AJ400" s="346"/>
      <c r="AK400" s="346"/>
      <c r="AL400" s="341"/>
      <c r="AM400" s="341"/>
      <c r="AN400" s="341"/>
      <c r="AO400" s="346"/>
      <c r="AP400" s="346"/>
      <c r="AQ400" s="346"/>
      <c r="AR400" s="346"/>
      <c r="AS400" s="346"/>
      <c r="AT400" s="346"/>
      <c r="AU400" s="346"/>
      <c r="AV400" s="346"/>
      <c r="AW400" s="346"/>
      <c r="AX400" s="346"/>
      <c r="AY400" s="341"/>
      <c r="AZ400" s="341"/>
      <c r="BA400" s="341"/>
      <c r="BB400" s="341"/>
      <c r="BC400" s="341"/>
      <c r="BD400" s="341"/>
      <c r="BE400" s="341"/>
      <c r="BF400" s="341"/>
      <c r="BG400" s="341"/>
    </row>
    <row r="401" spans="1:60" s="135" customFormat="1" ht="18.75" customHeight="1">
      <c r="B401" s="341"/>
      <c r="C401" s="518"/>
      <c r="D401" s="518"/>
      <c r="E401" s="518"/>
      <c r="F401" s="518"/>
      <c r="G401" s="518"/>
      <c r="H401" s="518"/>
      <c r="I401" s="346"/>
      <c r="J401" s="346"/>
      <c r="K401" s="346"/>
      <c r="L401" s="346"/>
      <c r="M401" s="346"/>
      <c r="N401" s="346"/>
      <c r="O401" s="346"/>
      <c r="P401" s="142"/>
      <c r="Q401" s="142"/>
      <c r="R401" s="142"/>
      <c r="S401" s="346"/>
      <c r="T401" s="589"/>
      <c r="U401" s="589"/>
      <c r="V401" s="589"/>
      <c r="W401" s="543"/>
      <c r="X401" s="543"/>
      <c r="Y401" s="543"/>
      <c r="Z401" s="143"/>
      <c r="AA401" s="143"/>
      <c r="AB401" s="346"/>
      <c r="AC401" s="346"/>
      <c r="AD401" s="346"/>
      <c r="AE401" s="346"/>
      <c r="AF401" s="346"/>
      <c r="AG401" s="346"/>
      <c r="AH401" s="346"/>
      <c r="AI401" s="346"/>
      <c r="AJ401" s="346"/>
      <c r="AK401" s="346"/>
      <c r="AL401" s="341"/>
      <c r="AM401" s="341"/>
      <c r="AN401" s="341"/>
      <c r="AO401" s="346"/>
      <c r="AP401" s="346"/>
      <c r="AQ401" s="346"/>
      <c r="AR401" s="346"/>
      <c r="AS401" s="346"/>
      <c r="AT401" s="346"/>
      <c r="AU401" s="346"/>
      <c r="AV401" s="346"/>
      <c r="AW401" s="346"/>
      <c r="AX401" s="346"/>
      <c r="AY401" s="341"/>
      <c r="AZ401" s="341"/>
      <c r="BA401" s="341"/>
      <c r="BB401" s="341"/>
      <c r="BC401" s="341"/>
      <c r="BD401" s="341"/>
      <c r="BE401" s="341"/>
      <c r="BF401" s="341"/>
      <c r="BG401" s="341"/>
    </row>
    <row r="402" spans="1:60" s="135" customFormat="1" ht="18.75" customHeight="1">
      <c r="B402" s="341"/>
      <c r="C402" s="346" t="s">
        <v>1043</v>
      </c>
      <c r="D402" s="346"/>
      <c r="E402" s="346"/>
      <c r="F402" s="346"/>
      <c r="G402" s="346"/>
      <c r="H402" s="346"/>
      <c r="I402" s="346"/>
      <c r="J402" s="341"/>
      <c r="K402" s="345" t="s">
        <v>1074</v>
      </c>
      <c r="L402" s="589" t="e">
        <f ca="1">T400</f>
        <v>#N/A</v>
      </c>
      <c r="M402" s="589"/>
      <c r="N402" s="589"/>
      <c r="O402" s="631" t="str">
        <f>W400</f>
        <v>/mm</v>
      </c>
      <c r="P402" s="631"/>
      <c r="Q402" s="631"/>
      <c r="R402" s="341" t="s">
        <v>1018</v>
      </c>
      <c r="S402" s="575" t="e">
        <f ca="1">U397</f>
        <v>#N/A</v>
      </c>
      <c r="T402" s="575"/>
      <c r="U402" s="575"/>
      <c r="V402" s="575"/>
      <c r="W402" s="590" t="str">
        <f>Y397</f>
        <v>mm</v>
      </c>
      <c r="X402" s="576"/>
      <c r="Y402" s="345" t="s">
        <v>1074</v>
      </c>
      <c r="Z402" s="70" t="s">
        <v>1019</v>
      </c>
      <c r="AA402" s="575" t="e">
        <f ca="1">S402</f>
        <v>#N/A</v>
      </c>
      <c r="AB402" s="575"/>
      <c r="AC402" s="575"/>
      <c r="AD402" s="575"/>
      <c r="AE402" s="590" t="str">
        <f>W402</f>
        <v>mm</v>
      </c>
      <c r="AF402" s="576"/>
      <c r="AG402" s="56"/>
      <c r="AH402" s="56"/>
      <c r="AI402" s="56"/>
      <c r="AJ402" s="56"/>
      <c r="AK402" s="56"/>
      <c r="AL402" s="56"/>
      <c r="AM402" s="341"/>
      <c r="AN402" s="341"/>
      <c r="AO402" s="346"/>
      <c r="AP402" s="346"/>
      <c r="AQ402" s="346"/>
      <c r="AR402" s="346"/>
      <c r="AS402" s="346"/>
      <c r="AT402" s="346"/>
      <c r="AU402" s="346"/>
      <c r="AV402" s="346"/>
      <c r="AW402" s="346"/>
      <c r="AX402" s="346"/>
      <c r="AY402" s="341"/>
      <c r="AZ402" s="341"/>
      <c r="BA402" s="341"/>
      <c r="BB402" s="341"/>
      <c r="BC402" s="341"/>
      <c r="BD402" s="341"/>
      <c r="BE402" s="341"/>
      <c r="BF402" s="341"/>
      <c r="BG402" s="341"/>
    </row>
    <row r="403" spans="1:60" s="135" customFormat="1" ht="18.75" customHeight="1">
      <c r="B403" s="341"/>
      <c r="C403" s="518" t="s">
        <v>878</v>
      </c>
      <c r="D403" s="518"/>
      <c r="E403" s="518"/>
      <c r="F403" s="518"/>
      <c r="G403" s="518"/>
      <c r="H403" s="346"/>
      <c r="J403" s="346"/>
      <c r="K403" s="346"/>
      <c r="L403" s="346"/>
      <c r="M403" s="346"/>
      <c r="N403" s="346"/>
      <c r="O403" s="346"/>
      <c r="P403" s="346"/>
      <c r="Q403" s="346"/>
      <c r="R403" s="138"/>
      <c r="S403" s="346"/>
      <c r="T403" s="346"/>
      <c r="U403" s="346"/>
      <c r="W403" s="346"/>
      <c r="X403" s="370" t="s">
        <v>1076</v>
      </c>
      <c r="Y403" s="346"/>
      <c r="Z403" s="346"/>
      <c r="AA403" s="346"/>
      <c r="AB403" s="346"/>
      <c r="AC403" s="346"/>
      <c r="AD403" s="346"/>
      <c r="AE403" s="341"/>
      <c r="AF403" s="341"/>
      <c r="AG403" s="341"/>
      <c r="AH403" s="341"/>
      <c r="AI403" s="341"/>
      <c r="AJ403" s="341"/>
      <c r="AK403" s="341"/>
      <c r="AL403" s="341"/>
      <c r="AM403" s="341"/>
      <c r="AN403" s="341"/>
      <c r="AO403" s="341"/>
      <c r="AP403" s="341"/>
      <c r="AQ403" s="341"/>
      <c r="AR403" s="341"/>
      <c r="AS403" s="341"/>
      <c r="AT403" s="341"/>
      <c r="AU403" s="341"/>
      <c r="AV403" s="341"/>
      <c r="AW403" s="341"/>
      <c r="AX403" s="341"/>
      <c r="AY403" s="341"/>
      <c r="AZ403" s="341"/>
      <c r="BA403" s="341"/>
      <c r="BB403" s="341"/>
      <c r="BC403" s="341"/>
      <c r="BD403" s="341"/>
      <c r="BE403" s="341"/>
      <c r="BF403" s="341"/>
      <c r="BG403" s="341"/>
    </row>
    <row r="404" spans="1:60" s="135" customFormat="1" ht="18.75" customHeight="1">
      <c r="B404" s="341"/>
      <c r="C404" s="518"/>
      <c r="D404" s="518"/>
      <c r="E404" s="518"/>
      <c r="F404" s="518"/>
      <c r="G404" s="518"/>
      <c r="H404" s="346"/>
      <c r="I404" s="346"/>
      <c r="J404" s="346"/>
      <c r="K404" s="346"/>
      <c r="L404" s="346"/>
      <c r="M404" s="346"/>
      <c r="N404" s="346"/>
      <c r="O404" s="346"/>
      <c r="P404" s="346"/>
      <c r="Q404" s="346"/>
      <c r="R404" s="138"/>
      <c r="S404" s="346"/>
      <c r="T404" s="346"/>
      <c r="U404" s="346"/>
      <c r="V404" s="346"/>
      <c r="W404" s="346"/>
      <c r="X404" s="346"/>
      <c r="Y404" s="346"/>
      <c r="Z404" s="346"/>
      <c r="AA404" s="346"/>
      <c r="AB404" s="346"/>
      <c r="AC404" s="346"/>
      <c r="AD404" s="346"/>
      <c r="AE404" s="341"/>
      <c r="AF404" s="341"/>
      <c r="AG404" s="341"/>
      <c r="AH404" s="341"/>
      <c r="AI404" s="341"/>
      <c r="AJ404" s="341"/>
      <c r="AK404" s="341"/>
      <c r="AL404" s="341"/>
      <c r="AM404" s="341"/>
      <c r="AN404" s="341"/>
      <c r="AO404" s="341"/>
      <c r="AP404" s="341"/>
      <c r="AQ404" s="341"/>
      <c r="AR404" s="341"/>
      <c r="AS404" s="341"/>
      <c r="AT404" s="341"/>
      <c r="AU404" s="341"/>
      <c r="AV404" s="341"/>
      <c r="AW404" s="341"/>
      <c r="AX404" s="341"/>
      <c r="AY404" s="341"/>
      <c r="AZ404" s="341"/>
      <c r="BA404" s="341"/>
      <c r="BB404" s="341"/>
      <c r="BC404" s="341"/>
      <c r="BD404" s="341"/>
      <c r="BE404" s="341"/>
      <c r="BF404" s="341"/>
      <c r="BG404" s="341"/>
    </row>
    <row r="405" spans="1:60" s="135" customFormat="1" ht="18.75" customHeight="1">
      <c r="B405" s="341"/>
      <c r="C405" s="57"/>
      <c r="D405" s="346"/>
      <c r="E405" s="346"/>
      <c r="F405" s="346"/>
      <c r="G405" s="341"/>
      <c r="H405" s="346"/>
      <c r="I405" s="346"/>
      <c r="J405" s="346"/>
      <c r="K405" s="346"/>
      <c r="L405" s="346"/>
      <c r="M405" s="346"/>
      <c r="N405" s="346"/>
      <c r="O405" s="346"/>
      <c r="P405" s="346"/>
      <c r="Q405" s="346"/>
      <c r="R405" s="346"/>
      <c r="S405" s="346"/>
      <c r="T405" s="346"/>
      <c r="U405" s="346"/>
      <c r="V405" s="346"/>
      <c r="W405" s="346"/>
      <c r="X405" s="346"/>
      <c r="Y405" s="346"/>
      <c r="Z405" s="346"/>
      <c r="AA405" s="346"/>
      <c r="AB405" s="346"/>
      <c r="AC405" s="346"/>
      <c r="AD405" s="346"/>
      <c r="AE405" s="341"/>
      <c r="AF405" s="346"/>
      <c r="AG405" s="341"/>
      <c r="AH405" s="341"/>
      <c r="AI405" s="341"/>
      <c r="AJ405" s="341"/>
      <c r="AK405" s="341"/>
      <c r="AL405" s="341"/>
      <c r="AM405" s="341"/>
      <c r="AN405" s="341"/>
      <c r="AO405" s="341"/>
      <c r="AP405" s="341"/>
      <c r="AQ405" s="341"/>
      <c r="AR405" s="341"/>
      <c r="AS405" s="341"/>
      <c r="AT405" s="341"/>
      <c r="AU405" s="341"/>
      <c r="AV405" s="341"/>
      <c r="AW405" s="341"/>
      <c r="AX405" s="341"/>
      <c r="AY405" s="341"/>
      <c r="AZ405" s="341"/>
      <c r="BA405" s="341"/>
      <c r="BB405" s="341"/>
      <c r="BC405" s="341"/>
      <c r="BD405" s="341"/>
      <c r="BE405" s="341"/>
      <c r="BF405" s="341"/>
      <c r="BG405" s="341"/>
    </row>
    <row r="406" spans="1:60" s="135" customFormat="1" ht="18.75" customHeight="1">
      <c r="A406" s="57" t="s">
        <v>1092</v>
      </c>
      <c r="B406" s="341"/>
      <c r="C406" s="341"/>
      <c r="D406" s="341"/>
      <c r="E406" s="341"/>
      <c r="F406" s="341"/>
      <c r="G406" s="341"/>
      <c r="H406" s="341"/>
      <c r="I406" s="341"/>
      <c r="J406" s="341"/>
      <c r="K406" s="341"/>
      <c r="L406" s="341"/>
      <c r="M406" s="341"/>
      <c r="N406" s="341"/>
      <c r="O406" s="341"/>
      <c r="P406" s="341"/>
      <c r="Q406" s="341"/>
      <c r="R406" s="341"/>
      <c r="S406" s="341"/>
      <c r="T406" s="341"/>
      <c r="U406" s="341"/>
      <c r="V406" s="341"/>
      <c r="W406" s="341"/>
      <c r="X406" s="341"/>
      <c r="Y406" s="341"/>
      <c r="Z406" s="341"/>
      <c r="AA406" s="341"/>
      <c r="AB406" s="341"/>
      <c r="AC406" s="341"/>
      <c r="AD406" s="341"/>
      <c r="AE406" s="341"/>
      <c r="AF406" s="341"/>
      <c r="AG406" s="341"/>
      <c r="AH406" s="341"/>
      <c r="AI406" s="341"/>
      <c r="AJ406" s="341"/>
      <c r="AK406" s="341"/>
      <c r="AL406" s="341"/>
      <c r="AM406" s="341"/>
      <c r="AN406" s="341"/>
      <c r="AO406" s="341"/>
      <c r="AP406" s="341"/>
      <c r="AQ406" s="341"/>
      <c r="AR406" s="341"/>
      <c r="AS406" s="341"/>
      <c r="AT406" s="341"/>
      <c r="AU406" s="341"/>
      <c r="AV406" s="341"/>
      <c r="AW406" s="341"/>
      <c r="AX406" s="341"/>
      <c r="AY406" s="341"/>
      <c r="AZ406" s="341"/>
      <c r="BA406" s="341"/>
      <c r="BB406" s="341"/>
      <c r="BC406" s="341"/>
      <c r="BD406" s="341"/>
      <c r="BE406" s="341"/>
      <c r="BF406" s="341"/>
    </row>
    <row r="407" spans="1:60" s="135" customFormat="1" ht="18.75" customHeight="1">
      <c r="A407" s="341"/>
      <c r="B407" s="341"/>
      <c r="C407" s="341"/>
      <c r="D407" s="341"/>
      <c r="E407" s="341"/>
      <c r="F407" s="341"/>
      <c r="G407" s="341"/>
      <c r="H407" s="341"/>
      <c r="I407" s="341"/>
      <c r="J407" s="341"/>
      <c r="K407" s="341"/>
      <c r="L407" s="341"/>
      <c r="M407" s="341"/>
      <c r="N407" s="341"/>
      <c r="O407" s="341"/>
      <c r="P407" s="341"/>
      <c r="Q407" s="341"/>
      <c r="R407" s="341"/>
      <c r="S407" s="341"/>
      <c r="T407" s="341"/>
      <c r="U407" s="341"/>
      <c r="V407" s="341"/>
      <c r="W407" s="341"/>
      <c r="X407" s="341"/>
      <c r="Y407" s="341"/>
      <c r="Z407" s="341"/>
      <c r="AA407" s="341"/>
      <c r="AB407" s="341"/>
      <c r="AC407" s="341"/>
      <c r="AD407" s="341"/>
      <c r="AE407" s="346"/>
      <c r="AF407" s="341"/>
      <c r="AG407" s="341"/>
      <c r="AH407" s="341"/>
      <c r="AI407" s="341"/>
      <c r="AJ407" s="341"/>
      <c r="AK407" s="346"/>
      <c r="AL407" s="346"/>
      <c r="AM407" s="363"/>
      <c r="AN407" s="363"/>
      <c r="AO407" s="363"/>
      <c r="AP407" s="363"/>
      <c r="AQ407" s="346"/>
      <c r="AR407" s="341"/>
      <c r="AT407" s="369"/>
      <c r="AU407" s="369"/>
      <c r="AV407" s="369"/>
      <c r="AW407" s="346"/>
      <c r="AX407" s="346"/>
      <c r="AY407" s="341"/>
      <c r="BA407" s="341"/>
      <c r="BB407" s="341"/>
      <c r="BC407" s="341"/>
      <c r="BD407" s="341"/>
      <c r="BE407" s="341"/>
      <c r="BF407" s="341"/>
    </row>
    <row r="408" spans="1:60" s="135" customFormat="1" ht="18.75" customHeight="1">
      <c r="A408" s="341"/>
      <c r="B408" s="341"/>
      <c r="C408" s="341"/>
      <c r="D408" s="341"/>
      <c r="E408" s="341" t="s">
        <v>1019</v>
      </c>
      <c r="F408" s="515" t="e">
        <f ca="1">AP347</f>
        <v>#N/A</v>
      </c>
      <c r="G408" s="515"/>
      <c r="H408" s="639" t="str">
        <f>AV347</f>
        <v>×10</v>
      </c>
      <c r="I408" s="639"/>
      <c r="J408" s="372" t="e">
        <f ca="1">AX347</f>
        <v>#N/A</v>
      </c>
      <c r="L408" s="514" t="s">
        <v>1095</v>
      </c>
      <c r="M408" s="514"/>
      <c r="N408" s="515" t="e">
        <f ca="1">AP348</f>
        <v>#N/A</v>
      </c>
      <c r="O408" s="515"/>
      <c r="P408" s="639" t="str">
        <f>AV348</f>
        <v>×10</v>
      </c>
      <c r="Q408" s="639"/>
      <c r="R408" s="372" t="e">
        <f ca="1">AX348</f>
        <v>#N/A</v>
      </c>
      <c r="T408" s="514" t="s">
        <v>1095</v>
      </c>
      <c r="U408" s="514"/>
      <c r="V408" s="515" t="e">
        <f ca="1">AP349</f>
        <v>#N/A</v>
      </c>
      <c r="W408" s="515"/>
      <c r="X408" s="639" t="str">
        <f>AV349</f>
        <v>×10</v>
      </c>
      <c r="Y408" s="639"/>
      <c r="Z408" s="372" t="e">
        <f ca="1">AX349</f>
        <v>#N/A</v>
      </c>
      <c r="AB408" s="514" t="s">
        <v>1095</v>
      </c>
      <c r="AC408" s="514"/>
      <c r="AD408" s="515" t="e">
        <f ca="1">AP350</f>
        <v>#N/A</v>
      </c>
      <c r="AE408" s="515"/>
      <c r="AF408" s="639" t="str">
        <f>AV350</f>
        <v>×10</v>
      </c>
      <c r="AG408" s="639"/>
      <c r="AH408" s="372" t="e">
        <f ca="1">AX350</f>
        <v>#N/A</v>
      </c>
      <c r="AJ408" s="341"/>
      <c r="AK408" s="346"/>
      <c r="AR408" s="341"/>
      <c r="AU408" s="341"/>
      <c r="AV408" s="341"/>
      <c r="AW408" s="341"/>
      <c r="AX408" s="341"/>
      <c r="AY408" s="341"/>
      <c r="AZ408" s="341"/>
      <c r="BA408" s="341"/>
      <c r="BB408" s="341"/>
      <c r="BC408" s="341"/>
      <c r="BD408" s="341"/>
      <c r="BE408" s="341"/>
      <c r="BF408" s="341"/>
    </row>
    <row r="409" spans="1:60" s="58" customFormat="1" ht="18.75" customHeight="1">
      <c r="A409" s="346"/>
      <c r="B409" s="346"/>
      <c r="C409" s="346"/>
      <c r="D409" s="346"/>
      <c r="E409" s="341" t="s">
        <v>845</v>
      </c>
      <c r="F409" s="515" t="e">
        <f ca="1">AP351</f>
        <v>#N/A</v>
      </c>
      <c r="G409" s="515"/>
      <c r="H409" s="639" t="str">
        <f>AV351</f>
        <v>×10</v>
      </c>
      <c r="I409" s="639"/>
      <c r="J409" s="372" t="e">
        <f ca="1">AX351</f>
        <v>#N/A</v>
      </c>
      <c r="K409" s="135"/>
      <c r="L409" s="346"/>
      <c r="M409" s="369"/>
      <c r="N409" s="369"/>
      <c r="O409" s="369"/>
      <c r="P409" s="346"/>
      <c r="Q409" s="346"/>
      <c r="R409" s="341"/>
      <c r="S409" s="135"/>
      <c r="T409" s="346"/>
      <c r="U409" s="346"/>
      <c r="V409" s="346"/>
      <c r="W409" s="346"/>
      <c r="X409" s="346"/>
      <c r="Y409" s="346"/>
      <c r="Z409" s="346"/>
      <c r="AA409" s="346"/>
      <c r="AB409" s="346"/>
      <c r="AC409" s="346"/>
      <c r="AD409" s="346"/>
      <c r="AE409" s="346"/>
      <c r="AF409" s="346"/>
      <c r="AG409" s="341"/>
      <c r="AH409" s="346"/>
      <c r="AI409" s="346"/>
      <c r="AJ409" s="346"/>
      <c r="AK409" s="346"/>
      <c r="AL409" s="346"/>
      <c r="AM409" s="346"/>
      <c r="AN409" s="346"/>
      <c r="AO409" s="346"/>
      <c r="AP409" s="346"/>
      <c r="AQ409" s="346"/>
      <c r="AR409" s="346"/>
      <c r="AS409" s="346"/>
      <c r="AT409" s="346"/>
      <c r="AU409" s="346"/>
      <c r="AV409" s="346"/>
      <c r="AW409" s="346"/>
      <c r="AX409" s="346"/>
      <c r="AY409" s="346"/>
      <c r="AZ409" s="346"/>
      <c r="BA409" s="346"/>
      <c r="BB409" s="346"/>
      <c r="BC409" s="346"/>
      <c r="BD409" s="346"/>
      <c r="BE409" s="346"/>
      <c r="BF409" s="346"/>
      <c r="BG409" s="346"/>
      <c r="BH409" s="346"/>
    </row>
    <row r="410" spans="1:60" s="58" customFormat="1" ht="18.75" customHeight="1">
      <c r="A410" s="346"/>
      <c r="B410" s="346"/>
      <c r="C410" s="346"/>
      <c r="D410" s="349"/>
      <c r="E410" s="349"/>
      <c r="F410" s="349"/>
      <c r="G410" s="346"/>
      <c r="H410" s="346"/>
      <c r="I410" s="341"/>
      <c r="J410" s="341"/>
      <c r="K410" s="145"/>
      <c r="L410" s="145"/>
      <c r="M410" s="145"/>
      <c r="N410" s="145"/>
      <c r="O410" s="346"/>
      <c r="P410" s="346"/>
      <c r="Q410" s="346"/>
      <c r="R410" s="346"/>
      <c r="S410" s="346"/>
      <c r="T410" s="346"/>
      <c r="U410" s="346"/>
      <c r="V410" s="346"/>
      <c r="W410" s="346"/>
      <c r="X410" s="346"/>
      <c r="Y410" s="346"/>
      <c r="Z410" s="346"/>
      <c r="AA410" s="346"/>
      <c r="AB410" s="346"/>
      <c r="AC410" s="346"/>
      <c r="AD410" s="346"/>
      <c r="AE410" s="346"/>
      <c r="AF410" s="346"/>
      <c r="AG410" s="346"/>
      <c r="AH410" s="346"/>
      <c r="AI410" s="346"/>
      <c r="AJ410" s="346"/>
      <c r="AK410" s="346"/>
      <c r="AL410" s="346"/>
      <c r="AM410" s="346"/>
      <c r="AN410" s="346"/>
      <c r="AO410" s="346"/>
      <c r="AP410" s="346"/>
      <c r="AQ410" s="346"/>
      <c r="AR410" s="346"/>
      <c r="AS410" s="346"/>
      <c r="AT410" s="346"/>
      <c r="AU410" s="346"/>
      <c r="AV410" s="346"/>
      <c r="AW410" s="346"/>
      <c r="AX410" s="346"/>
      <c r="AY410" s="346"/>
      <c r="AZ410" s="346"/>
      <c r="BA410" s="346"/>
      <c r="BB410" s="346"/>
      <c r="BC410" s="346"/>
      <c r="BD410" s="346"/>
      <c r="BE410" s="346"/>
      <c r="BF410" s="346"/>
    </row>
    <row r="411" spans="1:60" s="135" customFormat="1" ht="18.75" customHeight="1">
      <c r="A411" s="341"/>
      <c r="B411" s="341"/>
      <c r="C411" s="341"/>
      <c r="D411" s="379" t="s">
        <v>944</v>
      </c>
      <c r="E411" s="341" t="s">
        <v>845</v>
      </c>
      <c r="F411" s="515" t="e">
        <f ca="1">F409</f>
        <v>#N/A</v>
      </c>
      <c r="G411" s="515"/>
      <c r="H411" s="639" t="str">
        <f>H409</f>
        <v>×10</v>
      </c>
      <c r="I411" s="639"/>
      <c r="J411" s="372" t="e">
        <f ca="1">J409</f>
        <v>#N/A</v>
      </c>
      <c r="L411" s="345"/>
      <c r="M411" s="345"/>
      <c r="N411" s="370"/>
      <c r="O411" s="370"/>
      <c r="P411" s="370"/>
      <c r="Q411" s="346"/>
      <c r="R411" s="346"/>
      <c r="T411" s="346"/>
      <c r="U411" s="346"/>
      <c r="V411" s="346"/>
      <c r="W411" s="346"/>
      <c r="X411" s="346"/>
      <c r="Y411" s="341"/>
      <c r="Z411" s="341"/>
      <c r="AA411" s="341"/>
      <c r="AB411" s="341"/>
      <c r="AC411" s="341"/>
      <c r="AD411" s="341"/>
      <c r="AE411" s="346"/>
      <c r="AF411" s="341"/>
      <c r="AG411" s="341"/>
      <c r="AH411" s="341"/>
      <c r="AI411" s="341"/>
      <c r="AJ411" s="341"/>
      <c r="AK411" s="341"/>
      <c r="AL411" s="341"/>
      <c r="AM411" s="341"/>
      <c r="AN411" s="341"/>
      <c r="AO411" s="341"/>
      <c r="AP411" s="341"/>
      <c r="AQ411" s="341"/>
      <c r="AR411" s="341"/>
      <c r="AS411" s="341"/>
      <c r="AT411" s="341"/>
      <c r="AU411" s="341"/>
      <c r="AV411" s="341"/>
      <c r="AW411" s="341"/>
      <c r="AX411" s="341"/>
      <c r="AY411" s="341"/>
      <c r="AZ411" s="341"/>
      <c r="BA411" s="341"/>
      <c r="BB411" s="341"/>
      <c r="BC411" s="341"/>
      <c r="BD411" s="341"/>
      <c r="BE411" s="341"/>
      <c r="BF411" s="341"/>
    </row>
    <row r="412" spans="1:60" s="346" customFormat="1" ht="18.75" customHeight="1"/>
    <row r="413" spans="1:60" ht="18.75" customHeight="1">
      <c r="A413" s="57" t="s">
        <v>925</v>
      </c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70"/>
      <c r="N413" s="370"/>
      <c r="O413" s="370"/>
      <c r="P413" s="370"/>
      <c r="Q413" s="370"/>
      <c r="R413" s="370"/>
      <c r="S413" s="370"/>
      <c r="T413" s="370"/>
      <c r="U413" s="370"/>
      <c r="V413" s="370"/>
      <c r="W413" s="370"/>
      <c r="X413" s="370"/>
      <c r="Y413" s="370"/>
      <c r="Z413" s="370"/>
      <c r="AA413" s="370"/>
      <c r="AB413" s="370"/>
      <c r="AC413" s="370"/>
      <c r="AD413" s="370"/>
      <c r="AE413" s="370"/>
      <c r="AF413" s="370"/>
      <c r="AG413" s="370"/>
      <c r="AH413" s="370"/>
      <c r="AI413" s="370"/>
      <c r="AJ413" s="370"/>
      <c r="AK413" s="370"/>
      <c r="AL413" s="370"/>
      <c r="AM413" s="370"/>
      <c r="AN413" s="370"/>
      <c r="AO413" s="370"/>
      <c r="AP413" s="370"/>
      <c r="AQ413" s="370"/>
      <c r="AR413" s="370"/>
      <c r="AS413" s="370"/>
      <c r="AZ413" s="370"/>
      <c r="BA413" s="370"/>
      <c r="BB413" s="370"/>
      <c r="BC413" s="370"/>
      <c r="BD413" s="370"/>
      <c r="BE413" s="370"/>
      <c r="BF413" s="370"/>
    </row>
    <row r="414" spans="1:60" ht="18.75" customHeight="1">
      <c r="A414" s="370"/>
      <c r="B414" s="370"/>
      <c r="C414" s="370"/>
      <c r="D414" s="370"/>
      <c r="E414" s="370"/>
      <c r="F414" s="370"/>
      <c r="G414" s="370"/>
      <c r="H414" s="370"/>
      <c r="I414" s="370"/>
      <c r="J414" s="370"/>
      <c r="K414" s="370"/>
      <c r="L414" s="373"/>
      <c r="M414" s="373"/>
      <c r="N414" s="373"/>
      <c r="O414" s="373"/>
      <c r="P414" s="373"/>
      <c r="Q414" s="373"/>
      <c r="R414" s="373"/>
      <c r="S414" s="373"/>
      <c r="T414" s="373"/>
      <c r="U414" s="373"/>
      <c r="V414" s="515" t="e">
        <f ca="1">AP351</f>
        <v>#N/A</v>
      </c>
      <c r="W414" s="515"/>
      <c r="X414" s="639" t="str">
        <f>AV351</f>
        <v>×10</v>
      </c>
      <c r="Y414" s="639"/>
      <c r="Z414" s="372" t="e">
        <f ca="1">AX351</f>
        <v>#N/A</v>
      </c>
      <c r="AA414" s="135"/>
      <c r="AB414" s="373"/>
      <c r="AC414" s="373"/>
      <c r="AD414" s="373"/>
      <c r="AE414" s="373"/>
      <c r="AF414" s="373"/>
      <c r="AG414" s="373"/>
      <c r="AH414" s="373"/>
      <c r="AI414" s="373"/>
      <c r="AJ414" s="373"/>
      <c r="AK414" s="373"/>
      <c r="AL414" s="373"/>
      <c r="AM414" s="514" t="s">
        <v>845</v>
      </c>
      <c r="AN414" s="614" t="e">
        <f ca="1">TRIM(BC351)</f>
        <v>#N/A</v>
      </c>
      <c r="AO414" s="614"/>
      <c r="AP414" s="614"/>
      <c r="AQ414" s="614"/>
      <c r="AR414" s="614"/>
      <c r="AS414" s="146"/>
      <c r="AT414" s="58"/>
      <c r="AU414" s="58"/>
      <c r="AV414" s="58"/>
      <c r="AW414" s="58"/>
      <c r="AX414" s="58"/>
      <c r="AY414" s="58"/>
      <c r="AZ414" s="58"/>
      <c r="BA414" s="58"/>
      <c r="BB414" s="58"/>
      <c r="BC414" s="58"/>
      <c r="BD414" s="58"/>
      <c r="BE414" s="58"/>
      <c r="BF414" s="58"/>
    </row>
    <row r="415" spans="1:60" ht="18.75" customHeight="1">
      <c r="A415" s="370"/>
      <c r="B415" s="370"/>
      <c r="C415" s="370"/>
      <c r="D415" s="370"/>
      <c r="E415" s="370"/>
      <c r="F415" s="370"/>
      <c r="G415" s="370"/>
      <c r="H415" s="370"/>
      <c r="I415" s="370"/>
      <c r="J415" s="370"/>
      <c r="K415" s="370"/>
      <c r="L415" s="571" t="e">
        <f ca="1">AP347</f>
        <v>#N/A</v>
      </c>
      <c r="M415" s="571"/>
      <c r="N415" s="640" t="str">
        <f>AV347</f>
        <v>×10</v>
      </c>
      <c r="O415" s="640"/>
      <c r="P415" s="375" t="e">
        <f ca="1">AX347</f>
        <v>#N/A</v>
      </c>
      <c r="Q415" s="337"/>
      <c r="R415" s="641" t="s">
        <v>905</v>
      </c>
      <c r="S415" s="571" t="e">
        <f ca="1">AP348</f>
        <v>#N/A</v>
      </c>
      <c r="T415" s="571"/>
      <c r="U415" s="640" t="str">
        <f>AV348</f>
        <v>×10</v>
      </c>
      <c r="V415" s="640"/>
      <c r="W415" s="375" t="e">
        <f ca="1">AX348</f>
        <v>#N/A</v>
      </c>
      <c r="X415" s="337"/>
      <c r="Y415" s="641" t="s">
        <v>1097</v>
      </c>
      <c r="Z415" s="571" t="e">
        <f ca="1">AP349</f>
        <v>#N/A</v>
      </c>
      <c r="AA415" s="571"/>
      <c r="AB415" s="640" t="str">
        <f>AV349</f>
        <v>×10</v>
      </c>
      <c r="AC415" s="640"/>
      <c r="AD415" s="375" t="e">
        <f ca="1">AX349</f>
        <v>#N/A</v>
      </c>
      <c r="AE415" s="337"/>
      <c r="AF415" s="641" t="s">
        <v>905</v>
      </c>
      <c r="AG415" s="571" t="e">
        <f ca="1">AP350</f>
        <v>#N/A</v>
      </c>
      <c r="AH415" s="571"/>
      <c r="AI415" s="640" t="str">
        <f>AV350</f>
        <v>×10</v>
      </c>
      <c r="AJ415" s="640"/>
      <c r="AK415" s="375" t="e">
        <f ca="1">AX350</f>
        <v>#N/A</v>
      </c>
      <c r="AL415" s="337"/>
      <c r="AM415" s="514"/>
      <c r="AN415" s="614"/>
      <c r="AO415" s="614"/>
      <c r="AP415" s="614"/>
      <c r="AQ415" s="614"/>
      <c r="AR415" s="614"/>
      <c r="AS415" s="146"/>
    </row>
    <row r="416" spans="1:60" ht="18.75" customHeight="1">
      <c r="A416" s="370"/>
      <c r="B416" s="370"/>
      <c r="C416" s="370"/>
      <c r="D416" s="370"/>
      <c r="E416" s="370"/>
      <c r="F416" s="370"/>
      <c r="G416" s="370"/>
      <c r="H416" s="370"/>
      <c r="I416" s="370"/>
      <c r="J416" s="370"/>
      <c r="K416" s="370"/>
      <c r="L416" s="559" t="str">
        <f>BC347</f>
        <v>∞</v>
      </c>
      <c r="M416" s="559"/>
      <c r="N416" s="559"/>
      <c r="O416" s="559"/>
      <c r="P416" s="559"/>
      <c r="Q416" s="559"/>
      <c r="R416" s="642"/>
      <c r="S416" s="559">
        <f>BC348</f>
        <v>4</v>
      </c>
      <c r="T416" s="559"/>
      <c r="U416" s="559"/>
      <c r="V416" s="559"/>
      <c r="W416" s="559"/>
      <c r="X416" s="559"/>
      <c r="Y416" s="642"/>
      <c r="Z416" s="559" t="str">
        <f>BC349</f>
        <v>∞</v>
      </c>
      <c r="AA416" s="559"/>
      <c r="AB416" s="559"/>
      <c r="AC416" s="559"/>
      <c r="AD416" s="559"/>
      <c r="AE416" s="559"/>
      <c r="AF416" s="642"/>
      <c r="AG416" s="559">
        <f>BC350</f>
        <v>12</v>
      </c>
      <c r="AH416" s="559"/>
      <c r="AI416" s="559"/>
      <c r="AJ416" s="559"/>
      <c r="AK416" s="559"/>
      <c r="AL416" s="559"/>
      <c r="AM416" s="341"/>
      <c r="AN416" s="347"/>
      <c r="AO416" s="347"/>
      <c r="AP416" s="347"/>
      <c r="AQ416" s="347"/>
      <c r="AR416" s="347"/>
      <c r="AS416" s="146"/>
    </row>
    <row r="417" spans="1:62" ht="18.75" customHeight="1">
      <c r="A417" s="370"/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R417" s="376"/>
      <c r="S417" s="376"/>
      <c r="T417" s="376"/>
      <c r="U417" s="341"/>
      <c r="V417" s="377"/>
      <c r="W417" s="377"/>
      <c r="X417" s="377"/>
      <c r="Y417" s="377"/>
      <c r="Z417" s="341"/>
      <c r="AA417" s="376"/>
      <c r="AB417" s="376"/>
      <c r="AC417" s="376"/>
      <c r="AD417" s="376"/>
      <c r="AE417" s="341"/>
      <c r="AF417" s="377"/>
      <c r="AG417" s="377"/>
      <c r="AH417" s="377"/>
      <c r="AI417" s="377"/>
      <c r="AJ417" s="341"/>
      <c r="AK417" s="377"/>
      <c r="AL417" s="377"/>
      <c r="AM417" s="377"/>
      <c r="AN417" s="377"/>
      <c r="AO417" s="341"/>
      <c r="AP417" s="377"/>
      <c r="AQ417" s="377"/>
      <c r="AR417" s="377"/>
      <c r="AS417" s="377"/>
      <c r="AT417" s="341"/>
      <c r="AU417" s="377"/>
      <c r="AV417" s="377"/>
      <c r="AW417" s="377"/>
      <c r="AX417" s="377"/>
      <c r="AY417" s="341"/>
      <c r="AZ417" s="377"/>
      <c r="BA417" s="377"/>
      <c r="BB417" s="377"/>
      <c r="BC417" s="377"/>
      <c r="BD417" s="341"/>
      <c r="BE417" s="347"/>
      <c r="BF417" s="347"/>
      <c r="BG417" s="347"/>
      <c r="BH417" s="347"/>
      <c r="BI417" s="347"/>
      <c r="BJ417" s="146"/>
    </row>
    <row r="418" spans="1:62" ht="18.75" customHeight="1">
      <c r="A418" s="57" t="s">
        <v>906</v>
      </c>
      <c r="B418" s="370"/>
      <c r="C418" s="370"/>
      <c r="D418" s="370"/>
      <c r="E418" s="370"/>
      <c r="F418" s="370"/>
      <c r="G418" s="370"/>
      <c r="H418" s="370"/>
      <c r="I418" s="370"/>
      <c r="J418" s="370"/>
      <c r="K418" s="370"/>
      <c r="L418" s="370"/>
      <c r="M418" s="370"/>
      <c r="N418" s="370"/>
      <c r="O418" s="370"/>
      <c r="P418" s="370"/>
      <c r="Q418" s="370"/>
      <c r="R418" s="370"/>
      <c r="S418" s="370"/>
      <c r="T418" s="370"/>
      <c r="U418" s="370"/>
      <c r="V418" s="370"/>
      <c r="W418" s="370"/>
      <c r="X418" s="370"/>
      <c r="Y418" s="370"/>
      <c r="Z418" s="370"/>
      <c r="AA418" s="370"/>
      <c r="AB418" s="370"/>
      <c r="AC418" s="370"/>
      <c r="AD418" s="370"/>
      <c r="AE418" s="370"/>
      <c r="AF418" s="370"/>
      <c r="AG418" s="370"/>
      <c r="AH418" s="370"/>
      <c r="AI418" s="370"/>
      <c r="AJ418" s="370"/>
      <c r="AK418" s="370"/>
      <c r="AL418" s="370"/>
      <c r="AM418" s="370"/>
      <c r="AN418" s="370"/>
      <c r="AO418" s="370"/>
      <c r="AP418" s="370"/>
      <c r="AQ418" s="370"/>
      <c r="AR418" s="370"/>
      <c r="AS418" s="370"/>
      <c r="AT418" s="370"/>
      <c r="AU418" s="370"/>
      <c r="AV418" s="370"/>
      <c r="AW418" s="370"/>
      <c r="AX418" s="370"/>
      <c r="AY418" s="370"/>
      <c r="AZ418" s="370"/>
      <c r="BA418" s="370"/>
      <c r="BB418" s="370"/>
      <c r="BC418" s="370"/>
      <c r="BD418" s="370"/>
    </row>
    <row r="419" spans="1:62" ht="18.75" customHeight="1">
      <c r="A419" s="57"/>
      <c r="B419" s="370" t="s">
        <v>907</v>
      </c>
      <c r="C419" s="370"/>
      <c r="D419" s="370"/>
      <c r="E419" s="370"/>
      <c r="F419" s="370"/>
      <c r="G419" s="370"/>
      <c r="H419" s="370"/>
      <c r="I419" s="370"/>
      <c r="J419" s="370"/>
      <c r="K419" s="370"/>
      <c r="L419" s="370"/>
      <c r="M419" s="370"/>
      <c r="N419" s="370"/>
      <c r="O419" s="370"/>
      <c r="P419" s="370"/>
      <c r="Q419" s="370"/>
      <c r="R419" s="370"/>
      <c r="S419" s="370"/>
      <c r="T419" s="370"/>
      <c r="U419" s="370"/>
      <c r="V419" s="370"/>
      <c r="W419" s="370"/>
      <c r="X419" s="370"/>
      <c r="Y419" s="370"/>
      <c r="Z419" s="370"/>
      <c r="AA419" s="370"/>
      <c r="AB419" s="370"/>
      <c r="AC419" s="370"/>
      <c r="AD419" s="370"/>
      <c r="AE419" s="370"/>
      <c r="AF419" s="370"/>
      <c r="AG419" s="370"/>
      <c r="AH419" s="370"/>
      <c r="AI419" s="370"/>
      <c r="AJ419" s="370"/>
      <c r="AK419" s="370"/>
      <c r="AL419" s="370"/>
      <c r="AM419" s="370"/>
      <c r="AN419" s="370"/>
      <c r="AO419" s="370"/>
      <c r="AP419" s="370"/>
      <c r="AQ419" s="370"/>
      <c r="AR419" s="370"/>
      <c r="AS419" s="370"/>
      <c r="AT419" s="370"/>
      <c r="AU419" s="370"/>
      <c r="AV419" s="370"/>
      <c r="AW419" s="370"/>
      <c r="AX419" s="370"/>
      <c r="AY419" s="370"/>
      <c r="AZ419" s="370"/>
      <c r="BA419" s="370"/>
      <c r="BB419" s="370"/>
      <c r="BC419" s="370"/>
      <c r="BD419" s="370"/>
    </row>
    <row r="420" spans="1:62" ht="18.75" customHeight="1">
      <c r="A420" s="57"/>
      <c r="B420" s="370"/>
      <c r="C420" s="370" t="s">
        <v>908</v>
      </c>
      <c r="D420" s="370"/>
      <c r="E420" s="370"/>
      <c r="F420" s="370"/>
      <c r="G420" s="370"/>
      <c r="H420" s="370"/>
      <c r="I420" s="370"/>
      <c r="J420" s="370"/>
      <c r="K420" s="370"/>
      <c r="L420" s="370"/>
      <c r="M420" s="370"/>
      <c r="N420" s="370"/>
      <c r="O420" s="370"/>
      <c r="P420" s="370"/>
      <c r="Q420" s="370"/>
      <c r="R420" s="370"/>
      <c r="S420" s="370"/>
      <c r="T420" s="370"/>
      <c r="U420" s="370"/>
      <c r="V420" s="370"/>
      <c r="W420" s="370"/>
      <c r="X420" s="370"/>
      <c r="Y420" s="370"/>
      <c r="Z420" s="370"/>
      <c r="AA420" s="370"/>
      <c r="AB420" s="370"/>
      <c r="AC420" s="370"/>
      <c r="AD420" s="370"/>
      <c r="AE420" s="370"/>
      <c r="AF420" s="370"/>
      <c r="AG420" s="370"/>
      <c r="AH420" s="370"/>
      <c r="AI420" s="370"/>
      <c r="AJ420" s="370"/>
      <c r="AK420" s="370"/>
      <c r="AL420" s="370"/>
      <c r="AM420" s="370"/>
      <c r="AN420" s="370"/>
      <c r="AO420" s="370"/>
      <c r="AP420" s="370"/>
      <c r="AQ420" s="370"/>
      <c r="AR420" s="370"/>
      <c r="AS420" s="370"/>
      <c r="AT420" s="370"/>
      <c r="AU420" s="370"/>
      <c r="AV420" s="370"/>
      <c r="AW420" s="370"/>
      <c r="AX420" s="370"/>
      <c r="AY420" s="370"/>
      <c r="AZ420" s="370"/>
      <c r="BA420" s="370"/>
      <c r="BB420" s="370"/>
      <c r="BC420" s="370"/>
      <c r="BD420" s="370"/>
    </row>
    <row r="421" spans="1:62" ht="18.75" customHeight="1">
      <c r="A421" s="57"/>
      <c r="B421" s="370"/>
      <c r="C421" s="56" t="s">
        <v>909</v>
      </c>
      <c r="D421" s="370"/>
      <c r="E421" s="370"/>
      <c r="F421" s="370"/>
      <c r="G421" s="370"/>
      <c r="H421" s="370"/>
      <c r="I421" s="370"/>
      <c r="J421" s="370"/>
      <c r="K421" s="370"/>
      <c r="L421" s="370"/>
      <c r="M421" s="370"/>
      <c r="N421" s="370"/>
      <c r="O421" s="370"/>
      <c r="P421" s="370"/>
      <c r="Q421" s="370"/>
      <c r="R421" s="370"/>
      <c r="S421" s="370"/>
      <c r="T421" s="370"/>
      <c r="U421" s="370"/>
      <c r="V421" s="370"/>
      <c r="W421" s="370"/>
      <c r="X421" s="370"/>
      <c r="Y421" s="370"/>
      <c r="Z421" s="370"/>
      <c r="AA421" s="370"/>
      <c r="AB421" s="370"/>
      <c r="AC421" s="370"/>
      <c r="AD421" s="370"/>
      <c r="AE421" s="370"/>
      <c r="AF421" s="370"/>
      <c r="AG421" s="370"/>
      <c r="AH421" s="370"/>
      <c r="AI421" s="370"/>
      <c r="AJ421" s="370"/>
      <c r="AK421" s="370"/>
      <c r="AL421" s="370"/>
      <c r="AM421" s="370"/>
      <c r="AN421" s="370"/>
      <c r="AO421" s="370"/>
      <c r="AP421" s="370"/>
      <c r="AQ421" s="370"/>
      <c r="AR421" s="370"/>
      <c r="AS421" s="370"/>
      <c r="AT421" s="370"/>
      <c r="AU421" s="370"/>
      <c r="AV421" s="370"/>
      <c r="AW421" s="370"/>
      <c r="AX421" s="370"/>
      <c r="AY421" s="370"/>
      <c r="AZ421" s="370"/>
      <c r="BA421" s="370"/>
      <c r="BB421" s="370"/>
      <c r="BC421" s="370"/>
      <c r="BD421" s="370"/>
    </row>
    <row r="422" spans="1:62" ht="18.75" customHeight="1">
      <c r="A422" s="57"/>
      <c r="B422" s="370"/>
      <c r="C422" s="346" t="s">
        <v>1175</v>
      </c>
      <c r="D422" s="370"/>
      <c r="E422" s="370"/>
      <c r="F422" s="370"/>
      <c r="G422" s="370"/>
      <c r="H422" s="370"/>
      <c r="I422" s="370"/>
      <c r="J422" s="370"/>
      <c r="K422" s="370"/>
      <c r="L422" s="370"/>
      <c r="M422" s="370"/>
      <c r="N422" s="370"/>
      <c r="O422" s="370"/>
      <c r="P422" s="370"/>
      <c r="Q422" s="370"/>
      <c r="R422" s="370"/>
      <c r="S422" s="370"/>
      <c r="T422" s="370"/>
      <c r="U422" s="370"/>
      <c r="V422" s="370"/>
      <c r="W422" s="370"/>
      <c r="X422" s="370"/>
      <c r="Y422" s="370"/>
      <c r="Z422" s="370"/>
      <c r="AA422" s="370"/>
      <c r="AB422" s="370"/>
      <c r="AC422" s="370"/>
      <c r="AD422" s="370"/>
      <c r="AE422" s="370"/>
      <c r="AF422" s="370"/>
      <c r="AG422" s="370"/>
      <c r="AH422" s="370"/>
      <c r="AI422" s="370"/>
      <c r="AJ422" s="370"/>
      <c r="AK422" s="370"/>
      <c r="AL422" s="370"/>
      <c r="AM422" s="370"/>
      <c r="AN422" s="370"/>
      <c r="AO422" s="370"/>
      <c r="AP422" s="370"/>
      <c r="AQ422" s="370"/>
      <c r="AR422" s="370"/>
      <c r="AS422" s="370"/>
      <c r="AT422" s="370"/>
      <c r="AU422" s="370"/>
      <c r="AV422" s="370"/>
      <c r="AW422" s="370"/>
      <c r="AX422" s="370"/>
      <c r="AY422" s="370"/>
      <c r="AZ422" s="370"/>
      <c r="BA422" s="370"/>
      <c r="BB422" s="370"/>
      <c r="BC422" s="370"/>
      <c r="BD422" s="370"/>
    </row>
    <row r="423" spans="1:62" ht="18.75" customHeight="1">
      <c r="A423" s="57"/>
      <c r="B423" s="370"/>
      <c r="D423" s="370"/>
      <c r="E423" s="379"/>
      <c r="F423" s="370"/>
      <c r="G423" s="197"/>
      <c r="H423" s="341"/>
      <c r="I423" s="341"/>
      <c r="J423" s="341"/>
      <c r="R423" s="379"/>
      <c r="S423" s="147"/>
      <c r="T423" s="147"/>
      <c r="U423" s="147"/>
      <c r="V423" s="147"/>
      <c r="W423" s="147"/>
      <c r="X423" s="370"/>
      <c r="Y423" s="370"/>
      <c r="Z423" s="370"/>
      <c r="AA423" s="370"/>
      <c r="AB423" s="370"/>
      <c r="AC423" s="370"/>
      <c r="AD423" s="370"/>
      <c r="AE423" s="370"/>
      <c r="AF423" s="370"/>
      <c r="AG423" s="370"/>
      <c r="AH423" s="370"/>
      <c r="AI423" s="370"/>
      <c r="AJ423" s="370"/>
      <c r="AK423" s="370"/>
      <c r="AL423" s="370"/>
      <c r="AM423" s="370"/>
      <c r="AN423" s="370"/>
      <c r="AO423" s="370"/>
      <c r="AP423" s="370"/>
      <c r="AQ423" s="370"/>
      <c r="AR423" s="370"/>
      <c r="AS423" s="370"/>
      <c r="AT423" s="370"/>
      <c r="AU423" s="370"/>
      <c r="AV423" s="370"/>
      <c r="AW423" s="370"/>
      <c r="AX423" s="370"/>
      <c r="AY423" s="370"/>
      <c r="AZ423" s="370"/>
      <c r="BA423" s="370"/>
      <c r="BB423" s="370"/>
      <c r="BC423" s="370"/>
      <c r="BD423" s="370"/>
    </row>
    <row r="424" spans="1:62" ht="18.75" customHeight="1">
      <c r="A424" s="57"/>
      <c r="B424" s="370" t="s">
        <v>1176</v>
      </c>
      <c r="C424" s="370"/>
      <c r="D424" s="370"/>
      <c r="E424" s="370"/>
      <c r="F424" s="370"/>
      <c r="G424" s="370"/>
      <c r="H424" s="370"/>
      <c r="I424" s="370"/>
      <c r="J424" s="370"/>
      <c r="K424" s="370"/>
      <c r="L424" s="370"/>
      <c r="M424" s="370"/>
      <c r="N424" s="370"/>
      <c r="O424" s="370"/>
      <c r="P424" s="370"/>
      <c r="Q424" s="370"/>
      <c r="R424" s="370"/>
      <c r="S424" s="370"/>
      <c r="T424" s="370"/>
      <c r="U424" s="370"/>
      <c r="V424" s="370"/>
      <c r="W424" s="370"/>
      <c r="X424" s="370"/>
      <c r="Y424" s="370"/>
      <c r="Z424" s="370"/>
      <c r="AA424" s="370"/>
      <c r="AB424" s="370"/>
      <c r="AC424" s="370"/>
      <c r="AD424" s="370"/>
      <c r="AE424" s="370"/>
      <c r="AF424" s="370"/>
      <c r="AG424" s="370"/>
      <c r="AH424" s="370"/>
      <c r="AI424" s="370"/>
      <c r="AJ424" s="370"/>
      <c r="AK424" s="370"/>
      <c r="AL424" s="370"/>
      <c r="AM424" s="370"/>
      <c r="AN424" s="370"/>
      <c r="AO424" s="370"/>
      <c r="AP424" s="370"/>
      <c r="AQ424" s="370"/>
      <c r="AR424" s="370"/>
      <c r="AS424" s="370"/>
      <c r="AT424" s="370"/>
      <c r="AU424" s="370"/>
      <c r="AV424" s="370"/>
      <c r="AW424" s="370"/>
      <c r="AX424" s="370"/>
      <c r="AY424" s="370"/>
      <c r="AZ424" s="370"/>
      <c r="BA424" s="370"/>
      <c r="BB424" s="370"/>
      <c r="BC424" s="370"/>
      <c r="BD424" s="370"/>
    </row>
    <row r="425" spans="1:62" ht="18.75" customHeight="1">
      <c r="A425" s="57"/>
      <c r="B425" s="370"/>
      <c r="C425" s="370" t="s">
        <v>911</v>
      </c>
      <c r="D425" s="370"/>
      <c r="E425" s="370"/>
      <c r="F425" s="370"/>
      <c r="G425" s="370"/>
      <c r="H425" s="370"/>
      <c r="I425" s="370"/>
      <c r="J425" s="370"/>
      <c r="K425" s="370"/>
      <c r="L425" s="370"/>
      <c r="M425" s="370"/>
      <c r="N425" s="370"/>
      <c r="O425" s="370"/>
      <c r="P425" s="370"/>
      <c r="Q425" s="370"/>
      <c r="R425" s="370"/>
      <c r="S425" s="370"/>
      <c r="T425" s="370"/>
      <c r="U425" s="370"/>
      <c r="V425" s="370"/>
      <c r="W425" s="370"/>
      <c r="X425" s="370"/>
      <c r="Y425" s="370"/>
      <c r="Z425" s="370"/>
      <c r="AA425" s="370"/>
      <c r="AB425" s="370"/>
      <c r="AC425" s="370"/>
      <c r="AD425" s="370"/>
      <c r="AE425" s="370"/>
      <c r="AF425" s="370"/>
      <c r="AG425" s="370"/>
      <c r="AH425" s="370"/>
      <c r="AI425" s="370"/>
      <c r="AJ425" s="370"/>
      <c r="AK425" s="370"/>
      <c r="AL425" s="370"/>
      <c r="AM425" s="370"/>
      <c r="AN425" s="370"/>
      <c r="AO425" s="370"/>
      <c r="AP425" s="370"/>
      <c r="AQ425" s="370"/>
      <c r="AR425" s="370"/>
      <c r="AS425" s="370"/>
      <c r="AT425" s="370"/>
      <c r="AU425" s="370"/>
      <c r="AV425" s="370"/>
      <c r="AW425" s="370"/>
      <c r="AX425" s="370"/>
      <c r="AY425" s="370"/>
      <c r="AZ425" s="370"/>
      <c r="BA425" s="370"/>
      <c r="BB425" s="370"/>
      <c r="BC425" s="370"/>
      <c r="BD425" s="370"/>
    </row>
    <row r="426" spans="1:62" ht="18.75" customHeight="1">
      <c r="B426" s="370"/>
      <c r="C426" s="370" t="s">
        <v>912</v>
      </c>
      <c r="D426" s="370"/>
      <c r="E426" s="370"/>
      <c r="F426" s="370"/>
      <c r="G426" s="370"/>
      <c r="H426" s="370"/>
      <c r="I426" s="370"/>
      <c r="J426" s="370"/>
      <c r="K426" s="370"/>
      <c r="L426" s="370"/>
      <c r="M426" s="370"/>
      <c r="N426" s="370"/>
      <c r="O426" s="370"/>
      <c r="P426" s="370"/>
      <c r="Q426" s="370"/>
      <c r="R426" s="370"/>
      <c r="S426" s="370"/>
      <c r="T426" s="370"/>
      <c r="U426" s="370"/>
      <c r="V426" s="370"/>
      <c r="W426" s="370"/>
      <c r="X426" s="370"/>
      <c r="Y426" s="370"/>
      <c r="Z426" s="370"/>
      <c r="AA426" s="370"/>
      <c r="AB426" s="370"/>
      <c r="AC426" s="370"/>
      <c r="AD426" s="370"/>
      <c r="AE426" s="370"/>
      <c r="AF426" s="370"/>
      <c r="AG426" s="370"/>
      <c r="AH426" s="370"/>
      <c r="AI426" s="370"/>
      <c r="AJ426" s="370"/>
      <c r="AK426" s="370"/>
      <c r="AL426" s="370"/>
      <c r="AM426" s="370"/>
      <c r="AN426" s="370"/>
      <c r="AO426" s="370"/>
      <c r="AP426" s="370"/>
      <c r="AQ426" s="370"/>
      <c r="AR426" s="370"/>
      <c r="AS426" s="370"/>
      <c r="AT426" s="370"/>
      <c r="AU426" s="370"/>
      <c r="AV426" s="370"/>
      <c r="AW426" s="370"/>
      <c r="AX426" s="370"/>
      <c r="AY426" s="370"/>
      <c r="AZ426" s="370"/>
      <c r="BA426" s="370"/>
      <c r="BB426" s="370"/>
      <c r="BC426" s="370"/>
      <c r="BD426" s="370"/>
    </row>
    <row r="427" spans="1:62" ht="18.75" customHeight="1">
      <c r="A427" s="370"/>
      <c r="B427" s="370"/>
      <c r="C427" s="56" t="s">
        <v>913</v>
      </c>
      <c r="AL427" s="370"/>
      <c r="AM427" s="370"/>
      <c r="AN427" s="370"/>
      <c r="AO427" s="370"/>
      <c r="AP427" s="370"/>
      <c r="AQ427" s="370"/>
      <c r="AR427" s="370"/>
      <c r="AS427" s="370"/>
      <c r="AT427" s="370"/>
      <c r="AU427" s="370"/>
      <c r="AV427" s="370"/>
      <c r="AW427" s="370"/>
      <c r="AX427" s="370"/>
      <c r="AY427" s="370"/>
      <c r="AZ427" s="370"/>
      <c r="BA427" s="370"/>
      <c r="BB427" s="370"/>
    </row>
    <row r="428" spans="1:62" ht="18.75" customHeight="1">
      <c r="A428" s="370"/>
      <c r="B428" s="370"/>
      <c r="AL428" s="370"/>
      <c r="AM428" s="370"/>
      <c r="AN428" s="370"/>
      <c r="AO428" s="370"/>
      <c r="AP428" s="370"/>
      <c r="AQ428" s="370"/>
      <c r="AR428" s="370"/>
      <c r="AS428" s="370"/>
      <c r="AT428" s="370"/>
      <c r="AU428" s="370"/>
      <c r="AV428" s="370"/>
      <c r="AW428" s="370"/>
      <c r="AX428" s="370"/>
      <c r="AY428" s="370"/>
      <c r="AZ428" s="370"/>
      <c r="BA428" s="370"/>
      <c r="BB428" s="370"/>
    </row>
    <row r="429" spans="1:62" ht="18.75" customHeight="1">
      <c r="A429" s="370"/>
      <c r="B429" s="370"/>
      <c r="C429" s="370"/>
      <c r="D429" s="370"/>
      <c r="E429" s="59"/>
      <c r="F429" s="370"/>
      <c r="G429" s="370"/>
      <c r="H429" s="197" t="s">
        <v>914</v>
      </c>
      <c r="I429" s="517" t="e">
        <f ca="1">Calcu!E177</f>
        <v>#N/A</v>
      </c>
      <c r="J429" s="517"/>
      <c r="K429" s="517"/>
      <c r="L429" s="212" t="s">
        <v>851</v>
      </c>
      <c r="M429" s="643" t="e">
        <f ca="1">Calcu!R162</f>
        <v>#N/A</v>
      </c>
      <c r="N429" s="643"/>
      <c r="O429" s="643"/>
      <c r="P429" s="643"/>
      <c r="Q429" s="378" t="s">
        <v>845</v>
      </c>
      <c r="R429" s="644" t="e">
        <f ca="1">I429*M429</f>
        <v>#N/A</v>
      </c>
      <c r="S429" s="644"/>
      <c r="T429" s="644"/>
      <c r="U429" s="644"/>
      <c r="V429" s="341" t="s">
        <v>915</v>
      </c>
      <c r="W429" s="643" t="e">
        <f ca="1">R429</f>
        <v>#N/A</v>
      </c>
      <c r="X429" s="643"/>
      <c r="Y429" s="643"/>
      <c r="Z429" s="643"/>
      <c r="AA429" s="378" t="s">
        <v>845</v>
      </c>
      <c r="AB429" s="645" t="e">
        <f ca="1">W429</f>
        <v>#N/A</v>
      </c>
      <c r="AC429" s="645"/>
      <c r="AD429" s="645"/>
      <c r="AE429" s="645"/>
      <c r="AJ429" s="370"/>
      <c r="AK429" s="370"/>
      <c r="AL429" s="370"/>
      <c r="AM429" s="370"/>
      <c r="AN429" s="370"/>
      <c r="AP429" s="348"/>
      <c r="AQ429" s="348"/>
      <c r="AR429" s="348"/>
      <c r="AS429" s="371"/>
      <c r="AT429" s="349"/>
      <c r="AU429" s="349"/>
      <c r="AV429" s="349"/>
      <c r="AW429" s="352"/>
      <c r="AX429" s="370"/>
      <c r="AY429" s="370"/>
      <c r="AZ429" s="370"/>
      <c r="BA429" s="346"/>
      <c r="BB429" s="346"/>
    </row>
    <row r="434" spans="1:44" s="382" customFormat="1" ht="31.5">
      <c r="A434" s="67" t="s">
        <v>1177</v>
      </c>
    </row>
    <row r="435" spans="1:44" s="382" customFormat="1" ht="18.75" customHeight="1"/>
    <row r="436" spans="1:44" s="382" customFormat="1" ht="18.75" customHeight="1">
      <c r="A436" s="68" t="s">
        <v>968</v>
      </c>
    </row>
    <row r="437" spans="1:44" s="382" customFormat="1" ht="18.75" customHeight="1">
      <c r="B437" s="552" t="s">
        <v>797</v>
      </c>
      <c r="C437" s="552"/>
      <c r="D437" s="552"/>
      <c r="E437" s="552"/>
      <c r="F437" s="552"/>
      <c r="G437" s="552"/>
      <c r="H437" s="552" t="s">
        <v>798</v>
      </c>
      <c r="I437" s="552"/>
      <c r="J437" s="552"/>
      <c r="K437" s="552"/>
      <c r="L437" s="552"/>
      <c r="M437" s="552"/>
    </row>
    <row r="438" spans="1:44" s="382" customFormat="1" ht="18.75" customHeight="1">
      <c r="B438" s="554" t="s">
        <v>1130</v>
      </c>
      <c r="C438" s="554"/>
      <c r="D438" s="554"/>
      <c r="E438" s="554"/>
      <c r="F438" s="554"/>
      <c r="G438" s="554"/>
      <c r="H438" s="554" t="s">
        <v>1178</v>
      </c>
      <c r="I438" s="554"/>
      <c r="J438" s="554"/>
      <c r="K438" s="554"/>
      <c r="L438" s="554"/>
      <c r="M438" s="554"/>
    </row>
    <row r="439" spans="1:44" s="382" customFormat="1" ht="18.75" customHeight="1"/>
    <row r="440" spans="1:44" ht="18.75" customHeight="1">
      <c r="A440" s="57" t="s">
        <v>799</v>
      </c>
      <c r="B440" s="341"/>
      <c r="C440" s="341"/>
      <c r="D440" s="341"/>
      <c r="E440" s="341"/>
      <c r="F440" s="341"/>
      <c r="G440" s="341"/>
      <c r="H440" s="341"/>
      <c r="I440" s="341"/>
      <c r="J440" s="341"/>
      <c r="K440" s="341"/>
      <c r="L440" s="341"/>
      <c r="M440" s="341"/>
      <c r="N440" s="341"/>
      <c r="O440" s="341"/>
      <c r="P440" s="341"/>
      <c r="Q440" s="341"/>
      <c r="R440" s="341"/>
      <c r="S440" s="341"/>
      <c r="T440" s="341"/>
      <c r="U440" s="341"/>
      <c r="V440" s="341"/>
      <c r="W440" s="341"/>
      <c r="X440" s="341"/>
      <c r="Y440" s="341"/>
      <c r="Z440" s="341"/>
      <c r="AA440" s="341"/>
      <c r="AB440" s="341"/>
      <c r="AC440" s="341"/>
      <c r="AD440" s="341"/>
      <c r="AE440" s="341"/>
      <c r="AF440" s="341"/>
      <c r="AG440" s="341"/>
      <c r="AH440" s="341"/>
      <c r="AI440" s="341"/>
      <c r="AJ440" s="341"/>
      <c r="AK440" s="341"/>
      <c r="AL440" s="341"/>
      <c r="AM440" s="341"/>
      <c r="AN440" s="341"/>
      <c r="AO440" s="341"/>
      <c r="AP440" s="341"/>
      <c r="AQ440" s="341"/>
      <c r="AR440" s="341"/>
    </row>
    <row r="441" spans="1:44" ht="18.75" customHeight="1">
      <c r="A441" s="57"/>
      <c r="B441" s="546" t="s">
        <v>917</v>
      </c>
      <c r="C441" s="547"/>
      <c r="D441" s="547"/>
      <c r="E441" s="547"/>
      <c r="F441" s="548"/>
      <c r="G441" s="511" t="str">
        <f>B438&amp;" 각도지시값"</f>
        <v>측정투영기 각도지시값</v>
      </c>
      <c r="H441" s="512"/>
      <c r="I441" s="512"/>
      <c r="J441" s="512"/>
      <c r="K441" s="512"/>
      <c r="L441" s="512"/>
      <c r="M441" s="512"/>
      <c r="N441" s="512"/>
      <c r="O441" s="512"/>
      <c r="P441" s="512"/>
      <c r="Q441" s="512"/>
      <c r="R441" s="512"/>
      <c r="S441" s="512"/>
      <c r="T441" s="512"/>
      <c r="U441" s="512"/>
      <c r="V441" s="512"/>
      <c r="W441" s="512"/>
      <c r="X441" s="512"/>
      <c r="Y441" s="512"/>
      <c r="Z441" s="512"/>
      <c r="AA441" s="512"/>
      <c r="AB441" s="512"/>
      <c r="AC441" s="512"/>
      <c r="AD441" s="512"/>
      <c r="AE441" s="513"/>
      <c r="AF441" s="546" t="s">
        <v>800</v>
      </c>
      <c r="AG441" s="547"/>
      <c r="AH441" s="547"/>
      <c r="AI441" s="547"/>
      <c r="AJ441" s="548"/>
      <c r="AK441" s="546" t="s">
        <v>918</v>
      </c>
      <c r="AL441" s="547"/>
      <c r="AM441" s="547"/>
      <c r="AN441" s="547"/>
      <c r="AO441" s="548"/>
    </row>
    <row r="442" spans="1:44" ht="18.75" customHeight="1">
      <c r="A442" s="57"/>
      <c r="B442" s="549"/>
      <c r="C442" s="550"/>
      <c r="D442" s="550"/>
      <c r="E442" s="550"/>
      <c r="F442" s="551"/>
      <c r="G442" s="511" t="s">
        <v>801</v>
      </c>
      <c r="H442" s="512"/>
      <c r="I442" s="512"/>
      <c r="J442" s="512"/>
      <c r="K442" s="513"/>
      <c r="L442" s="511" t="s">
        <v>919</v>
      </c>
      <c r="M442" s="512"/>
      <c r="N442" s="512"/>
      <c r="O442" s="512"/>
      <c r="P442" s="513"/>
      <c r="Q442" s="511" t="s">
        <v>802</v>
      </c>
      <c r="R442" s="512"/>
      <c r="S442" s="512"/>
      <c r="T442" s="512"/>
      <c r="U442" s="513"/>
      <c r="V442" s="511" t="s">
        <v>920</v>
      </c>
      <c r="W442" s="512"/>
      <c r="X442" s="512"/>
      <c r="Y442" s="512"/>
      <c r="Z442" s="513"/>
      <c r="AA442" s="511" t="s">
        <v>803</v>
      </c>
      <c r="AB442" s="512"/>
      <c r="AC442" s="512"/>
      <c r="AD442" s="512"/>
      <c r="AE442" s="513"/>
      <c r="AF442" s="549"/>
      <c r="AG442" s="550"/>
      <c r="AH442" s="550"/>
      <c r="AI442" s="550"/>
      <c r="AJ442" s="551"/>
      <c r="AK442" s="549"/>
      <c r="AL442" s="550"/>
      <c r="AM442" s="550"/>
      <c r="AN442" s="550"/>
      <c r="AO442" s="551"/>
    </row>
    <row r="443" spans="1:44" ht="18.75" customHeight="1">
      <c r="A443" s="57"/>
      <c r="B443" s="511" t="str">
        <f>Calcu!D191</f>
        <v/>
      </c>
      <c r="C443" s="512"/>
      <c r="D443" s="512"/>
      <c r="E443" s="512"/>
      <c r="F443" s="513"/>
      <c r="G443" s="511" t="str">
        <f>B443</f>
        <v/>
      </c>
      <c r="H443" s="512"/>
      <c r="I443" s="512"/>
      <c r="J443" s="512"/>
      <c r="K443" s="513"/>
      <c r="L443" s="511" t="str">
        <f>G443</f>
        <v/>
      </c>
      <c r="M443" s="512"/>
      <c r="N443" s="512"/>
      <c r="O443" s="512"/>
      <c r="P443" s="513"/>
      <c r="Q443" s="511" t="str">
        <f>L443</f>
        <v/>
      </c>
      <c r="R443" s="512"/>
      <c r="S443" s="512"/>
      <c r="T443" s="512"/>
      <c r="U443" s="513"/>
      <c r="V443" s="511" t="str">
        <f>Q443</f>
        <v/>
      </c>
      <c r="W443" s="512"/>
      <c r="X443" s="512"/>
      <c r="Y443" s="512"/>
      <c r="Z443" s="513"/>
      <c r="AA443" s="511" t="str">
        <f>V443</f>
        <v/>
      </c>
      <c r="AB443" s="512"/>
      <c r="AC443" s="512"/>
      <c r="AD443" s="512"/>
      <c r="AE443" s="513"/>
      <c r="AF443" s="511" t="str">
        <f>AA443</f>
        <v/>
      </c>
      <c r="AG443" s="512"/>
      <c r="AH443" s="512"/>
      <c r="AI443" s="512"/>
      <c r="AJ443" s="513"/>
      <c r="AK443" s="511" t="str">
        <f>AF443</f>
        <v/>
      </c>
      <c r="AL443" s="512"/>
      <c r="AM443" s="512"/>
      <c r="AN443" s="512"/>
      <c r="AO443" s="513"/>
    </row>
    <row r="444" spans="1:44" ht="18.75" customHeight="1">
      <c r="A444" s="57"/>
      <c r="B444" s="540" t="str">
        <f>Calcu!C191</f>
        <v/>
      </c>
      <c r="C444" s="541"/>
      <c r="D444" s="541"/>
      <c r="E444" s="541"/>
      <c r="F444" s="542"/>
      <c r="G444" s="540" t="str">
        <f>Calcu!BD191</f>
        <v/>
      </c>
      <c r="H444" s="541"/>
      <c r="I444" s="541"/>
      <c r="J444" s="541"/>
      <c r="K444" s="542"/>
      <c r="L444" s="540" t="str">
        <f>Calcu!BE191</f>
        <v/>
      </c>
      <c r="M444" s="541"/>
      <c r="N444" s="541"/>
      <c r="O444" s="541"/>
      <c r="P444" s="542"/>
      <c r="Q444" s="540" t="str">
        <f>Calcu!BF191</f>
        <v/>
      </c>
      <c r="R444" s="541"/>
      <c r="S444" s="541"/>
      <c r="T444" s="541"/>
      <c r="U444" s="542"/>
      <c r="V444" s="540" t="str">
        <f>Calcu!BG191</f>
        <v/>
      </c>
      <c r="W444" s="541"/>
      <c r="X444" s="541"/>
      <c r="Y444" s="541"/>
      <c r="Z444" s="542"/>
      <c r="AA444" s="540" t="str">
        <f>Calcu!BH191</f>
        <v/>
      </c>
      <c r="AB444" s="541"/>
      <c r="AC444" s="541"/>
      <c r="AD444" s="541"/>
      <c r="AE444" s="542"/>
      <c r="AF444" s="540" t="str">
        <f>Calcu!BI191</f>
        <v/>
      </c>
      <c r="AG444" s="541"/>
      <c r="AH444" s="541"/>
      <c r="AI444" s="541"/>
      <c r="AJ444" s="542"/>
      <c r="AK444" s="617" t="str">
        <f>Calcu!P191</f>
        <v/>
      </c>
      <c r="AL444" s="618"/>
      <c r="AM444" s="618"/>
      <c r="AN444" s="618"/>
      <c r="AO444" s="619"/>
    </row>
    <row r="445" spans="1:44" ht="18.75" customHeight="1">
      <c r="A445" s="57"/>
      <c r="B445" s="540" t="str">
        <f>Calcu!C192</f>
        <v/>
      </c>
      <c r="C445" s="541"/>
      <c r="D445" s="541"/>
      <c r="E445" s="541"/>
      <c r="F445" s="542"/>
      <c r="G445" s="540" t="str">
        <f>Calcu!BD192</f>
        <v/>
      </c>
      <c r="H445" s="541"/>
      <c r="I445" s="541"/>
      <c r="J445" s="541"/>
      <c r="K445" s="542"/>
      <c r="L445" s="540" t="str">
        <f>Calcu!BE192</f>
        <v/>
      </c>
      <c r="M445" s="541"/>
      <c r="N445" s="541"/>
      <c r="O445" s="541"/>
      <c r="P445" s="542"/>
      <c r="Q445" s="540" t="str">
        <f>Calcu!BF192</f>
        <v/>
      </c>
      <c r="R445" s="541"/>
      <c r="S445" s="541"/>
      <c r="T445" s="541"/>
      <c r="U445" s="542"/>
      <c r="V445" s="540" t="str">
        <f>Calcu!BG192</f>
        <v/>
      </c>
      <c r="W445" s="541"/>
      <c r="X445" s="541"/>
      <c r="Y445" s="541"/>
      <c r="Z445" s="542"/>
      <c r="AA445" s="540" t="str">
        <f>Calcu!BH192</f>
        <v/>
      </c>
      <c r="AB445" s="541"/>
      <c r="AC445" s="541"/>
      <c r="AD445" s="541"/>
      <c r="AE445" s="542"/>
      <c r="AF445" s="540" t="str">
        <f>Calcu!BI192</f>
        <v/>
      </c>
      <c r="AG445" s="541"/>
      <c r="AH445" s="541"/>
      <c r="AI445" s="541"/>
      <c r="AJ445" s="542"/>
      <c r="AK445" s="617" t="str">
        <f>Calcu!P192</f>
        <v/>
      </c>
      <c r="AL445" s="618"/>
      <c r="AM445" s="618"/>
      <c r="AN445" s="618"/>
      <c r="AO445" s="619"/>
    </row>
    <row r="446" spans="1:44" ht="18.75" customHeight="1">
      <c r="A446" s="57"/>
      <c r="B446" s="540" t="str">
        <f>Calcu!C193</f>
        <v/>
      </c>
      <c r="C446" s="541"/>
      <c r="D446" s="541"/>
      <c r="E446" s="541"/>
      <c r="F446" s="542"/>
      <c r="G446" s="540" t="str">
        <f>Calcu!BD193</f>
        <v/>
      </c>
      <c r="H446" s="541"/>
      <c r="I446" s="541"/>
      <c r="J446" s="541"/>
      <c r="K446" s="542"/>
      <c r="L446" s="540" t="str">
        <f>Calcu!BE193</f>
        <v/>
      </c>
      <c r="M446" s="541"/>
      <c r="N446" s="541"/>
      <c r="O446" s="541"/>
      <c r="P446" s="542"/>
      <c r="Q446" s="540" t="str">
        <f>Calcu!BF193</f>
        <v/>
      </c>
      <c r="R446" s="541"/>
      <c r="S446" s="541"/>
      <c r="T446" s="541"/>
      <c r="U446" s="542"/>
      <c r="V446" s="540" t="str">
        <f>Calcu!BG193</f>
        <v/>
      </c>
      <c r="W446" s="541"/>
      <c r="X446" s="541"/>
      <c r="Y446" s="541"/>
      <c r="Z446" s="542"/>
      <c r="AA446" s="540" t="str">
        <f>Calcu!BH193</f>
        <v/>
      </c>
      <c r="AB446" s="541"/>
      <c r="AC446" s="541"/>
      <c r="AD446" s="541"/>
      <c r="AE446" s="542"/>
      <c r="AF446" s="540" t="str">
        <f>Calcu!BI193</f>
        <v/>
      </c>
      <c r="AG446" s="541"/>
      <c r="AH446" s="541"/>
      <c r="AI446" s="541"/>
      <c r="AJ446" s="542"/>
      <c r="AK446" s="617" t="str">
        <f>Calcu!P193</f>
        <v/>
      </c>
      <c r="AL446" s="618"/>
      <c r="AM446" s="618"/>
      <c r="AN446" s="618"/>
      <c r="AO446" s="619"/>
    </row>
    <row r="447" spans="1:44" ht="18.75" customHeight="1">
      <c r="A447" s="57"/>
      <c r="B447" s="540" t="str">
        <f>Calcu!C194</f>
        <v/>
      </c>
      <c r="C447" s="541"/>
      <c r="D447" s="541"/>
      <c r="E447" s="541"/>
      <c r="F447" s="542"/>
      <c r="G447" s="540" t="str">
        <f>Calcu!BD194</f>
        <v/>
      </c>
      <c r="H447" s="541"/>
      <c r="I447" s="541"/>
      <c r="J447" s="541"/>
      <c r="K447" s="542"/>
      <c r="L447" s="540" t="str">
        <f>Calcu!BE194</f>
        <v/>
      </c>
      <c r="M447" s="541"/>
      <c r="N447" s="541"/>
      <c r="O447" s="541"/>
      <c r="P447" s="542"/>
      <c r="Q447" s="540" t="str">
        <f>Calcu!BF194</f>
        <v/>
      </c>
      <c r="R447" s="541"/>
      <c r="S447" s="541"/>
      <c r="T447" s="541"/>
      <c r="U447" s="542"/>
      <c r="V447" s="540" t="str">
        <f>Calcu!BG194</f>
        <v/>
      </c>
      <c r="W447" s="541"/>
      <c r="X447" s="541"/>
      <c r="Y447" s="541"/>
      <c r="Z447" s="542"/>
      <c r="AA447" s="540" t="str">
        <f>Calcu!BH194</f>
        <v/>
      </c>
      <c r="AB447" s="541"/>
      <c r="AC447" s="541"/>
      <c r="AD447" s="541"/>
      <c r="AE447" s="542"/>
      <c r="AF447" s="540" t="str">
        <f>Calcu!BI194</f>
        <v/>
      </c>
      <c r="AG447" s="541"/>
      <c r="AH447" s="541"/>
      <c r="AI447" s="541"/>
      <c r="AJ447" s="542"/>
      <c r="AK447" s="617" t="str">
        <f>Calcu!P194</f>
        <v/>
      </c>
      <c r="AL447" s="618"/>
      <c r="AM447" s="618"/>
      <c r="AN447" s="618"/>
      <c r="AO447" s="619"/>
    </row>
    <row r="448" spans="1:44" ht="18.75" customHeight="1">
      <c r="A448" s="57"/>
      <c r="B448" s="540" t="str">
        <f>Calcu!C195</f>
        <v/>
      </c>
      <c r="C448" s="541"/>
      <c r="D448" s="541"/>
      <c r="E448" s="541"/>
      <c r="F448" s="542"/>
      <c r="G448" s="540" t="str">
        <f>Calcu!BD195</f>
        <v/>
      </c>
      <c r="H448" s="541"/>
      <c r="I448" s="541"/>
      <c r="J448" s="541"/>
      <c r="K448" s="542"/>
      <c r="L448" s="540" t="str">
        <f>Calcu!BE195</f>
        <v/>
      </c>
      <c r="M448" s="541"/>
      <c r="N448" s="541"/>
      <c r="O448" s="541"/>
      <c r="P448" s="542"/>
      <c r="Q448" s="540" t="str">
        <f>Calcu!BF195</f>
        <v/>
      </c>
      <c r="R448" s="541"/>
      <c r="S448" s="541"/>
      <c r="T448" s="541"/>
      <c r="U448" s="542"/>
      <c r="V448" s="540" t="str">
        <f>Calcu!BG195</f>
        <v/>
      </c>
      <c r="W448" s="541"/>
      <c r="X448" s="541"/>
      <c r="Y448" s="541"/>
      <c r="Z448" s="542"/>
      <c r="AA448" s="540" t="str">
        <f>Calcu!BH195</f>
        <v/>
      </c>
      <c r="AB448" s="541"/>
      <c r="AC448" s="541"/>
      <c r="AD448" s="541"/>
      <c r="AE448" s="542"/>
      <c r="AF448" s="540" t="str">
        <f>Calcu!BI195</f>
        <v/>
      </c>
      <c r="AG448" s="541"/>
      <c r="AH448" s="541"/>
      <c r="AI448" s="541"/>
      <c r="AJ448" s="542"/>
      <c r="AK448" s="617" t="str">
        <f>Calcu!P195</f>
        <v/>
      </c>
      <c r="AL448" s="618"/>
      <c r="AM448" s="618"/>
      <c r="AN448" s="618"/>
      <c r="AO448" s="619"/>
    </row>
    <row r="449" spans="1:69" ht="18.75" customHeight="1">
      <c r="A449" s="57"/>
      <c r="B449" s="341"/>
      <c r="C449" s="341"/>
      <c r="D449" s="341"/>
      <c r="E449" s="341"/>
      <c r="F449" s="341"/>
      <c r="G449" s="341"/>
      <c r="H449" s="341"/>
      <c r="I449" s="341"/>
      <c r="J449" s="341"/>
      <c r="K449" s="341"/>
      <c r="L449" s="341"/>
      <c r="M449" s="341"/>
      <c r="N449" s="341"/>
      <c r="O449" s="341"/>
      <c r="P449" s="341"/>
      <c r="Q449" s="341"/>
      <c r="R449" s="341"/>
      <c r="S449" s="341"/>
      <c r="T449" s="341"/>
      <c r="U449" s="341"/>
      <c r="V449" s="341"/>
      <c r="W449" s="341"/>
      <c r="X449" s="341"/>
      <c r="Y449" s="341"/>
      <c r="Z449" s="341"/>
      <c r="AA449" s="341"/>
      <c r="AB449" s="341"/>
      <c r="AC449" s="341"/>
      <c r="AD449" s="341"/>
      <c r="AE449" s="341"/>
      <c r="AF449" s="341"/>
      <c r="AG449" s="341"/>
      <c r="AH449" s="341"/>
      <c r="AI449" s="341"/>
      <c r="AJ449" s="341"/>
      <c r="AK449" s="341"/>
      <c r="AL449" s="341"/>
      <c r="AM449" s="341"/>
      <c r="AN449" s="341"/>
      <c r="AO449" s="341"/>
      <c r="AP449" s="341"/>
      <c r="AQ449" s="341"/>
      <c r="AR449" s="341"/>
      <c r="AS449" s="341"/>
      <c r="AT449" s="341"/>
    </row>
    <row r="450" spans="1:69" ht="18.75" customHeight="1">
      <c r="A450" s="57" t="s">
        <v>805</v>
      </c>
      <c r="B450" s="370"/>
      <c r="C450" s="370"/>
      <c r="D450" s="370"/>
      <c r="E450" s="370"/>
      <c r="F450" s="370"/>
      <c r="G450" s="370"/>
      <c r="H450" s="370"/>
      <c r="I450" s="370"/>
      <c r="J450" s="370"/>
      <c r="K450" s="370"/>
      <c r="L450" s="370"/>
      <c r="M450" s="370"/>
      <c r="N450" s="370"/>
      <c r="O450" s="370"/>
      <c r="P450" s="370"/>
      <c r="Q450" s="370"/>
      <c r="R450" s="370"/>
      <c r="S450" s="370"/>
      <c r="T450" s="370"/>
      <c r="U450" s="370"/>
      <c r="V450" s="370"/>
      <c r="W450" s="370"/>
      <c r="X450" s="370"/>
      <c r="Y450" s="370"/>
      <c r="Z450" s="370"/>
      <c r="AA450" s="370"/>
      <c r="AB450" s="370"/>
      <c r="AC450" s="370"/>
      <c r="AD450" s="370"/>
      <c r="AE450" s="370"/>
      <c r="AF450" s="370"/>
      <c r="AG450" s="370"/>
      <c r="AH450" s="370"/>
      <c r="AI450" s="370"/>
      <c r="AJ450" s="370"/>
      <c r="AK450" s="370"/>
      <c r="AL450" s="370"/>
      <c r="AM450" s="370"/>
      <c r="AN450" s="370"/>
      <c r="AO450" s="370"/>
      <c r="AP450" s="370"/>
      <c r="AQ450" s="370"/>
      <c r="AR450" s="370"/>
      <c r="AS450" s="370"/>
      <c r="AT450" s="370"/>
    </row>
    <row r="451" spans="1:69" ht="18.75" customHeight="1">
      <c r="A451" s="69"/>
      <c r="B451" s="370"/>
      <c r="C451" s="370"/>
      <c r="D451" s="370"/>
      <c r="E451" s="370"/>
      <c r="F451" s="370"/>
      <c r="G451" s="370"/>
      <c r="H451" s="370"/>
      <c r="I451" s="370"/>
      <c r="J451" s="370"/>
      <c r="K451" s="370"/>
      <c r="L451" s="370"/>
      <c r="M451" s="370"/>
      <c r="N451" s="370"/>
      <c r="O451" s="370"/>
      <c r="P451" s="370"/>
      <c r="Q451" s="370"/>
      <c r="R451" s="370"/>
      <c r="S451" s="370"/>
      <c r="T451" s="370"/>
      <c r="U451" s="370"/>
      <c r="V451" s="370"/>
      <c r="W451" s="370"/>
      <c r="X451" s="370"/>
      <c r="Y451" s="370"/>
      <c r="Z451" s="370"/>
      <c r="AA451" s="370"/>
      <c r="AB451" s="370"/>
      <c r="AC451" s="370"/>
      <c r="AD451" s="370"/>
      <c r="AE451" s="370"/>
      <c r="AF451" s="370"/>
      <c r="AG451" s="370"/>
      <c r="AH451" s="370"/>
      <c r="AI451" s="370"/>
      <c r="AJ451" s="370"/>
      <c r="AK451" s="370"/>
      <c r="AL451" s="370"/>
      <c r="AM451" s="370"/>
      <c r="AN451" s="370"/>
      <c r="AO451" s="370"/>
      <c r="AP451" s="370"/>
      <c r="AQ451" s="370"/>
      <c r="AR451" s="370"/>
      <c r="AS451" s="370"/>
      <c r="AT451" s="370"/>
    </row>
    <row r="452" spans="1:69" ht="18.75" customHeight="1">
      <c r="A452" s="69"/>
      <c r="B452" s="370"/>
      <c r="C452" s="370"/>
      <c r="D452" s="370"/>
      <c r="E452" s="370"/>
      <c r="F452" s="370"/>
      <c r="G452" s="370"/>
      <c r="H452" s="370"/>
      <c r="I452" s="370"/>
      <c r="J452" s="370"/>
      <c r="K452" s="370"/>
      <c r="L452" s="370"/>
      <c r="M452" s="370"/>
      <c r="N452" s="370"/>
      <c r="O452" s="370"/>
      <c r="P452" s="370"/>
      <c r="Q452" s="370"/>
      <c r="R452" s="370"/>
      <c r="S452" s="370"/>
      <c r="T452" s="370"/>
      <c r="U452" s="370"/>
      <c r="V452" s="370"/>
      <c r="W452" s="370"/>
      <c r="X452" s="370"/>
      <c r="Y452" s="370"/>
      <c r="Z452" s="370"/>
      <c r="AA452" s="370"/>
      <c r="AB452" s="370"/>
      <c r="AC452" s="370"/>
      <c r="AD452" s="370"/>
      <c r="AE452" s="370"/>
      <c r="AF452" s="370"/>
      <c r="AG452" s="370"/>
      <c r="AH452" s="370"/>
      <c r="AI452" s="370"/>
      <c r="AJ452" s="370"/>
      <c r="AK452" s="370"/>
      <c r="AL452" s="370"/>
      <c r="AM452" s="370"/>
      <c r="AN452" s="370"/>
      <c r="AO452" s="370"/>
      <c r="AP452" s="370"/>
      <c r="AQ452" s="370"/>
      <c r="AR452" s="370"/>
      <c r="AS452" s="370"/>
      <c r="AT452" s="370"/>
    </row>
    <row r="453" spans="1:69" ht="18.75" customHeight="1">
      <c r="A453" s="69"/>
      <c r="B453" s="370"/>
      <c r="C453" s="545" t="s">
        <v>945</v>
      </c>
      <c r="D453" s="545"/>
      <c r="E453" s="545"/>
      <c r="F453" s="341" t="s">
        <v>808</v>
      </c>
      <c r="G453" s="370" t="s">
        <v>1179</v>
      </c>
      <c r="H453" s="370"/>
      <c r="I453" s="370"/>
      <c r="J453" s="370"/>
      <c r="K453" s="370"/>
      <c r="L453" s="370"/>
      <c r="M453" s="370"/>
      <c r="N453" s="370"/>
      <c r="O453" s="370"/>
      <c r="P453" s="370"/>
      <c r="Q453" s="370"/>
      <c r="R453" s="370"/>
      <c r="S453" s="370"/>
      <c r="W453" s="59"/>
      <c r="X453" s="59"/>
      <c r="Y453" s="59"/>
      <c r="Z453" s="370"/>
      <c r="AA453" s="370"/>
      <c r="AB453" s="370"/>
      <c r="AC453" s="370"/>
      <c r="AD453" s="370"/>
      <c r="AE453" s="370"/>
      <c r="AF453" s="370"/>
      <c r="AG453" s="370"/>
      <c r="AH453" s="370"/>
      <c r="AI453" s="370"/>
      <c r="AJ453" s="370"/>
      <c r="AK453" s="370"/>
      <c r="AL453" s="370"/>
      <c r="AM453" s="370"/>
      <c r="AN453" s="370"/>
      <c r="AO453" s="370"/>
      <c r="AP453" s="370"/>
      <c r="AQ453" s="370"/>
      <c r="AR453" s="370"/>
      <c r="AS453" s="370"/>
      <c r="AT453" s="370"/>
    </row>
    <row r="454" spans="1:69" ht="18.75" customHeight="1">
      <c r="A454" s="69"/>
      <c r="B454" s="370"/>
      <c r="C454" s="545" t="s">
        <v>946</v>
      </c>
      <c r="D454" s="545"/>
      <c r="E454" s="545"/>
      <c r="F454" s="341" t="s">
        <v>808</v>
      </c>
      <c r="G454" s="370" t="str">
        <f>H438&amp;"의 교정값"</f>
        <v>직각자의 교정값</v>
      </c>
      <c r="H454" s="370"/>
      <c r="I454" s="370"/>
      <c r="J454" s="370"/>
      <c r="K454" s="370"/>
      <c r="L454" s="370"/>
      <c r="M454" s="370"/>
      <c r="N454" s="370"/>
      <c r="O454" s="370"/>
      <c r="P454" s="370"/>
      <c r="Q454" s="370"/>
      <c r="R454" s="370"/>
      <c r="S454" s="370"/>
      <c r="T454" s="370"/>
      <c r="U454" s="370"/>
      <c r="V454" s="370"/>
      <c r="W454" s="370"/>
      <c r="X454" s="370"/>
      <c r="Y454" s="370"/>
      <c r="Z454" s="370"/>
      <c r="AA454" s="370"/>
      <c r="AB454" s="370"/>
      <c r="AC454" s="370"/>
      <c r="AD454" s="370"/>
      <c r="AE454" s="370"/>
      <c r="AF454" s="370"/>
      <c r="AG454" s="370"/>
      <c r="AH454" s="370"/>
      <c r="AI454" s="370"/>
      <c r="AJ454" s="370"/>
      <c r="AK454" s="370"/>
      <c r="AL454" s="370"/>
      <c r="AM454" s="370"/>
      <c r="AN454" s="370"/>
      <c r="AO454" s="370"/>
      <c r="AP454" s="370"/>
      <c r="AQ454" s="370"/>
      <c r="AR454" s="370"/>
      <c r="AS454" s="370"/>
      <c r="AT454" s="370"/>
      <c r="AU454" s="370"/>
      <c r="AV454" s="370"/>
      <c r="AW454" s="370"/>
      <c r="AX454" s="370"/>
      <c r="AY454" s="370"/>
      <c r="AZ454" s="370"/>
      <c r="BA454" s="370"/>
      <c r="BB454" s="370"/>
    </row>
    <row r="455" spans="1:69" ht="18.75" customHeight="1">
      <c r="A455" s="69"/>
      <c r="B455" s="370"/>
      <c r="C455" s="545" t="s">
        <v>1180</v>
      </c>
      <c r="D455" s="545"/>
      <c r="E455" s="545"/>
      <c r="F455" s="341" t="s">
        <v>808</v>
      </c>
      <c r="G455" s="370" t="s">
        <v>1181</v>
      </c>
      <c r="H455" s="370"/>
      <c r="I455" s="370"/>
      <c r="J455" s="370"/>
      <c r="K455" s="370"/>
      <c r="L455" s="370"/>
      <c r="M455" s="370"/>
      <c r="N455" s="370"/>
      <c r="O455" s="370"/>
      <c r="P455" s="370"/>
      <c r="Q455" s="370"/>
      <c r="U455" s="370"/>
      <c r="V455" s="370"/>
      <c r="W455" s="370"/>
      <c r="X455" s="370"/>
      <c r="Y455" s="370"/>
      <c r="Z455" s="370"/>
      <c r="AA455" s="370"/>
      <c r="AB455" s="370"/>
      <c r="AC455" s="370"/>
      <c r="AD455" s="370"/>
      <c r="AE455" s="370"/>
      <c r="AF455" s="370"/>
      <c r="AG455" s="370"/>
      <c r="AH455" s="370"/>
      <c r="AI455" s="370"/>
      <c r="AJ455" s="370"/>
      <c r="AK455" s="370"/>
      <c r="AL455" s="370"/>
      <c r="AM455" s="370"/>
      <c r="AN455" s="370"/>
      <c r="AO455" s="370"/>
      <c r="AP455" s="370"/>
      <c r="AQ455" s="370"/>
      <c r="AR455" s="370"/>
      <c r="AS455" s="370"/>
      <c r="AT455" s="370"/>
      <c r="AU455" s="370"/>
      <c r="AV455" s="370"/>
      <c r="AW455" s="370"/>
      <c r="AX455" s="370"/>
      <c r="AY455" s="370"/>
      <c r="AZ455" s="370"/>
      <c r="BA455" s="370"/>
      <c r="BB455" s="370"/>
    </row>
    <row r="456" spans="1:69" ht="18.75" customHeight="1">
      <c r="A456" s="69"/>
      <c r="B456" s="370"/>
      <c r="C456" s="545" t="s">
        <v>948</v>
      </c>
      <c r="D456" s="545"/>
      <c r="E456" s="545"/>
      <c r="F456" s="341" t="s">
        <v>808</v>
      </c>
      <c r="G456" s="370" t="s">
        <v>949</v>
      </c>
      <c r="H456" s="370"/>
      <c r="I456" s="370"/>
      <c r="J456" s="370"/>
      <c r="K456" s="370"/>
      <c r="L456" s="370"/>
      <c r="M456" s="370"/>
      <c r="N456" s="370"/>
      <c r="O456" s="370"/>
      <c r="P456" s="370"/>
      <c r="Q456" s="370"/>
      <c r="R456" s="370"/>
      <c r="S456" s="370"/>
      <c r="T456" s="370"/>
      <c r="U456" s="370"/>
      <c r="V456" s="370"/>
      <c r="W456" s="370"/>
      <c r="X456" s="370"/>
      <c r="Y456" s="370"/>
      <c r="Z456" s="370"/>
      <c r="AA456" s="370"/>
      <c r="AB456" s="370"/>
      <c r="AC456" s="370"/>
      <c r="AD456" s="370"/>
      <c r="AE456" s="370"/>
      <c r="AF456" s="370"/>
      <c r="AG456" s="370"/>
      <c r="AH456" s="370"/>
      <c r="AI456" s="370"/>
      <c r="AJ456" s="370"/>
      <c r="AK456" s="370"/>
      <c r="AL456" s="370"/>
      <c r="AM456" s="370"/>
      <c r="AN456" s="370"/>
      <c r="AO456" s="370"/>
      <c r="AP456" s="370"/>
      <c r="AQ456" s="370"/>
      <c r="AR456" s="370"/>
      <c r="AS456" s="370"/>
      <c r="AT456" s="370"/>
      <c r="AU456" s="370"/>
      <c r="AV456" s="370"/>
      <c r="AW456" s="370"/>
      <c r="AX456" s="370"/>
      <c r="AY456" s="370"/>
      <c r="AZ456" s="370"/>
      <c r="BA456" s="370"/>
      <c r="BB456" s="370"/>
    </row>
    <row r="457" spans="1:69" ht="18.75" customHeight="1">
      <c r="A457" s="69"/>
      <c r="B457" s="370"/>
      <c r="C457" s="545" t="s">
        <v>953</v>
      </c>
      <c r="D457" s="545"/>
      <c r="E457" s="545"/>
      <c r="F457" s="341" t="s">
        <v>808</v>
      </c>
      <c r="G457" s="370" t="s">
        <v>950</v>
      </c>
      <c r="H457" s="370"/>
      <c r="I457" s="370"/>
      <c r="J457" s="370"/>
      <c r="K457" s="370"/>
      <c r="L457" s="370"/>
      <c r="M457" s="370"/>
      <c r="N457" s="370"/>
      <c r="O457" s="370"/>
      <c r="P457" s="370"/>
      <c r="Q457" s="370"/>
      <c r="R457" s="370"/>
      <c r="S457" s="370"/>
      <c r="T457" s="370"/>
      <c r="U457" s="370"/>
      <c r="V457" s="370"/>
      <c r="W457" s="370"/>
      <c r="X457" s="370"/>
      <c r="Y457" s="370"/>
      <c r="Z457" s="370"/>
      <c r="AA457" s="370"/>
      <c r="AB457" s="370"/>
      <c r="AC457" s="370"/>
      <c r="AD457" s="370"/>
      <c r="AE457" s="370"/>
      <c r="AF457" s="370"/>
      <c r="AG457" s="370"/>
      <c r="AH457" s="370"/>
      <c r="AI457" s="370"/>
      <c r="AJ457" s="370"/>
      <c r="AK457" s="370"/>
      <c r="AL457" s="370"/>
      <c r="AM457" s="370"/>
      <c r="AN457" s="370"/>
      <c r="AO457" s="370"/>
      <c r="AP457" s="370"/>
      <c r="AQ457" s="370"/>
      <c r="AR457" s="370"/>
      <c r="AS457" s="370"/>
      <c r="AT457" s="370"/>
      <c r="AU457" s="370"/>
      <c r="AV457" s="370"/>
      <c r="AW457" s="370"/>
      <c r="AX457" s="370"/>
      <c r="AY457" s="370"/>
      <c r="AZ457" s="370"/>
      <c r="BA457" s="370"/>
      <c r="BB457" s="370"/>
    </row>
    <row r="458" spans="1:69" ht="18.75" customHeight="1">
      <c r="A458" s="69"/>
      <c r="B458" s="370"/>
      <c r="C458" s="545" t="s">
        <v>1182</v>
      </c>
      <c r="D458" s="545"/>
      <c r="E458" s="545"/>
      <c r="F458" s="341" t="s">
        <v>808</v>
      </c>
      <c r="G458" s="370" t="s">
        <v>951</v>
      </c>
      <c r="H458" s="370"/>
      <c r="I458" s="370"/>
      <c r="J458" s="370"/>
      <c r="K458" s="370"/>
      <c r="L458" s="370"/>
      <c r="M458" s="370"/>
      <c r="N458" s="370"/>
      <c r="O458" s="370"/>
      <c r="P458" s="370"/>
      <c r="Q458" s="370"/>
      <c r="R458" s="370"/>
      <c r="S458" s="370"/>
      <c r="T458" s="370"/>
      <c r="U458" s="370"/>
      <c r="V458" s="370"/>
      <c r="W458" s="370"/>
      <c r="X458" s="370"/>
      <c r="Y458" s="370"/>
      <c r="Z458" s="370"/>
      <c r="AA458" s="370"/>
      <c r="AB458" s="370"/>
      <c r="AC458" s="370"/>
      <c r="AD458" s="370"/>
      <c r="AE458" s="370"/>
      <c r="AF458" s="370"/>
      <c r="AG458" s="370"/>
      <c r="AH458" s="370"/>
      <c r="AI458" s="370"/>
      <c r="AJ458" s="370"/>
      <c r="AK458" s="370"/>
      <c r="AL458" s="370"/>
      <c r="AM458" s="370"/>
      <c r="AN458" s="370"/>
      <c r="AO458" s="370"/>
      <c r="AP458" s="370"/>
      <c r="AQ458" s="370"/>
      <c r="AR458" s="370"/>
      <c r="AS458" s="370"/>
      <c r="AT458" s="370"/>
      <c r="AU458" s="370"/>
      <c r="AV458" s="370"/>
      <c r="AW458" s="370"/>
      <c r="AX458" s="370"/>
      <c r="AY458" s="370"/>
      <c r="AZ458" s="370"/>
      <c r="BA458" s="370"/>
      <c r="BB458" s="370"/>
    </row>
    <row r="459" spans="1:69" ht="18.75" customHeight="1">
      <c r="A459" s="69"/>
      <c r="B459" s="370"/>
      <c r="C459" s="545" t="s">
        <v>952</v>
      </c>
      <c r="D459" s="545"/>
      <c r="E459" s="545"/>
      <c r="F459" s="341" t="s">
        <v>984</v>
      </c>
      <c r="G459" s="370" t="s">
        <v>1183</v>
      </c>
      <c r="H459" s="370"/>
      <c r="I459" s="370"/>
      <c r="J459" s="370"/>
      <c r="K459" s="370"/>
      <c r="L459" s="370"/>
      <c r="M459" s="370"/>
      <c r="N459" s="370"/>
      <c r="O459" s="370"/>
      <c r="P459" s="370"/>
      <c r="Q459" s="370"/>
      <c r="R459" s="370"/>
      <c r="S459" s="370"/>
      <c r="T459" s="370"/>
      <c r="U459" s="370"/>
      <c r="V459" s="370"/>
      <c r="W459" s="370"/>
      <c r="X459" s="370"/>
      <c r="Y459" s="370"/>
      <c r="Z459" s="370"/>
      <c r="AA459" s="370"/>
      <c r="AB459" s="370"/>
      <c r="AC459" s="370"/>
      <c r="AD459" s="370"/>
      <c r="AE459" s="370"/>
      <c r="AF459" s="370"/>
      <c r="AG459" s="370"/>
      <c r="AH459" s="370"/>
      <c r="AI459" s="370"/>
      <c r="AJ459" s="370"/>
      <c r="AK459" s="370"/>
      <c r="AL459" s="370"/>
      <c r="AM459" s="370"/>
      <c r="AN459" s="370"/>
      <c r="AO459" s="370"/>
      <c r="AP459" s="370"/>
      <c r="AQ459" s="370"/>
      <c r="AR459" s="370"/>
      <c r="AS459" s="370"/>
      <c r="AT459" s="370"/>
      <c r="AU459" s="370"/>
      <c r="AV459" s="370"/>
      <c r="AW459" s="370"/>
      <c r="AX459" s="370"/>
      <c r="AY459" s="370"/>
      <c r="AZ459" s="370"/>
      <c r="BA459" s="370"/>
      <c r="BB459" s="370"/>
    </row>
    <row r="460" spans="1:69" ht="18.75" customHeight="1">
      <c r="A460" s="69"/>
      <c r="B460" s="370"/>
      <c r="C460" s="545"/>
      <c r="D460" s="545"/>
      <c r="E460" s="545"/>
      <c r="G460" s="370"/>
      <c r="H460" s="370"/>
      <c r="I460" s="370"/>
      <c r="J460" s="370"/>
      <c r="K460" s="370"/>
      <c r="L460" s="370"/>
      <c r="M460" s="370"/>
      <c r="N460" s="370"/>
      <c r="O460" s="370"/>
      <c r="P460" s="370"/>
      <c r="Q460" s="370"/>
      <c r="R460" s="370"/>
      <c r="S460" s="370"/>
      <c r="T460" s="370"/>
      <c r="U460" s="370"/>
      <c r="V460" s="370"/>
      <c r="W460" s="370"/>
      <c r="X460" s="370"/>
      <c r="Y460" s="370"/>
      <c r="Z460" s="370"/>
      <c r="AA460" s="370"/>
      <c r="AB460" s="370"/>
      <c r="AC460" s="370"/>
      <c r="AD460" s="370"/>
      <c r="AE460" s="370"/>
      <c r="AF460" s="370"/>
      <c r="AG460" s="370"/>
      <c r="AH460" s="370"/>
      <c r="AI460" s="370"/>
      <c r="AJ460" s="370"/>
      <c r="AK460" s="370"/>
      <c r="AL460" s="370"/>
      <c r="AM460" s="370"/>
      <c r="AN460" s="370"/>
      <c r="AO460" s="370"/>
      <c r="AP460" s="370"/>
      <c r="AQ460" s="370"/>
      <c r="AR460" s="370"/>
      <c r="AS460" s="370"/>
      <c r="AT460" s="370"/>
      <c r="AU460" s="370"/>
      <c r="AV460" s="370"/>
      <c r="AW460" s="370"/>
      <c r="AX460" s="370"/>
      <c r="AY460" s="370"/>
      <c r="AZ460" s="370"/>
      <c r="BA460" s="370"/>
      <c r="BB460" s="370"/>
      <c r="BD460" s="58"/>
      <c r="BE460" s="58"/>
      <c r="BF460" s="58"/>
      <c r="BG460" s="58"/>
      <c r="BH460" s="58"/>
      <c r="BI460" s="58"/>
      <c r="BJ460" s="58"/>
      <c r="BK460" s="58"/>
      <c r="BL460" s="58"/>
      <c r="BM460" s="58"/>
      <c r="BN460" s="58"/>
      <c r="BO460" s="58"/>
      <c r="BP460" s="58"/>
      <c r="BQ460" s="58"/>
    </row>
    <row r="461" spans="1:69" ht="18.75" customHeight="1">
      <c r="A461" s="57" t="s">
        <v>813</v>
      </c>
      <c r="B461" s="370"/>
      <c r="C461" s="370"/>
      <c r="D461" s="370"/>
      <c r="E461" s="370"/>
      <c r="F461" s="370"/>
      <c r="G461" s="370"/>
      <c r="H461" s="370"/>
      <c r="I461" s="370"/>
      <c r="J461" s="370"/>
      <c r="K461" s="370"/>
      <c r="L461" s="370"/>
      <c r="M461" s="370"/>
      <c r="N461" s="370"/>
      <c r="O461" s="370"/>
      <c r="P461" s="370"/>
      <c r="Q461" s="370"/>
      <c r="R461" s="370"/>
      <c r="S461" s="370"/>
      <c r="T461" s="370"/>
      <c r="U461" s="370"/>
      <c r="V461" s="370"/>
      <c r="W461" s="370"/>
      <c r="X461" s="370"/>
      <c r="Y461" s="370"/>
      <c r="Z461" s="370"/>
      <c r="AA461" s="370"/>
      <c r="AB461" s="370"/>
      <c r="AC461" s="370"/>
      <c r="AD461" s="370"/>
      <c r="AE461" s="370"/>
      <c r="AF461" s="370"/>
      <c r="AG461" s="370"/>
      <c r="AH461" s="370"/>
      <c r="AI461" s="370"/>
      <c r="AJ461" s="370"/>
      <c r="AK461" s="370"/>
      <c r="AL461" s="370"/>
      <c r="AM461" s="370"/>
      <c r="AN461" s="370"/>
      <c r="AO461" s="370"/>
      <c r="AP461" s="370"/>
      <c r="AQ461" s="370"/>
      <c r="AR461" s="370"/>
      <c r="AS461" s="370"/>
      <c r="AT461" s="370"/>
    </row>
    <row r="462" spans="1:69" ht="18.75" customHeight="1">
      <c r="A462" s="370"/>
      <c r="B462" s="370"/>
      <c r="C462" s="370"/>
      <c r="D462" s="370"/>
      <c r="E462" s="370"/>
      <c r="F462" s="370"/>
      <c r="G462" s="370"/>
      <c r="H462" s="370"/>
      <c r="I462" s="370"/>
      <c r="J462" s="370"/>
      <c r="K462" s="370"/>
      <c r="L462" s="370"/>
      <c r="M462" s="370"/>
      <c r="N462" s="370"/>
      <c r="O462" s="370"/>
      <c r="P462" s="370"/>
      <c r="Q462" s="370"/>
      <c r="R462" s="370"/>
      <c r="S462" s="370"/>
      <c r="T462" s="370"/>
      <c r="U462" s="370"/>
      <c r="V462" s="370"/>
      <c r="W462" s="370"/>
      <c r="X462" s="370"/>
      <c r="Y462" s="370"/>
      <c r="Z462" s="370"/>
      <c r="AA462" s="370"/>
      <c r="AB462" s="370"/>
      <c r="AC462" s="370"/>
      <c r="AD462" s="370"/>
      <c r="AE462" s="370"/>
      <c r="AF462" s="370"/>
      <c r="AG462" s="370"/>
      <c r="AH462" s="370"/>
      <c r="AI462" s="370"/>
      <c r="AJ462" s="370"/>
      <c r="AK462" s="370"/>
      <c r="AL462" s="370"/>
      <c r="AM462" s="370"/>
      <c r="AN462" s="370"/>
      <c r="AO462" s="370"/>
      <c r="AP462" s="370"/>
      <c r="AQ462" s="370"/>
      <c r="AR462" s="370"/>
      <c r="AS462" s="370"/>
      <c r="AT462" s="370"/>
    </row>
    <row r="463" spans="1:69" ht="18.75" customHeight="1">
      <c r="A463" s="370"/>
      <c r="B463" s="370"/>
      <c r="C463" s="370" t="s">
        <v>1184</v>
      </c>
      <c r="D463" s="370"/>
      <c r="E463" s="370"/>
      <c r="F463" s="370"/>
      <c r="G463" s="370"/>
      <c r="H463" s="370"/>
      <c r="I463" s="370"/>
      <c r="J463" s="370"/>
      <c r="K463" s="370"/>
      <c r="L463" s="370"/>
      <c r="M463" s="370"/>
      <c r="N463" s="370"/>
      <c r="O463" s="370"/>
      <c r="P463" s="370"/>
      <c r="Q463" s="370"/>
      <c r="R463" s="370"/>
      <c r="S463" s="370"/>
      <c r="T463" s="370"/>
      <c r="U463" s="370"/>
      <c r="V463" s="370"/>
      <c r="W463" s="370"/>
      <c r="X463" s="370"/>
      <c r="Y463" s="370"/>
      <c r="Z463" s="370"/>
      <c r="AA463" s="370"/>
      <c r="AB463" s="370"/>
      <c r="AC463" s="370"/>
      <c r="AD463" s="370"/>
      <c r="AE463" s="370"/>
      <c r="AF463" s="370"/>
      <c r="AG463" s="370"/>
      <c r="AH463" s="370"/>
      <c r="AI463" s="370"/>
      <c r="AJ463" s="370"/>
      <c r="AK463" s="370"/>
      <c r="AL463" s="370"/>
      <c r="AM463" s="370"/>
      <c r="AN463" s="370"/>
      <c r="AO463" s="370"/>
      <c r="AP463" s="370"/>
      <c r="AQ463" s="370"/>
      <c r="AR463" s="370"/>
      <c r="AS463" s="370"/>
      <c r="AT463" s="370"/>
    </row>
    <row r="464" spans="1:69" ht="18.75" customHeight="1">
      <c r="A464" s="370"/>
      <c r="B464" s="370"/>
      <c r="C464" s="370"/>
      <c r="D464" s="370"/>
      <c r="E464" s="370"/>
      <c r="F464" s="370"/>
      <c r="G464" s="370"/>
      <c r="H464" s="370"/>
      <c r="I464" s="370"/>
      <c r="J464" s="370"/>
      <c r="K464" s="370"/>
      <c r="L464" s="370"/>
      <c r="M464" s="370"/>
      <c r="N464" s="370"/>
      <c r="O464" s="370"/>
      <c r="P464" s="370"/>
      <c r="Q464" s="370"/>
      <c r="R464" s="370"/>
      <c r="S464" s="370"/>
      <c r="T464" s="370"/>
      <c r="U464" s="370"/>
      <c r="V464" s="370"/>
      <c r="W464" s="370"/>
      <c r="X464" s="370"/>
      <c r="Y464" s="370"/>
      <c r="Z464" s="370"/>
      <c r="AA464" s="370"/>
      <c r="AB464" s="370"/>
      <c r="AC464" s="370"/>
      <c r="AD464" s="370"/>
      <c r="AE464" s="370"/>
      <c r="AF464" s="370"/>
      <c r="AG464" s="370"/>
      <c r="AH464" s="370"/>
      <c r="AI464" s="370"/>
      <c r="AJ464" s="370"/>
      <c r="AK464" s="370"/>
      <c r="AL464" s="370"/>
      <c r="AM464" s="370"/>
      <c r="AN464" s="370"/>
      <c r="AO464" s="370"/>
      <c r="AP464" s="370"/>
      <c r="AQ464" s="370"/>
      <c r="AR464" s="370"/>
      <c r="AS464" s="370"/>
      <c r="AT464" s="370"/>
    </row>
    <row r="465" spans="1:58" ht="18.75" customHeight="1">
      <c r="A465" s="370"/>
      <c r="B465" s="370"/>
      <c r="C465" s="370"/>
      <c r="D465" s="370"/>
      <c r="E465" s="370"/>
      <c r="F465" s="370"/>
      <c r="G465" s="370"/>
      <c r="H465" s="370"/>
      <c r="I465" s="370"/>
      <c r="J465" s="370"/>
      <c r="K465" s="370"/>
      <c r="L465" s="370"/>
      <c r="M465" s="370"/>
      <c r="N465" s="370"/>
      <c r="O465" s="370"/>
      <c r="P465" s="370"/>
      <c r="Q465" s="370"/>
      <c r="R465" s="370"/>
      <c r="S465" s="370"/>
      <c r="T465" s="370"/>
      <c r="U465" s="370"/>
      <c r="V465" s="370"/>
      <c r="W465" s="370"/>
      <c r="X465" s="370"/>
      <c r="Y465" s="370"/>
      <c r="Z465" s="370"/>
      <c r="AA465" s="370"/>
      <c r="AB465" s="370"/>
      <c r="AC465" s="370"/>
      <c r="AD465" s="370"/>
      <c r="AE465" s="370"/>
      <c r="AF465" s="370"/>
      <c r="AG465" s="370"/>
      <c r="AH465" s="370"/>
      <c r="AI465" s="370"/>
      <c r="AJ465" s="370"/>
      <c r="AK465" s="370"/>
      <c r="AL465" s="370"/>
      <c r="AM465" s="370"/>
      <c r="AN465" s="370"/>
      <c r="AO465" s="370"/>
      <c r="AP465" s="370"/>
      <c r="AQ465" s="370"/>
      <c r="AR465" s="370"/>
      <c r="AS465" s="370"/>
      <c r="AT465" s="370"/>
    </row>
    <row r="466" spans="1:58" ht="18.75" customHeight="1">
      <c r="A466" s="370"/>
      <c r="B466" s="370"/>
      <c r="C466" s="370"/>
      <c r="D466" s="370"/>
      <c r="E466" s="370"/>
      <c r="F466" s="370"/>
      <c r="G466" s="370"/>
      <c r="H466" s="370"/>
      <c r="I466" s="370"/>
      <c r="J466" s="370"/>
      <c r="K466" s="370"/>
      <c r="L466" s="370"/>
      <c r="M466" s="370"/>
      <c r="N466" s="370"/>
      <c r="O466" s="370"/>
      <c r="P466" s="370"/>
      <c r="Q466" s="370"/>
      <c r="R466" s="370"/>
      <c r="S466" s="370"/>
      <c r="T466" s="370"/>
      <c r="U466" s="370"/>
      <c r="V466" s="370"/>
      <c r="W466" s="370"/>
      <c r="X466" s="370"/>
      <c r="Y466" s="370"/>
      <c r="Z466" s="370"/>
      <c r="AA466" s="370"/>
      <c r="AB466" s="370"/>
      <c r="AC466" s="370"/>
      <c r="AD466" s="370"/>
      <c r="AE466" s="370"/>
      <c r="AF466" s="370"/>
      <c r="AG466" s="370"/>
      <c r="AH466" s="370"/>
      <c r="AI466" s="370"/>
      <c r="AJ466" s="370"/>
      <c r="AK466" s="370"/>
      <c r="AL466" s="370"/>
      <c r="AM466" s="370"/>
      <c r="AN466" s="370"/>
      <c r="AO466" s="370"/>
      <c r="AP466" s="370"/>
      <c r="AQ466" s="370"/>
      <c r="AR466" s="370"/>
      <c r="AS466" s="370"/>
      <c r="AT466" s="370"/>
    </row>
    <row r="467" spans="1:58" ht="18.75" customHeight="1">
      <c r="A467" s="60" t="s">
        <v>815</v>
      </c>
      <c r="B467" s="370"/>
      <c r="C467" s="370"/>
      <c r="D467" s="370"/>
      <c r="E467" s="370"/>
      <c r="F467" s="370"/>
      <c r="G467" s="370"/>
      <c r="H467" s="370"/>
      <c r="I467" s="370"/>
      <c r="J467" s="370"/>
      <c r="K467" s="370"/>
      <c r="L467" s="370"/>
      <c r="M467" s="370"/>
      <c r="N467" s="370"/>
      <c r="O467" s="370"/>
      <c r="P467" s="370"/>
      <c r="Q467" s="370"/>
      <c r="R467" s="370"/>
      <c r="S467" s="370"/>
      <c r="T467" s="370"/>
      <c r="U467" s="370"/>
      <c r="V467" s="370"/>
      <c r="W467" s="370"/>
      <c r="X467" s="370"/>
      <c r="Y467" s="370"/>
      <c r="Z467" s="370"/>
      <c r="AA467" s="370"/>
      <c r="AB467" s="370"/>
      <c r="AC467" s="370"/>
      <c r="AD467" s="370"/>
      <c r="AE467" s="370"/>
      <c r="AF467" s="370"/>
      <c r="AG467" s="370"/>
      <c r="AH467" s="370"/>
      <c r="AI467" s="370"/>
      <c r="AJ467" s="370"/>
      <c r="AK467" s="370"/>
      <c r="AL467" s="370"/>
      <c r="AM467" s="370"/>
      <c r="AN467" s="370"/>
      <c r="AO467" s="370"/>
      <c r="AP467" s="370"/>
      <c r="AQ467" s="370"/>
      <c r="AR467" s="370"/>
      <c r="AS467" s="370"/>
      <c r="AT467" s="370"/>
    </row>
    <row r="468" spans="1:58" ht="18.75" customHeight="1">
      <c r="A468" s="370"/>
      <c r="B468" s="558"/>
      <c r="C468" s="560"/>
      <c r="D468" s="537"/>
      <c r="E468" s="538"/>
      <c r="F468" s="538"/>
      <c r="G468" s="539"/>
      <c r="H468" s="522">
        <v>1</v>
      </c>
      <c r="I468" s="522"/>
      <c r="J468" s="522"/>
      <c r="K468" s="522"/>
      <c r="L468" s="522"/>
      <c r="M468" s="522"/>
      <c r="N468" s="522"/>
      <c r="O468" s="537">
        <v>2</v>
      </c>
      <c r="P468" s="538"/>
      <c r="Q468" s="538"/>
      <c r="R468" s="538"/>
      <c r="S468" s="538"/>
      <c r="T468" s="538"/>
      <c r="U468" s="538"/>
      <c r="V468" s="538"/>
      <c r="W468" s="538"/>
      <c r="X468" s="538"/>
      <c r="Y468" s="538"/>
      <c r="Z468" s="538"/>
      <c r="AA468" s="539"/>
      <c r="AB468" s="522">
        <v>3</v>
      </c>
      <c r="AC468" s="522"/>
      <c r="AD468" s="522"/>
      <c r="AE468" s="522"/>
      <c r="AF468" s="522"/>
      <c r="AG468" s="537">
        <v>4</v>
      </c>
      <c r="AH468" s="538"/>
      <c r="AI468" s="538"/>
      <c r="AJ468" s="538"/>
      <c r="AK468" s="538"/>
      <c r="AL468" s="538"/>
      <c r="AM468" s="538"/>
      <c r="AN468" s="538"/>
      <c r="AO468" s="539"/>
      <c r="AP468" s="537">
        <v>5</v>
      </c>
      <c r="AQ468" s="538"/>
      <c r="AR468" s="538"/>
      <c r="AS468" s="538"/>
      <c r="AT468" s="538"/>
      <c r="AU468" s="538"/>
      <c r="AV468" s="538"/>
      <c r="AW468" s="538"/>
      <c r="AX468" s="538"/>
      <c r="AY468" s="538"/>
      <c r="AZ468" s="538"/>
      <c r="BA468" s="538"/>
      <c r="BB468" s="539"/>
      <c r="BC468" s="522">
        <v>6</v>
      </c>
      <c r="BD468" s="522"/>
      <c r="BE468" s="522"/>
      <c r="BF468" s="522"/>
    </row>
    <row r="469" spans="1:58" ht="18.75" customHeight="1">
      <c r="A469" s="370"/>
      <c r="B469" s="563"/>
      <c r="C469" s="564"/>
      <c r="D469" s="558" t="s">
        <v>816</v>
      </c>
      <c r="E469" s="559"/>
      <c r="F469" s="559"/>
      <c r="G469" s="560"/>
      <c r="H469" s="557" t="s">
        <v>149</v>
      </c>
      <c r="I469" s="557"/>
      <c r="J469" s="557"/>
      <c r="K469" s="557"/>
      <c r="L469" s="557"/>
      <c r="M469" s="557"/>
      <c r="N469" s="557"/>
      <c r="O469" s="558" t="s">
        <v>1185</v>
      </c>
      <c r="P469" s="559"/>
      <c r="Q469" s="559"/>
      <c r="R469" s="559"/>
      <c r="S469" s="559"/>
      <c r="T469" s="559"/>
      <c r="U469" s="559"/>
      <c r="V469" s="559"/>
      <c r="W469" s="559"/>
      <c r="X469" s="559"/>
      <c r="Y469" s="559"/>
      <c r="Z469" s="559"/>
      <c r="AA469" s="560"/>
      <c r="AB469" s="557" t="s">
        <v>1186</v>
      </c>
      <c r="AC469" s="557"/>
      <c r="AD469" s="557"/>
      <c r="AE469" s="557"/>
      <c r="AF469" s="557"/>
      <c r="AG469" s="558" t="s">
        <v>1187</v>
      </c>
      <c r="AH469" s="559"/>
      <c r="AI469" s="559"/>
      <c r="AJ469" s="559"/>
      <c r="AK469" s="559"/>
      <c r="AL469" s="559"/>
      <c r="AM469" s="559"/>
      <c r="AN469" s="559"/>
      <c r="AO469" s="560"/>
      <c r="AP469" s="558" t="s">
        <v>821</v>
      </c>
      <c r="AQ469" s="559"/>
      <c r="AR469" s="559"/>
      <c r="AS469" s="559"/>
      <c r="AT469" s="559"/>
      <c r="AU469" s="559"/>
      <c r="AV469" s="559"/>
      <c r="AW469" s="559"/>
      <c r="AX469" s="559"/>
      <c r="AY469" s="559"/>
      <c r="AZ469" s="559"/>
      <c r="BA469" s="559"/>
      <c r="BB469" s="560"/>
      <c r="BC469" s="557" t="s">
        <v>1188</v>
      </c>
      <c r="BD469" s="557"/>
      <c r="BE469" s="557"/>
      <c r="BF469" s="557"/>
    </row>
    <row r="470" spans="1:58" ht="18.75" customHeight="1">
      <c r="A470" s="370"/>
      <c r="B470" s="565"/>
      <c r="C470" s="566"/>
      <c r="D470" s="572" t="s">
        <v>823</v>
      </c>
      <c r="E470" s="573"/>
      <c r="F470" s="573"/>
      <c r="G470" s="574"/>
      <c r="H470" s="556" t="s">
        <v>824</v>
      </c>
      <c r="I470" s="556"/>
      <c r="J470" s="556"/>
      <c r="K470" s="556"/>
      <c r="L470" s="556"/>
      <c r="M470" s="556"/>
      <c r="N470" s="556"/>
      <c r="O470" s="567" t="s">
        <v>1189</v>
      </c>
      <c r="P470" s="568"/>
      <c r="Q470" s="568"/>
      <c r="R470" s="568"/>
      <c r="S470" s="568"/>
      <c r="T470" s="568"/>
      <c r="U470" s="568"/>
      <c r="V470" s="568"/>
      <c r="W470" s="568"/>
      <c r="X470" s="568"/>
      <c r="Y470" s="568"/>
      <c r="Z470" s="568"/>
      <c r="AA470" s="569"/>
      <c r="AB470" s="556"/>
      <c r="AC470" s="556"/>
      <c r="AD470" s="556"/>
      <c r="AE470" s="556"/>
      <c r="AF470" s="556"/>
      <c r="AG470" s="567" t="s">
        <v>826</v>
      </c>
      <c r="AH470" s="568"/>
      <c r="AI470" s="568"/>
      <c r="AJ470" s="568"/>
      <c r="AK470" s="568"/>
      <c r="AL470" s="568"/>
      <c r="AM470" s="568"/>
      <c r="AN470" s="568"/>
      <c r="AO470" s="569"/>
      <c r="AP470" s="567" t="s">
        <v>827</v>
      </c>
      <c r="AQ470" s="568"/>
      <c r="AR470" s="568"/>
      <c r="AS470" s="568"/>
      <c r="AT470" s="568"/>
      <c r="AU470" s="568"/>
      <c r="AV470" s="568"/>
      <c r="AW470" s="568"/>
      <c r="AX470" s="568"/>
      <c r="AY470" s="568"/>
      <c r="AZ470" s="568"/>
      <c r="BA470" s="568"/>
      <c r="BB470" s="569"/>
      <c r="BC470" s="556"/>
      <c r="BD470" s="556"/>
      <c r="BE470" s="556"/>
      <c r="BF470" s="556"/>
    </row>
    <row r="471" spans="1:58" ht="18.75" customHeight="1">
      <c r="A471" s="370"/>
      <c r="B471" s="522" t="s">
        <v>1190</v>
      </c>
      <c r="C471" s="522"/>
      <c r="D471" s="523" t="s">
        <v>1191</v>
      </c>
      <c r="E471" s="524"/>
      <c r="F471" s="524"/>
      <c r="G471" s="525"/>
      <c r="H471" s="646" t="e">
        <f ca="1">Calcu!E215</f>
        <v>#N/A</v>
      </c>
      <c r="I471" s="647"/>
      <c r="J471" s="647"/>
      <c r="K471" s="647"/>
      <c r="L471" s="647"/>
      <c r="M471" s="528" t="str">
        <f>Calcu!F215</f>
        <v>˚</v>
      </c>
      <c r="N471" s="529"/>
      <c r="O471" s="648" t="e">
        <f ca="1">Calcu!L215</f>
        <v>#N/A</v>
      </c>
      <c r="P471" s="649"/>
      <c r="Q471" s="649"/>
      <c r="R471" s="649"/>
      <c r="S471" s="649"/>
      <c r="T471" s="649"/>
      <c r="U471" s="649"/>
      <c r="V471" s="535" t="str">
        <f>Calcu!M215</f>
        <v>˚</v>
      </c>
      <c r="W471" s="535"/>
      <c r="X471" s="535"/>
      <c r="Y471" s="535"/>
      <c r="Z471" s="535"/>
      <c r="AA471" s="536"/>
      <c r="AB471" s="522" t="str">
        <f>Calcu!N215</f>
        <v>정규</v>
      </c>
      <c r="AC471" s="522"/>
      <c r="AD471" s="522"/>
      <c r="AE471" s="522"/>
      <c r="AF471" s="522"/>
      <c r="AG471" s="537">
        <f>Calcu!O215</f>
        <v>1</v>
      </c>
      <c r="AH471" s="538"/>
      <c r="AI471" s="538"/>
      <c r="AJ471" s="538"/>
      <c r="AK471" s="538"/>
      <c r="AL471" s="538"/>
      <c r="AM471" s="538"/>
      <c r="AN471" s="538"/>
      <c r="AO471" s="539"/>
      <c r="AP471" s="648" t="e">
        <f ca="1">Calcu!P215</f>
        <v>#N/A</v>
      </c>
      <c r="AQ471" s="649"/>
      <c r="AR471" s="649"/>
      <c r="AS471" s="649"/>
      <c r="AT471" s="649"/>
      <c r="AU471" s="649">
        <v>0</v>
      </c>
      <c r="AV471" s="649"/>
      <c r="AW471" s="535" t="str">
        <f>Calcu!Q215</f>
        <v>˚</v>
      </c>
      <c r="AX471" s="535"/>
      <c r="AY471" s="535"/>
      <c r="AZ471" s="535"/>
      <c r="BA471" s="535"/>
      <c r="BB471" s="536"/>
      <c r="BC471" s="522" t="str">
        <f>Calcu!R215</f>
        <v>∞</v>
      </c>
      <c r="BD471" s="522"/>
      <c r="BE471" s="522"/>
      <c r="BF471" s="522"/>
    </row>
    <row r="472" spans="1:58" ht="18.75" customHeight="1">
      <c r="A472" s="370"/>
      <c r="B472" s="522" t="s">
        <v>829</v>
      </c>
      <c r="C472" s="522"/>
      <c r="D472" s="523" t="s">
        <v>948</v>
      </c>
      <c r="E472" s="524"/>
      <c r="F472" s="524"/>
      <c r="G472" s="525"/>
      <c r="H472" s="646" t="e">
        <f ca="1">Calcu!E216</f>
        <v>#N/A</v>
      </c>
      <c r="I472" s="647"/>
      <c r="J472" s="647"/>
      <c r="K472" s="647"/>
      <c r="L472" s="647"/>
      <c r="M472" s="528" t="str">
        <f>Calcu!F216</f>
        <v>˚</v>
      </c>
      <c r="N472" s="529"/>
      <c r="O472" s="648">
        <f>Calcu!L216</f>
        <v>0</v>
      </c>
      <c r="P472" s="649"/>
      <c r="Q472" s="649"/>
      <c r="R472" s="649"/>
      <c r="S472" s="649"/>
      <c r="T472" s="649"/>
      <c r="U472" s="649"/>
      <c r="V472" s="535" t="str">
        <f>Calcu!M216</f>
        <v>˚</v>
      </c>
      <c r="W472" s="535"/>
      <c r="X472" s="535"/>
      <c r="Y472" s="535"/>
      <c r="Z472" s="535"/>
      <c r="AA472" s="536"/>
      <c r="AB472" s="522" t="str">
        <f>Calcu!N216</f>
        <v>t</v>
      </c>
      <c r="AC472" s="522"/>
      <c r="AD472" s="522"/>
      <c r="AE472" s="522"/>
      <c r="AF472" s="522"/>
      <c r="AG472" s="537">
        <f>Calcu!O216</f>
        <v>-1</v>
      </c>
      <c r="AH472" s="538"/>
      <c r="AI472" s="538"/>
      <c r="AJ472" s="538"/>
      <c r="AK472" s="538"/>
      <c r="AL472" s="538"/>
      <c r="AM472" s="538"/>
      <c r="AN472" s="538"/>
      <c r="AO472" s="539"/>
      <c r="AP472" s="648">
        <f>Calcu!P216</f>
        <v>0</v>
      </c>
      <c r="AQ472" s="649"/>
      <c r="AR472" s="649"/>
      <c r="AS472" s="649"/>
      <c r="AT472" s="649"/>
      <c r="AU472" s="649">
        <v>0</v>
      </c>
      <c r="AV472" s="649"/>
      <c r="AW472" s="535" t="str">
        <f>Calcu!Q216</f>
        <v>˚</v>
      </c>
      <c r="AX472" s="535"/>
      <c r="AY472" s="535"/>
      <c r="AZ472" s="535"/>
      <c r="BA472" s="535"/>
      <c r="BB472" s="536"/>
      <c r="BC472" s="522">
        <f>Calcu!R216</f>
        <v>4</v>
      </c>
      <c r="BD472" s="522"/>
      <c r="BE472" s="522"/>
      <c r="BF472" s="522"/>
    </row>
    <row r="473" spans="1:58" ht="18.75" customHeight="1">
      <c r="A473" s="370"/>
      <c r="B473" s="522" t="s">
        <v>921</v>
      </c>
      <c r="C473" s="522"/>
      <c r="D473" s="523" t="s">
        <v>1192</v>
      </c>
      <c r="E473" s="524"/>
      <c r="F473" s="524"/>
      <c r="G473" s="525"/>
      <c r="H473" s="646">
        <f>Calcu!E217</f>
        <v>0</v>
      </c>
      <c r="I473" s="647"/>
      <c r="J473" s="647"/>
      <c r="K473" s="647"/>
      <c r="L473" s="647"/>
      <c r="M473" s="528" t="str">
        <f>Calcu!F217</f>
        <v>˚</v>
      </c>
      <c r="N473" s="529"/>
      <c r="O473" s="648">
        <f>Calcu!L217</f>
        <v>0</v>
      </c>
      <c r="P473" s="649"/>
      <c r="Q473" s="649"/>
      <c r="R473" s="649"/>
      <c r="S473" s="649"/>
      <c r="T473" s="649"/>
      <c r="U473" s="649"/>
      <c r="V473" s="535" t="str">
        <f>Calcu!M217</f>
        <v>˚</v>
      </c>
      <c r="W473" s="535"/>
      <c r="X473" s="535"/>
      <c r="Y473" s="535"/>
      <c r="Z473" s="535"/>
      <c r="AA473" s="536"/>
      <c r="AB473" s="522" t="str">
        <f>Calcu!N217</f>
        <v>직사각형</v>
      </c>
      <c r="AC473" s="522"/>
      <c r="AD473" s="522"/>
      <c r="AE473" s="522"/>
      <c r="AF473" s="522"/>
      <c r="AG473" s="537">
        <f>Calcu!O217</f>
        <v>1</v>
      </c>
      <c r="AH473" s="538"/>
      <c r="AI473" s="538"/>
      <c r="AJ473" s="538"/>
      <c r="AK473" s="538"/>
      <c r="AL473" s="538"/>
      <c r="AM473" s="538"/>
      <c r="AN473" s="538"/>
      <c r="AO473" s="539"/>
      <c r="AP473" s="648">
        <f>Calcu!P217</f>
        <v>0</v>
      </c>
      <c r="AQ473" s="649"/>
      <c r="AR473" s="649"/>
      <c r="AS473" s="649"/>
      <c r="AT473" s="649"/>
      <c r="AU473" s="649">
        <v>0</v>
      </c>
      <c r="AV473" s="649"/>
      <c r="AW473" s="535" t="str">
        <f>Calcu!Q217</f>
        <v>˚</v>
      </c>
      <c r="AX473" s="535"/>
      <c r="AY473" s="535"/>
      <c r="AZ473" s="535"/>
      <c r="BA473" s="535"/>
      <c r="BB473" s="536"/>
      <c r="BC473" s="522" t="str">
        <f>Calcu!R217</f>
        <v>∞</v>
      </c>
      <c r="BD473" s="522"/>
      <c r="BE473" s="522"/>
      <c r="BF473" s="522"/>
    </row>
    <row r="474" spans="1:58" ht="18.75" customHeight="1">
      <c r="A474" s="370"/>
      <c r="B474" s="522" t="s">
        <v>1193</v>
      </c>
      <c r="C474" s="522"/>
      <c r="D474" s="523" t="s">
        <v>812</v>
      </c>
      <c r="E474" s="524"/>
      <c r="F474" s="524"/>
      <c r="G474" s="525"/>
      <c r="H474" s="646">
        <f>Calcu!E218</f>
        <v>0</v>
      </c>
      <c r="I474" s="647"/>
      <c r="J474" s="647"/>
      <c r="K474" s="647"/>
      <c r="L474" s="647"/>
      <c r="M474" s="528" t="str">
        <f>Calcu!F218</f>
        <v>˚</v>
      </c>
      <c r="N474" s="529"/>
      <c r="O474" s="648" t="e">
        <f ca="1">Calcu!L218</f>
        <v>#N/A</v>
      </c>
      <c r="P474" s="649"/>
      <c r="Q474" s="649"/>
      <c r="R474" s="649"/>
      <c r="S474" s="649"/>
      <c r="T474" s="649"/>
      <c r="U474" s="649"/>
      <c r="V474" s="535" t="str">
        <f>Calcu!M218</f>
        <v>˚</v>
      </c>
      <c r="W474" s="535"/>
      <c r="X474" s="535"/>
      <c r="Y474" s="535"/>
      <c r="Z474" s="535"/>
      <c r="AA474" s="536"/>
      <c r="AB474" s="522" t="str">
        <f>Calcu!N218</f>
        <v>직사각형</v>
      </c>
      <c r="AC474" s="522"/>
      <c r="AD474" s="522"/>
      <c r="AE474" s="522"/>
      <c r="AF474" s="522"/>
      <c r="AG474" s="537">
        <f>Calcu!O218</f>
        <v>1</v>
      </c>
      <c r="AH474" s="538"/>
      <c r="AI474" s="538"/>
      <c r="AJ474" s="538"/>
      <c r="AK474" s="538"/>
      <c r="AL474" s="538"/>
      <c r="AM474" s="538"/>
      <c r="AN474" s="538"/>
      <c r="AO474" s="539"/>
      <c r="AP474" s="648" t="e">
        <f ca="1">Calcu!P218</f>
        <v>#N/A</v>
      </c>
      <c r="AQ474" s="649"/>
      <c r="AR474" s="649"/>
      <c r="AS474" s="649"/>
      <c r="AT474" s="649"/>
      <c r="AU474" s="649">
        <v>0</v>
      </c>
      <c r="AV474" s="649"/>
      <c r="AW474" s="535" t="str">
        <f>Calcu!Q218</f>
        <v>˚</v>
      </c>
      <c r="AX474" s="535"/>
      <c r="AY474" s="535"/>
      <c r="AZ474" s="535"/>
      <c r="BA474" s="535"/>
      <c r="BB474" s="536"/>
      <c r="BC474" s="522">
        <f>Calcu!R218</f>
        <v>12</v>
      </c>
      <c r="BD474" s="522"/>
      <c r="BE474" s="522"/>
      <c r="BF474" s="522"/>
    </row>
    <row r="475" spans="1:58" ht="18.75" customHeight="1">
      <c r="A475" s="370"/>
      <c r="B475" s="522" t="s">
        <v>923</v>
      </c>
      <c r="C475" s="522"/>
      <c r="D475" s="523" t="s">
        <v>952</v>
      </c>
      <c r="E475" s="524"/>
      <c r="F475" s="524"/>
      <c r="G475" s="525"/>
      <c r="H475" s="646">
        <f>Calcu!E219</f>
        <v>0</v>
      </c>
      <c r="I475" s="647"/>
      <c r="J475" s="647"/>
      <c r="K475" s="647"/>
      <c r="L475" s="647"/>
      <c r="M475" s="528" t="str">
        <f>Calcu!F219</f>
        <v>˚</v>
      </c>
      <c r="N475" s="529"/>
      <c r="O475" s="648" t="e">
        <f ca="1">Calcu!L219</f>
        <v>#N/A</v>
      </c>
      <c r="P475" s="649"/>
      <c r="Q475" s="649"/>
      <c r="R475" s="649"/>
      <c r="S475" s="649"/>
      <c r="T475" s="649"/>
      <c r="U475" s="649"/>
      <c r="V475" s="535" t="str">
        <f>Calcu!M219</f>
        <v>˚</v>
      </c>
      <c r="W475" s="535"/>
      <c r="X475" s="535"/>
      <c r="Y475" s="535"/>
      <c r="Z475" s="535"/>
      <c r="AA475" s="536"/>
      <c r="AB475" s="522" t="str">
        <f>Calcu!N219</f>
        <v>직사각형</v>
      </c>
      <c r="AC475" s="522"/>
      <c r="AD475" s="522"/>
      <c r="AE475" s="522"/>
      <c r="AF475" s="522"/>
      <c r="AG475" s="537">
        <f>Calcu!O219</f>
        <v>1</v>
      </c>
      <c r="AH475" s="538"/>
      <c r="AI475" s="538"/>
      <c r="AJ475" s="538"/>
      <c r="AK475" s="538"/>
      <c r="AL475" s="538"/>
      <c r="AM475" s="538"/>
      <c r="AN475" s="538"/>
      <c r="AO475" s="539"/>
      <c r="AP475" s="648" t="e">
        <f ca="1">Calcu!P219</f>
        <v>#N/A</v>
      </c>
      <c r="AQ475" s="649"/>
      <c r="AR475" s="649"/>
      <c r="AS475" s="649"/>
      <c r="AT475" s="649"/>
      <c r="AU475" s="649">
        <v>0</v>
      </c>
      <c r="AV475" s="649"/>
      <c r="AW475" s="535" t="str">
        <f>Calcu!Q219</f>
        <v>˚</v>
      </c>
      <c r="AX475" s="535"/>
      <c r="AY475" s="535"/>
      <c r="AZ475" s="535"/>
      <c r="BA475" s="535"/>
      <c r="BB475" s="536"/>
      <c r="BC475" s="522">
        <f>Calcu!R219</f>
        <v>12</v>
      </c>
      <c r="BD475" s="522"/>
      <c r="BE475" s="522"/>
      <c r="BF475" s="522"/>
    </row>
    <row r="476" spans="1:58" ht="18.75" customHeight="1">
      <c r="A476" s="370"/>
      <c r="B476" s="522" t="s">
        <v>924</v>
      </c>
      <c r="C476" s="522"/>
      <c r="D476" s="523" t="s">
        <v>945</v>
      </c>
      <c r="E476" s="524"/>
      <c r="F476" s="524"/>
      <c r="G476" s="525"/>
      <c r="H476" s="646" t="e">
        <f ca="1">Calcu!E220</f>
        <v>#N/A</v>
      </c>
      <c r="I476" s="647"/>
      <c r="J476" s="647"/>
      <c r="K476" s="647"/>
      <c r="L476" s="647"/>
      <c r="M476" s="528" t="str">
        <f>Calcu!F220</f>
        <v>˚</v>
      </c>
      <c r="N476" s="529"/>
      <c r="O476" s="537"/>
      <c r="P476" s="538"/>
      <c r="Q476" s="538"/>
      <c r="R476" s="538"/>
      <c r="S476" s="538"/>
      <c r="T476" s="538"/>
      <c r="U476" s="538"/>
      <c r="V476" s="538"/>
      <c r="W476" s="538"/>
      <c r="X476" s="538"/>
      <c r="Y476" s="538"/>
      <c r="Z476" s="538"/>
      <c r="AA476" s="539"/>
      <c r="AB476" s="522"/>
      <c r="AC476" s="522"/>
      <c r="AD476" s="522"/>
      <c r="AE476" s="522"/>
      <c r="AF476" s="522"/>
      <c r="AG476" s="537"/>
      <c r="AH476" s="538"/>
      <c r="AI476" s="538"/>
      <c r="AJ476" s="538"/>
      <c r="AK476" s="538"/>
      <c r="AL476" s="538"/>
      <c r="AM476" s="538"/>
      <c r="AN476" s="538"/>
      <c r="AO476" s="539"/>
      <c r="AP476" s="648" t="e">
        <f ca="1">Calcu!P220</f>
        <v>#N/A</v>
      </c>
      <c r="AQ476" s="649"/>
      <c r="AR476" s="649"/>
      <c r="AS476" s="649"/>
      <c r="AT476" s="649"/>
      <c r="AU476" s="649">
        <v>0</v>
      </c>
      <c r="AV476" s="649"/>
      <c r="AW476" s="535" t="str">
        <f>Calcu!Q220</f>
        <v>˚</v>
      </c>
      <c r="AX476" s="535"/>
      <c r="AY476" s="535"/>
      <c r="AZ476" s="535"/>
      <c r="BA476" s="535"/>
      <c r="BB476" s="536"/>
      <c r="BC476" s="522" t="e">
        <f ca="1">Calcu!R220</f>
        <v>#N/A</v>
      </c>
      <c r="BD476" s="522"/>
      <c r="BE476" s="522"/>
      <c r="BF476" s="522"/>
    </row>
    <row r="477" spans="1:58" ht="18.75" customHeight="1">
      <c r="A477" s="370"/>
      <c r="B477" s="370"/>
      <c r="C477" s="370"/>
      <c r="D477" s="370"/>
      <c r="E477" s="370"/>
      <c r="F477" s="370"/>
      <c r="G477" s="370"/>
      <c r="H477" s="370"/>
      <c r="I477" s="370"/>
      <c r="J477" s="370"/>
      <c r="K477" s="370"/>
      <c r="L477" s="370"/>
      <c r="M477" s="370"/>
      <c r="N477" s="370"/>
      <c r="O477" s="370"/>
      <c r="P477" s="370"/>
      <c r="Q477" s="370"/>
      <c r="R477" s="370"/>
      <c r="S477" s="370"/>
      <c r="T477" s="370"/>
      <c r="U477" s="370"/>
      <c r="V477" s="370"/>
      <c r="W477" s="370"/>
      <c r="X477" s="370"/>
      <c r="Y477" s="370"/>
      <c r="Z477" s="370"/>
      <c r="AA477" s="370"/>
      <c r="AB477" s="370"/>
      <c r="AC477" s="370"/>
      <c r="AD477" s="370"/>
      <c r="AE477" s="370"/>
      <c r="AF477" s="370"/>
      <c r="AG477" s="223"/>
      <c r="AH477" s="370"/>
      <c r="AI477" s="370"/>
      <c r="AJ477" s="370"/>
      <c r="AK477" s="370"/>
      <c r="AL477" s="370"/>
      <c r="AM477" s="370"/>
      <c r="AN477" s="370"/>
      <c r="AO477" s="370"/>
      <c r="AP477" s="370"/>
      <c r="AQ477" s="370"/>
      <c r="AR477" s="370"/>
      <c r="AS477" s="370"/>
      <c r="AT477" s="370"/>
    </row>
    <row r="478" spans="1:58" ht="18.75" customHeight="1">
      <c r="A478" s="57" t="s">
        <v>933</v>
      </c>
      <c r="B478" s="370"/>
      <c r="C478" s="370"/>
      <c r="D478" s="370"/>
      <c r="E478" s="370"/>
      <c r="F478" s="370"/>
      <c r="G478" s="370"/>
      <c r="H478" s="370"/>
      <c r="I478" s="370"/>
      <c r="J478" s="370"/>
      <c r="K478" s="370"/>
      <c r="L478" s="370"/>
      <c r="M478" s="370"/>
      <c r="N478" s="370"/>
      <c r="O478" s="370"/>
      <c r="P478" s="370"/>
      <c r="Q478" s="370"/>
      <c r="R478" s="370"/>
      <c r="S478" s="370"/>
      <c r="T478" s="370"/>
      <c r="U478" s="370"/>
      <c r="V478" s="370"/>
      <c r="W478" s="370"/>
      <c r="X478" s="370"/>
      <c r="Y478" s="370"/>
      <c r="Z478" s="370"/>
      <c r="AA478" s="370"/>
      <c r="AB478" s="370"/>
      <c r="AC478" s="370"/>
      <c r="AD478" s="370"/>
      <c r="AE478" s="370"/>
      <c r="AF478" s="370"/>
      <c r="AG478" s="370"/>
      <c r="AH478" s="370"/>
      <c r="AI478" s="370"/>
      <c r="AJ478" s="370"/>
      <c r="AK478" s="370"/>
      <c r="AL478" s="370"/>
      <c r="AM478" s="370"/>
      <c r="AN478" s="370"/>
      <c r="AO478" s="370"/>
      <c r="AP478" s="370"/>
      <c r="AQ478" s="370"/>
      <c r="AR478" s="370"/>
      <c r="AS478" s="370"/>
      <c r="AT478" s="370"/>
    </row>
    <row r="479" spans="1:58" ht="18.75" customHeight="1">
      <c r="A479" s="370"/>
      <c r="B479" s="200" t="str">
        <f>"1. "&amp;H438&amp;"에 의한 표준불확도,"</f>
        <v>1. 직각자에 의한 표준불확도,</v>
      </c>
      <c r="C479" s="370"/>
      <c r="D479" s="370"/>
      <c r="E479" s="370"/>
      <c r="F479" s="370"/>
      <c r="G479" s="370"/>
      <c r="H479" s="370"/>
      <c r="I479" s="370"/>
      <c r="J479" s="370"/>
      <c r="K479" s="370"/>
      <c r="L479" s="370"/>
      <c r="O479" s="201" t="s">
        <v>954</v>
      </c>
      <c r="P479" s="370"/>
      <c r="Q479" s="370"/>
      <c r="R479" s="370"/>
      <c r="S479" s="370"/>
      <c r="T479" s="370"/>
      <c r="U479" s="370"/>
      <c r="V479" s="370"/>
      <c r="W479" s="370"/>
      <c r="X479" s="370"/>
      <c r="Y479" s="370"/>
      <c r="Z479" s="370"/>
      <c r="AA479" s="370"/>
      <c r="AB479" s="370"/>
      <c r="AC479" s="370"/>
      <c r="AD479" s="370"/>
      <c r="AE479" s="370"/>
      <c r="AF479" s="370"/>
      <c r="AG479" s="370"/>
      <c r="AH479" s="370"/>
      <c r="AI479" s="370"/>
      <c r="AJ479" s="370"/>
      <c r="AK479" s="370"/>
      <c r="AL479" s="370"/>
      <c r="AM479" s="370"/>
      <c r="AN479" s="370"/>
      <c r="AO479" s="370"/>
      <c r="AP479" s="370"/>
      <c r="AQ479" s="370"/>
      <c r="AR479" s="370"/>
      <c r="AS479" s="370"/>
      <c r="AT479" s="370"/>
    </row>
    <row r="480" spans="1:58" ht="18.75" customHeight="1">
      <c r="A480" s="370"/>
      <c r="B480" s="370"/>
      <c r="C480" s="370" t="s">
        <v>840</v>
      </c>
      <c r="D480" s="370"/>
      <c r="E480" s="370"/>
      <c r="F480" s="370"/>
      <c r="G480" s="370"/>
      <c r="H480" s="629" t="e">
        <f ca="1">H471</f>
        <v>#N/A</v>
      </c>
      <c r="I480" s="629"/>
      <c r="J480" s="629"/>
      <c r="K480" s="629"/>
      <c r="L480" s="629"/>
      <c r="M480" s="576" t="str">
        <f>M471</f>
        <v>˚</v>
      </c>
      <c r="N480" s="576"/>
      <c r="P480" s="350"/>
      <c r="Q480" s="370"/>
      <c r="R480" s="370"/>
      <c r="S480" s="370"/>
      <c r="T480" s="370"/>
      <c r="U480" s="370"/>
      <c r="V480" s="370"/>
      <c r="W480" s="370"/>
      <c r="X480" s="370"/>
      <c r="Y480" s="370"/>
      <c r="Z480" s="370"/>
      <c r="AA480" s="370"/>
      <c r="AB480" s="370"/>
      <c r="AC480" s="370"/>
      <c r="AD480" s="370"/>
      <c r="AE480" s="370"/>
      <c r="AF480" s="370"/>
      <c r="AG480" s="370"/>
      <c r="AH480" s="370"/>
      <c r="AI480" s="370"/>
      <c r="AJ480" s="370"/>
      <c r="AK480" s="370"/>
      <c r="AL480" s="370"/>
      <c r="AM480" s="370"/>
      <c r="AN480" s="370"/>
      <c r="AO480" s="370"/>
      <c r="AP480" s="370"/>
      <c r="AQ480" s="370"/>
      <c r="AR480" s="370"/>
      <c r="AS480" s="370"/>
      <c r="AT480" s="370"/>
    </row>
    <row r="481" spans="1:60" s="382" customFormat="1" ht="18.75" customHeight="1">
      <c r="B481" s="57"/>
      <c r="C481" s="361" t="s">
        <v>841</v>
      </c>
      <c r="D481" s="361"/>
      <c r="E481" s="361"/>
      <c r="F481" s="361"/>
      <c r="G481" s="361"/>
      <c r="H481" s="361"/>
      <c r="I481" s="361"/>
      <c r="J481" s="361" t="str">
        <f>"※ "&amp;H438&amp;"의 측정불확도가"</f>
        <v>※ 직각자의 측정불확도가</v>
      </c>
      <c r="K481" s="361"/>
      <c r="L481" s="361"/>
      <c r="M481" s="361"/>
      <c r="N481" s="361"/>
      <c r="O481" s="361"/>
      <c r="P481" s="361"/>
      <c r="Q481" s="361"/>
      <c r="R481" s="361"/>
      <c r="S481" s="361"/>
      <c r="T481" s="361" t="e">
        <f ca="1">AE482*1000</f>
        <v>#N/A</v>
      </c>
      <c r="U481" s="361" t="s">
        <v>955</v>
      </c>
      <c r="V481" s="361"/>
      <c r="X481" s="361"/>
      <c r="Y481" s="358"/>
      <c r="Z481" s="358"/>
      <c r="AB481" s="357"/>
      <c r="AC481" s="357"/>
      <c r="AD481" s="357"/>
      <c r="AE481" s="361"/>
      <c r="AF481" s="361"/>
      <c r="AI481" s="361" t="e">
        <f ca="1">"실제 사용한 높이가 "&amp;AL482&amp;" mm 일 때"</f>
        <v>#N/A</v>
      </c>
      <c r="AJ481" s="361"/>
      <c r="AK481" s="361"/>
      <c r="AL481" s="361"/>
      <c r="AM481" s="361"/>
      <c r="AN481" s="361"/>
      <c r="AO481" s="361"/>
      <c r="AP481" s="361"/>
      <c r="AQ481" s="361"/>
      <c r="AR481" s="361"/>
      <c r="AS481" s="361"/>
      <c r="AT481" s="361"/>
      <c r="AU481" s="361"/>
      <c r="AV481" s="361"/>
      <c r="AW481" s="361"/>
      <c r="AX481" s="361"/>
      <c r="AY481" s="361"/>
      <c r="BB481" s="361"/>
      <c r="BC481" s="361"/>
      <c r="BD481" s="361"/>
      <c r="BE481" s="361"/>
      <c r="BF481" s="361"/>
      <c r="BG481" s="361"/>
    </row>
    <row r="482" spans="1:60" s="382" customFormat="1" ht="18.75" customHeight="1">
      <c r="B482" s="57"/>
      <c r="C482" s="361"/>
      <c r="D482" s="361"/>
      <c r="E482" s="361"/>
      <c r="F482" s="361"/>
      <c r="G482" s="361"/>
      <c r="H482" s="361"/>
      <c r="I482" s="361"/>
      <c r="J482" s="361"/>
      <c r="K482" s="361" t="s">
        <v>956</v>
      </c>
      <c r="L482" s="361"/>
      <c r="M482" s="361"/>
      <c r="N482" s="361"/>
      <c r="O482" s="361"/>
      <c r="P482" s="361"/>
      <c r="Q482" s="361"/>
      <c r="R482" s="361"/>
      <c r="S482" s="361"/>
      <c r="T482" s="361"/>
      <c r="U482" s="361"/>
      <c r="V482" s="361"/>
      <c r="X482" s="361"/>
      <c r="Y482" s="358"/>
      <c r="Z482" s="346"/>
      <c r="AA482" s="346"/>
      <c r="AB482" s="346"/>
      <c r="AC482" s="379" t="s">
        <v>957</v>
      </c>
      <c r="AD482" s="341" t="s">
        <v>958</v>
      </c>
      <c r="AE482" s="650" t="e">
        <f ca="1">Calcu!G215</f>
        <v>#N/A</v>
      </c>
      <c r="AF482" s="650"/>
      <c r="AG482" s="650"/>
      <c r="AH482" s="346" t="s">
        <v>1143</v>
      </c>
      <c r="AI482" s="341"/>
      <c r="AJ482" s="341" t="s">
        <v>959</v>
      </c>
      <c r="AK482" s="341" t="s">
        <v>901</v>
      </c>
      <c r="AL482" s="518" t="e">
        <f ca="1">Calcu!H215</f>
        <v>#N/A</v>
      </c>
      <c r="AM482" s="518"/>
      <c r="AN482" s="346" t="s">
        <v>804</v>
      </c>
      <c r="AO482" s="341"/>
      <c r="AP482" s="341" t="s">
        <v>960</v>
      </c>
      <c r="AQ482" s="341" t="s">
        <v>845</v>
      </c>
      <c r="AR482" s="518" t="e">
        <f ca="1">DEGREES(ATAN(AE482/AL482))</f>
        <v>#N/A</v>
      </c>
      <c r="AS482" s="518"/>
      <c r="AT482" s="518"/>
      <c r="AU482" s="346" t="s">
        <v>1194</v>
      </c>
      <c r="AW482" s="380"/>
      <c r="AX482" s="361"/>
      <c r="AY482" s="361"/>
      <c r="BB482" s="361"/>
      <c r="BC482" s="361"/>
      <c r="BD482" s="361"/>
      <c r="BE482" s="361"/>
      <c r="BF482" s="361"/>
      <c r="BG482" s="361"/>
    </row>
    <row r="483" spans="1:60" s="382" customFormat="1" ht="18.75" customHeight="1">
      <c r="B483" s="57"/>
      <c r="C483" s="361"/>
      <c r="D483" s="361"/>
      <c r="E483" s="361"/>
      <c r="F483" s="361"/>
      <c r="G483" s="361"/>
      <c r="H483" s="361"/>
      <c r="I483" s="361"/>
      <c r="J483" s="361"/>
      <c r="K483" s="579" t="s">
        <v>961</v>
      </c>
      <c r="L483" s="579"/>
      <c r="M483" s="579"/>
      <c r="N483" s="577" t="s">
        <v>845</v>
      </c>
      <c r="O483" s="651" t="e">
        <f ca="1">AR482</f>
        <v>#N/A</v>
      </c>
      <c r="P483" s="651"/>
      <c r="Q483" s="651"/>
      <c r="R483" s="381" t="s">
        <v>962</v>
      </c>
      <c r="S483" s="582" t="s">
        <v>845</v>
      </c>
      <c r="T483" s="652" t="e">
        <f ca="1">O483/O484</f>
        <v>#N/A</v>
      </c>
      <c r="U483" s="652"/>
      <c r="V483" s="652"/>
      <c r="W483" s="653" t="s">
        <v>962</v>
      </c>
      <c r="X483" s="360"/>
      <c r="Y483" s="360"/>
      <c r="Z483" s="360"/>
      <c r="AA483" s="360"/>
      <c r="AB483" s="361"/>
      <c r="AE483" s="361"/>
      <c r="AF483" s="361"/>
      <c r="AG483" s="227"/>
      <c r="AH483" s="361"/>
      <c r="AI483" s="361"/>
      <c r="AJ483" s="226"/>
      <c r="AK483" s="228"/>
      <c r="AL483" s="228"/>
      <c r="AM483" s="228"/>
      <c r="AN483" s="228"/>
      <c r="AQ483" s="361"/>
      <c r="AR483" s="361"/>
      <c r="AU483" s="361"/>
      <c r="AV483" s="361"/>
      <c r="AW483" s="361"/>
      <c r="AX483" s="361"/>
      <c r="AY483" s="361"/>
      <c r="AZ483" s="361"/>
    </row>
    <row r="484" spans="1:60" s="382" customFormat="1" ht="18.75" customHeight="1">
      <c r="B484" s="57"/>
      <c r="C484" s="361"/>
      <c r="D484" s="361"/>
      <c r="E484" s="361"/>
      <c r="F484" s="361"/>
      <c r="G484" s="361"/>
      <c r="H484" s="361"/>
      <c r="I484" s="361"/>
      <c r="J484" s="361"/>
      <c r="K484" s="579"/>
      <c r="L484" s="579"/>
      <c r="M484" s="579"/>
      <c r="N484" s="577"/>
      <c r="O484" s="585" t="e">
        <f ca="1">Calcu!K215</f>
        <v>#N/A</v>
      </c>
      <c r="P484" s="585"/>
      <c r="Q484" s="585"/>
      <c r="R484" s="585"/>
      <c r="S484" s="582"/>
      <c r="T484" s="652"/>
      <c r="U484" s="652"/>
      <c r="V484" s="652"/>
      <c r="W484" s="653"/>
      <c r="X484" s="360"/>
      <c r="Y484" s="360"/>
      <c r="Z484" s="360"/>
      <c r="AA484" s="360"/>
      <c r="AB484" s="361"/>
      <c r="AE484" s="361"/>
      <c r="AF484" s="361"/>
      <c r="AG484" s="227"/>
      <c r="AH484" s="361"/>
      <c r="AI484" s="361"/>
      <c r="AJ484" s="226"/>
      <c r="AK484" s="228"/>
      <c r="AL484" s="228"/>
      <c r="AM484" s="228"/>
      <c r="AN484" s="228"/>
      <c r="AQ484" s="361"/>
      <c r="AR484" s="361"/>
      <c r="AU484" s="361"/>
      <c r="AV484" s="361"/>
      <c r="AW484" s="361"/>
      <c r="AX484" s="361"/>
      <c r="AY484" s="361"/>
      <c r="AZ484" s="361"/>
    </row>
    <row r="485" spans="1:60" s="382" customFormat="1" ht="18.75" customHeight="1">
      <c r="B485" s="57"/>
      <c r="C485" s="361" t="s">
        <v>1195</v>
      </c>
      <c r="D485" s="361"/>
      <c r="E485" s="361"/>
      <c r="F485" s="361"/>
      <c r="G485" s="361"/>
      <c r="H485" s="361"/>
      <c r="I485" s="543" t="str">
        <f>AB471</f>
        <v>정규</v>
      </c>
      <c r="J485" s="543"/>
      <c r="K485" s="543"/>
      <c r="L485" s="543"/>
      <c r="M485" s="543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61"/>
      <c r="Z485" s="361"/>
      <c r="AA485" s="361"/>
      <c r="AB485" s="361"/>
      <c r="AC485" s="361"/>
      <c r="AD485" s="361"/>
      <c r="AE485" s="361"/>
      <c r="AF485" s="361"/>
      <c r="AG485" s="361"/>
      <c r="AH485" s="361"/>
      <c r="AI485" s="361"/>
      <c r="AJ485" s="361"/>
      <c r="AK485" s="361"/>
      <c r="AL485" s="361"/>
      <c r="AM485" s="361"/>
      <c r="AN485" s="361"/>
      <c r="AO485" s="361"/>
      <c r="AP485" s="361"/>
      <c r="AQ485" s="361"/>
      <c r="AR485" s="361"/>
      <c r="AS485" s="361"/>
      <c r="AT485" s="361"/>
      <c r="AU485" s="361"/>
      <c r="AV485" s="361"/>
      <c r="BD485" s="361"/>
      <c r="BE485" s="361"/>
      <c r="BF485" s="361"/>
      <c r="BG485" s="361"/>
    </row>
    <row r="486" spans="1:60" s="382" customFormat="1" ht="18.75" customHeight="1">
      <c r="B486" s="57"/>
      <c r="C486" s="543" t="s">
        <v>849</v>
      </c>
      <c r="D486" s="543"/>
      <c r="E486" s="543"/>
      <c r="F486" s="543"/>
      <c r="G486" s="543"/>
      <c r="H486" s="543"/>
      <c r="I486" s="346"/>
      <c r="J486" s="346"/>
      <c r="K486" s="370"/>
      <c r="L486" s="370"/>
      <c r="M486" s="56"/>
      <c r="N486" s="544">
        <f>AG471</f>
        <v>1</v>
      </c>
      <c r="O486" s="544"/>
      <c r="P486" s="361"/>
      <c r="Q486" s="361"/>
      <c r="R486" s="361"/>
      <c r="S486" s="361"/>
      <c r="T486" s="361"/>
      <c r="U486" s="361"/>
      <c r="V486" s="361"/>
      <c r="W486" s="361"/>
      <c r="X486" s="361"/>
      <c r="Y486" s="361"/>
      <c r="Z486" s="361"/>
      <c r="AA486" s="361"/>
      <c r="AB486" s="361"/>
      <c r="AC486" s="361"/>
      <c r="AD486" s="361"/>
      <c r="AE486" s="361"/>
      <c r="AF486" s="361"/>
      <c r="AG486" s="361"/>
      <c r="AH486" s="361"/>
      <c r="AI486" s="361"/>
      <c r="AJ486" s="361"/>
      <c r="AK486" s="361"/>
      <c r="AL486" s="361"/>
      <c r="AM486" s="361"/>
      <c r="AN486" s="361"/>
      <c r="AO486" s="361"/>
      <c r="AP486" s="361"/>
      <c r="AQ486" s="361"/>
      <c r="AR486" s="361"/>
      <c r="AS486" s="361"/>
      <c r="AT486" s="361"/>
      <c r="AU486" s="361"/>
      <c r="AV486" s="361"/>
    </row>
    <row r="487" spans="1:60" s="382" customFormat="1" ht="18.75" customHeight="1">
      <c r="B487" s="57"/>
      <c r="C487" s="543"/>
      <c r="D487" s="543"/>
      <c r="E487" s="543"/>
      <c r="F487" s="543"/>
      <c r="G487" s="543"/>
      <c r="H487" s="543"/>
      <c r="I487" s="353"/>
      <c r="J487" s="353"/>
      <c r="K487" s="370"/>
      <c r="L487" s="370"/>
      <c r="M487" s="56"/>
      <c r="N487" s="544"/>
      <c r="O487" s="544"/>
      <c r="P487" s="361"/>
      <c r="Q487" s="361"/>
      <c r="R487" s="361"/>
      <c r="S487" s="361"/>
      <c r="T487" s="361"/>
      <c r="U487" s="361"/>
      <c r="V487" s="361"/>
      <c r="W487" s="361"/>
      <c r="X487" s="361"/>
      <c r="Y487" s="361"/>
      <c r="Z487" s="361"/>
      <c r="AA487" s="361"/>
      <c r="AB487" s="361"/>
      <c r="AC487" s="361"/>
      <c r="AD487" s="361"/>
      <c r="AE487" s="361"/>
      <c r="AF487" s="361"/>
      <c r="AG487" s="361"/>
      <c r="AH487" s="361"/>
      <c r="AI487" s="361"/>
      <c r="AJ487" s="361"/>
      <c r="AK487" s="361"/>
      <c r="AL487" s="361"/>
      <c r="AM487" s="361"/>
      <c r="AN487" s="361"/>
      <c r="AO487" s="361"/>
      <c r="AP487" s="361"/>
      <c r="AQ487" s="361"/>
      <c r="AR487" s="361"/>
      <c r="AS487" s="361"/>
      <c r="AT487" s="361"/>
      <c r="AU487" s="361"/>
      <c r="AV487" s="361"/>
      <c r="BD487" s="361"/>
      <c r="BE487" s="361"/>
      <c r="BF487" s="361"/>
      <c r="BG487" s="361"/>
      <c r="BH487" s="361"/>
    </row>
    <row r="488" spans="1:60" s="370" customFormat="1" ht="18.75" customHeight="1">
      <c r="C488" s="370" t="s">
        <v>1196</v>
      </c>
      <c r="K488" s="345" t="s">
        <v>850</v>
      </c>
      <c r="L488" s="517">
        <f>N486</f>
        <v>1</v>
      </c>
      <c r="M488" s="517"/>
      <c r="N488" s="346" t="s">
        <v>1018</v>
      </c>
      <c r="O488" s="610" t="e">
        <f ca="1">AP471</f>
        <v>#N/A</v>
      </c>
      <c r="P488" s="610"/>
      <c r="Q488" s="610"/>
      <c r="R488" s="371" t="s">
        <v>1197</v>
      </c>
      <c r="S488" s="341" t="s">
        <v>1198</v>
      </c>
      <c r="T488" s="341" t="s">
        <v>845</v>
      </c>
      <c r="U488" s="610" t="e">
        <f ca="1">O488</f>
        <v>#N/A</v>
      </c>
      <c r="V488" s="610"/>
      <c r="W488" s="610"/>
      <c r="X488" s="371" t="s">
        <v>962</v>
      </c>
      <c r="Y488" s="350"/>
      <c r="Z488" s="345"/>
      <c r="AA488" s="345"/>
      <c r="AB488" s="345"/>
      <c r="AF488" s="346"/>
      <c r="AG488" s="346"/>
    </row>
    <row r="489" spans="1:60" ht="18.75" customHeight="1">
      <c r="A489" s="370"/>
      <c r="B489" s="370"/>
      <c r="C489" s="346" t="s">
        <v>1164</v>
      </c>
      <c r="D489" s="346"/>
      <c r="E489" s="346"/>
      <c r="F489" s="346"/>
      <c r="G489" s="346"/>
      <c r="I489" s="107" t="s">
        <v>1199</v>
      </c>
      <c r="J489" s="370"/>
      <c r="K489" s="370"/>
      <c r="L489" s="370"/>
      <c r="M489" s="370"/>
      <c r="N489" s="370"/>
      <c r="O489" s="370"/>
      <c r="P489" s="370"/>
      <c r="Q489" s="370"/>
      <c r="R489" s="370"/>
      <c r="S489" s="169"/>
      <c r="T489" s="169"/>
      <c r="U489" s="370"/>
      <c r="V489" s="370"/>
      <c r="W489" s="370"/>
      <c r="X489" s="370"/>
      <c r="Y489" s="370"/>
      <c r="Z489" s="370"/>
      <c r="AA489" s="370"/>
      <c r="AB489" s="370"/>
      <c r="AC489" s="370"/>
      <c r="AD489" s="370"/>
      <c r="AG489" s="370"/>
      <c r="AH489" s="370"/>
      <c r="AI489" s="370"/>
      <c r="AJ489" s="370"/>
      <c r="AK489" s="370"/>
      <c r="AL489" s="370"/>
      <c r="AM489" s="370"/>
      <c r="AN489" s="370"/>
      <c r="AO489" s="370"/>
      <c r="AP489" s="370"/>
      <c r="AQ489" s="370"/>
      <c r="AR489" s="370"/>
      <c r="AS489" s="370"/>
      <c r="AT489" s="370"/>
    </row>
    <row r="490" spans="1:60" s="370" customFormat="1" ht="18.75" customHeight="1"/>
    <row r="491" spans="1:60" ht="18.75" customHeight="1">
      <c r="A491" s="370"/>
      <c r="B491" s="60" t="s">
        <v>1200</v>
      </c>
      <c r="C491" s="370"/>
      <c r="D491" s="370"/>
      <c r="E491" s="370"/>
      <c r="F491" s="370"/>
      <c r="G491" s="370"/>
      <c r="H491" s="370"/>
      <c r="I491" s="370"/>
      <c r="J491" s="370"/>
      <c r="K491" s="370"/>
      <c r="L491" s="370"/>
      <c r="M491" s="370"/>
      <c r="N491" s="370"/>
      <c r="O491" s="370"/>
      <c r="P491" s="370"/>
      <c r="Q491" s="370"/>
      <c r="S491" s="201" t="s">
        <v>1201</v>
      </c>
      <c r="T491" s="370"/>
      <c r="U491" s="370"/>
      <c r="V491" s="370"/>
      <c r="W491" s="370"/>
      <c r="X491" s="370"/>
      <c r="Y491" s="370"/>
      <c r="Z491" s="370"/>
      <c r="AA491" s="370"/>
      <c r="AB491" s="370"/>
      <c r="AC491" s="370"/>
      <c r="AD491" s="370"/>
      <c r="AE491" s="370"/>
      <c r="AF491" s="370"/>
      <c r="AG491" s="370"/>
      <c r="AH491" s="370"/>
      <c r="AI491" s="370"/>
      <c r="AJ491" s="370"/>
      <c r="AK491" s="370"/>
      <c r="AL491" s="370"/>
      <c r="AM491" s="370"/>
      <c r="AN491" s="370"/>
      <c r="AO491" s="370"/>
      <c r="AP491" s="370"/>
      <c r="AQ491" s="370"/>
      <c r="AR491" s="370"/>
      <c r="AS491" s="370"/>
      <c r="AT491" s="370"/>
    </row>
    <row r="492" spans="1:60" ht="18.75" customHeight="1">
      <c r="A492" s="370"/>
      <c r="C492" s="370" t="s">
        <v>855</v>
      </c>
      <c r="D492" s="370"/>
      <c r="E492" s="370"/>
      <c r="F492" s="370"/>
      <c r="G492" s="370"/>
      <c r="H492" s="370"/>
      <c r="I492" s="370"/>
      <c r="J492" s="370"/>
      <c r="K492" s="370"/>
      <c r="L492" s="370"/>
      <c r="M492" s="370"/>
      <c r="N492" s="370"/>
      <c r="O492" s="370"/>
      <c r="P492" s="370"/>
      <c r="Q492" s="370"/>
      <c r="R492" s="370"/>
      <c r="S492" s="370"/>
      <c r="T492" s="370"/>
      <c r="U492" s="370"/>
      <c r="V492" s="370"/>
      <c r="W492" s="370"/>
      <c r="X492" s="370"/>
      <c r="Y492" s="370"/>
      <c r="Z492" s="370"/>
      <c r="AA492" s="370"/>
      <c r="AB492" s="370"/>
      <c r="AC492" s="370"/>
      <c r="AD492" s="370"/>
      <c r="AE492" s="370"/>
      <c r="AF492" s="370"/>
      <c r="AG492" s="370"/>
      <c r="AH492" s="370"/>
      <c r="AI492" s="370"/>
      <c r="AJ492" s="370"/>
      <c r="AK492" s="370"/>
      <c r="AL492" s="370"/>
      <c r="AM492" s="370"/>
      <c r="AN492" s="370"/>
      <c r="AO492" s="370"/>
      <c r="AP492" s="370"/>
      <c r="AQ492" s="370"/>
      <c r="AR492" s="370"/>
      <c r="AS492" s="370"/>
      <c r="AT492" s="370"/>
    </row>
    <row r="493" spans="1:60" ht="18.75" customHeight="1">
      <c r="A493" s="370"/>
      <c r="C493" s="60"/>
      <c r="D493" s="370" t="s">
        <v>1022</v>
      </c>
      <c r="E493" s="370"/>
      <c r="F493" s="370"/>
      <c r="G493" s="370"/>
      <c r="H493" s="370"/>
      <c r="I493" s="370"/>
      <c r="J493" s="370"/>
      <c r="K493" s="370"/>
      <c r="L493" s="370"/>
      <c r="M493" s="370"/>
      <c r="N493" s="370"/>
      <c r="O493" s="370"/>
      <c r="P493" s="370"/>
      <c r="Q493" s="370"/>
      <c r="R493" s="370"/>
      <c r="S493" s="370"/>
      <c r="T493" s="370"/>
      <c r="U493" s="370"/>
      <c r="V493" s="370"/>
      <c r="W493" s="370"/>
      <c r="X493" s="370"/>
      <c r="Y493" s="370"/>
      <c r="Z493" s="370"/>
      <c r="AA493" s="370"/>
      <c r="AB493" s="370"/>
      <c r="AC493" s="370"/>
      <c r="AD493" s="370"/>
      <c r="AE493" s="370"/>
      <c r="AF493" s="370"/>
      <c r="AG493" s="370"/>
      <c r="AH493" s="370"/>
      <c r="AI493" s="370"/>
      <c r="AJ493" s="370"/>
      <c r="AK493" s="370"/>
      <c r="AL493" s="370"/>
      <c r="AM493" s="370"/>
      <c r="AN493" s="370"/>
      <c r="AO493" s="370"/>
      <c r="AP493" s="370"/>
      <c r="AQ493" s="370"/>
      <c r="AR493" s="370"/>
      <c r="AS493" s="370"/>
      <c r="AT493" s="370"/>
    </row>
    <row r="494" spans="1:60" ht="18.75" customHeight="1">
      <c r="B494" s="370"/>
      <c r="C494" s="370" t="s">
        <v>1202</v>
      </c>
      <c r="D494" s="370"/>
      <c r="E494" s="370"/>
      <c r="F494" s="370"/>
      <c r="G494" s="370"/>
      <c r="H494" s="629" t="e">
        <f ca="1">H472</f>
        <v>#N/A</v>
      </c>
      <c r="I494" s="629"/>
      <c r="J494" s="629"/>
      <c r="K494" s="629"/>
      <c r="L494" s="629"/>
      <c r="M494" s="576" t="str">
        <f>M472</f>
        <v>˚</v>
      </c>
      <c r="N494" s="576"/>
      <c r="O494" s="361"/>
      <c r="P494" s="361"/>
      <c r="Q494" s="361"/>
      <c r="R494" s="361"/>
      <c r="S494" s="370"/>
      <c r="T494" s="370"/>
      <c r="U494" s="370"/>
      <c r="V494" s="370"/>
      <c r="W494" s="370"/>
      <c r="X494" s="370"/>
      <c r="Y494" s="370"/>
      <c r="Z494" s="370"/>
      <c r="AA494" s="370"/>
      <c r="AB494" s="370"/>
      <c r="AC494" s="370"/>
      <c r="AD494" s="370"/>
      <c r="AE494" s="370"/>
      <c r="AF494" s="370"/>
      <c r="AG494" s="370"/>
      <c r="AH494" s="370"/>
      <c r="AI494" s="370"/>
      <c r="AJ494" s="370"/>
      <c r="AK494" s="370"/>
      <c r="AL494" s="370"/>
      <c r="AM494" s="370"/>
      <c r="AN494" s="370"/>
      <c r="AO494" s="370"/>
      <c r="AP494" s="370"/>
      <c r="AQ494" s="370"/>
      <c r="AR494" s="370"/>
      <c r="AS494" s="370"/>
      <c r="AT494" s="370"/>
      <c r="AU494" s="370"/>
    </row>
    <row r="495" spans="1:60" ht="18.75" customHeight="1">
      <c r="B495" s="370"/>
      <c r="C495" s="370" t="s">
        <v>858</v>
      </c>
      <c r="D495" s="370"/>
      <c r="E495" s="370"/>
      <c r="F495" s="370"/>
      <c r="G495" s="370"/>
      <c r="H495" s="370"/>
      <c r="I495" s="370"/>
      <c r="J495" s="61" t="s">
        <v>935</v>
      </c>
      <c r="K495" s="370"/>
      <c r="L495" s="370"/>
      <c r="M495" s="370"/>
      <c r="N495" s="370"/>
      <c r="O495" s="370"/>
      <c r="P495" s="370"/>
      <c r="Q495" s="629">
        <f>MAX(AK444:AO448)</f>
        <v>0</v>
      </c>
      <c r="R495" s="576"/>
      <c r="S495" s="576"/>
      <c r="T495" s="362" t="s">
        <v>962</v>
      </c>
      <c r="U495" s="362"/>
      <c r="V495" s="370"/>
      <c r="W495" s="370"/>
      <c r="X495" s="370"/>
      <c r="Y495" s="370"/>
      <c r="Z495" s="370"/>
      <c r="AA495" s="370"/>
      <c r="AB495" s="370"/>
      <c r="AC495" s="370"/>
      <c r="AD495" s="370"/>
      <c r="AE495" s="370"/>
      <c r="AF495" s="370"/>
      <c r="AG495" s="370"/>
      <c r="AH495" s="370"/>
      <c r="AI495" s="370"/>
      <c r="AJ495" s="370"/>
      <c r="AK495" s="370"/>
      <c r="AL495" s="370"/>
      <c r="AM495" s="370"/>
      <c r="AN495" s="370"/>
      <c r="AO495" s="370"/>
      <c r="AP495" s="370"/>
      <c r="AQ495" s="370"/>
      <c r="AR495" s="370"/>
      <c r="AS495" s="370"/>
      <c r="AT495" s="370"/>
      <c r="AU495" s="370"/>
    </row>
    <row r="496" spans="1:60" ht="18.75" customHeight="1">
      <c r="B496" s="370"/>
      <c r="C496" s="370"/>
      <c r="D496" s="370"/>
      <c r="E496" s="370"/>
      <c r="F496" s="370"/>
      <c r="G496" s="370"/>
      <c r="H496" s="370"/>
      <c r="I496" s="370"/>
      <c r="J496" s="370"/>
      <c r="K496" s="545" t="s">
        <v>1203</v>
      </c>
      <c r="L496" s="545"/>
      <c r="M496" s="545"/>
      <c r="N496" s="545" t="s">
        <v>1019</v>
      </c>
      <c r="O496" s="573" t="s">
        <v>1204</v>
      </c>
      <c r="P496" s="573"/>
      <c r="Q496" s="545" t="s">
        <v>845</v>
      </c>
      <c r="R496" s="632">
        <f>Q495</f>
        <v>0</v>
      </c>
      <c r="S496" s="632"/>
      <c r="T496" s="632"/>
      <c r="U496" s="364" t="str">
        <f>T495</f>
        <v>˚</v>
      </c>
      <c r="V496" s="545" t="s">
        <v>1019</v>
      </c>
      <c r="W496" s="629">
        <f>R496/SQRT(5)</f>
        <v>0</v>
      </c>
      <c r="X496" s="629"/>
      <c r="Y496" s="629"/>
      <c r="Z496" s="653" t="s">
        <v>1197</v>
      </c>
      <c r="AA496" s="360"/>
      <c r="AB496" s="351"/>
      <c r="AC496" s="351"/>
      <c r="AD496" s="351"/>
      <c r="AE496" s="370"/>
      <c r="AF496" s="370"/>
      <c r="AG496" s="370"/>
      <c r="AH496" s="370"/>
      <c r="AI496" s="370"/>
      <c r="AJ496" s="370"/>
      <c r="AK496" s="370"/>
      <c r="AL496" s="370"/>
      <c r="AM496" s="370"/>
      <c r="AN496" s="370"/>
      <c r="AO496" s="370"/>
      <c r="AP496" s="370"/>
      <c r="AQ496" s="370"/>
      <c r="AR496" s="370"/>
      <c r="AS496" s="370"/>
      <c r="AT496" s="370"/>
      <c r="AU496" s="370"/>
      <c r="AV496" s="370"/>
    </row>
    <row r="497" spans="2:60" ht="18.75" customHeight="1">
      <c r="B497" s="370"/>
      <c r="C497" s="370"/>
      <c r="D497" s="370"/>
      <c r="E497" s="370"/>
      <c r="F497" s="370"/>
      <c r="G497" s="370"/>
      <c r="H497" s="370"/>
      <c r="I497" s="370"/>
      <c r="J497" s="370"/>
      <c r="K497" s="545"/>
      <c r="L497" s="545"/>
      <c r="M497" s="545"/>
      <c r="N497" s="545"/>
      <c r="O497" s="591"/>
      <c r="P497" s="591"/>
      <c r="Q497" s="545"/>
      <c r="R497" s="559"/>
      <c r="S497" s="559"/>
      <c r="T497" s="559"/>
      <c r="U497" s="559"/>
      <c r="V497" s="545"/>
      <c r="W497" s="629"/>
      <c r="X497" s="629"/>
      <c r="Y497" s="629"/>
      <c r="Z497" s="653"/>
      <c r="AA497" s="360"/>
      <c r="AB497" s="351"/>
      <c r="AC497" s="351"/>
      <c r="AD497" s="351"/>
      <c r="AE497" s="370"/>
      <c r="AF497" s="370"/>
      <c r="AG497" s="370"/>
      <c r="AH497" s="370"/>
      <c r="AI497" s="370"/>
      <c r="AJ497" s="370"/>
      <c r="AK497" s="370"/>
      <c r="AL497" s="370"/>
      <c r="AM497" s="370"/>
      <c r="AN497" s="370"/>
      <c r="AO497" s="370"/>
      <c r="AP497" s="370"/>
      <c r="AQ497" s="370"/>
      <c r="AR497" s="370"/>
      <c r="AS497" s="370"/>
      <c r="AT497" s="370"/>
      <c r="AU497" s="370"/>
      <c r="AV497" s="370"/>
    </row>
    <row r="498" spans="2:60" ht="18.75" customHeight="1">
      <c r="B498" s="370"/>
      <c r="C498" s="370" t="s">
        <v>1205</v>
      </c>
      <c r="D498" s="370"/>
      <c r="E498" s="370"/>
      <c r="F498" s="370"/>
      <c r="G498" s="370"/>
      <c r="H498" s="370"/>
      <c r="I498" s="544" t="str">
        <f>AB472</f>
        <v>t</v>
      </c>
      <c r="J498" s="544"/>
      <c r="K498" s="544"/>
      <c r="L498" s="544"/>
      <c r="M498" s="544"/>
      <c r="N498" s="544"/>
      <c r="O498" s="544"/>
      <c r="P498" s="544"/>
      <c r="Q498" s="370"/>
      <c r="R498" s="370"/>
      <c r="S498" s="370"/>
      <c r="T498" s="370"/>
      <c r="U498" s="370"/>
      <c r="V498" s="370"/>
      <c r="W498" s="370"/>
      <c r="X498" s="370"/>
      <c r="Y498" s="370"/>
      <c r="Z498" s="370"/>
      <c r="AA498" s="370"/>
      <c r="AB498" s="370"/>
      <c r="AC498" s="370"/>
      <c r="AD498" s="370"/>
      <c r="AE498" s="370"/>
      <c r="AF498" s="370"/>
      <c r="AG498" s="370"/>
      <c r="AH498" s="370"/>
      <c r="AI498" s="370"/>
      <c r="AJ498" s="370"/>
      <c r="AK498" s="370"/>
      <c r="AL498" s="370"/>
      <c r="AM498" s="370"/>
      <c r="AN498" s="370"/>
      <c r="AO498" s="370"/>
      <c r="AP498" s="370"/>
      <c r="AQ498" s="370"/>
      <c r="AR498" s="370"/>
      <c r="AS498" s="370"/>
      <c r="AT498" s="370"/>
      <c r="AU498" s="370"/>
    </row>
    <row r="499" spans="2:60" ht="18.75" customHeight="1">
      <c r="B499" s="370"/>
      <c r="C499" s="518" t="s">
        <v>1206</v>
      </c>
      <c r="D499" s="518"/>
      <c r="E499" s="518"/>
      <c r="F499" s="518"/>
      <c r="G499" s="518"/>
      <c r="H499" s="518"/>
      <c r="I499" s="346"/>
      <c r="J499" s="346"/>
      <c r="K499" s="370"/>
      <c r="L499" s="370"/>
      <c r="N499" s="650">
        <f>AG472</f>
        <v>-1</v>
      </c>
      <c r="O499" s="650"/>
      <c r="R499" s="370"/>
      <c r="S499" s="370"/>
      <c r="T499" s="370"/>
      <c r="U499" s="370"/>
      <c r="V499" s="370"/>
      <c r="W499" s="370"/>
      <c r="X499" s="370"/>
      <c r="Y499" s="370"/>
      <c r="Z499" s="370"/>
      <c r="AA499" s="370"/>
      <c r="AB499" s="370"/>
      <c r="AC499" s="370"/>
      <c r="AD499" s="370"/>
      <c r="AE499" s="370"/>
      <c r="AF499" s="370"/>
      <c r="AG499" s="370"/>
      <c r="AH499" s="370"/>
      <c r="AI499" s="370"/>
      <c r="AJ499" s="370"/>
      <c r="AK499" s="370"/>
      <c r="AL499" s="370"/>
      <c r="AM499" s="370"/>
      <c r="AN499" s="370"/>
      <c r="AO499" s="370"/>
      <c r="AP499" s="370"/>
      <c r="AQ499" s="370"/>
      <c r="AR499" s="370"/>
      <c r="AS499" s="370"/>
      <c r="AT499" s="370"/>
      <c r="AU499" s="370"/>
    </row>
    <row r="500" spans="2:60" ht="18.75" customHeight="1">
      <c r="B500" s="370"/>
      <c r="C500" s="518"/>
      <c r="D500" s="518"/>
      <c r="E500" s="518"/>
      <c r="F500" s="518"/>
      <c r="G500" s="518"/>
      <c r="H500" s="518"/>
      <c r="I500" s="353"/>
      <c r="J500" s="353"/>
      <c r="K500" s="370"/>
      <c r="L500" s="370"/>
      <c r="N500" s="650"/>
      <c r="O500" s="650"/>
      <c r="R500" s="370"/>
      <c r="S500" s="370"/>
      <c r="T500" s="370"/>
      <c r="U500" s="370"/>
      <c r="V500" s="370"/>
      <c r="W500" s="370"/>
      <c r="X500" s="370"/>
      <c r="Y500" s="370"/>
      <c r="Z500" s="370"/>
      <c r="AA500" s="370"/>
      <c r="AB500" s="370"/>
      <c r="AC500" s="370"/>
      <c r="AD500" s="370"/>
      <c r="AE500" s="370"/>
      <c r="AF500" s="370"/>
      <c r="AG500" s="370"/>
      <c r="AH500" s="370"/>
      <c r="AI500" s="370"/>
      <c r="AJ500" s="370"/>
      <c r="AK500" s="370"/>
      <c r="AL500" s="370"/>
      <c r="AM500" s="370"/>
      <c r="AN500" s="370"/>
      <c r="AO500" s="370"/>
      <c r="AP500" s="370"/>
      <c r="AQ500" s="370"/>
      <c r="AR500" s="370"/>
      <c r="AS500" s="370"/>
      <c r="AT500" s="370"/>
      <c r="AU500" s="370"/>
    </row>
    <row r="501" spans="2:60" ht="18.75" customHeight="1">
      <c r="B501" s="370"/>
      <c r="C501" s="370" t="s">
        <v>1207</v>
      </c>
      <c r="D501" s="370"/>
      <c r="E501" s="370"/>
      <c r="F501" s="370"/>
      <c r="G501" s="370"/>
      <c r="H501" s="370"/>
      <c r="I501" s="370"/>
      <c r="J501" s="370"/>
      <c r="K501" s="345" t="s">
        <v>1074</v>
      </c>
      <c r="L501" s="517">
        <f>N499</f>
        <v>-1</v>
      </c>
      <c r="M501" s="517"/>
      <c r="N501" s="346" t="s">
        <v>851</v>
      </c>
      <c r="O501" s="629">
        <f>W496</f>
        <v>0</v>
      </c>
      <c r="P501" s="629"/>
      <c r="Q501" s="629"/>
      <c r="R501" s="371" t="s">
        <v>1197</v>
      </c>
      <c r="S501" s="341" t="s">
        <v>1074</v>
      </c>
      <c r="T501" s="341" t="s">
        <v>1019</v>
      </c>
      <c r="U501" s="610">
        <f>O501</f>
        <v>0</v>
      </c>
      <c r="V501" s="610"/>
      <c r="W501" s="610"/>
      <c r="X501" s="371" t="s">
        <v>1197</v>
      </c>
      <c r="Y501" s="350"/>
      <c r="Z501" s="345"/>
      <c r="AA501" s="345"/>
      <c r="AB501" s="345"/>
      <c r="AC501" s="370"/>
      <c r="AD501" s="370"/>
      <c r="AE501" s="370"/>
      <c r="AF501" s="346"/>
      <c r="AG501" s="346"/>
      <c r="AP501" s="370"/>
      <c r="AQ501" s="370"/>
      <c r="AR501" s="370"/>
      <c r="AS501" s="370"/>
      <c r="AT501" s="370"/>
      <c r="AU501" s="370"/>
      <c r="AV501" s="370"/>
    </row>
    <row r="502" spans="2:60" ht="18.75" customHeight="1">
      <c r="B502" s="370"/>
      <c r="C502" s="370" t="s">
        <v>1166</v>
      </c>
      <c r="D502" s="370"/>
      <c r="E502" s="370"/>
      <c r="F502" s="370"/>
      <c r="G502" s="370"/>
      <c r="H502" s="370"/>
      <c r="I502" s="107" t="s">
        <v>1208</v>
      </c>
      <c r="J502" s="107"/>
      <c r="K502" s="107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370"/>
      <c r="AB502" s="370"/>
      <c r="AC502" s="370"/>
      <c r="AD502" s="370"/>
      <c r="AE502" s="370"/>
      <c r="AF502" s="370"/>
    </row>
    <row r="503" spans="2:60" s="135" customFormat="1" ht="18.75" customHeight="1">
      <c r="B503" s="341"/>
      <c r="C503" s="346"/>
      <c r="D503" s="346"/>
      <c r="E503" s="346"/>
      <c r="F503" s="346"/>
      <c r="G503" s="341"/>
      <c r="H503" s="346"/>
      <c r="I503" s="346"/>
      <c r="J503" s="346"/>
      <c r="K503" s="346"/>
      <c r="L503" s="346"/>
      <c r="M503" s="346"/>
      <c r="N503" s="346"/>
      <c r="O503" s="346"/>
      <c r="P503" s="346"/>
      <c r="Q503" s="346"/>
      <c r="R503" s="346"/>
      <c r="S503" s="346"/>
      <c r="T503" s="346"/>
      <c r="U503" s="346"/>
      <c r="V503" s="346"/>
      <c r="W503" s="346"/>
      <c r="X503" s="341"/>
      <c r="Y503" s="341"/>
      <c r="Z503" s="341"/>
      <c r="AA503" s="341"/>
      <c r="AB503" s="341"/>
      <c r="AC503" s="341"/>
      <c r="AD503" s="341"/>
      <c r="AE503" s="341"/>
      <c r="AF503" s="341"/>
      <c r="AG503" s="341"/>
      <c r="AH503" s="341"/>
      <c r="AI503" s="341"/>
      <c r="AJ503" s="341"/>
      <c r="AK503" s="341"/>
      <c r="AL503" s="341"/>
      <c r="AM503" s="341"/>
      <c r="AN503" s="341"/>
      <c r="AO503" s="341"/>
      <c r="AP503" s="341"/>
      <c r="AQ503" s="341"/>
      <c r="AR503" s="341"/>
      <c r="AS503" s="341"/>
      <c r="AT503" s="341"/>
      <c r="AU503" s="341"/>
      <c r="AV503" s="341"/>
      <c r="AW503" s="341"/>
      <c r="AX503" s="341"/>
      <c r="AY503" s="341"/>
      <c r="AZ503" s="341"/>
      <c r="BA503" s="341"/>
      <c r="BB503" s="341"/>
      <c r="BC503" s="341"/>
      <c r="BD503" s="341"/>
      <c r="BE503" s="341"/>
      <c r="BF503" s="341"/>
      <c r="BG503" s="341"/>
    </row>
    <row r="504" spans="2:60" s="135" customFormat="1" ht="18.75" customHeight="1">
      <c r="B504" s="57" t="s">
        <v>1209</v>
      </c>
      <c r="D504" s="346"/>
      <c r="E504" s="346"/>
      <c r="F504" s="346"/>
      <c r="G504" s="341"/>
      <c r="H504" s="346"/>
      <c r="I504" s="346"/>
      <c r="J504" s="346"/>
      <c r="K504" s="346"/>
      <c r="L504" s="346"/>
      <c r="M504" s="346"/>
      <c r="N504" s="346"/>
      <c r="O504" s="346"/>
      <c r="P504" s="346"/>
      <c r="Q504" s="346"/>
      <c r="R504" s="346"/>
      <c r="S504" s="202" t="s">
        <v>1210</v>
      </c>
      <c r="V504" s="346"/>
      <c r="W504" s="346"/>
      <c r="X504" s="346"/>
      <c r="Y504" s="346"/>
      <c r="Z504" s="346"/>
      <c r="AA504" s="346"/>
      <c r="AB504" s="346"/>
      <c r="AC504" s="346"/>
      <c r="AD504" s="346"/>
      <c r="AE504" s="341"/>
      <c r="AF504" s="346"/>
      <c r="AG504" s="341"/>
      <c r="AH504" s="341"/>
      <c r="AI504" s="341"/>
      <c r="AJ504" s="341"/>
      <c r="AK504" s="341"/>
      <c r="AL504" s="341"/>
      <c r="AM504" s="341"/>
      <c r="AN504" s="341"/>
      <c r="AO504" s="341"/>
      <c r="AP504" s="341"/>
      <c r="AQ504" s="341"/>
      <c r="AR504" s="341"/>
      <c r="AS504" s="341"/>
      <c r="AT504" s="341"/>
      <c r="AU504" s="341"/>
      <c r="AV504" s="341"/>
      <c r="AW504" s="341"/>
      <c r="AX504" s="341"/>
      <c r="AY504" s="341"/>
      <c r="AZ504" s="341"/>
      <c r="BA504" s="341"/>
      <c r="BB504" s="341"/>
      <c r="BC504" s="341"/>
      <c r="BD504" s="341"/>
      <c r="BE504" s="341"/>
      <c r="BF504" s="341"/>
      <c r="BG504" s="341"/>
    </row>
    <row r="505" spans="2:60" s="135" customFormat="1" ht="18.75" customHeight="1">
      <c r="B505" s="57"/>
      <c r="C505" s="346" t="str">
        <f>"※ "&amp;B438&amp;" 회전 투영면의 각도 분할 분해능의 반범위에 직사각형 확률분포를 적용하여 계산한다."</f>
        <v>※ 측정투영기 회전 투영면의 각도 분할 분해능의 반범위에 직사각형 확률분포를 적용하여 계산한다.</v>
      </c>
      <c r="D505" s="346"/>
      <c r="E505" s="346"/>
      <c r="F505" s="346"/>
      <c r="G505" s="341"/>
      <c r="H505" s="346"/>
      <c r="I505" s="346"/>
      <c r="J505" s="346"/>
      <c r="K505" s="346"/>
      <c r="L505" s="346"/>
      <c r="M505" s="346"/>
      <c r="N505" s="346"/>
      <c r="O505" s="346"/>
      <c r="P505" s="346"/>
      <c r="Q505" s="346"/>
      <c r="R505" s="346"/>
      <c r="S505" s="346"/>
      <c r="T505" s="346"/>
      <c r="U505" s="202"/>
      <c r="V505" s="346"/>
      <c r="W505" s="346"/>
      <c r="X505" s="346"/>
      <c r="Y505" s="346"/>
      <c r="Z505" s="346"/>
      <c r="AA505" s="346"/>
      <c r="AB505" s="346"/>
      <c r="AC505" s="346"/>
      <c r="AD505" s="346"/>
      <c r="AE505" s="341"/>
      <c r="AF505" s="346"/>
      <c r="AG505" s="341"/>
      <c r="AH505" s="341"/>
      <c r="AI505" s="341"/>
      <c r="AJ505" s="341"/>
      <c r="AK505" s="341"/>
      <c r="AL505" s="341"/>
      <c r="AM505" s="341"/>
      <c r="AN505" s="341"/>
      <c r="AO505" s="341"/>
      <c r="AP505" s="341"/>
      <c r="AQ505" s="341"/>
      <c r="AR505" s="341"/>
      <c r="AS505" s="341"/>
      <c r="AT505" s="341"/>
      <c r="AU505" s="341"/>
      <c r="AV505" s="341"/>
      <c r="AW505" s="341"/>
      <c r="AX505" s="341"/>
      <c r="AY505" s="341"/>
      <c r="AZ505" s="341"/>
      <c r="BA505" s="341"/>
      <c r="BB505" s="341"/>
      <c r="BC505" s="341"/>
      <c r="BD505" s="341"/>
      <c r="BE505" s="341"/>
      <c r="BF505" s="341"/>
      <c r="BG505" s="341"/>
    </row>
    <row r="506" spans="2:60" s="135" customFormat="1" ht="18.75" customHeight="1">
      <c r="B506" s="341"/>
      <c r="C506" s="353" t="s">
        <v>1168</v>
      </c>
      <c r="D506" s="341"/>
      <c r="E506" s="341"/>
      <c r="F506" s="341"/>
      <c r="G506" s="341"/>
      <c r="H506" s="629">
        <f>H473</f>
        <v>0</v>
      </c>
      <c r="I506" s="629"/>
      <c r="J506" s="629"/>
      <c r="K506" s="629"/>
      <c r="L506" s="629"/>
      <c r="M506" s="576" t="str">
        <f>M473</f>
        <v>˚</v>
      </c>
      <c r="N506" s="576"/>
      <c r="O506" s="341"/>
      <c r="P506" s="341"/>
      <c r="Q506" s="341"/>
      <c r="R506" s="341"/>
      <c r="S506" s="346"/>
      <c r="T506" s="346"/>
      <c r="U506" s="346"/>
      <c r="V506" s="346"/>
      <c r="W506" s="346"/>
      <c r="AC506" s="346"/>
      <c r="AD506" s="346"/>
      <c r="AE506" s="346"/>
      <c r="AF506" s="346"/>
      <c r="AG506" s="346"/>
      <c r="AH506" s="346"/>
      <c r="AI506" s="341"/>
      <c r="AJ506" s="341"/>
      <c r="AK506" s="341"/>
      <c r="AL506" s="341"/>
      <c r="AM506" s="341"/>
      <c r="AN506" s="341"/>
      <c r="AO506" s="341"/>
      <c r="AP506" s="341"/>
      <c r="AQ506" s="341"/>
      <c r="AR506" s="341"/>
      <c r="AS506" s="346"/>
      <c r="AT506" s="346"/>
      <c r="AU506" s="346"/>
      <c r="AV506" s="346"/>
      <c r="AW506" s="346"/>
      <c r="AX506" s="346"/>
      <c r="AY506" s="341"/>
      <c r="AZ506" s="341"/>
      <c r="BA506" s="341"/>
      <c r="BB506" s="341"/>
      <c r="BC506" s="341"/>
      <c r="BD506" s="341"/>
      <c r="BE506" s="341"/>
      <c r="BF506" s="341"/>
      <c r="BG506" s="341"/>
    </row>
    <row r="507" spans="2:60" s="135" customFormat="1" ht="18.75" customHeight="1">
      <c r="B507" s="341"/>
      <c r="C507" s="346" t="s">
        <v>865</v>
      </c>
      <c r="D507" s="346"/>
      <c r="E507" s="346"/>
      <c r="F507" s="346"/>
      <c r="G507" s="346"/>
      <c r="H507" s="346"/>
      <c r="I507" s="341"/>
      <c r="J507" s="61" t="s">
        <v>1066</v>
      </c>
      <c r="K507" s="346"/>
      <c r="L507" s="346"/>
      <c r="M507" s="346"/>
      <c r="N507" s="346"/>
      <c r="O507" s="346"/>
      <c r="P507" s="576">
        <f>Calcu!G217</f>
        <v>0</v>
      </c>
      <c r="Q507" s="576"/>
      <c r="R507" s="350">
        <f>Calcu!H217</f>
        <v>0</v>
      </c>
      <c r="T507" s="350"/>
      <c r="U507" s="346"/>
      <c r="V507" s="341"/>
      <c r="W507" s="341"/>
      <c r="X507" s="379"/>
      <c r="AD507" s="346"/>
      <c r="AE507" s="346"/>
      <c r="AF507" s="341"/>
      <c r="AG507" s="341"/>
      <c r="AH507" s="341"/>
      <c r="AI507" s="341"/>
      <c r="AJ507" s="341"/>
      <c r="AK507" s="341"/>
      <c r="AL507" s="341"/>
      <c r="AM507" s="341"/>
      <c r="AN507" s="346"/>
      <c r="AO507" s="346"/>
      <c r="AP507" s="346"/>
      <c r="AQ507" s="346"/>
      <c r="AR507" s="346"/>
      <c r="AS507" s="346"/>
      <c r="AT507" s="346"/>
      <c r="AU507" s="346"/>
      <c r="AV507" s="346"/>
      <c r="AW507" s="346"/>
      <c r="AX507" s="346"/>
      <c r="AY507" s="341"/>
      <c r="AZ507" s="341"/>
      <c r="BA507" s="341"/>
      <c r="BB507" s="341"/>
      <c r="BC507" s="341"/>
      <c r="BD507" s="341"/>
      <c r="BE507" s="341"/>
      <c r="BF507" s="341"/>
      <c r="BG507" s="341"/>
    </row>
    <row r="508" spans="2:60" s="135" customFormat="1" ht="18.75" customHeight="1">
      <c r="B508" s="341"/>
      <c r="C508" s="346"/>
      <c r="D508" s="346"/>
      <c r="E508" s="346"/>
      <c r="F508" s="346"/>
      <c r="G508" s="346"/>
      <c r="H508" s="346"/>
      <c r="I508" s="346"/>
      <c r="K508" s="602" t="s">
        <v>1211</v>
      </c>
      <c r="L508" s="602"/>
      <c r="M508" s="602"/>
      <c r="N508" s="514" t="s">
        <v>1019</v>
      </c>
      <c r="O508" s="603" t="s">
        <v>1169</v>
      </c>
      <c r="P508" s="604"/>
      <c r="Q508" s="604"/>
      <c r="R508" s="604"/>
      <c r="S508" s="514" t="s">
        <v>1019</v>
      </c>
      <c r="T508" s="597">
        <f>P507</f>
        <v>0</v>
      </c>
      <c r="U508" s="597"/>
      <c r="V508" s="355">
        <f>R507</f>
        <v>0</v>
      </c>
      <c r="W508" s="355"/>
      <c r="X508" s="519" t="s">
        <v>845</v>
      </c>
      <c r="Y508" s="629">
        <f>T508/2/SQRT(3)/60</f>
        <v>0</v>
      </c>
      <c r="Z508" s="629"/>
      <c r="AA508" s="629"/>
      <c r="AB508" s="653" t="s">
        <v>962</v>
      </c>
      <c r="AC508" s="360"/>
      <c r="AD508" s="346"/>
      <c r="AE508" s="341"/>
      <c r="AF508" s="341"/>
      <c r="AG508" s="341"/>
      <c r="AH508" s="341"/>
      <c r="AI508" s="341"/>
      <c r="AJ508" s="341"/>
      <c r="AK508" s="341"/>
      <c r="AL508" s="341"/>
      <c r="AM508" s="341"/>
      <c r="AN508" s="341"/>
      <c r="AO508" s="341"/>
      <c r="AP508" s="341"/>
      <c r="AQ508" s="341"/>
      <c r="AR508" s="346"/>
      <c r="AS508" s="346"/>
      <c r="AT508" s="346"/>
      <c r="AU508" s="346"/>
      <c r="AV508" s="346"/>
      <c r="AW508" s="346"/>
      <c r="AX508" s="346"/>
      <c r="AY508" s="346"/>
      <c r="AZ508" s="341"/>
      <c r="BA508" s="341"/>
      <c r="BB508" s="341"/>
      <c r="BC508" s="341"/>
      <c r="BD508" s="341"/>
      <c r="BE508" s="341"/>
      <c r="BF508" s="341"/>
      <c r="BG508" s="341"/>
      <c r="BH508" s="341"/>
    </row>
    <row r="509" spans="2:60" s="135" customFormat="1" ht="18.75" customHeight="1">
      <c r="B509" s="341"/>
      <c r="C509" s="346"/>
      <c r="D509" s="346"/>
      <c r="E509" s="346"/>
      <c r="F509" s="346"/>
      <c r="G509" s="346"/>
      <c r="H509" s="346"/>
      <c r="I509" s="346"/>
      <c r="J509" s="203"/>
      <c r="K509" s="602"/>
      <c r="L509" s="602"/>
      <c r="M509" s="602"/>
      <c r="N509" s="514"/>
      <c r="O509" s="605"/>
      <c r="P509" s="605"/>
      <c r="Q509" s="605"/>
      <c r="R509" s="605"/>
      <c r="S509" s="514"/>
      <c r="T509" s="605"/>
      <c r="U509" s="605"/>
      <c r="V509" s="605"/>
      <c r="W509" s="605"/>
      <c r="X509" s="519"/>
      <c r="Y509" s="629"/>
      <c r="Z509" s="629"/>
      <c r="AA509" s="629"/>
      <c r="AB509" s="653"/>
      <c r="AC509" s="360"/>
      <c r="AD509" s="346"/>
      <c r="AE509" s="341"/>
      <c r="AF509" s="341"/>
      <c r="AG509" s="341"/>
      <c r="AH509" s="341"/>
      <c r="AI509" s="341"/>
      <c r="AJ509" s="341"/>
      <c r="AK509" s="341"/>
      <c r="AL509" s="341"/>
      <c r="AM509" s="341"/>
      <c r="AN509" s="341"/>
      <c r="AO509" s="341"/>
      <c r="AP509" s="341"/>
      <c r="AQ509" s="341"/>
      <c r="AR509" s="346"/>
      <c r="AS509" s="346"/>
      <c r="AT509" s="346"/>
      <c r="AU509" s="346"/>
      <c r="AV509" s="346"/>
      <c r="BH509" s="341"/>
    </row>
    <row r="510" spans="2:60" s="135" customFormat="1" ht="18.75" customHeight="1">
      <c r="B510" s="341"/>
      <c r="C510" s="346" t="s">
        <v>1035</v>
      </c>
      <c r="D510" s="346"/>
      <c r="E510" s="346"/>
      <c r="F510" s="346"/>
      <c r="G510" s="346"/>
      <c r="H510" s="346"/>
      <c r="I510" s="544" t="str">
        <f>AB473</f>
        <v>직사각형</v>
      </c>
      <c r="J510" s="544"/>
      <c r="K510" s="544"/>
      <c r="L510" s="544"/>
      <c r="M510" s="544"/>
      <c r="N510" s="544"/>
      <c r="O510" s="544"/>
      <c r="P510" s="544"/>
      <c r="Q510" s="346"/>
      <c r="R510" s="346"/>
      <c r="S510" s="346"/>
      <c r="T510" s="346"/>
      <c r="U510" s="346"/>
      <c r="V510" s="346"/>
      <c r="W510" s="346"/>
      <c r="X510" s="346"/>
      <c r="Y510" s="346"/>
      <c r="Z510" s="341"/>
      <c r="AA510" s="341"/>
      <c r="AB510" s="341"/>
      <c r="AC510" s="341"/>
      <c r="AD510" s="341"/>
      <c r="AE510" s="341"/>
      <c r="AF510" s="341"/>
      <c r="AG510" s="341"/>
      <c r="AH510" s="346"/>
      <c r="AI510" s="346"/>
      <c r="AJ510" s="346"/>
      <c r="AK510" s="346"/>
      <c r="AL510" s="346"/>
      <c r="AM510" s="346"/>
      <c r="AN510" s="346"/>
      <c r="AO510" s="346"/>
      <c r="AP510" s="346"/>
      <c r="AQ510" s="346"/>
      <c r="AR510" s="346"/>
      <c r="AS510" s="346"/>
      <c r="AT510" s="346"/>
      <c r="AU510" s="346"/>
      <c r="AV510" s="346"/>
      <c r="BF510" s="341"/>
      <c r="BG510" s="341"/>
    </row>
    <row r="511" spans="2:60" s="135" customFormat="1" ht="18.75" customHeight="1">
      <c r="B511" s="341"/>
      <c r="C511" s="518" t="s">
        <v>1212</v>
      </c>
      <c r="D511" s="518"/>
      <c r="E511" s="518"/>
      <c r="F511" s="518"/>
      <c r="G511" s="518"/>
      <c r="H511" s="518"/>
      <c r="I511" s="346"/>
      <c r="J511" s="346"/>
      <c r="K511" s="346"/>
      <c r="L511" s="346"/>
      <c r="M511" s="346"/>
      <c r="N511" s="514">
        <f>AG473</f>
        <v>1</v>
      </c>
      <c r="O511" s="514"/>
      <c r="P511" s="142"/>
      <c r="Q511" s="142"/>
      <c r="R511" s="142"/>
      <c r="S511" s="346"/>
      <c r="T511" s="346"/>
      <c r="U511" s="346"/>
      <c r="V511" s="346"/>
      <c r="W511" s="346"/>
      <c r="X511" s="346"/>
      <c r="Y511" s="346"/>
      <c r="Z511" s="143"/>
      <c r="AA511" s="143"/>
      <c r="AB511" s="346"/>
      <c r="AC511" s="346"/>
      <c r="AD511" s="346"/>
      <c r="AE511" s="346"/>
      <c r="AF511" s="346"/>
      <c r="AG511" s="346"/>
      <c r="AH511" s="346"/>
      <c r="AI511" s="346"/>
      <c r="AJ511" s="346"/>
      <c r="AK511" s="346"/>
      <c r="AL511" s="341"/>
      <c r="AM511" s="341"/>
      <c r="AN511" s="341"/>
      <c r="AO511" s="346"/>
      <c r="AP511" s="346"/>
      <c r="AQ511" s="346"/>
      <c r="AR511" s="346"/>
      <c r="AS511" s="346"/>
      <c r="AT511" s="346"/>
      <c r="AU511" s="346"/>
      <c r="AV511" s="346"/>
    </row>
    <row r="512" spans="2:60" s="135" customFormat="1" ht="18.75" customHeight="1">
      <c r="B512" s="341"/>
      <c r="C512" s="518"/>
      <c r="D512" s="518"/>
      <c r="E512" s="518"/>
      <c r="F512" s="518"/>
      <c r="G512" s="518"/>
      <c r="H512" s="518"/>
      <c r="I512" s="346"/>
      <c r="J512" s="346"/>
      <c r="K512" s="346"/>
      <c r="L512" s="346"/>
      <c r="M512" s="346"/>
      <c r="N512" s="514"/>
      <c r="O512" s="514"/>
      <c r="P512" s="142"/>
      <c r="Q512" s="142"/>
      <c r="R512" s="142"/>
      <c r="S512" s="346"/>
      <c r="T512" s="346"/>
      <c r="U512" s="346"/>
      <c r="V512" s="346"/>
      <c r="W512" s="346"/>
      <c r="X512" s="346"/>
      <c r="Y512" s="346"/>
      <c r="Z512" s="143"/>
      <c r="AA512" s="143"/>
      <c r="AB512" s="346"/>
      <c r="AC512" s="346"/>
      <c r="AD512" s="346"/>
      <c r="AE512" s="346"/>
      <c r="AF512" s="346"/>
      <c r="AG512" s="346"/>
      <c r="AH512" s="346"/>
      <c r="AI512" s="346"/>
      <c r="AJ512" s="346"/>
      <c r="AK512" s="346"/>
      <c r="AL512" s="341"/>
      <c r="AM512" s="341"/>
      <c r="AN512" s="341"/>
      <c r="AO512" s="346"/>
      <c r="AP512" s="346"/>
      <c r="AQ512" s="346"/>
      <c r="AR512" s="346"/>
      <c r="AS512" s="346"/>
      <c r="AT512" s="346"/>
      <c r="AU512" s="346"/>
      <c r="AV512" s="346"/>
      <c r="AW512" s="346"/>
      <c r="AX512" s="346"/>
      <c r="AY512" s="341"/>
      <c r="AZ512" s="341"/>
      <c r="BA512" s="341"/>
      <c r="BB512" s="341"/>
      <c r="BC512" s="341"/>
      <c r="BD512" s="341"/>
      <c r="BE512" s="341"/>
      <c r="BF512" s="341"/>
      <c r="BG512" s="341"/>
    </row>
    <row r="513" spans="2:59" s="135" customFormat="1" ht="18.75" customHeight="1">
      <c r="B513" s="341"/>
      <c r="C513" s="346" t="s">
        <v>869</v>
      </c>
      <c r="D513" s="346"/>
      <c r="E513" s="346"/>
      <c r="F513" s="346"/>
      <c r="G513" s="346"/>
      <c r="H513" s="346"/>
      <c r="I513" s="346"/>
      <c r="J513" s="341"/>
      <c r="K513" s="345" t="s">
        <v>850</v>
      </c>
      <c r="L513" s="517">
        <f>N511</f>
        <v>1</v>
      </c>
      <c r="M513" s="517"/>
      <c r="N513" s="346" t="s">
        <v>851</v>
      </c>
      <c r="O513" s="629">
        <f>Y508</f>
        <v>0</v>
      </c>
      <c r="P513" s="629"/>
      <c r="Q513" s="629"/>
      <c r="R513" s="371" t="s">
        <v>962</v>
      </c>
      <c r="S513" s="341" t="s">
        <v>1213</v>
      </c>
      <c r="T513" s="341" t="s">
        <v>845</v>
      </c>
      <c r="U513" s="610">
        <f>O513</f>
        <v>0</v>
      </c>
      <c r="V513" s="610"/>
      <c r="W513" s="610"/>
      <c r="X513" s="371" t="s">
        <v>962</v>
      </c>
      <c r="Y513" s="350"/>
      <c r="Z513" s="345"/>
      <c r="AA513" s="345"/>
      <c r="AB513" s="345"/>
      <c r="AC513" s="370"/>
      <c r="AD513" s="370"/>
      <c r="AE513" s="370"/>
      <c r="AF513" s="341"/>
      <c r="AG513" s="341"/>
      <c r="AH513" s="341"/>
      <c r="AI513" s="341"/>
      <c r="AJ513" s="341"/>
      <c r="AK513" s="346"/>
      <c r="AL513" s="341"/>
      <c r="AM513" s="341"/>
      <c r="AN513" s="341"/>
      <c r="AO513" s="346"/>
      <c r="AP513" s="346"/>
      <c r="AQ513" s="346"/>
      <c r="AR513" s="346"/>
      <c r="AS513" s="346"/>
      <c r="AT513" s="346"/>
      <c r="AU513" s="346"/>
      <c r="AV513" s="346"/>
      <c r="AW513" s="346"/>
      <c r="AX513" s="346"/>
      <c r="AY513" s="341"/>
      <c r="AZ513" s="341"/>
      <c r="BA513" s="341"/>
      <c r="BB513" s="341"/>
      <c r="BC513" s="341"/>
      <c r="BD513" s="341"/>
      <c r="BE513" s="341"/>
      <c r="BF513" s="341"/>
      <c r="BG513" s="341"/>
    </row>
    <row r="514" spans="2:59" s="135" customFormat="1" ht="18.75" customHeight="1">
      <c r="B514" s="341"/>
      <c r="C514" s="518" t="s">
        <v>1214</v>
      </c>
      <c r="D514" s="518"/>
      <c r="E514" s="518"/>
      <c r="F514" s="518"/>
      <c r="G514" s="518"/>
      <c r="H514" s="346"/>
      <c r="J514" s="346"/>
      <c r="K514" s="346"/>
      <c r="L514" s="346"/>
      <c r="M514" s="346"/>
      <c r="N514" s="346"/>
      <c r="O514" s="346"/>
      <c r="P514" s="346"/>
      <c r="Q514" s="346"/>
      <c r="R514" s="138"/>
      <c r="S514" s="346"/>
      <c r="T514" s="346"/>
      <c r="U514" s="346"/>
      <c r="W514" s="346"/>
      <c r="X514" s="370" t="s">
        <v>1091</v>
      </c>
      <c r="Y514" s="346"/>
      <c r="Z514" s="346"/>
      <c r="AA514" s="346"/>
      <c r="AB514" s="346"/>
      <c r="AC514" s="346"/>
      <c r="AD514" s="346"/>
      <c r="AE514" s="341"/>
      <c r="AF514" s="341"/>
      <c r="AG514" s="341"/>
      <c r="AH514" s="341"/>
      <c r="AI514" s="341"/>
      <c r="AJ514" s="341"/>
      <c r="AK514" s="341"/>
      <c r="AL514" s="341"/>
      <c r="AM514" s="341"/>
      <c r="AN514" s="341"/>
      <c r="AO514" s="341"/>
      <c r="AP514" s="341"/>
      <c r="AQ514" s="341"/>
      <c r="AR514" s="341"/>
      <c r="AS514" s="341"/>
      <c r="AT514" s="341"/>
      <c r="AU514" s="341"/>
      <c r="AV514" s="341"/>
      <c r="AW514" s="341"/>
      <c r="AX514" s="341"/>
      <c r="AY514" s="341"/>
      <c r="AZ514" s="341"/>
      <c r="BA514" s="341"/>
      <c r="BB514" s="341"/>
      <c r="BC514" s="341"/>
      <c r="BD514" s="341"/>
      <c r="BE514" s="341"/>
      <c r="BF514" s="341"/>
      <c r="BG514" s="341"/>
    </row>
    <row r="515" spans="2:59" s="135" customFormat="1" ht="18.75" customHeight="1">
      <c r="B515" s="341"/>
      <c r="C515" s="518"/>
      <c r="D515" s="518"/>
      <c r="E515" s="518"/>
      <c r="F515" s="518"/>
      <c r="G515" s="518"/>
      <c r="H515" s="346"/>
      <c r="I515" s="346"/>
      <c r="J515" s="346"/>
      <c r="K515" s="346"/>
      <c r="L515" s="346"/>
      <c r="M515" s="346"/>
      <c r="N515" s="346"/>
      <c r="O515" s="346"/>
      <c r="P515" s="346"/>
      <c r="Q515" s="346"/>
      <c r="R515" s="138"/>
      <c r="S515" s="346"/>
      <c r="T515" s="346"/>
      <c r="U515" s="346"/>
      <c r="V515" s="346"/>
      <c r="W515" s="346"/>
      <c r="X515" s="346"/>
      <c r="Y515" s="346"/>
      <c r="Z515" s="346"/>
      <c r="AA515" s="346"/>
      <c r="AB515" s="346"/>
      <c r="AC515" s="346"/>
      <c r="AD515" s="346"/>
      <c r="AE515" s="341"/>
      <c r="AF515" s="341"/>
      <c r="AG515" s="341"/>
      <c r="AH515" s="341"/>
      <c r="AI515" s="341"/>
      <c r="AJ515" s="341"/>
      <c r="AK515" s="341"/>
      <c r="AL515" s="341"/>
      <c r="AM515" s="341"/>
      <c r="AN515" s="341"/>
      <c r="AO515" s="341"/>
      <c r="AP515" s="341"/>
      <c r="AQ515" s="341"/>
      <c r="AR515" s="341"/>
      <c r="AS515" s="341"/>
      <c r="AT515" s="341"/>
      <c r="AU515" s="341"/>
      <c r="AV515" s="341"/>
      <c r="AW515" s="341"/>
      <c r="AX515" s="341"/>
      <c r="AY515" s="341"/>
      <c r="AZ515" s="341"/>
      <c r="BA515" s="341"/>
      <c r="BB515" s="341"/>
      <c r="BC515" s="341"/>
      <c r="BD515" s="341"/>
      <c r="BE515" s="341"/>
      <c r="BF515" s="341"/>
      <c r="BG515" s="341"/>
    </row>
    <row r="516" spans="2:59" s="135" customFormat="1" ht="18.75" customHeight="1">
      <c r="B516" s="341"/>
      <c r="C516" s="57"/>
      <c r="D516" s="346"/>
      <c r="E516" s="346"/>
      <c r="F516" s="346"/>
      <c r="G516" s="341"/>
      <c r="H516" s="346"/>
      <c r="I516" s="346"/>
      <c r="J516" s="346"/>
      <c r="K516" s="346"/>
      <c r="L516" s="346"/>
      <c r="M516" s="346"/>
      <c r="N516" s="346"/>
      <c r="O516" s="346"/>
      <c r="P516" s="346"/>
      <c r="Q516" s="346"/>
      <c r="R516" s="346"/>
      <c r="S516" s="346"/>
      <c r="T516" s="346"/>
      <c r="U516" s="346"/>
      <c r="V516" s="346"/>
      <c r="W516" s="346"/>
      <c r="X516" s="346"/>
      <c r="Y516" s="346"/>
      <c r="Z516" s="346"/>
      <c r="AA516" s="346"/>
      <c r="AB516" s="346"/>
      <c r="AC516" s="346"/>
      <c r="AD516" s="346"/>
      <c r="AE516" s="341"/>
      <c r="AF516" s="346"/>
      <c r="AG516" s="341"/>
      <c r="AH516" s="341"/>
      <c r="AI516" s="341"/>
      <c r="AJ516" s="341"/>
      <c r="AK516" s="341"/>
      <c r="AL516" s="341"/>
      <c r="AM516" s="341"/>
      <c r="AN516" s="341"/>
      <c r="AO516" s="341"/>
      <c r="AP516" s="341"/>
      <c r="AQ516" s="341"/>
      <c r="AR516" s="341"/>
      <c r="AS516" s="341"/>
      <c r="AT516" s="341"/>
      <c r="AU516" s="341"/>
      <c r="AV516" s="341"/>
      <c r="AW516" s="341"/>
      <c r="AX516" s="341"/>
      <c r="AY516" s="341"/>
      <c r="AZ516" s="341"/>
      <c r="BA516" s="341"/>
      <c r="BB516" s="341"/>
      <c r="BC516" s="341"/>
      <c r="BD516" s="341"/>
      <c r="BE516" s="341"/>
      <c r="BF516" s="341"/>
      <c r="BG516" s="341"/>
    </row>
    <row r="517" spans="2:59" s="135" customFormat="1" ht="18.75" customHeight="1">
      <c r="B517" s="57" t="s">
        <v>964</v>
      </c>
      <c r="D517" s="346"/>
      <c r="E517" s="346"/>
      <c r="F517" s="346"/>
      <c r="G517" s="341"/>
      <c r="H517" s="346"/>
      <c r="I517" s="346"/>
      <c r="J517" s="346"/>
      <c r="K517" s="346"/>
      <c r="L517" s="346"/>
      <c r="M517" s="346"/>
      <c r="N517" s="346"/>
      <c r="O517" s="346"/>
      <c r="P517" s="202" t="s">
        <v>894</v>
      </c>
      <c r="Q517" s="346"/>
      <c r="R517" s="346"/>
      <c r="S517" s="346"/>
      <c r="T517" s="346"/>
      <c r="V517" s="346"/>
      <c r="W517" s="346"/>
      <c r="X517" s="346"/>
      <c r="Y517" s="346"/>
      <c r="Z517" s="346"/>
      <c r="AA517" s="346"/>
      <c r="AB517" s="346"/>
      <c r="AC517" s="346"/>
      <c r="AD517" s="346"/>
      <c r="AE517" s="341"/>
      <c r="AF517" s="346"/>
      <c r="AG517" s="341"/>
      <c r="AH517" s="341"/>
      <c r="AI517" s="341"/>
      <c r="AJ517" s="341"/>
      <c r="AK517" s="341"/>
      <c r="AL517" s="341"/>
      <c r="AM517" s="341"/>
      <c r="AN517" s="341"/>
      <c r="AO517" s="341"/>
      <c r="AP517" s="341"/>
      <c r="AQ517" s="341"/>
      <c r="AR517" s="341"/>
      <c r="AS517" s="341"/>
      <c r="AT517" s="341"/>
      <c r="AU517" s="341"/>
      <c r="AV517" s="341"/>
      <c r="AW517" s="341"/>
      <c r="AX517" s="341"/>
      <c r="AY517" s="341"/>
      <c r="AZ517" s="341"/>
      <c r="BA517" s="341"/>
      <c r="BB517" s="341"/>
      <c r="BC517" s="341"/>
      <c r="BD517" s="341"/>
      <c r="BE517" s="341"/>
      <c r="BF517" s="341"/>
      <c r="BG517" s="341"/>
    </row>
    <row r="518" spans="2:59" s="135" customFormat="1" ht="18.75" customHeight="1">
      <c r="B518" s="57"/>
      <c r="C518" s="346" t="e">
        <f ca="1">"※ 투영면에 새겨진 기준눈금의 폭은 "&amp;I520&amp;" mm이고 투영면의 반지름은 "&amp;O520&amp;" mm이다."</f>
        <v>#N/A</v>
      </c>
      <c r="D518" s="346"/>
      <c r="E518" s="359"/>
      <c r="F518" s="359"/>
      <c r="G518" s="359"/>
      <c r="H518" s="359"/>
      <c r="I518" s="350"/>
      <c r="J518" s="346"/>
      <c r="K518" s="346"/>
      <c r="L518" s="346"/>
      <c r="M518" s="346"/>
      <c r="N518" s="346"/>
      <c r="O518" s="346"/>
      <c r="P518" s="346"/>
      <c r="V518" s="346"/>
      <c r="W518" s="346"/>
      <c r="X518" s="346"/>
      <c r="Y518" s="346"/>
      <c r="Z518" s="346"/>
      <c r="AA518" s="346"/>
      <c r="AB518" s="341"/>
      <c r="AC518" s="341"/>
      <c r="AD518" s="341"/>
      <c r="AE518" s="341"/>
      <c r="AF518" s="341"/>
      <c r="AG518" s="341"/>
      <c r="AH518" s="341"/>
      <c r="AI518" s="341"/>
      <c r="AJ518" s="341"/>
      <c r="AK518" s="341"/>
      <c r="AL518" s="341"/>
      <c r="AM518" s="341"/>
      <c r="AN518" s="341"/>
      <c r="AO518" s="341"/>
      <c r="AP518" s="341"/>
      <c r="AQ518" s="341"/>
      <c r="AR518" s="341"/>
      <c r="AS518" s="341"/>
      <c r="AT518" s="341"/>
      <c r="AU518" s="341"/>
      <c r="AV518" s="341"/>
      <c r="AW518" s="341"/>
      <c r="AX518" s="341"/>
      <c r="AY518" s="341"/>
      <c r="AZ518" s="341"/>
      <c r="BA518" s="341"/>
      <c r="BB518" s="341"/>
      <c r="BC518" s="341"/>
      <c r="BD518" s="341"/>
      <c r="BE518" s="341"/>
      <c r="BF518" s="341"/>
      <c r="BG518" s="341"/>
    </row>
    <row r="519" spans="2:59" s="135" customFormat="1" ht="18.75" customHeight="1">
      <c r="B519" s="57"/>
      <c r="C519" s="346"/>
      <c r="D519" s="346" t="str">
        <f>"직각자의 한 면이 투영될 때 눈금폭 "&amp;I520&amp;" mm에 대한 각도는 다음과 같다."</f>
        <v>직각자의 한 면이 투영될 때 눈금폭 0.1 mm에 대한 각도는 다음과 같다.</v>
      </c>
      <c r="E519" s="359"/>
      <c r="F519" s="359"/>
      <c r="G519" s="359"/>
      <c r="H519" s="359"/>
      <c r="I519" s="350"/>
      <c r="J519" s="346"/>
      <c r="K519" s="346"/>
      <c r="L519" s="346"/>
      <c r="M519" s="346"/>
      <c r="N519" s="346"/>
      <c r="O519" s="346"/>
      <c r="P519" s="346"/>
      <c r="V519" s="346"/>
      <c r="W519" s="346"/>
      <c r="X519" s="346"/>
      <c r="Y519" s="346"/>
      <c r="Z519" s="346"/>
      <c r="AA519" s="346"/>
      <c r="AB519" s="341"/>
      <c r="AC519" s="341"/>
      <c r="AD519" s="341"/>
      <c r="AE519" s="341"/>
      <c r="AF519" s="341"/>
      <c r="AG519" s="341"/>
      <c r="AH519" s="341"/>
      <c r="AI519" s="341"/>
      <c r="AJ519" s="341"/>
      <c r="AK519" s="341"/>
      <c r="AL519" s="341"/>
      <c r="AM519" s="341"/>
      <c r="AN519" s="341"/>
      <c r="AO519" s="341"/>
      <c r="AP519" s="341"/>
      <c r="AQ519" s="341"/>
      <c r="AR519" s="341"/>
      <c r="AS519" s="341"/>
      <c r="AT519" s="341"/>
      <c r="AU519" s="341"/>
      <c r="AV519" s="341"/>
      <c r="AW519" s="341"/>
      <c r="AX519" s="341"/>
      <c r="AY519" s="341"/>
      <c r="AZ519" s="341"/>
      <c r="BA519" s="341"/>
      <c r="BB519" s="341"/>
      <c r="BC519" s="341"/>
      <c r="BD519" s="341"/>
      <c r="BE519" s="341"/>
      <c r="BF519" s="341"/>
      <c r="BG519" s="341"/>
    </row>
    <row r="520" spans="2:59" s="135" customFormat="1" ht="18.75" customHeight="1">
      <c r="B520" s="57"/>
      <c r="C520" s="361"/>
      <c r="D520" s="346"/>
      <c r="E520" s="346"/>
      <c r="F520" s="346"/>
      <c r="G520" s="379" t="s">
        <v>957</v>
      </c>
      <c r="H520" s="341" t="s">
        <v>1215</v>
      </c>
      <c r="I520" s="650">
        <f>Calcu!G218</f>
        <v>0.1</v>
      </c>
      <c r="J520" s="650"/>
      <c r="K520" s="346" t="s">
        <v>804</v>
      </c>
      <c r="L520" s="341"/>
      <c r="M520" s="341" t="s">
        <v>959</v>
      </c>
      <c r="N520" s="341" t="s">
        <v>901</v>
      </c>
      <c r="O520" s="518" t="e">
        <f ca="1">Calcu!H218</f>
        <v>#N/A</v>
      </c>
      <c r="P520" s="518"/>
      <c r="Q520" s="346" t="s">
        <v>1143</v>
      </c>
      <c r="R520" s="341"/>
      <c r="S520" s="341" t="s">
        <v>960</v>
      </c>
      <c r="T520" s="341" t="s">
        <v>845</v>
      </c>
      <c r="U520" s="518" t="e">
        <f ca="1">DEGREES(ATAN(I520/O520))</f>
        <v>#N/A</v>
      </c>
      <c r="V520" s="518"/>
      <c r="W520" s="518"/>
      <c r="X520" s="346" t="s">
        <v>962</v>
      </c>
      <c r="Y520" s="382"/>
      <c r="Z520" s="346"/>
      <c r="AA520" s="341"/>
      <c r="AB520" s="341"/>
      <c r="AC520" s="341"/>
      <c r="AD520" s="346"/>
      <c r="AE520" s="346"/>
      <c r="AF520" s="346"/>
      <c r="AG520" s="341"/>
      <c r="AH520" s="341"/>
      <c r="AI520" s="341"/>
      <c r="AJ520" s="341"/>
      <c r="AK520" s="341"/>
      <c r="AL520" s="341"/>
      <c r="AM520" s="341"/>
      <c r="AN520" s="341"/>
      <c r="AO520" s="341"/>
      <c r="AP520" s="341"/>
      <c r="AQ520" s="341"/>
      <c r="AR520" s="341"/>
      <c r="AS520" s="341"/>
      <c r="AT520" s="341"/>
      <c r="AU520" s="341"/>
      <c r="AV520" s="341"/>
      <c r="AW520" s="341"/>
      <c r="AX520" s="341"/>
      <c r="AY520" s="341"/>
      <c r="AZ520" s="341"/>
      <c r="BA520" s="341"/>
      <c r="BB520" s="341"/>
      <c r="BC520" s="341"/>
      <c r="BD520" s="341"/>
      <c r="BE520" s="341"/>
      <c r="BF520" s="341"/>
      <c r="BG520" s="341"/>
    </row>
    <row r="521" spans="2:59" s="135" customFormat="1" ht="18.75" customHeight="1">
      <c r="B521" s="341"/>
      <c r="C521" s="353" t="s">
        <v>1173</v>
      </c>
      <c r="D521" s="341"/>
      <c r="E521" s="341"/>
      <c r="F521" s="341"/>
      <c r="G521" s="341"/>
      <c r="H521" s="629">
        <f>H474</f>
        <v>0</v>
      </c>
      <c r="I521" s="629"/>
      <c r="J521" s="629"/>
      <c r="K521" s="629"/>
      <c r="L521" s="629"/>
      <c r="M521" s="576" t="str">
        <f>M474</f>
        <v>˚</v>
      </c>
      <c r="N521" s="576"/>
      <c r="O521" s="341"/>
      <c r="P521" s="341"/>
      <c r="Q521" s="346"/>
      <c r="R521" s="346"/>
      <c r="S521" s="346"/>
      <c r="T521" s="346"/>
      <c r="U521" s="346"/>
      <c r="V521" s="346"/>
      <c r="W521" s="346"/>
      <c r="AC521" s="346"/>
      <c r="AD521" s="346"/>
      <c r="AE521" s="346"/>
      <c r="AF521" s="346"/>
      <c r="AG521" s="346"/>
      <c r="AH521" s="346"/>
      <c r="AI521" s="341"/>
      <c r="AJ521" s="341"/>
      <c r="AK521" s="341"/>
      <c r="AL521" s="341"/>
      <c r="AM521" s="341"/>
      <c r="AN521" s="341"/>
      <c r="AO521" s="341"/>
      <c r="AP521" s="341"/>
      <c r="AQ521" s="341"/>
      <c r="AR521" s="341"/>
      <c r="AS521" s="346"/>
      <c r="AT521" s="346"/>
      <c r="AU521" s="346"/>
      <c r="AV521" s="346"/>
      <c r="AW521" s="346"/>
      <c r="AX521" s="346"/>
      <c r="AY521" s="341"/>
      <c r="AZ521" s="341"/>
      <c r="BA521" s="341"/>
      <c r="BB521" s="341"/>
      <c r="BC521" s="341"/>
      <c r="BD521" s="341"/>
      <c r="BE521" s="341"/>
      <c r="BF521" s="341"/>
      <c r="BG521" s="341"/>
    </row>
    <row r="522" spans="2:59" s="135" customFormat="1" ht="18.75" customHeight="1">
      <c r="B522" s="341"/>
      <c r="C522" s="346" t="s">
        <v>874</v>
      </c>
      <c r="D522" s="341"/>
      <c r="E522" s="341"/>
      <c r="F522" s="341"/>
      <c r="G522" s="341"/>
      <c r="H522" s="359"/>
      <c r="I522" s="359"/>
      <c r="J522" s="346" t="s">
        <v>1216</v>
      </c>
      <c r="AN522" s="341"/>
      <c r="AO522" s="341"/>
      <c r="AP522" s="341"/>
      <c r="AQ522" s="341"/>
      <c r="AR522" s="341"/>
      <c r="AS522" s="346"/>
      <c r="AT522" s="346"/>
      <c r="AU522" s="346"/>
      <c r="AV522" s="346"/>
      <c r="AW522" s="346"/>
      <c r="AX522" s="346"/>
      <c r="AY522" s="341"/>
      <c r="AZ522" s="341"/>
      <c r="BA522" s="341"/>
      <c r="BB522" s="341"/>
      <c r="BC522" s="341"/>
      <c r="BD522" s="341"/>
      <c r="BE522" s="341"/>
      <c r="BF522" s="341"/>
      <c r="BG522" s="341"/>
    </row>
    <row r="523" spans="2:59" s="135" customFormat="1" ht="18.75" customHeight="1">
      <c r="B523" s="341"/>
      <c r="D523" s="346"/>
      <c r="E523" s="346"/>
      <c r="F523" s="346"/>
      <c r="G523" s="346"/>
      <c r="H523" s="346"/>
      <c r="I523" s="346"/>
      <c r="K523" s="602" t="s">
        <v>897</v>
      </c>
      <c r="L523" s="602"/>
      <c r="M523" s="602"/>
      <c r="N523" s="514" t="s">
        <v>1019</v>
      </c>
      <c r="O523" s="597" t="e">
        <f ca="1">U520</f>
        <v>#N/A</v>
      </c>
      <c r="P523" s="597"/>
      <c r="Q523" s="597"/>
      <c r="R523" s="383" t="s">
        <v>962</v>
      </c>
      <c r="S523" s="519" t="s">
        <v>1165</v>
      </c>
      <c r="T523" s="629" t="e">
        <f ca="1">O523/2/SQRT(3)</f>
        <v>#N/A</v>
      </c>
      <c r="U523" s="629"/>
      <c r="V523" s="629"/>
      <c r="W523" s="653" t="s">
        <v>962</v>
      </c>
      <c r="X523" s="360"/>
      <c r="Y523" s="346"/>
      <c r="Z523" s="341"/>
      <c r="AA523" s="341"/>
      <c r="AB523" s="341"/>
      <c r="AC523" s="341"/>
      <c r="AD523" s="341"/>
      <c r="AE523" s="341"/>
      <c r="AF523" s="341"/>
      <c r="AG523" s="341"/>
      <c r="AH523" s="341"/>
      <c r="AI523" s="341"/>
      <c r="AJ523" s="341"/>
      <c r="AK523" s="341"/>
      <c r="AL523" s="341"/>
      <c r="AM523" s="346"/>
      <c r="AN523" s="346"/>
      <c r="AO523" s="346"/>
      <c r="AP523" s="346"/>
      <c r="AQ523" s="346"/>
      <c r="AR523" s="346"/>
      <c r="AS523" s="346"/>
      <c r="AT523" s="346"/>
      <c r="AU523" s="341"/>
      <c r="AV523" s="341"/>
      <c r="AW523" s="341"/>
      <c r="AX523" s="341"/>
      <c r="AY523" s="341"/>
      <c r="AZ523" s="341"/>
      <c r="BA523" s="341"/>
      <c r="BB523" s="341"/>
      <c r="BC523" s="341"/>
    </row>
    <row r="524" spans="2:59" s="135" customFormat="1" ht="18.75" customHeight="1">
      <c r="B524" s="341"/>
      <c r="C524" s="346"/>
      <c r="D524" s="346"/>
      <c r="E524" s="346"/>
      <c r="F524" s="346"/>
      <c r="G524" s="346"/>
      <c r="H524" s="346"/>
      <c r="I524" s="346"/>
      <c r="J524" s="203"/>
      <c r="K524" s="602"/>
      <c r="L524" s="602"/>
      <c r="M524" s="602"/>
      <c r="N524" s="514"/>
      <c r="O524" s="605"/>
      <c r="P524" s="605"/>
      <c r="Q524" s="605"/>
      <c r="R524" s="605"/>
      <c r="S524" s="519"/>
      <c r="T524" s="629"/>
      <c r="U524" s="629"/>
      <c r="V524" s="629"/>
      <c r="W524" s="653"/>
      <c r="X524" s="360"/>
      <c r="Y524" s="346"/>
      <c r="Z524" s="341"/>
      <c r="AA524" s="341"/>
      <c r="AB524" s="341"/>
      <c r="AC524" s="341"/>
      <c r="AD524" s="341"/>
      <c r="AE524" s="341"/>
      <c r="AF524" s="341"/>
      <c r="AG524" s="341"/>
      <c r="AH524" s="341"/>
      <c r="AI524" s="341"/>
      <c r="AJ524" s="341"/>
      <c r="AK524" s="341"/>
      <c r="AL524" s="341"/>
      <c r="AM524" s="346"/>
      <c r="AN524" s="346"/>
      <c r="AO524" s="346"/>
      <c r="AP524" s="346"/>
      <c r="AQ524" s="346"/>
      <c r="AR524" s="346"/>
      <c r="AS524" s="346"/>
      <c r="AT524" s="346"/>
      <c r="AU524" s="341"/>
      <c r="AV524" s="341"/>
      <c r="AW524" s="341"/>
      <c r="AX524" s="341"/>
      <c r="AY524" s="341"/>
      <c r="AZ524" s="341"/>
      <c r="BA524" s="341"/>
      <c r="BB524" s="341"/>
      <c r="BC524" s="341"/>
    </row>
    <row r="525" spans="2:59" s="135" customFormat="1" ht="18.75" customHeight="1">
      <c r="B525" s="341"/>
      <c r="C525" s="346" t="s">
        <v>1040</v>
      </c>
      <c r="D525" s="346"/>
      <c r="E525" s="346"/>
      <c r="F525" s="346"/>
      <c r="G525" s="346"/>
      <c r="H525" s="346"/>
      <c r="I525" s="544" t="str">
        <f>AB474</f>
        <v>직사각형</v>
      </c>
      <c r="J525" s="544"/>
      <c r="K525" s="544"/>
      <c r="L525" s="544"/>
      <c r="M525" s="544"/>
      <c r="N525" s="544"/>
      <c r="O525" s="544"/>
      <c r="P525" s="544"/>
      <c r="Q525" s="346"/>
      <c r="R525" s="346"/>
      <c r="S525" s="346"/>
      <c r="T525" s="346"/>
      <c r="U525" s="346"/>
      <c r="V525" s="346"/>
      <c r="W525" s="346"/>
      <c r="X525" s="346"/>
      <c r="Y525" s="346"/>
      <c r="Z525" s="341"/>
      <c r="AA525" s="341"/>
      <c r="AB525" s="341"/>
      <c r="AC525" s="341"/>
      <c r="AD525" s="341"/>
      <c r="AE525" s="341"/>
      <c r="AF525" s="341"/>
      <c r="AG525" s="341"/>
      <c r="AH525" s="346"/>
      <c r="AI525" s="346"/>
      <c r="AJ525" s="346"/>
      <c r="AK525" s="346"/>
      <c r="AL525" s="346"/>
      <c r="AM525" s="346"/>
      <c r="AN525" s="346"/>
      <c r="AO525" s="346"/>
      <c r="AP525" s="346"/>
      <c r="AQ525" s="346"/>
      <c r="AR525" s="346"/>
      <c r="AS525" s="346"/>
      <c r="AT525" s="346"/>
      <c r="AU525" s="346"/>
      <c r="AV525" s="346"/>
      <c r="AW525" s="346"/>
      <c r="AX525" s="346"/>
      <c r="AY525" s="341"/>
      <c r="AZ525" s="341"/>
      <c r="BA525" s="341"/>
      <c r="BB525" s="341"/>
      <c r="BC525" s="341"/>
      <c r="BD525" s="341"/>
      <c r="BE525" s="341"/>
      <c r="BF525" s="341"/>
      <c r="BG525" s="341"/>
    </row>
    <row r="526" spans="2:59" s="135" customFormat="1" ht="18.75" customHeight="1">
      <c r="B526" s="341"/>
      <c r="C526" s="518" t="s">
        <v>965</v>
      </c>
      <c r="D526" s="518"/>
      <c r="E526" s="518"/>
      <c r="F526" s="518"/>
      <c r="G526" s="518"/>
      <c r="H526" s="518"/>
      <c r="I526" s="346"/>
      <c r="J526" s="346"/>
      <c r="K526" s="346"/>
      <c r="L526" s="346"/>
      <c r="M526" s="346"/>
      <c r="N526" s="514">
        <f>AG474</f>
        <v>1</v>
      </c>
      <c r="O526" s="514"/>
      <c r="P526" s="142"/>
      <c r="Q526" s="142"/>
      <c r="R526" s="142"/>
      <c r="S526" s="346"/>
      <c r="T526" s="346"/>
      <c r="U526" s="346"/>
      <c r="V526" s="346"/>
      <c r="W526" s="346"/>
      <c r="X526" s="346"/>
      <c r="Y526" s="346"/>
      <c r="Z526" s="143"/>
      <c r="AA526" s="143"/>
      <c r="AB526" s="346"/>
      <c r="AC526" s="346"/>
      <c r="AD526" s="346"/>
      <c r="AE526" s="346"/>
      <c r="AF526" s="346"/>
      <c r="AG526" s="346"/>
      <c r="AH526" s="346"/>
      <c r="AI526" s="346"/>
      <c r="AJ526" s="346"/>
      <c r="AK526" s="346"/>
      <c r="AL526" s="341"/>
      <c r="AM526" s="341"/>
      <c r="AN526" s="341"/>
      <c r="AO526" s="346"/>
      <c r="AP526" s="346"/>
      <c r="AQ526" s="346"/>
      <c r="AR526" s="346"/>
      <c r="AS526" s="346"/>
      <c r="AT526" s="346"/>
      <c r="AU526" s="346"/>
      <c r="AV526" s="346"/>
      <c r="AW526" s="346"/>
      <c r="AX526" s="346"/>
      <c r="AY526" s="341"/>
      <c r="AZ526" s="341"/>
      <c r="BA526" s="341"/>
      <c r="BB526" s="341"/>
      <c r="BC526" s="341"/>
      <c r="BD526" s="341"/>
      <c r="BE526" s="341"/>
      <c r="BF526" s="341"/>
      <c r="BG526" s="341"/>
    </row>
    <row r="527" spans="2:59" s="135" customFormat="1" ht="18.75" customHeight="1">
      <c r="B527" s="341"/>
      <c r="C527" s="518"/>
      <c r="D527" s="518"/>
      <c r="E527" s="518"/>
      <c r="F527" s="518"/>
      <c r="G527" s="518"/>
      <c r="H527" s="518"/>
      <c r="I527" s="346"/>
      <c r="J527" s="346"/>
      <c r="K527" s="346"/>
      <c r="L527" s="346"/>
      <c r="M527" s="346"/>
      <c r="N527" s="514"/>
      <c r="O527" s="514"/>
      <c r="P527" s="142"/>
      <c r="Q527" s="142"/>
      <c r="R527" s="142"/>
      <c r="S527" s="346"/>
      <c r="T527" s="346"/>
      <c r="U527" s="346"/>
      <c r="V527" s="346"/>
      <c r="W527" s="346"/>
      <c r="X527" s="346"/>
      <c r="Y527" s="346"/>
      <c r="Z527" s="143"/>
      <c r="AA527" s="143"/>
      <c r="AB527" s="346"/>
      <c r="AC527" s="346"/>
      <c r="AD527" s="346"/>
      <c r="AE527" s="346"/>
      <c r="AF527" s="346"/>
      <c r="AG527" s="346"/>
      <c r="AH527" s="346"/>
      <c r="AI527" s="346"/>
      <c r="AJ527" s="346"/>
      <c r="AK527" s="346"/>
      <c r="AL527" s="341"/>
      <c r="AM527" s="341"/>
      <c r="AN527" s="341"/>
      <c r="AO527" s="346"/>
      <c r="AP527" s="346"/>
      <c r="AQ527" s="346"/>
      <c r="AR527" s="346"/>
      <c r="AS527" s="346"/>
      <c r="AT527" s="346"/>
      <c r="AU527" s="346"/>
      <c r="AV527" s="346"/>
      <c r="AW527" s="346"/>
      <c r="AX527" s="346"/>
      <c r="AY527" s="341"/>
      <c r="AZ527" s="341"/>
      <c r="BA527" s="341"/>
      <c r="BB527" s="341"/>
      <c r="BC527" s="341"/>
      <c r="BD527" s="341"/>
      <c r="BE527" s="341"/>
      <c r="BF527" s="341"/>
      <c r="BG527" s="341"/>
    </row>
    <row r="528" spans="2:59" s="135" customFormat="1" ht="18.75" customHeight="1">
      <c r="B528" s="341"/>
      <c r="C528" s="346" t="s">
        <v>876</v>
      </c>
      <c r="D528" s="346"/>
      <c r="E528" s="346"/>
      <c r="F528" s="346"/>
      <c r="G528" s="346"/>
      <c r="H528" s="346"/>
      <c r="I528" s="346"/>
      <c r="J528" s="341"/>
      <c r="K528" s="345" t="s">
        <v>1217</v>
      </c>
      <c r="L528" s="517">
        <f>N526</f>
        <v>1</v>
      </c>
      <c r="M528" s="517"/>
      <c r="N528" s="346" t="s">
        <v>1018</v>
      </c>
      <c r="O528" s="629" t="e">
        <f ca="1">T523</f>
        <v>#N/A</v>
      </c>
      <c r="P528" s="629"/>
      <c r="Q528" s="629"/>
      <c r="R528" s="371" t="s">
        <v>1197</v>
      </c>
      <c r="S528" s="341" t="s">
        <v>1213</v>
      </c>
      <c r="T528" s="341" t="s">
        <v>845</v>
      </c>
      <c r="U528" s="610" t="e">
        <f ca="1">O528</f>
        <v>#N/A</v>
      </c>
      <c r="V528" s="610"/>
      <c r="W528" s="610"/>
      <c r="X528" s="371" t="s">
        <v>962</v>
      </c>
      <c r="Y528" s="350"/>
      <c r="Z528" s="345"/>
      <c r="AA528" s="345"/>
      <c r="AB528" s="345"/>
      <c r="AC528" s="370"/>
      <c r="AD528" s="370"/>
      <c r="AE528" s="370"/>
      <c r="AF528" s="341"/>
      <c r="AG528" s="341"/>
      <c r="AH528" s="341"/>
      <c r="AI528" s="341"/>
      <c r="AJ528" s="341"/>
      <c r="AK528" s="346"/>
      <c r="AL528" s="341"/>
      <c r="AM528" s="341"/>
      <c r="AN528" s="341"/>
      <c r="AO528" s="346"/>
      <c r="AP528" s="346"/>
      <c r="AQ528" s="346"/>
      <c r="AR528" s="346"/>
      <c r="AS528" s="346"/>
      <c r="AT528" s="346"/>
      <c r="AU528" s="346"/>
      <c r="AV528" s="346"/>
      <c r="AW528" s="346"/>
      <c r="AX528" s="346"/>
      <c r="AY528" s="341"/>
      <c r="AZ528" s="341"/>
      <c r="BA528" s="341"/>
      <c r="BB528" s="341"/>
      <c r="BC528" s="341"/>
      <c r="BD528" s="341"/>
      <c r="BE528" s="341"/>
      <c r="BF528" s="341"/>
      <c r="BG528" s="341"/>
    </row>
    <row r="529" spans="2:59" s="135" customFormat="1" ht="18.75" customHeight="1">
      <c r="B529" s="341"/>
      <c r="C529" s="518" t="s">
        <v>1218</v>
      </c>
      <c r="D529" s="518"/>
      <c r="E529" s="518"/>
      <c r="F529" s="518"/>
      <c r="G529" s="518"/>
      <c r="H529" s="346"/>
      <c r="J529" s="346"/>
      <c r="K529" s="346"/>
      <c r="L529" s="346"/>
      <c r="M529" s="346"/>
      <c r="N529" s="346"/>
      <c r="O529" s="346"/>
      <c r="P529" s="346"/>
      <c r="Q529" s="346"/>
      <c r="R529" s="138"/>
      <c r="S529" s="346"/>
      <c r="T529" s="346"/>
      <c r="U529" s="346"/>
      <c r="W529" s="346"/>
      <c r="X529" s="370" t="s">
        <v>1076</v>
      </c>
      <c r="Y529" s="346"/>
      <c r="Z529" s="346"/>
      <c r="AA529" s="346"/>
      <c r="AB529" s="346"/>
      <c r="AC529" s="346"/>
      <c r="AD529" s="346"/>
      <c r="AE529" s="341"/>
      <c r="AF529" s="341"/>
      <c r="AG529" s="341"/>
      <c r="AH529" s="341"/>
      <c r="AI529" s="341"/>
      <c r="AJ529" s="341"/>
      <c r="AK529" s="341"/>
      <c r="AL529" s="341"/>
      <c r="AM529" s="341"/>
      <c r="AN529" s="341"/>
      <c r="AO529" s="341"/>
      <c r="AP529" s="341"/>
      <c r="AQ529" s="341"/>
      <c r="AR529" s="341"/>
      <c r="AS529" s="341"/>
      <c r="AT529" s="341"/>
      <c r="AU529" s="341"/>
      <c r="AV529" s="341"/>
      <c r="AW529" s="341"/>
      <c r="AX529" s="341"/>
      <c r="AY529" s="341"/>
      <c r="AZ529" s="341"/>
      <c r="BA529" s="341"/>
      <c r="BB529" s="341"/>
      <c r="BC529" s="341"/>
      <c r="BD529" s="341"/>
      <c r="BE529" s="341"/>
      <c r="BF529" s="341"/>
      <c r="BG529" s="341"/>
    </row>
    <row r="530" spans="2:59" s="135" customFormat="1" ht="18.75" customHeight="1">
      <c r="B530" s="341"/>
      <c r="C530" s="518"/>
      <c r="D530" s="518"/>
      <c r="E530" s="518"/>
      <c r="F530" s="518"/>
      <c r="G530" s="518"/>
      <c r="H530" s="346"/>
      <c r="I530" s="346"/>
      <c r="J530" s="346"/>
      <c r="K530" s="346"/>
      <c r="L530" s="346"/>
      <c r="M530" s="346"/>
      <c r="N530" s="346"/>
      <c r="O530" s="346"/>
      <c r="P530" s="346"/>
      <c r="Q530" s="346"/>
      <c r="R530" s="138"/>
      <c r="S530" s="346"/>
      <c r="T530" s="346"/>
      <c r="U530" s="346"/>
      <c r="V530" s="346"/>
      <c r="W530" s="346"/>
      <c r="X530" s="346"/>
      <c r="Y530" s="346"/>
      <c r="Z530" s="346"/>
      <c r="AA530" s="346"/>
      <c r="AB530" s="346"/>
      <c r="AC530" s="346"/>
      <c r="AD530" s="346"/>
      <c r="AE530" s="341"/>
      <c r="AF530" s="341"/>
      <c r="AG530" s="341"/>
      <c r="AH530" s="341"/>
      <c r="AI530" s="341"/>
      <c r="AJ530" s="341"/>
      <c r="AK530" s="341"/>
      <c r="AL530" s="341"/>
      <c r="AM530" s="341"/>
      <c r="AN530" s="341"/>
      <c r="AO530" s="341"/>
      <c r="AP530" s="341"/>
      <c r="AQ530" s="341"/>
      <c r="AR530" s="341"/>
      <c r="AS530" s="341"/>
      <c r="AT530" s="341"/>
      <c r="AU530" s="341"/>
      <c r="AV530" s="341"/>
      <c r="AW530" s="341"/>
      <c r="AX530" s="341"/>
      <c r="AY530" s="341"/>
      <c r="AZ530" s="341"/>
      <c r="BA530" s="341"/>
      <c r="BB530" s="341"/>
      <c r="BC530" s="341"/>
      <c r="BD530" s="341"/>
      <c r="BE530" s="341"/>
      <c r="BF530" s="341"/>
      <c r="BG530" s="341"/>
    </row>
    <row r="531" spans="2:59" s="135" customFormat="1" ht="18.75" customHeight="1">
      <c r="B531" s="341"/>
      <c r="C531" s="57"/>
      <c r="D531" s="346"/>
      <c r="E531" s="346"/>
      <c r="F531" s="346"/>
      <c r="G531" s="341"/>
      <c r="H531" s="346"/>
      <c r="I531" s="346"/>
      <c r="J531" s="346"/>
      <c r="K531" s="346"/>
      <c r="L531" s="346"/>
      <c r="M531" s="346"/>
      <c r="N531" s="346"/>
      <c r="O531" s="346"/>
      <c r="P531" s="346"/>
      <c r="Q531" s="346"/>
      <c r="R531" s="346"/>
      <c r="S531" s="346"/>
      <c r="T531" s="346"/>
      <c r="U531" s="346"/>
      <c r="V531" s="346"/>
      <c r="W531" s="346"/>
      <c r="X531" s="346"/>
      <c r="Y531" s="346"/>
      <c r="Z531" s="346"/>
      <c r="AA531" s="346"/>
      <c r="AB531" s="346"/>
      <c r="AC531" s="346"/>
      <c r="AD531" s="346"/>
      <c r="AE531" s="341"/>
      <c r="AF531" s="346"/>
      <c r="AG531" s="341"/>
      <c r="AH531" s="341"/>
      <c r="AI531" s="341"/>
      <c r="AJ531" s="341"/>
      <c r="AK531" s="341"/>
      <c r="AL531" s="341"/>
      <c r="AM531" s="341"/>
      <c r="AN531" s="341"/>
      <c r="AO531" s="341"/>
      <c r="AP531" s="341"/>
      <c r="AQ531" s="341"/>
      <c r="AR531" s="341"/>
      <c r="AS531" s="341"/>
      <c r="AT531" s="341"/>
      <c r="AU531" s="341"/>
      <c r="AV531" s="341"/>
      <c r="AW531" s="341"/>
      <c r="AX531" s="341"/>
      <c r="AY531" s="341"/>
      <c r="AZ531" s="341"/>
      <c r="BA531" s="341"/>
      <c r="BB531" s="341"/>
      <c r="BC531" s="341"/>
      <c r="BD531" s="341"/>
      <c r="BE531" s="341"/>
      <c r="BF531" s="341"/>
      <c r="BG531" s="341"/>
    </row>
    <row r="532" spans="2:59" s="135" customFormat="1" ht="18.75" customHeight="1">
      <c r="B532" s="57" t="s">
        <v>1219</v>
      </c>
      <c r="D532" s="346"/>
      <c r="E532" s="346"/>
      <c r="F532" s="346"/>
      <c r="G532" s="341"/>
      <c r="H532" s="346"/>
      <c r="I532" s="346"/>
      <c r="J532" s="346"/>
      <c r="K532" s="346"/>
      <c r="L532" s="346"/>
      <c r="M532" s="346"/>
      <c r="N532" s="346"/>
      <c r="O532" s="346"/>
      <c r="Q532" s="346"/>
      <c r="R532" s="202" t="s">
        <v>1220</v>
      </c>
      <c r="S532" s="346"/>
      <c r="T532" s="346"/>
      <c r="V532" s="346"/>
      <c r="W532" s="346"/>
      <c r="X532" s="346"/>
      <c r="Y532" s="346"/>
      <c r="Z532" s="346"/>
      <c r="AA532" s="346"/>
      <c r="AB532" s="346"/>
      <c r="AC532" s="346"/>
      <c r="AD532" s="346"/>
      <c r="AE532" s="341"/>
      <c r="AF532" s="346"/>
      <c r="AG532" s="341"/>
      <c r="AH532" s="341"/>
      <c r="AI532" s="341"/>
      <c r="AJ532" s="341"/>
      <c r="AK532" s="341"/>
      <c r="AL532" s="341"/>
      <c r="AM532" s="341"/>
      <c r="AN532" s="341"/>
      <c r="AO532" s="341"/>
      <c r="AP532" s="341"/>
      <c r="AQ532" s="341"/>
      <c r="AR532" s="341"/>
      <c r="AS532" s="341"/>
      <c r="AT532" s="341"/>
      <c r="AU532" s="341"/>
      <c r="AV532" s="341"/>
      <c r="AW532" s="341"/>
      <c r="AX532" s="341"/>
      <c r="AY532" s="341"/>
      <c r="AZ532" s="341"/>
      <c r="BA532" s="341"/>
      <c r="BB532" s="341"/>
      <c r="BC532" s="341"/>
      <c r="BD532" s="341"/>
      <c r="BE532" s="341"/>
      <c r="BF532" s="341"/>
      <c r="BG532" s="341"/>
    </row>
    <row r="533" spans="2:59" s="135" customFormat="1" ht="18.75" customHeight="1">
      <c r="B533" s="57"/>
      <c r="C533" s="346" t="s">
        <v>1221</v>
      </c>
      <c r="D533" s="346"/>
      <c r="E533" s="346"/>
      <c r="F533" s="346"/>
      <c r="G533" s="341"/>
      <c r="H533" s="346"/>
      <c r="I533" s="346"/>
      <c r="J533" s="346"/>
      <c r="K533" s="346"/>
      <c r="L533" s="346"/>
      <c r="M533" s="346"/>
      <c r="N533" s="346"/>
      <c r="O533" s="346"/>
      <c r="P533" s="346"/>
      <c r="Q533" s="346"/>
      <c r="R533" s="346"/>
      <c r="S533" s="346"/>
      <c r="T533" s="346"/>
      <c r="U533" s="202"/>
      <c r="V533" s="346"/>
      <c r="W533" s="346"/>
      <c r="X533" s="346"/>
      <c r="Y533" s="346"/>
      <c r="Z533" s="346"/>
      <c r="AA533" s="346"/>
      <c r="AB533" s="346"/>
      <c r="AC533" s="346"/>
      <c r="AD533" s="346"/>
      <c r="AE533" s="341"/>
      <c r="AF533" s="346"/>
      <c r="AG533" s="341"/>
      <c r="AH533" s="341"/>
      <c r="AI533" s="341"/>
      <c r="AJ533" s="341"/>
      <c r="AK533" s="341"/>
      <c r="AL533" s="341"/>
      <c r="AM533" s="341"/>
      <c r="AN533" s="341"/>
      <c r="AO533" s="341"/>
      <c r="AP533" s="341"/>
      <c r="AQ533" s="341"/>
      <c r="AR533" s="341"/>
      <c r="AS533" s="341"/>
      <c r="AT533" s="341"/>
      <c r="AU533" s="341"/>
      <c r="AV533" s="341"/>
      <c r="AW533" s="341"/>
      <c r="AX533" s="341"/>
      <c r="AY533" s="341"/>
      <c r="AZ533" s="341"/>
      <c r="BA533" s="341"/>
      <c r="BB533" s="341"/>
      <c r="BC533" s="341"/>
      <c r="BD533" s="341"/>
      <c r="BE533" s="341"/>
      <c r="BF533" s="341"/>
      <c r="BG533" s="341"/>
    </row>
    <row r="534" spans="2:59" s="135" customFormat="1" ht="18.75" customHeight="1">
      <c r="B534" s="57"/>
      <c r="D534" s="346" t="str">
        <f>"교정에 사용된 직각자의 직각도 허용값이 ±"&amp;I535*1000&amp;" μm 이므로 이에 대한 각도는 다음과 같다."</f>
        <v>교정에 사용된 직각자의 직각도 허용값이 ±5 μm 이므로 이에 대한 각도는 다음과 같다.</v>
      </c>
      <c r="E534" s="346"/>
      <c r="F534" s="346"/>
      <c r="G534" s="341"/>
      <c r="H534" s="346"/>
      <c r="I534" s="346"/>
      <c r="J534" s="346"/>
      <c r="K534" s="346"/>
      <c r="L534" s="346"/>
      <c r="M534" s="346"/>
      <c r="N534" s="346"/>
      <c r="O534" s="346"/>
      <c r="P534" s="346"/>
      <c r="Q534" s="346"/>
      <c r="R534" s="346"/>
      <c r="S534" s="346"/>
      <c r="T534" s="346"/>
      <c r="U534" s="202"/>
      <c r="V534" s="346"/>
      <c r="W534" s="346"/>
      <c r="X534" s="346"/>
      <c r="Y534" s="346"/>
      <c r="Z534" s="346"/>
      <c r="AA534" s="346"/>
      <c r="AB534" s="346"/>
      <c r="AC534" s="346"/>
      <c r="AD534" s="346"/>
      <c r="AE534" s="341"/>
      <c r="AF534" s="346"/>
      <c r="AG534" s="341"/>
      <c r="AH534" s="341"/>
      <c r="AI534" s="341"/>
      <c r="AJ534" s="341"/>
      <c r="AK534" s="341"/>
      <c r="AL534" s="341"/>
      <c r="AM534" s="341"/>
      <c r="AN534" s="341"/>
      <c r="AO534" s="341"/>
      <c r="AP534" s="341"/>
      <c r="AQ534" s="341"/>
      <c r="AR534" s="341"/>
      <c r="AS534" s="341"/>
      <c r="AT534" s="341"/>
      <c r="AU534" s="341"/>
      <c r="AV534" s="341"/>
      <c r="AW534" s="341"/>
      <c r="AX534" s="341"/>
      <c r="AY534" s="341"/>
      <c r="AZ534" s="341"/>
      <c r="BA534" s="341"/>
      <c r="BB534" s="341"/>
      <c r="BC534" s="341"/>
      <c r="BD534" s="341"/>
      <c r="BE534" s="341"/>
      <c r="BF534" s="341"/>
      <c r="BG534" s="341"/>
    </row>
    <row r="535" spans="2:59" s="135" customFormat="1" ht="18.75" customHeight="1">
      <c r="B535" s="57"/>
      <c r="C535" s="361"/>
      <c r="D535" s="346"/>
      <c r="E535" s="346"/>
      <c r="F535" s="346"/>
      <c r="G535" s="379" t="s">
        <v>1222</v>
      </c>
      <c r="H535" s="341" t="s">
        <v>1223</v>
      </c>
      <c r="I535" s="650">
        <f>Calcu!G219</f>
        <v>5.0000000000000001E-3</v>
      </c>
      <c r="J535" s="650"/>
      <c r="K535" s="650"/>
      <c r="L535" s="346" t="s">
        <v>1117</v>
      </c>
      <c r="M535" s="341"/>
      <c r="N535" s="341" t="s">
        <v>959</v>
      </c>
      <c r="O535" s="341" t="s">
        <v>901</v>
      </c>
      <c r="P535" s="518" t="e">
        <f ca="1">Calcu!H219</f>
        <v>#N/A</v>
      </c>
      <c r="Q535" s="518"/>
      <c r="R535" s="346" t="s">
        <v>804</v>
      </c>
      <c r="S535" s="341"/>
      <c r="T535" s="341" t="s">
        <v>1224</v>
      </c>
      <c r="U535" s="341" t="s">
        <v>845</v>
      </c>
      <c r="V535" s="518" t="e">
        <f ca="1">DEGREES(ATAN(I535/P535))</f>
        <v>#N/A</v>
      </c>
      <c r="W535" s="518"/>
      <c r="X535" s="518"/>
      <c r="Y535" s="346" t="s">
        <v>962</v>
      </c>
      <c r="Z535" s="382"/>
      <c r="AA535" s="346"/>
      <c r="AB535" s="341"/>
      <c r="AC535" s="341"/>
      <c r="AD535" s="346"/>
      <c r="AE535" s="346"/>
      <c r="AF535" s="346"/>
      <c r="AG535" s="341"/>
      <c r="AH535" s="341"/>
      <c r="AI535" s="341"/>
      <c r="AJ535" s="341"/>
      <c r="AK535" s="341"/>
      <c r="AL535" s="341"/>
      <c r="AM535" s="341"/>
      <c r="AN535" s="341"/>
      <c r="AO535" s="341"/>
      <c r="AP535" s="341"/>
      <c r="AQ535" s="341"/>
      <c r="AR535" s="341"/>
      <c r="AS535" s="341"/>
      <c r="AT535" s="341"/>
      <c r="AU535" s="341"/>
      <c r="AV535" s="341"/>
      <c r="AW535" s="341"/>
      <c r="AX535" s="341"/>
      <c r="AY535" s="341"/>
      <c r="AZ535" s="341"/>
      <c r="BA535" s="341"/>
      <c r="BB535" s="341"/>
      <c r="BC535" s="341"/>
      <c r="BD535" s="341"/>
      <c r="BE535" s="341"/>
      <c r="BF535" s="341"/>
      <c r="BG535" s="341"/>
    </row>
    <row r="536" spans="2:59" s="135" customFormat="1" ht="18.75" customHeight="1">
      <c r="B536" s="341"/>
      <c r="C536" s="353" t="s">
        <v>881</v>
      </c>
      <c r="D536" s="341"/>
      <c r="E536" s="341"/>
      <c r="F536" s="341"/>
      <c r="G536" s="341"/>
      <c r="H536" s="629">
        <f>H475</f>
        <v>0</v>
      </c>
      <c r="I536" s="629"/>
      <c r="J536" s="629"/>
      <c r="K536" s="629"/>
      <c r="L536" s="629"/>
      <c r="M536" s="576" t="str">
        <f>M475</f>
        <v>˚</v>
      </c>
      <c r="N536" s="576"/>
      <c r="O536" s="341"/>
      <c r="P536" s="341"/>
      <c r="Q536" s="341"/>
      <c r="R536" s="341"/>
      <c r="T536" s="346"/>
      <c r="U536" s="346"/>
      <c r="V536" s="346"/>
      <c r="W536" s="346"/>
      <c r="AC536" s="346"/>
      <c r="AD536" s="346"/>
      <c r="AE536" s="346"/>
      <c r="AF536" s="346"/>
      <c r="AG536" s="346"/>
      <c r="AH536" s="346"/>
      <c r="AI536" s="341"/>
      <c r="AJ536" s="341"/>
      <c r="AK536" s="341"/>
      <c r="AL536" s="341"/>
      <c r="AM536" s="341"/>
      <c r="AN536" s="341"/>
      <c r="AO536" s="341"/>
      <c r="AP536" s="341"/>
      <c r="AQ536" s="341"/>
      <c r="AR536" s="341"/>
      <c r="AS536" s="346"/>
      <c r="AT536" s="346"/>
      <c r="AU536" s="346"/>
      <c r="AV536" s="346"/>
      <c r="AW536" s="346"/>
      <c r="AX536" s="346"/>
      <c r="AY536" s="341"/>
      <c r="AZ536" s="341"/>
      <c r="BA536" s="341"/>
      <c r="BB536" s="341"/>
      <c r="BC536" s="341"/>
      <c r="BD536" s="341"/>
      <c r="BE536" s="341"/>
      <c r="BF536" s="341"/>
      <c r="BG536" s="341"/>
    </row>
    <row r="537" spans="2:59" s="135" customFormat="1" ht="18.75" customHeight="1">
      <c r="B537" s="341"/>
      <c r="C537" s="346" t="s">
        <v>1225</v>
      </c>
      <c r="D537" s="346"/>
      <c r="E537" s="346"/>
      <c r="F537" s="346"/>
      <c r="G537" s="346"/>
      <c r="H537" s="346"/>
      <c r="I537" s="341"/>
      <c r="J537" s="346" t="s">
        <v>1226</v>
      </c>
      <c r="K537" s="346"/>
      <c r="L537" s="346"/>
      <c r="M537" s="346"/>
      <c r="N537" s="346"/>
      <c r="O537" s="346"/>
      <c r="R537" s="352"/>
      <c r="S537" s="352"/>
      <c r="T537" s="352"/>
      <c r="U537" s="350"/>
      <c r="V537" s="341"/>
      <c r="AD537" s="346"/>
      <c r="AE537" s="346"/>
      <c r="AF537" s="341"/>
      <c r="AG537" s="341"/>
      <c r="AH537" s="341"/>
      <c r="AI537" s="341"/>
      <c r="AJ537" s="341"/>
      <c r="AK537" s="341"/>
      <c r="AL537" s="341"/>
      <c r="AM537" s="341"/>
      <c r="AN537" s="346"/>
      <c r="AO537" s="346"/>
      <c r="AP537" s="346"/>
      <c r="AQ537" s="346"/>
      <c r="AR537" s="346"/>
      <c r="AS537" s="346"/>
      <c r="AT537" s="346"/>
      <c r="AU537" s="346"/>
      <c r="AV537" s="346"/>
      <c r="AW537" s="346"/>
      <c r="AX537" s="346"/>
      <c r="AY537" s="341"/>
      <c r="AZ537" s="341"/>
      <c r="BA537" s="341"/>
      <c r="BB537" s="341"/>
      <c r="BC537" s="341"/>
      <c r="BD537" s="341"/>
      <c r="BE537" s="341"/>
      <c r="BF537" s="341"/>
      <c r="BG537" s="341"/>
    </row>
    <row r="538" spans="2:59" s="135" customFormat="1" ht="18.75" customHeight="1">
      <c r="B538" s="341"/>
      <c r="C538" s="346"/>
      <c r="D538" s="346"/>
      <c r="E538" s="346"/>
      <c r="F538" s="346"/>
      <c r="G538" s="346"/>
      <c r="H538" s="346"/>
      <c r="I538" s="346"/>
      <c r="K538" s="602" t="s">
        <v>1227</v>
      </c>
      <c r="L538" s="602"/>
      <c r="M538" s="602"/>
      <c r="N538" s="514" t="s">
        <v>1165</v>
      </c>
      <c r="O538" s="518" t="e">
        <f ca="1">V535</f>
        <v>#N/A</v>
      </c>
      <c r="P538" s="518"/>
      <c r="Q538" s="518"/>
      <c r="R538" s="346" t="s">
        <v>962</v>
      </c>
      <c r="S538" s="519" t="s">
        <v>845</v>
      </c>
      <c r="T538" s="629" t="e">
        <f ca="1">O538/SQRT(3)</f>
        <v>#N/A</v>
      </c>
      <c r="U538" s="629"/>
      <c r="V538" s="629"/>
      <c r="W538" s="653" t="s">
        <v>1197</v>
      </c>
      <c r="X538" s="360"/>
      <c r="Y538" s="346"/>
      <c r="Z538" s="341"/>
      <c r="AA538" s="341"/>
      <c r="AB538" s="341"/>
      <c r="AC538" s="341"/>
      <c r="AD538" s="341"/>
      <c r="AE538" s="341"/>
      <c r="AF538" s="341"/>
      <c r="AG538" s="341"/>
      <c r="AH538" s="341"/>
      <c r="AI538" s="341"/>
      <c r="AJ538" s="341"/>
      <c r="AK538" s="341"/>
      <c r="AL538" s="341"/>
      <c r="AM538" s="346"/>
      <c r="AN538" s="346"/>
      <c r="AO538" s="346"/>
      <c r="AP538" s="346"/>
      <c r="AQ538" s="346"/>
      <c r="AR538" s="346"/>
      <c r="AS538" s="346"/>
      <c r="AT538" s="346"/>
      <c r="AU538" s="341"/>
      <c r="AV538" s="341"/>
      <c r="AW538" s="341"/>
      <c r="AX538" s="341"/>
      <c r="AY538" s="341"/>
      <c r="AZ538" s="341"/>
      <c r="BA538" s="341"/>
      <c r="BB538" s="341"/>
      <c r="BC538" s="341"/>
    </row>
    <row r="539" spans="2:59" s="135" customFormat="1" ht="18.75" customHeight="1">
      <c r="B539" s="341"/>
      <c r="C539" s="346"/>
      <c r="D539" s="346"/>
      <c r="E539" s="346"/>
      <c r="F539" s="346"/>
      <c r="G539" s="346"/>
      <c r="H539" s="346"/>
      <c r="I539" s="346"/>
      <c r="J539" s="203"/>
      <c r="K539" s="602"/>
      <c r="L539" s="602"/>
      <c r="M539" s="602"/>
      <c r="N539" s="514"/>
      <c r="O539" s="609"/>
      <c r="P539" s="609"/>
      <c r="Q539" s="609"/>
      <c r="R539" s="609"/>
      <c r="S539" s="519"/>
      <c r="T539" s="629"/>
      <c r="U539" s="629"/>
      <c r="V539" s="629"/>
      <c r="W539" s="653"/>
      <c r="X539" s="360"/>
      <c r="Y539" s="346"/>
      <c r="Z539" s="341"/>
      <c r="AA539" s="341"/>
      <c r="AB539" s="341"/>
      <c r="AC539" s="341"/>
      <c r="AD539" s="341"/>
      <c r="AE539" s="341"/>
      <c r="AF539" s="341"/>
      <c r="AG539" s="341"/>
      <c r="AH539" s="341"/>
      <c r="AI539" s="341"/>
      <c r="AJ539" s="341"/>
      <c r="AK539" s="341"/>
      <c r="AL539" s="341"/>
      <c r="AM539" s="346"/>
      <c r="AN539" s="346"/>
      <c r="AO539" s="346"/>
      <c r="AP539" s="346"/>
      <c r="AQ539" s="346"/>
      <c r="AR539" s="346"/>
      <c r="AS539" s="346"/>
      <c r="AT539" s="346"/>
      <c r="AU539" s="341"/>
      <c r="AV539" s="341"/>
      <c r="AW539" s="341"/>
      <c r="AX539" s="341"/>
      <c r="AY539" s="341"/>
      <c r="AZ539" s="341"/>
      <c r="BA539" s="341"/>
      <c r="BB539" s="341"/>
      <c r="BC539" s="341"/>
    </row>
    <row r="540" spans="2:59" s="135" customFormat="1" ht="18.75" customHeight="1">
      <c r="B540" s="341"/>
      <c r="C540" s="346" t="s">
        <v>1228</v>
      </c>
      <c r="D540" s="346"/>
      <c r="E540" s="346"/>
      <c r="F540" s="346"/>
      <c r="G540" s="346"/>
      <c r="H540" s="346"/>
      <c r="I540" s="544" t="str">
        <f>AB475</f>
        <v>직사각형</v>
      </c>
      <c r="J540" s="544"/>
      <c r="K540" s="544"/>
      <c r="L540" s="544"/>
      <c r="M540" s="544"/>
      <c r="N540" s="544"/>
      <c r="O540" s="544"/>
      <c r="P540" s="544"/>
      <c r="Q540" s="346"/>
      <c r="R540" s="346"/>
      <c r="S540" s="346"/>
      <c r="T540" s="346"/>
      <c r="U540" s="346"/>
      <c r="V540" s="346"/>
      <c r="W540" s="346"/>
      <c r="X540" s="346"/>
      <c r="Y540" s="346"/>
      <c r="Z540" s="341"/>
      <c r="AA540" s="341"/>
      <c r="AB540" s="341"/>
      <c r="AC540" s="341"/>
      <c r="AD540" s="341"/>
      <c r="AE540" s="341"/>
      <c r="AF540" s="341"/>
      <c r="AG540" s="341"/>
      <c r="AH540" s="346"/>
      <c r="AI540" s="346"/>
      <c r="AJ540" s="346"/>
      <c r="AK540" s="346"/>
      <c r="AL540" s="346"/>
      <c r="AM540" s="346"/>
      <c r="AN540" s="346"/>
      <c r="AO540" s="346"/>
      <c r="AP540" s="346"/>
      <c r="AQ540" s="346"/>
      <c r="AR540" s="346"/>
      <c r="AS540" s="346"/>
      <c r="AT540" s="346"/>
      <c r="AU540" s="346"/>
      <c r="AV540" s="346"/>
      <c r="AW540" s="346"/>
      <c r="AX540" s="346"/>
      <c r="AY540" s="341"/>
      <c r="AZ540" s="341"/>
      <c r="BA540" s="341"/>
      <c r="BB540" s="341"/>
      <c r="BC540" s="341"/>
      <c r="BD540" s="341"/>
      <c r="BE540" s="341"/>
      <c r="BF540" s="341"/>
      <c r="BG540" s="341"/>
    </row>
    <row r="541" spans="2:59" s="135" customFormat="1" ht="18.75" customHeight="1">
      <c r="B541" s="341"/>
      <c r="C541" s="518" t="s">
        <v>1229</v>
      </c>
      <c r="D541" s="518"/>
      <c r="E541" s="518"/>
      <c r="F541" s="518"/>
      <c r="G541" s="518"/>
      <c r="H541" s="518"/>
      <c r="I541" s="346"/>
      <c r="J541" s="346"/>
      <c r="K541" s="346"/>
      <c r="L541" s="346"/>
      <c r="M541" s="346"/>
      <c r="N541" s="514">
        <f>AG475</f>
        <v>1</v>
      </c>
      <c r="O541" s="514"/>
      <c r="P541" s="142"/>
      <c r="Q541" s="142"/>
      <c r="R541" s="142"/>
      <c r="S541" s="346"/>
      <c r="T541" s="346"/>
      <c r="U541" s="346"/>
      <c r="V541" s="346"/>
      <c r="W541" s="346"/>
      <c r="X541" s="346"/>
      <c r="Y541" s="346"/>
      <c r="Z541" s="143"/>
      <c r="AA541" s="143"/>
      <c r="AB541" s="346"/>
      <c r="AC541" s="346"/>
      <c r="AD541" s="346"/>
      <c r="AE541" s="346"/>
      <c r="AF541" s="346"/>
      <c r="AG541" s="346"/>
      <c r="AH541" s="346"/>
      <c r="AI541" s="346"/>
      <c r="AJ541" s="346"/>
      <c r="AK541" s="346"/>
      <c r="AL541" s="341"/>
      <c r="AM541" s="341"/>
      <c r="AN541" s="341"/>
      <c r="AO541" s="346"/>
      <c r="AP541" s="346"/>
      <c r="AQ541" s="346"/>
      <c r="AR541" s="346"/>
      <c r="AS541" s="346"/>
      <c r="AT541" s="346"/>
      <c r="AU541" s="346"/>
      <c r="AV541" s="346"/>
      <c r="AW541" s="346"/>
      <c r="AX541" s="346"/>
      <c r="AY541" s="341"/>
      <c r="AZ541" s="341"/>
      <c r="BA541" s="341"/>
      <c r="BB541" s="341"/>
      <c r="BC541" s="341"/>
      <c r="BD541" s="341"/>
      <c r="BE541" s="341"/>
      <c r="BF541" s="341"/>
      <c r="BG541" s="341"/>
    </row>
    <row r="542" spans="2:59" s="135" customFormat="1" ht="18.75" customHeight="1">
      <c r="B542" s="341"/>
      <c r="C542" s="518"/>
      <c r="D542" s="518"/>
      <c r="E542" s="518"/>
      <c r="F542" s="518"/>
      <c r="G542" s="518"/>
      <c r="H542" s="518"/>
      <c r="I542" s="346"/>
      <c r="J542" s="346"/>
      <c r="K542" s="346"/>
      <c r="L542" s="346"/>
      <c r="M542" s="346"/>
      <c r="N542" s="514"/>
      <c r="O542" s="514"/>
      <c r="P542" s="142"/>
      <c r="Q542" s="142"/>
      <c r="R542" s="142"/>
      <c r="S542" s="346"/>
      <c r="T542" s="346"/>
      <c r="U542" s="346"/>
      <c r="V542" s="346"/>
      <c r="W542" s="346"/>
      <c r="X542" s="346"/>
      <c r="Y542" s="346"/>
      <c r="Z542" s="143"/>
      <c r="AA542" s="143"/>
      <c r="AB542" s="346"/>
      <c r="AC542" s="346"/>
      <c r="AD542" s="346"/>
      <c r="AE542" s="346"/>
      <c r="AF542" s="346"/>
      <c r="AG542" s="346"/>
      <c r="AH542" s="346"/>
      <c r="AI542" s="346"/>
      <c r="AJ542" s="346"/>
      <c r="AK542" s="346"/>
      <c r="AL542" s="341"/>
      <c r="AM542" s="341"/>
      <c r="AN542" s="341"/>
      <c r="AO542" s="346"/>
      <c r="AP542" s="346"/>
      <c r="AQ542" s="346"/>
      <c r="AR542" s="346"/>
      <c r="AS542" s="346"/>
      <c r="AT542" s="346"/>
      <c r="AU542" s="346"/>
      <c r="AV542" s="346"/>
      <c r="AW542" s="346"/>
      <c r="AX542" s="346"/>
      <c r="AY542" s="341"/>
      <c r="AZ542" s="341"/>
      <c r="BA542" s="341"/>
      <c r="BB542" s="341"/>
      <c r="BC542" s="341"/>
      <c r="BD542" s="341"/>
      <c r="BE542" s="341"/>
      <c r="BF542" s="341"/>
      <c r="BG542" s="341"/>
    </row>
    <row r="543" spans="2:59" s="135" customFormat="1" ht="18.75" customHeight="1">
      <c r="B543" s="341"/>
      <c r="C543" s="346" t="s">
        <v>885</v>
      </c>
      <c r="D543" s="346"/>
      <c r="E543" s="346"/>
      <c r="F543" s="346"/>
      <c r="G543" s="346"/>
      <c r="H543" s="346"/>
      <c r="I543" s="346"/>
      <c r="J543" s="341"/>
      <c r="K543" s="345" t="s">
        <v>850</v>
      </c>
      <c r="L543" s="517">
        <f>N541</f>
        <v>1</v>
      </c>
      <c r="M543" s="517"/>
      <c r="N543" s="346" t="s">
        <v>851</v>
      </c>
      <c r="O543" s="629" t="e">
        <f ca="1">T538</f>
        <v>#N/A</v>
      </c>
      <c r="P543" s="629"/>
      <c r="Q543" s="629"/>
      <c r="R543" s="371" t="s">
        <v>962</v>
      </c>
      <c r="S543" s="341" t="s">
        <v>850</v>
      </c>
      <c r="T543" s="341" t="s">
        <v>1165</v>
      </c>
      <c r="U543" s="610" t="e">
        <f ca="1">O543</f>
        <v>#N/A</v>
      </c>
      <c r="V543" s="610"/>
      <c r="W543" s="610"/>
      <c r="X543" s="371" t="s">
        <v>1230</v>
      </c>
      <c r="Y543" s="350"/>
      <c r="Z543" s="345"/>
      <c r="AA543" s="345"/>
      <c r="AB543" s="345"/>
      <c r="AC543" s="370"/>
      <c r="AD543" s="370"/>
      <c r="AE543" s="370"/>
      <c r="AF543" s="341"/>
      <c r="AG543" s="341"/>
      <c r="AH543" s="341"/>
      <c r="AI543" s="341"/>
      <c r="AJ543" s="341"/>
      <c r="AK543" s="346"/>
      <c r="AL543" s="341"/>
      <c r="AM543" s="341"/>
      <c r="AN543" s="341"/>
      <c r="AO543" s="346"/>
      <c r="AP543" s="346"/>
      <c r="AQ543" s="346"/>
      <c r="AR543" s="346"/>
      <c r="AS543" s="346"/>
      <c r="AT543" s="346"/>
      <c r="AU543" s="346"/>
      <c r="AV543" s="346"/>
      <c r="AW543" s="346"/>
      <c r="AX543" s="346"/>
      <c r="AY543" s="341"/>
      <c r="AZ543" s="341"/>
      <c r="BA543" s="341"/>
      <c r="BB543" s="341"/>
      <c r="BC543" s="341"/>
      <c r="BD543" s="341"/>
      <c r="BE543" s="341"/>
      <c r="BF543" s="341"/>
      <c r="BG543" s="341"/>
    </row>
    <row r="544" spans="2:59" s="135" customFormat="1" ht="18.75" customHeight="1">
      <c r="B544" s="341"/>
      <c r="C544" s="518" t="s">
        <v>1052</v>
      </c>
      <c r="D544" s="518"/>
      <c r="E544" s="518"/>
      <c r="F544" s="518"/>
      <c r="G544" s="518"/>
      <c r="H544" s="346"/>
      <c r="J544" s="346"/>
      <c r="K544" s="346"/>
      <c r="L544" s="346"/>
      <c r="M544" s="346"/>
      <c r="N544" s="346"/>
      <c r="O544" s="346"/>
      <c r="P544" s="346"/>
      <c r="Q544" s="346"/>
      <c r="R544" s="138"/>
      <c r="S544" s="346"/>
      <c r="T544" s="346"/>
      <c r="U544" s="346"/>
      <c r="W544" s="346"/>
      <c r="X544" s="370" t="s">
        <v>879</v>
      </c>
      <c r="Y544" s="346"/>
      <c r="Z544" s="346"/>
      <c r="AA544" s="346"/>
      <c r="AB544" s="346"/>
      <c r="AC544" s="346"/>
      <c r="AD544" s="346"/>
      <c r="AE544" s="341"/>
      <c r="AF544" s="341"/>
      <c r="AG544" s="341"/>
      <c r="AH544" s="341"/>
      <c r="AI544" s="341"/>
      <c r="AJ544" s="341"/>
      <c r="AK544" s="341"/>
      <c r="AL544" s="341"/>
      <c r="AM544" s="341"/>
      <c r="AN544" s="341"/>
      <c r="AO544" s="341"/>
      <c r="AP544" s="341"/>
      <c r="AQ544" s="341"/>
      <c r="AR544" s="341"/>
      <c r="AS544" s="341"/>
      <c r="AT544" s="341"/>
      <c r="AU544" s="341"/>
      <c r="AV544" s="341"/>
      <c r="AW544" s="341"/>
      <c r="AX544" s="341"/>
      <c r="AY544" s="341"/>
      <c r="AZ544" s="341"/>
      <c r="BA544" s="341"/>
      <c r="BB544" s="341"/>
      <c r="BC544" s="341"/>
      <c r="BD544" s="341"/>
      <c r="BE544" s="341"/>
      <c r="BF544" s="341"/>
      <c r="BG544" s="341"/>
    </row>
    <row r="545" spans="1:60" s="135" customFormat="1" ht="18.75" customHeight="1">
      <c r="B545" s="341"/>
      <c r="C545" s="518"/>
      <c r="D545" s="518"/>
      <c r="E545" s="518"/>
      <c r="F545" s="518"/>
      <c r="G545" s="518"/>
      <c r="H545" s="346"/>
      <c r="I545" s="346"/>
      <c r="J545" s="346"/>
      <c r="K545" s="346"/>
      <c r="L545" s="346"/>
      <c r="M545" s="346"/>
      <c r="N545" s="346"/>
      <c r="O545" s="346"/>
      <c r="P545" s="346"/>
      <c r="Q545" s="346"/>
      <c r="R545" s="138"/>
      <c r="S545" s="346"/>
      <c r="T545" s="346"/>
      <c r="U545" s="346"/>
      <c r="V545" s="346"/>
      <c r="W545" s="346"/>
      <c r="X545" s="346"/>
      <c r="Y545" s="346"/>
      <c r="Z545" s="346"/>
      <c r="AA545" s="346"/>
      <c r="AB545" s="346"/>
      <c r="AC545" s="346"/>
      <c r="AD545" s="346"/>
      <c r="AE545" s="341"/>
      <c r="AF545" s="341"/>
      <c r="AG545" s="341"/>
      <c r="AH545" s="341"/>
      <c r="AI545" s="341"/>
      <c r="AJ545" s="341"/>
      <c r="AK545" s="341"/>
      <c r="AL545" s="341"/>
      <c r="AM545" s="341"/>
      <c r="AN545" s="341"/>
      <c r="AO545" s="341"/>
      <c r="AP545" s="341"/>
      <c r="AQ545" s="341"/>
      <c r="AR545" s="341"/>
      <c r="AS545" s="341"/>
      <c r="AT545" s="341"/>
      <c r="AU545" s="341"/>
      <c r="AV545" s="341"/>
      <c r="AW545" s="341"/>
      <c r="AX545" s="341"/>
      <c r="AY545" s="341"/>
      <c r="AZ545" s="341"/>
      <c r="BA545" s="341"/>
      <c r="BB545" s="341"/>
      <c r="BC545" s="341"/>
      <c r="BD545" s="341"/>
      <c r="BE545" s="341"/>
      <c r="BF545" s="341"/>
      <c r="BG545" s="341"/>
    </row>
    <row r="546" spans="1:60" s="135" customFormat="1" ht="18.75" customHeight="1">
      <c r="B546" s="341"/>
      <c r="C546" s="57"/>
      <c r="D546" s="346"/>
      <c r="E546" s="346"/>
      <c r="F546" s="346"/>
      <c r="G546" s="341"/>
      <c r="H546" s="346"/>
      <c r="I546" s="346"/>
      <c r="J546" s="346"/>
      <c r="K546" s="346"/>
      <c r="L546" s="346"/>
      <c r="M546" s="346"/>
      <c r="N546" s="346"/>
      <c r="O546" s="346"/>
      <c r="P546" s="346"/>
      <c r="Q546" s="346"/>
      <c r="R546" s="346"/>
      <c r="S546" s="346"/>
      <c r="T546" s="346"/>
      <c r="U546" s="346"/>
      <c r="V546" s="346"/>
      <c r="W546" s="346"/>
      <c r="X546" s="346"/>
      <c r="Y546" s="346"/>
      <c r="Z546" s="346"/>
      <c r="AA546" s="346"/>
      <c r="AB546" s="346"/>
      <c r="AC546" s="346"/>
      <c r="AD546" s="346"/>
      <c r="AE546" s="341"/>
      <c r="AF546" s="346"/>
      <c r="AG546" s="341"/>
      <c r="AH546" s="341"/>
      <c r="AI546" s="341"/>
      <c r="AJ546" s="341"/>
      <c r="AK546" s="341"/>
      <c r="AL546" s="341"/>
      <c r="AM546" s="341"/>
      <c r="AN546" s="341"/>
      <c r="AO546" s="341"/>
      <c r="AP546" s="341"/>
      <c r="AQ546" s="341"/>
      <c r="AR546" s="341"/>
      <c r="AS546" s="341"/>
      <c r="AT546" s="341"/>
      <c r="AU546" s="341"/>
      <c r="AV546" s="341"/>
      <c r="AW546" s="341"/>
      <c r="AX546" s="341"/>
      <c r="AY546" s="341"/>
      <c r="AZ546" s="341"/>
      <c r="BA546" s="341"/>
      <c r="BB546" s="341"/>
      <c r="BC546" s="341"/>
      <c r="BD546" s="341"/>
      <c r="BE546" s="341"/>
      <c r="BF546" s="341"/>
      <c r="BG546" s="341"/>
    </row>
    <row r="547" spans="1:60" s="135" customFormat="1" ht="18.75" customHeight="1">
      <c r="A547" s="57" t="s">
        <v>1231</v>
      </c>
      <c r="B547" s="341"/>
      <c r="C547" s="341"/>
      <c r="D547" s="341"/>
      <c r="E547" s="341"/>
      <c r="F547" s="341"/>
      <c r="G547" s="341"/>
      <c r="H547" s="341"/>
      <c r="I547" s="341"/>
      <c r="J547" s="341"/>
      <c r="K547" s="341"/>
      <c r="L547" s="341"/>
      <c r="M547" s="341"/>
      <c r="N547" s="341"/>
      <c r="O547" s="341"/>
      <c r="P547" s="341"/>
      <c r="Q547" s="341"/>
      <c r="R547" s="341"/>
      <c r="S547" s="341"/>
      <c r="T547" s="341"/>
      <c r="U547" s="341"/>
      <c r="V547" s="341"/>
      <c r="W547" s="341"/>
      <c r="X547" s="341"/>
      <c r="Y547" s="341"/>
      <c r="Z547" s="341"/>
      <c r="AA547" s="341"/>
      <c r="AB547" s="341"/>
      <c r="AC547" s="341"/>
      <c r="AD547" s="341"/>
      <c r="AE547" s="341"/>
      <c r="AF547" s="341"/>
      <c r="AG547" s="341"/>
      <c r="AH547" s="341"/>
      <c r="AI547" s="341"/>
      <c r="AJ547" s="341"/>
      <c r="AK547" s="341"/>
      <c r="AL547" s="341"/>
      <c r="AM547" s="341"/>
      <c r="AN547" s="341"/>
      <c r="AO547" s="341"/>
      <c r="AP547" s="341"/>
      <c r="AQ547" s="341"/>
      <c r="AR547" s="341"/>
      <c r="AS547" s="341"/>
      <c r="AT547" s="341"/>
      <c r="AU547" s="341"/>
      <c r="AV547" s="341"/>
      <c r="AW547" s="341"/>
      <c r="AX547" s="341"/>
      <c r="AY547" s="341"/>
      <c r="AZ547" s="341"/>
      <c r="BA547" s="341"/>
      <c r="BB547" s="341"/>
      <c r="BC547" s="341"/>
      <c r="BD547" s="341"/>
      <c r="BE547" s="341"/>
      <c r="BF547" s="341"/>
    </row>
    <row r="548" spans="1:60" s="135" customFormat="1" ht="18.75" customHeight="1">
      <c r="A548" s="341"/>
      <c r="B548" s="341"/>
      <c r="C548" s="341"/>
      <c r="D548" s="341"/>
      <c r="E548" s="341"/>
      <c r="F548" s="341"/>
      <c r="G548" s="341"/>
      <c r="H548" s="341"/>
      <c r="I548" s="341"/>
      <c r="J548" s="341"/>
      <c r="K548" s="341"/>
      <c r="L548" s="341"/>
      <c r="M548" s="341"/>
      <c r="N548" s="341"/>
      <c r="O548" s="341"/>
      <c r="P548" s="341"/>
      <c r="Q548" s="341"/>
      <c r="R548" s="341"/>
      <c r="S548" s="341"/>
      <c r="T548" s="341"/>
      <c r="U548" s="341"/>
      <c r="V548" s="341"/>
      <c r="W548" s="341"/>
      <c r="X548" s="341"/>
      <c r="Y548" s="341"/>
      <c r="Z548" s="341"/>
      <c r="AA548" s="341"/>
      <c r="AB548" s="341"/>
      <c r="AC548" s="341"/>
      <c r="AD548" s="341"/>
      <c r="AE548" s="346"/>
      <c r="AF548" s="341"/>
      <c r="AG548" s="341"/>
      <c r="AH548" s="341"/>
      <c r="AI548" s="341"/>
      <c r="AJ548" s="341"/>
      <c r="AK548" s="346"/>
      <c r="AL548" s="346"/>
      <c r="AM548" s="363"/>
      <c r="AN548" s="363"/>
      <c r="AO548" s="363"/>
      <c r="AP548" s="363"/>
      <c r="AQ548" s="346"/>
      <c r="AR548" s="341"/>
      <c r="AT548" s="369"/>
      <c r="AU548" s="369"/>
      <c r="AV548" s="369"/>
      <c r="AW548" s="346"/>
      <c r="AX548" s="346"/>
      <c r="AY548" s="341"/>
      <c r="BA548" s="341"/>
      <c r="BB548" s="341"/>
      <c r="BC548" s="341"/>
      <c r="BD548" s="341"/>
      <c r="BE548" s="341"/>
      <c r="BF548" s="341"/>
    </row>
    <row r="549" spans="1:60" s="135" customFormat="1" ht="18.75" customHeight="1">
      <c r="A549" s="341"/>
      <c r="B549" s="341"/>
      <c r="C549" s="341"/>
      <c r="D549" s="341"/>
      <c r="E549" s="341" t="s">
        <v>845</v>
      </c>
      <c r="F549" s="654" t="e">
        <f ca="1">AP471</f>
        <v>#N/A</v>
      </c>
      <c r="G549" s="654"/>
      <c r="H549" s="654"/>
      <c r="I549" s="654"/>
      <c r="J549" s="346"/>
      <c r="K549" s="341" t="s">
        <v>1097</v>
      </c>
      <c r="L549" s="654">
        <f>AP472</f>
        <v>0</v>
      </c>
      <c r="M549" s="654"/>
      <c r="N549" s="654"/>
      <c r="O549" s="654"/>
      <c r="P549" s="346"/>
      <c r="Q549" s="341" t="s">
        <v>1097</v>
      </c>
      <c r="R549" s="654">
        <f>AP473</f>
        <v>0</v>
      </c>
      <c r="S549" s="654"/>
      <c r="T549" s="654"/>
      <c r="U549" s="654"/>
      <c r="V549" s="346"/>
      <c r="W549" s="341" t="s">
        <v>905</v>
      </c>
      <c r="X549" s="654" t="e">
        <f ca="1">AP474</f>
        <v>#N/A</v>
      </c>
      <c r="Y549" s="654"/>
      <c r="Z549" s="654"/>
      <c r="AA549" s="654"/>
      <c r="AB549" s="346"/>
      <c r="AC549" s="341" t="s">
        <v>1097</v>
      </c>
      <c r="AD549" s="654" t="e">
        <f ca="1">AP475</f>
        <v>#N/A</v>
      </c>
      <c r="AE549" s="654"/>
      <c r="AF549" s="654"/>
      <c r="AG549" s="654"/>
      <c r="AH549" s="346"/>
      <c r="AI549" s="341"/>
      <c r="AJ549" s="341"/>
      <c r="AK549" s="343"/>
      <c r="AL549" s="343"/>
      <c r="AM549" s="343"/>
      <c r="AN549" s="343"/>
      <c r="AO549" s="346"/>
      <c r="AP549" s="341"/>
      <c r="AS549" s="341"/>
      <c r="AT549" s="341"/>
      <c r="AU549" s="341"/>
      <c r="AV549" s="341"/>
      <c r="AW549" s="341"/>
      <c r="AX549" s="341"/>
      <c r="AY549" s="341"/>
      <c r="AZ549" s="341"/>
      <c r="BA549" s="341"/>
      <c r="BB549" s="341"/>
      <c r="BC549" s="341"/>
      <c r="BD549" s="341"/>
    </row>
    <row r="550" spans="1:60" s="58" customFormat="1" ht="18.75" customHeight="1">
      <c r="A550" s="346"/>
      <c r="B550" s="346"/>
      <c r="C550" s="346"/>
      <c r="D550" s="346"/>
      <c r="E550" s="341" t="s">
        <v>1019</v>
      </c>
      <c r="F550" s="654" t="e">
        <f ca="1">AP476</f>
        <v>#N/A</v>
      </c>
      <c r="G550" s="654"/>
      <c r="H550" s="654"/>
      <c r="I550" s="654"/>
      <c r="J550" s="346"/>
      <c r="K550" s="341"/>
      <c r="L550" s="341"/>
      <c r="M550" s="342"/>
      <c r="N550" s="342"/>
      <c r="O550" s="342"/>
      <c r="P550" s="346"/>
      <c r="Q550" s="346"/>
      <c r="R550" s="341"/>
      <c r="S550" s="135"/>
      <c r="T550" s="346"/>
      <c r="U550" s="346"/>
      <c r="V550" s="346"/>
      <c r="W550" s="346"/>
      <c r="X550" s="346"/>
      <c r="Y550" s="346"/>
      <c r="Z550" s="346"/>
      <c r="AA550" s="346"/>
      <c r="AB550" s="346"/>
      <c r="AC550" s="346"/>
      <c r="AI550" s="346"/>
      <c r="AJ550" s="346"/>
      <c r="AK550" s="346"/>
      <c r="AL550" s="346"/>
      <c r="AM550" s="346"/>
      <c r="AN550" s="346"/>
      <c r="AO550" s="346"/>
      <c r="AP550" s="346"/>
      <c r="AQ550" s="346"/>
      <c r="AR550" s="346"/>
      <c r="AS550" s="346"/>
      <c r="AT550" s="346"/>
      <c r="AU550" s="346"/>
      <c r="AV550" s="346"/>
      <c r="AW550" s="346"/>
      <c r="AX550" s="346"/>
      <c r="AY550" s="346"/>
      <c r="AZ550" s="346"/>
      <c r="BA550" s="346"/>
      <c r="BB550" s="346"/>
      <c r="BC550" s="346"/>
      <c r="BD550" s="346"/>
      <c r="BE550" s="346"/>
      <c r="BF550" s="346"/>
      <c r="BG550" s="346"/>
      <c r="BH550" s="346"/>
    </row>
    <row r="551" spans="1:60" s="58" customFormat="1" ht="18.75" customHeight="1">
      <c r="A551" s="346"/>
      <c r="B551" s="346"/>
      <c r="C551" s="346"/>
      <c r="D551" s="349"/>
      <c r="E551" s="349"/>
      <c r="K551" s="145"/>
      <c r="L551" s="145"/>
      <c r="M551" s="145"/>
      <c r="N551" s="145"/>
      <c r="O551" s="346"/>
      <c r="P551" s="346"/>
      <c r="Q551" s="346"/>
      <c r="R551" s="346"/>
      <c r="S551" s="346"/>
      <c r="T551" s="346"/>
      <c r="U551" s="346"/>
      <c r="V551" s="346"/>
      <c r="W551" s="346"/>
      <c r="X551" s="346"/>
      <c r="Y551" s="346"/>
      <c r="Z551" s="346"/>
      <c r="AA551" s="346"/>
      <c r="AB551" s="346"/>
      <c r="AC551" s="346"/>
      <c r="AD551" s="346"/>
      <c r="AE551" s="346"/>
      <c r="AF551" s="346"/>
      <c r="AG551" s="346"/>
      <c r="AH551" s="346"/>
      <c r="AI551" s="346"/>
      <c r="AJ551" s="346"/>
      <c r="AK551" s="346"/>
      <c r="AL551" s="346"/>
      <c r="AM551" s="346"/>
      <c r="AN551" s="346"/>
      <c r="AO551" s="346"/>
      <c r="AP551" s="346"/>
      <c r="AQ551" s="346"/>
      <c r="AR551" s="346"/>
      <c r="AS551" s="346"/>
      <c r="AT551" s="346"/>
      <c r="AU551" s="346"/>
      <c r="AV551" s="346"/>
      <c r="AW551" s="346"/>
      <c r="AX551" s="346"/>
      <c r="AY551" s="346"/>
      <c r="AZ551" s="346"/>
      <c r="BA551" s="346"/>
      <c r="BB551" s="346"/>
      <c r="BC551" s="346"/>
      <c r="BD551" s="346"/>
      <c r="BE551" s="346"/>
      <c r="BF551" s="346"/>
    </row>
    <row r="552" spans="1:60" s="135" customFormat="1" ht="18.75" customHeight="1">
      <c r="A552" s="341"/>
      <c r="B552" s="341"/>
      <c r="C552" s="341"/>
      <c r="D552" s="379" t="s">
        <v>1232</v>
      </c>
      <c r="E552" s="341" t="s">
        <v>1233</v>
      </c>
      <c r="F552" s="654" t="e">
        <f ca="1">F550</f>
        <v>#N/A</v>
      </c>
      <c r="G552" s="654"/>
      <c r="H552" s="654"/>
      <c r="I552" s="654"/>
      <c r="J552" s="346"/>
      <c r="K552" s="344"/>
      <c r="L552" s="345"/>
      <c r="M552" s="345"/>
      <c r="N552" s="370"/>
      <c r="O552" s="370"/>
      <c r="P552" s="370"/>
      <c r="Q552" s="346"/>
      <c r="R552" s="346"/>
      <c r="T552" s="346"/>
      <c r="U552" s="346"/>
      <c r="V552" s="346"/>
      <c r="W552" s="346"/>
      <c r="X552" s="346"/>
      <c r="Y552" s="341"/>
      <c r="Z552" s="341"/>
      <c r="AA552" s="341"/>
      <c r="AB552" s="341"/>
      <c r="AC552" s="341"/>
      <c r="AD552" s="341"/>
      <c r="AE552" s="346"/>
      <c r="AF552" s="341"/>
      <c r="AG552" s="341"/>
      <c r="AH552" s="341"/>
      <c r="AI552" s="341"/>
      <c r="AJ552" s="341"/>
      <c r="AK552" s="341"/>
      <c r="AL552" s="341"/>
      <c r="AM552" s="341"/>
      <c r="AN552" s="341"/>
      <c r="AO552" s="341"/>
      <c r="AP552" s="341"/>
      <c r="AQ552" s="341"/>
      <c r="AR552" s="341"/>
      <c r="AS552" s="341"/>
      <c r="AT552" s="341"/>
      <c r="AU552" s="341"/>
      <c r="AV552" s="341"/>
      <c r="AW552" s="341"/>
      <c r="AX552" s="341"/>
      <c r="AY552" s="341"/>
      <c r="AZ552" s="341"/>
      <c r="BA552" s="341"/>
      <c r="BB552" s="341"/>
      <c r="BC552" s="341"/>
      <c r="BD552" s="341"/>
      <c r="BE552" s="341"/>
      <c r="BF552" s="341"/>
    </row>
    <row r="553" spans="1:60" s="346" customFormat="1" ht="18.75" customHeight="1"/>
    <row r="554" spans="1:60" ht="18.75" customHeight="1">
      <c r="A554" s="57" t="s">
        <v>1234</v>
      </c>
      <c r="B554" s="370"/>
      <c r="C554" s="370"/>
      <c r="D554" s="370"/>
      <c r="E554" s="370"/>
      <c r="F554" s="370"/>
      <c r="G554" s="370"/>
      <c r="H554" s="370"/>
      <c r="I554" s="370"/>
      <c r="J554" s="370"/>
      <c r="K554" s="370"/>
      <c r="L554" s="370"/>
      <c r="M554" s="370"/>
      <c r="N554" s="370"/>
      <c r="O554" s="370"/>
      <c r="P554" s="370"/>
      <c r="Q554" s="370"/>
      <c r="R554" s="370"/>
      <c r="S554" s="370"/>
      <c r="T554" s="370"/>
      <c r="U554" s="370"/>
      <c r="V554" s="370"/>
      <c r="W554" s="370"/>
      <c r="X554" s="370"/>
      <c r="Y554" s="370"/>
      <c r="Z554" s="370"/>
      <c r="AA554" s="370"/>
      <c r="AB554" s="370"/>
      <c r="AC554" s="370"/>
      <c r="AD554" s="370"/>
      <c r="AE554" s="370"/>
      <c r="AF554" s="370"/>
      <c r="AG554" s="370"/>
      <c r="AH554" s="370"/>
      <c r="AI554" s="370"/>
      <c r="AJ554" s="370"/>
      <c r="AK554" s="370"/>
      <c r="AL554" s="370"/>
      <c r="AM554" s="370"/>
      <c r="AN554" s="370"/>
      <c r="AO554" s="370"/>
      <c r="AP554" s="370"/>
      <c r="AQ554" s="370"/>
      <c r="AR554" s="370"/>
      <c r="AS554" s="370"/>
      <c r="AZ554" s="370"/>
      <c r="BA554" s="370"/>
      <c r="BB554" s="370"/>
      <c r="BC554" s="370"/>
      <c r="BD554" s="370"/>
      <c r="BE554" s="370"/>
      <c r="BF554" s="370"/>
    </row>
    <row r="555" spans="1:60" ht="18.75" customHeight="1">
      <c r="A555" s="370"/>
      <c r="B555" s="370"/>
      <c r="C555" s="370"/>
      <c r="D555" s="370"/>
      <c r="E555" s="370"/>
      <c r="F555" s="370"/>
      <c r="G555" s="370"/>
      <c r="H555" s="370"/>
      <c r="I555" s="370"/>
      <c r="J555" s="370"/>
      <c r="K555" s="370"/>
      <c r="L555" s="655" t="e">
        <f ca="1">AP476</f>
        <v>#N/A</v>
      </c>
      <c r="M555" s="655"/>
      <c r="N555" s="655"/>
      <c r="O555" s="655"/>
      <c r="P555" s="655"/>
      <c r="Q555" s="655"/>
      <c r="R555" s="655"/>
      <c r="S555" s="655"/>
      <c r="T555" s="655"/>
      <c r="U555" s="655"/>
      <c r="V555" s="655"/>
      <c r="W555" s="655"/>
      <c r="X555" s="655"/>
      <c r="Y555" s="655"/>
      <c r="Z555" s="655"/>
      <c r="AA555" s="655"/>
      <c r="AB555" s="655"/>
      <c r="AC555" s="655"/>
      <c r="AD555" s="655"/>
      <c r="AE555" s="655"/>
      <c r="AF555" s="655"/>
      <c r="AG555" s="655"/>
      <c r="AH555" s="655"/>
      <c r="AI555" s="655"/>
      <c r="AJ555" s="514" t="s">
        <v>1019</v>
      </c>
      <c r="AK555" s="614" t="e">
        <f ca="1">TRIM(BC476)</f>
        <v>#N/A</v>
      </c>
      <c r="AL555" s="614"/>
      <c r="AM555" s="614"/>
      <c r="AN555" s="614"/>
      <c r="AO555" s="614"/>
      <c r="AP555" s="146"/>
      <c r="AY555" s="58"/>
      <c r="AZ555" s="58"/>
      <c r="BA555" s="58"/>
      <c r="BB555" s="58"/>
      <c r="BC555" s="58"/>
    </row>
    <row r="556" spans="1:60" ht="18.75" customHeight="1">
      <c r="A556" s="370"/>
      <c r="B556" s="370"/>
      <c r="C556" s="370"/>
      <c r="D556" s="370"/>
      <c r="E556" s="370"/>
      <c r="F556" s="370"/>
      <c r="G556" s="370"/>
      <c r="H556" s="370"/>
      <c r="I556" s="370"/>
      <c r="J556" s="370"/>
      <c r="K556" s="370"/>
      <c r="L556" s="656" t="e">
        <f ca="1">AP471</f>
        <v>#N/A</v>
      </c>
      <c r="M556" s="656"/>
      <c r="N556" s="656"/>
      <c r="O556" s="656"/>
      <c r="P556" s="514" t="s">
        <v>1097</v>
      </c>
      <c r="Q556" s="656">
        <f>AP472</f>
        <v>0</v>
      </c>
      <c r="R556" s="656"/>
      <c r="S556" s="656"/>
      <c r="T556" s="656"/>
      <c r="U556" s="514" t="s">
        <v>1097</v>
      </c>
      <c r="V556" s="656">
        <f>AP473</f>
        <v>0</v>
      </c>
      <c r="W556" s="656"/>
      <c r="X556" s="656"/>
      <c r="Y556" s="656"/>
      <c r="Z556" s="514" t="s">
        <v>1097</v>
      </c>
      <c r="AA556" s="656" t="e">
        <f ca="1">AP474</f>
        <v>#N/A</v>
      </c>
      <c r="AB556" s="656"/>
      <c r="AC556" s="656"/>
      <c r="AD556" s="656"/>
      <c r="AE556" s="514" t="s">
        <v>1097</v>
      </c>
      <c r="AF556" s="656" t="e">
        <f ca="1">AP475</f>
        <v>#N/A</v>
      </c>
      <c r="AG556" s="656"/>
      <c r="AH556" s="656"/>
      <c r="AI556" s="656"/>
      <c r="AJ556" s="514"/>
      <c r="AK556" s="614"/>
      <c r="AL556" s="614"/>
      <c r="AM556" s="614"/>
      <c r="AN556" s="614"/>
      <c r="AO556" s="614"/>
      <c r="AP556" s="146"/>
    </row>
    <row r="557" spans="1:60" ht="18.75" customHeight="1">
      <c r="A557" s="370"/>
      <c r="B557" s="370"/>
      <c r="C557" s="370"/>
      <c r="D557" s="370"/>
      <c r="E557" s="370"/>
      <c r="F557" s="370"/>
      <c r="G557" s="370"/>
      <c r="H557" s="370"/>
      <c r="I557" s="370"/>
      <c r="J557" s="370"/>
      <c r="K557" s="370"/>
      <c r="L557" s="514" t="str">
        <f>BC471</f>
        <v>∞</v>
      </c>
      <c r="M557" s="514"/>
      <c r="N557" s="514"/>
      <c r="O557" s="514"/>
      <c r="P557" s="514"/>
      <c r="Q557" s="514">
        <f>BC472</f>
        <v>4</v>
      </c>
      <c r="R557" s="514"/>
      <c r="S557" s="514"/>
      <c r="T557" s="514"/>
      <c r="U557" s="514"/>
      <c r="V557" s="514" t="str">
        <f>BC473</f>
        <v>∞</v>
      </c>
      <c r="W557" s="514"/>
      <c r="X557" s="514"/>
      <c r="Y557" s="514"/>
      <c r="Z557" s="514"/>
      <c r="AA557" s="514">
        <f>BC474</f>
        <v>12</v>
      </c>
      <c r="AB557" s="514"/>
      <c r="AC557" s="514"/>
      <c r="AD557" s="514"/>
      <c r="AE557" s="514"/>
      <c r="AF557" s="514">
        <f>BC475</f>
        <v>12</v>
      </c>
      <c r="AG557" s="514"/>
      <c r="AH557" s="514"/>
      <c r="AI557" s="514"/>
    </row>
    <row r="558" spans="1:60" ht="18.75" customHeight="1">
      <c r="A558" s="370"/>
      <c r="B558" s="370"/>
      <c r="C558" s="370"/>
      <c r="D558" s="370"/>
      <c r="E558" s="370"/>
      <c r="F558" s="370"/>
      <c r="G558" s="370"/>
      <c r="H558" s="370"/>
      <c r="I558" s="370"/>
      <c r="J558" s="370"/>
      <c r="K558" s="370"/>
      <c r="L558" s="370"/>
      <c r="M558" s="370"/>
      <c r="N558" s="370"/>
      <c r="O558" s="370"/>
      <c r="P558" s="370"/>
      <c r="Q558" s="370"/>
      <c r="R558" s="370"/>
      <c r="S558" s="370"/>
      <c r="T558" s="370"/>
      <c r="U558" s="370"/>
      <c r="V558" s="370"/>
      <c r="W558" s="370"/>
      <c r="X558" s="370"/>
      <c r="Y558" s="370"/>
      <c r="Z558" s="370"/>
      <c r="AA558" s="370"/>
      <c r="AB558" s="370"/>
      <c r="AC558" s="370"/>
      <c r="AD558" s="370"/>
      <c r="AE558" s="370"/>
      <c r="AF558" s="370"/>
      <c r="AG558" s="370"/>
      <c r="AH558" s="370"/>
      <c r="AI558" s="370"/>
      <c r="AJ558" s="370"/>
      <c r="AK558" s="370"/>
      <c r="AL558" s="370"/>
      <c r="AM558" s="370"/>
      <c r="AN558" s="370"/>
      <c r="AO558" s="370"/>
      <c r="AP558" s="370"/>
      <c r="AQ558" s="370"/>
      <c r="AR558" s="370"/>
      <c r="AS558" s="370"/>
      <c r="AT558" s="370"/>
      <c r="AU558" s="370"/>
      <c r="AV558" s="370"/>
      <c r="AW558" s="370"/>
      <c r="AX558" s="370"/>
      <c r="AY558" s="370"/>
      <c r="AZ558" s="370"/>
      <c r="BA558" s="370"/>
      <c r="BB558" s="370"/>
      <c r="BC558" s="370"/>
      <c r="BD558" s="370"/>
      <c r="BE558" s="370"/>
      <c r="BF558" s="370"/>
      <c r="BG558" s="370"/>
      <c r="BH558" s="370"/>
    </row>
    <row r="559" spans="1:60" ht="18.75" customHeight="1">
      <c r="A559" s="57" t="s">
        <v>1126</v>
      </c>
      <c r="B559" s="370"/>
      <c r="C559" s="370"/>
      <c r="D559" s="370"/>
      <c r="E559" s="370"/>
      <c r="F559" s="370"/>
      <c r="G559" s="370"/>
      <c r="H559" s="370"/>
      <c r="I559" s="370"/>
      <c r="J559" s="370"/>
      <c r="K559" s="370"/>
      <c r="L559" s="370"/>
      <c r="M559" s="370"/>
      <c r="N559" s="370"/>
      <c r="O559" s="370"/>
      <c r="P559" s="370"/>
      <c r="Q559" s="370"/>
      <c r="R559" s="370"/>
      <c r="S559" s="370"/>
      <c r="T559" s="370"/>
      <c r="U559" s="370"/>
      <c r="V559" s="370"/>
      <c r="W559" s="370"/>
      <c r="X559" s="370"/>
      <c r="Y559" s="370"/>
      <c r="Z559" s="370"/>
      <c r="AA559" s="370"/>
      <c r="AB559" s="370"/>
      <c r="AC559" s="370"/>
      <c r="AD559" s="370"/>
      <c r="AE559" s="370"/>
      <c r="AF559" s="370"/>
      <c r="AG559" s="370"/>
      <c r="AH559" s="370"/>
      <c r="AI559" s="370"/>
      <c r="AJ559" s="370"/>
      <c r="AK559" s="370"/>
      <c r="AL559" s="370"/>
      <c r="AM559" s="370"/>
      <c r="AN559" s="370"/>
      <c r="AO559" s="370"/>
      <c r="AP559" s="370"/>
      <c r="AQ559" s="370"/>
      <c r="AR559" s="370"/>
      <c r="AS559" s="370"/>
      <c r="AT559" s="370"/>
      <c r="AU559" s="370"/>
      <c r="AV559" s="370"/>
      <c r="AW559" s="370"/>
      <c r="AX559" s="370"/>
      <c r="AY559" s="370"/>
      <c r="AZ559" s="370"/>
      <c r="BA559" s="370"/>
      <c r="BB559" s="370"/>
      <c r="BC559" s="370"/>
      <c r="BD559" s="370"/>
    </row>
    <row r="560" spans="1:60" ht="18.75" customHeight="1">
      <c r="A560" s="57"/>
      <c r="B560" s="370" t="s">
        <v>1176</v>
      </c>
      <c r="C560" s="370"/>
      <c r="D560" s="370"/>
      <c r="E560" s="370"/>
      <c r="F560" s="370"/>
      <c r="G560" s="370"/>
      <c r="H560" s="370"/>
      <c r="I560" s="370"/>
      <c r="J560" s="370"/>
      <c r="K560" s="370"/>
      <c r="L560" s="370"/>
      <c r="M560" s="370"/>
      <c r="N560" s="370"/>
      <c r="O560" s="370"/>
      <c r="P560" s="370"/>
      <c r="Q560" s="370"/>
      <c r="R560" s="370"/>
      <c r="S560" s="370"/>
      <c r="T560" s="370"/>
      <c r="U560" s="370"/>
      <c r="V560" s="370"/>
      <c r="W560" s="370"/>
      <c r="X560" s="370"/>
      <c r="Y560" s="370"/>
      <c r="Z560" s="370"/>
      <c r="AA560" s="370"/>
      <c r="AB560" s="370"/>
      <c r="AC560" s="370"/>
      <c r="AD560" s="370"/>
      <c r="AE560" s="370"/>
      <c r="AF560" s="370"/>
      <c r="AG560" s="370"/>
      <c r="AH560" s="370"/>
      <c r="AI560" s="370"/>
      <c r="AJ560" s="370"/>
      <c r="AK560" s="370"/>
      <c r="AL560" s="370"/>
      <c r="AM560" s="370"/>
      <c r="AN560" s="370"/>
      <c r="AO560" s="370"/>
      <c r="AP560" s="370"/>
      <c r="AQ560" s="370"/>
      <c r="AR560" s="370"/>
      <c r="AS560" s="370"/>
      <c r="AT560" s="370"/>
      <c r="AU560" s="370"/>
      <c r="AV560" s="370"/>
      <c r="AW560" s="370"/>
      <c r="AX560" s="370"/>
      <c r="AY560" s="370"/>
      <c r="AZ560" s="370"/>
      <c r="BA560" s="370"/>
      <c r="BB560" s="370"/>
      <c r="BC560" s="370"/>
      <c r="BD560" s="370"/>
    </row>
    <row r="561" spans="1:56" ht="18.75" customHeight="1">
      <c r="A561" s="57"/>
      <c r="B561" s="370"/>
      <c r="C561" s="370" t="s">
        <v>1235</v>
      </c>
      <c r="D561" s="370"/>
      <c r="E561" s="370"/>
      <c r="F561" s="370"/>
      <c r="G561" s="370"/>
      <c r="H561" s="370"/>
      <c r="I561" s="370"/>
      <c r="J561" s="370"/>
      <c r="K561" s="370"/>
      <c r="L561" s="370"/>
      <c r="M561" s="370"/>
      <c r="N561" s="370"/>
      <c r="O561" s="370"/>
      <c r="P561" s="370"/>
      <c r="Q561" s="370"/>
      <c r="R561" s="370"/>
      <c r="S561" s="370"/>
      <c r="T561" s="370"/>
      <c r="U561" s="370"/>
      <c r="V561" s="370"/>
      <c r="W561" s="370"/>
      <c r="X561" s="370"/>
      <c r="Y561" s="370"/>
      <c r="Z561" s="370"/>
      <c r="AA561" s="370"/>
      <c r="AB561" s="370"/>
      <c r="AC561" s="370"/>
      <c r="AD561" s="370"/>
      <c r="AE561" s="370"/>
      <c r="AF561" s="370"/>
      <c r="AG561" s="370"/>
      <c r="AH561" s="370"/>
      <c r="AI561" s="370"/>
      <c r="AJ561" s="370"/>
      <c r="AK561" s="370"/>
      <c r="AL561" s="370"/>
      <c r="AM561" s="370"/>
      <c r="AN561" s="370"/>
      <c r="AO561" s="370"/>
      <c r="AP561" s="370"/>
      <c r="AQ561" s="370"/>
      <c r="AR561" s="370"/>
      <c r="AS561" s="370"/>
      <c r="AT561" s="370"/>
      <c r="AU561" s="370"/>
      <c r="AV561" s="370"/>
      <c r="AW561" s="370"/>
      <c r="AX561" s="370"/>
      <c r="AY561" s="370"/>
      <c r="AZ561" s="370"/>
      <c r="BA561" s="370"/>
      <c r="BB561" s="370"/>
      <c r="BC561" s="370"/>
      <c r="BD561" s="370"/>
    </row>
    <row r="562" spans="1:56" ht="18.75" customHeight="1">
      <c r="A562" s="57"/>
      <c r="B562" s="370"/>
      <c r="C562" s="56" t="s">
        <v>909</v>
      </c>
      <c r="D562" s="370"/>
      <c r="E562" s="370"/>
      <c r="F562" s="370"/>
      <c r="G562" s="370"/>
      <c r="H562" s="370"/>
      <c r="I562" s="370"/>
      <c r="J562" s="370"/>
      <c r="K562" s="370"/>
      <c r="L562" s="370"/>
      <c r="M562" s="370"/>
      <c r="N562" s="370"/>
      <c r="O562" s="370"/>
      <c r="P562" s="370"/>
      <c r="Q562" s="370"/>
      <c r="R562" s="370"/>
      <c r="S562" s="370"/>
      <c r="T562" s="370"/>
      <c r="U562" s="370"/>
      <c r="V562" s="370"/>
      <c r="W562" s="370"/>
      <c r="X562" s="370"/>
      <c r="Y562" s="370"/>
      <c r="Z562" s="370"/>
      <c r="AA562" s="370"/>
      <c r="AB562" s="370"/>
      <c r="AC562" s="370"/>
      <c r="AD562" s="370"/>
      <c r="AE562" s="370"/>
      <c r="AF562" s="370"/>
      <c r="AG562" s="370"/>
      <c r="AH562" s="370"/>
      <c r="AI562" s="370"/>
      <c r="AJ562" s="370"/>
      <c r="AK562" s="370"/>
      <c r="AL562" s="370"/>
      <c r="AM562" s="370"/>
      <c r="AN562" s="370"/>
      <c r="AO562" s="370"/>
      <c r="AP562" s="370"/>
      <c r="AQ562" s="370"/>
      <c r="AR562" s="370"/>
      <c r="AS562" s="370"/>
      <c r="AT562" s="370"/>
      <c r="AU562" s="370"/>
      <c r="AV562" s="370"/>
      <c r="AW562" s="370"/>
      <c r="AX562" s="370"/>
      <c r="AY562" s="370"/>
      <c r="AZ562" s="370"/>
      <c r="BA562" s="370"/>
      <c r="BB562" s="370"/>
      <c r="BC562" s="370"/>
      <c r="BD562" s="370"/>
    </row>
    <row r="563" spans="1:56" ht="18.75" customHeight="1">
      <c r="A563" s="57"/>
      <c r="B563" s="370"/>
      <c r="C563" s="346" t="s">
        <v>910</v>
      </c>
      <c r="D563" s="370"/>
      <c r="E563" s="370"/>
      <c r="F563" s="370"/>
      <c r="G563" s="370"/>
      <c r="H563" s="370"/>
      <c r="I563" s="370"/>
      <c r="J563" s="370"/>
      <c r="K563" s="370"/>
      <c r="L563" s="370"/>
      <c r="M563" s="370"/>
      <c r="N563" s="370"/>
      <c r="O563" s="370"/>
      <c r="P563" s="370"/>
      <c r="Q563" s="370"/>
      <c r="R563" s="370"/>
      <c r="S563" s="370"/>
      <c r="T563" s="370"/>
      <c r="U563" s="370"/>
      <c r="V563" s="370"/>
      <c r="W563" s="370"/>
      <c r="X563" s="370"/>
      <c r="Y563" s="370"/>
      <c r="Z563" s="370"/>
      <c r="AA563" s="370"/>
      <c r="AB563" s="370"/>
      <c r="AC563" s="370"/>
      <c r="AD563" s="370"/>
      <c r="AE563" s="370"/>
      <c r="AF563" s="370"/>
      <c r="AG563" s="370"/>
      <c r="AH563" s="370"/>
      <c r="AI563" s="370"/>
      <c r="AJ563" s="370"/>
      <c r="AK563" s="370"/>
      <c r="AL563" s="370"/>
      <c r="AM563" s="370"/>
      <c r="AN563" s="370"/>
      <c r="AO563" s="370"/>
      <c r="AP563" s="370"/>
      <c r="AQ563" s="370"/>
      <c r="AR563" s="370"/>
      <c r="AS563" s="370"/>
      <c r="AT563" s="370"/>
      <c r="AU563" s="370"/>
      <c r="AV563" s="370"/>
      <c r="AW563" s="370"/>
      <c r="AX563" s="370"/>
      <c r="AY563" s="370"/>
      <c r="AZ563" s="370"/>
      <c r="BA563" s="370"/>
      <c r="BB563" s="370"/>
      <c r="BC563" s="370"/>
      <c r="BD563" s="370"/>
    </row>
    <row r="564" spans="1:56" ht="18.75" customHeight="1">
      <c r="A564" s="57"/>
      <c r="B564" s="370"/>
      <c r="D564" s="370"/>
      <c r="E564" s="379"/>
      <c r="F564" s="370"/>
      <c r="G564" s="197"/>
      <c r="H564" s="341"/>
      <c r="I564" s="341"/>
      <c r="J564" s="341"/>
      <c r="R564" s="379"/>
      <c r="S564" s="147"/>
      <c r="T564" s="147"/>
      <c r="U564" s="147"/>
      <c r="V564" s="147"/>
      <c r="W564" s="147"/>
      <c r="X564" s="370"/>
      <c r="Y564" s="370"/>
      <c r="Z564" s="370"/>
      <c r="AA564" s="370"/>
      <c r="AB564" s="370"/>
      <c r="AC564" s="370"/>
      <c r="AD564" s="370"/>
      <c r="AE564" s="370"/>
      <c r="AF564" s="370"/>
      <c r="AG564" s="370"/>
      <c r="AH564" s="370"/>
      <c r="AI564" s="370"/>
      <c r="AJ564" s="370"/>
      <c r="AK564" s="370"/>
      <c r="AL564" s="370"/>
      <c r="AM564" s="370"/>
      <c r="AN564" s="370"/>
      <c r="AO564" s="370"/>
      <c r="AP564" s="370"/>
      <c r="AQ564" s="370"/>
      <c r="AR564" s="370"/>
      <c r="AS564" s="370"/>
      <c r="AT564" s="370"/>
      <c r="AU564" s="370"/>
      <c r="AV564" s="370"/>
      <c r="AW564" s="370"/>
      <c r="AX564" s="370"/>
      <c r="AY564" s="370"/>
      <c r="AZ564" s="370"/>
      <c r="BA564" s="370"/>
      <c r="BB564" s="370"/>
      <c r="BC564" s="370"/>
      <c r="BD564" s="370"/>
    </row>
    <row r="565" spans="1:56" ht="18.75" customHeight="1">
      <c r="A565" s="57"/>
      <c r="B565" s="370" t="s">
        <v>1176</v>
      </c>
      <c r="C565" s="370"/>
      <c r="D565" s="370"/>
      <c r="E565" s="370"/>
      <c r="F565" s="370"/>
      <c r="G565" s="370"/>
      <c r="H565" s="370"/>
      <c r="I565" s="370"/>
      <c r="J565" s="370"/>
      <c r="K565" s="370"/>
      <c r="L565" s="370"/>
      <c r="M565" s="370"/>
      <c r="N565" s="370"/>
      <c r="O565" s="370"/>
      <c r="P565" s="370"/>
      <c r="Q565" s="370"/>
      <c r="R565" s="370"/>
      <c r="S565" s="370"/>
      <c r="T565" s="370"/>
      <c r="U565" s="370"/>
      <c r="V565" s="370"/>
      <c r="W565" s="370"/>
      <c r="X565" s="370"/>
      <c r="Y565" s="370"/>
      <c r="Z565" s="370"/>
      <c r="AA565" s="370"/>
      <c r="AB565" s="370"/>
      <c r="AC565" s="370"/>
      <c r="AD565" s="370"/>
      <c r="AE565" s="370"/>
      <c r="AF565" s="370"/>
      <c r="AG565" s="370"/>
      <c r="AH565" s="370"/>
      <c r="AI565" s="370"/>
      <c r="AJ565" s="370"/>
      <c r="AK565" s="370"/>
      <c r="AL565" s="370"/>
      <c r="AM565" s="370"/>
      <c r="AN565" s="370"/>
      <c r="AO565" s="370"/>
      <c r="AP565" s="370"/>
      <c r="AQ565" s="370"/>
      <c r="AR565" s="370"/>
      <c r="AS565" s="370"/>
      <c r="AT565" s="370"/>
      <c r="AU565" s="370"/>
      <c r="AV565" s="370"/>
      <c r="AW565" s="370"/>
      <c r="AX565" s="370"/>
      <c r="AY565" s="370"/>
      <c r="AZ565" s="370"/>
      <c r="BA565" s="370"/>
      <c r="BB565" s="370"/>
      <c r="BC565" s="370"/>
      <c r="BD565" s="370"/>
    </row>
    <row r="566" spans="1:56" ht="18.75" customHeight="1">
      <c r="A566" s="57"/>
      <c r="B566" s="370"/>
      <c r="C566" s="370" t="s">
        <v>1236</v>
      </c>
      <c r="D566" s="370"/>
      <c r="E566" s="370"/>
      <c r="F566" s="370"/>
      <c r="G566" s="370"/>
      <c r="H566" s="370"/>
      <c r="I566" s="370"/>
      <c r="J566" s="370"/>
      <c r="K566" s="370"/>
      <c r="L566" s="370"/>
      <c r="M566" s="370"/>
      <c r="N566" s="370"/>
      <c r="O566" s="370"/>
      <c r="P566" s="370"/>
      <c r="Q566" s="370"/>
      <c r="R566" s="370"/>
      <c r="S566" s="370"/>
      <c r="T566" s="370"/>
      <c r="U566" s="370"/>
      <c r="V566" s="370"/>
      <c r="W566" s="370"/>
      <c r="X566" s="370"/>
      <c r="Y566" s="370"/>
      <c r="Z566" s="370"/>
      <c r="AA566" s="370"/>
      <c r="AB566" s="370"/>
      <c r="AC566" s="370"/>
      <c r="AD566" s="370"/>
      <c r="AE566" s="370"/>
      <c r="AF566" s="370"/>
      <c r="AG566" s="370"/>
      <c r="AH566" s="370"/>
      <c r="AI566" s="370"/>
      <c r="AJ566" s="370"/>
      <c r="AK566" s="370"/>
      <c r="AL566" s="370"/>
      <c r="AM566" s="370"/>
      <c r="AN566" s="370"/>
      <c r="AO566" s="370"/>
      <c r="AP566" s="370"/>
      <c r="AQ566" s="370"/>
      <c r="AR566" s="370"/>
      <c r="AS566" s="370"/>
      <c r="AT566" s="370"/>
      <c r="AU566" s="370"/>
      <c r="AV566" s="370"/>
      <c r="AW566" s="370"/>
      <c r="AX566" s="370"/>
      <c r="AY566" s="370"/>
      <c r="AZ566" s="370"/>
      <c r="BA566" s="370"/>
      <c r="BB566" s="370"/>
      <c r="BC566" s="370"/>
      <c r="BD566" s="370"/>
    </row>
    <row r="567" spans="1:56" ht="18.75" customHeight="1">
      <c r="B567" s="370"/>
      <c r="C567" s="370" t="s">
        <v>1104</v>
      </c>
      <c r="D567" s="370"/>
      <c r="E567" s="370"/>
      <c r="F567" s="370"/>
      <c r="G567" s="370"/>
      <c r="H567" s="370"/>
      <c r="I567" s="370"/>
      <c r="J567" s="370"/>
      <c r="K567" s="370"/>
      <c r="L567" s="370"/>
      <c r="M567" s="370"/>
      <c r="N567" s="370"/>
      <c r="O567" s="370"/>
      <c r="P567" s="370"/>
      <c r="Q567" s="370"/>
      <c r="R567" s="370"/>
      <c r="S567" s="370"/>
      <c r="T567" s="370"/>
      <c r="U567" s="370"/>
      <c r="V567" s="370"/>
      <c r="W567" s="370"/>
      <c r="X567" s="370"/>
      <c r="Y567" s="370"/>
      <c r="Z567" s="370"/>
      <c r="AA567" s="370"/>
      <c r="AB567" s="370"/>
      <c r="AC567" s="370"/>
      <c r="AD567" s="370"/>
      <c r="AE567" s="370"/>
      <c r="AF567" s="370"/>
      <c r="AG567" s="370"/>
      <c r="AH567" s="370"/>
      <c r="AI567" s="370"/>
      <c r="AJ567" s="370"/>
      <c r="AK567" s="370"/>
      <c r="AL567" s="370"/>
      <c r="AM567" s="370"/>
      <c r="AN567" s="370"/>
      <c r="AO567" s="370"/>
      <c r="AP567" s="370"/>
      <c r="AQ567" s="370"/>
      <c r="AR567" s="370"/>
      <c r="AS567" s="370"/>
      <c r="AT567" s="370"/>
      <c r="AU567" s="370"/>
      <c r="AV567" s="370"/>
      <c r="AW567" s="370"/>
      <c r="AX567" s="370"/>
      <c r="AY567" s="370"/>
      <c r="AZ567" s="370"/>
      <c r="BA567" s="370"/>
      <c r="BB567" s="370"/>
      <c r="BC567" s="370"/>
      <c r="BD567" s="370"/>
    </row>
    <row r="568" spans="1:56" ht="18.75" customHeight="1">
      <c r="A568" s="370"/>
      <c r="B568" s="370"/>
      <c r="C568" s="56" t="s">
        <v>1105</v>
      </c>
      <c r="AL568" s="370"/>
      <c r="AM568" s="370"/>
      <c r="AN568" s="370"/>
      <c r="AO568" s="370"/>
      <c r="AP568" s="370"/>
      <c r="AQ568" s="370"/>
      <c r="AR568" s="370"/>
      <c r="AS568" s="370"/>
      <c r="AT568" s="370"/>
      <c r="AU568" s="370"/>
      <c r="AV568" s="370"/>
      <c r="AW568" s="370"/>
      <c r="AX568" s="370"/>
      <c r="AY568" s="370"/>
      <c r="AZ568" s="370"/>
      <c r="BA568" s="370"/>
      <c r="BB568" s="370"/>
    </row>
    <row r="569" spans="1:56" ht="18.75" customHeight="1">
      <c r="A569" s="370"/>
      <c r="B569" s="370"/>
      <c r="AL569" s="370"/>
      <c r="AM569" s="370"/>
      <c r="AN569" s="370"/>
      <c r="AO569" s="370"/>
      <c r="AP569" s="370"/>
      <c r="AQ569" s="370"/>
      <c r="AR569" s="370"/>
      <c r="AS569" s="370"/>
      <c r="AT569" s="370"/>
      <c r="AU569" s="370"/>
      <c r="AV569" s="370"/>
      <c r="AW569" s="370"/>
      <c r="AX569" s="370"/>
      <c r="AY569" s="370"/>
      <c r="AZ569" s="370"/>
      <c r="BA569" s="370"/>
      <c r="BB569" s="370"/>
    </row>
    <row r="570" spans="1:56" ht="18.75" customHeight="1">
      <c r="A570" s="370"/>
      <c r="B570" s="370"/>
      <c r="C570" s="370"/>
      <c r="D570" s="370"/>
      <c r="E570" s="59"/>
      <c r="F570" s="370"/>
      <c r="G570" s="370"/>
      <c r="H570" s="197" t="s">
        <v>1237</v>
      </c>
      <c r="I570" s="514" t="e">
        <f ca="1">Calcu!E235</f>
        <v>#N/A</v>
      </c>
      <c r="J570" s="514"/>
      <c r="K570" s="514"/>
      <c r="L570" s="212" t="s">
        <v>1018</v>
      </c>
      <c r="M570" s="610" t="e">
        <f ca="1">Calcu!P220</f>
        <v>#N/A</v>
      </c>
      <c r="N570" s="610"/>
      <c r="O570" s="610"/>
      <c r="P570" s="371" t="s">
        <v>1197</v>
      </c>
      <c r="Q570" s="212" t="s">
        <v>1019</v>
      </c>
      <c r="R570" s="610" t="e">
        <f ca="1">I570*M570</f>
        <v>#N/A</v>
      </c>
      <c r="S570" s="610"/>
      <c r="T570" s="610"/>
      <c r="U570" s="371" t="s">
        <v>1197</v>
      </c>
      <c r="V570" s="341" t="s">
        <v>915</v>
      </c>
      <c r="W570" s="657" t="e">
        <f ca="1">R570*60</f>
        <v>#N/A</v>
      </c>
      <c r="X570" s="657"/>
      <c r="Y570" s="371" t="s">
        <v>1238</v>
      </c>
      <c r="AA570" s="340"/>
      <c r="AB570" s="340"/>
      <c r="AC570" s="340"/>
      <c r="AD570" s="371"/>
      <c r="AE570" s="350"/>
      <c r="AF570" s="344"/>
      <c r="AG570" s="345"/>
      <c r="AH570" s="345"/>
      <c r="AI570" s="370"/>
      <c r="AJ570" s="370"/>
      <c r="AK570" s="370"/>
      <c r="AL570" s="346"/>
      <c r="AM570" s="346"/>
      <c r="AO570" s="348"/>
      <c r="AP570" s="348"/>
      <c r="AQ570" s="348"/>
      <c r="AR570" s="371"/>
      <c r="AS570" s="349"/>
      <c r="AT570" s="349"/>
      <c r="AU570" s="349"/>
      <c r="AV570" s="352"/>
      <c r="AW570" s="370"/>
      <c r="AX570" s="370"/>
      <c r="AY570" s="370"/>
      <c r="AZ570" s="346"/>
      <c r="BA570" s="346"/>
    </row>
    <row r="575" spans="1:56" s="382" customFormat="1" ht="31.5">
      <c r="A575" s="67" t="s">
        <v>1239</v>
      </c>
    </row>
    <row r="576" spans="1:56" s="382" customFormat="1" ht="18.75" customHeight="1"/>
    <row r="577" spans="1:44" s="382" customFormat="1" ht="18.75" customHeight="1">
      <c r="A577" s="68" t="s">
        <v>1240</v>
      </c>
    </row>
    <row r="578" spans="1:44" s="382" customFormat="1" ht="18.75" customHeight="1">
      <c r="B578" s="552" t="s">
        <v>1129</v>
      </c>
      <c r="C578" s="552"/>
      <c r="D578" s="552"/>
      <c r="E578" s="552"/>
      <c r="F578" s="552"/>
      <c r="G578" s="552"/>
      <c r="H578" s="552" t="s">
        <v>1111</v>
      </c>
      <c r="I578" s="552"/>
      <c r="J578" s="552"/>
      <c r="K578" s="552"/>
      <c r="L578" s="552"/>
      <c r="M578" s="552"/>
    </row>
    <row r="579" spans="1:44" s="382" customFormat="1" ht="18.75" customHeight="1">
      <c r="B579" s="554" t="s">
        <v>1130</v>
      </c>
      <c r="C579" s="554"/>
      <c r="D579" s="554"/>
      <c r="E579" s="554"/>
      <c r="F579" s="554"/>
      <c r="G579" s="554"/>
      <c r="H579" s="554" t="s">
        <v>1241</v>
      </c>
      <c r="I579" s="554"/>
      <c r="J579" s="554"/>
      <c r="K579" s="554"/>
      <c r="L579" s="554"/>
      <c r="M579" s="554"/>
    </row>
    <row r="580" spans="1:44" s="382" customFormat="1" ht="18.75" customHeight="1"/>
    <row r="581" spans="1:44" ht="18.75" customHeight="1">
      <c r="A581" s="57" t="s">
        <v>1132</v>
      </c>
      <c r="B581" s="341"/>
      <c r="C581" s="341"/>
      <c r="D581" s="341"/>
      <c r="E581" s="341"/>
      <c r="F581" s="341"/>
      <c r="G581" s="341"/>
      <c r="H581" s="341"/>
      <c r="I581" s="341"/>
      <c r="J581" s="341"/>
      <c r="K581" s="341"/>
      <c r="L581" s="341"/>
      <c r="M581" s="341"/>
      <c r="N581" s="341"/>
      <c r="O581" s="341"/>
      <c r="P581" s="341"/>
      <c r="Q581" s="341"/>
      <c r="R581" s="341"/>
      <c r="S581" s="341"/>
      <c r="T581" s="341"/>
      <c r="U581" s="341"/>
      <c r="V581" s="341"/>
      <c r="W581" s="341"/>
      <c r="X581" s="341"/>
      <c r="Y581" s="341"/>
      <c r="Z581" s="341"/>
      <c r="AA581" s="341"/>
      <c r="AB581" s="341"/>
      <c r="AC581" s="341"/>
      <c r="AD581" s="341"/>
      <c r="AE581" s="341"/>
      <c r="AF581" s="341"/>
      <c r="AG581" s="341"/>
      <c r="AH581" s="341"/>
      <c r="AI581" s="341"/>
      <c r="AJ581" s="341"/>
      <c r="AK581" s="341"/>
      <c r="AL581" s="341"/>
      <c r="AM581" s="341"/>
      <c r="AN581" s="341"/>
      <c r="AO581" s="341"/>
      <c r="AP581" s="341"/>
      <c r="AQ581" s="341"/>
      <c r="AR581" s="341"/>
    </row>
    <row r="582" spans="1:44" ht="18.75" customHeight="1">
      <c r="A582" s="57"/>
      <c r="B582" s="546" t="s">
        <v>1242</v>
      </c>
      <c r="C582" s="547"/>
      <c r="D582" s="547"/>
      <c r="E582" s="547"/>
      <c r="F582" s="548"/>
      <c r="G582" s="511" t="str">
        <f>B579&amp;" 각도지시값"</f>
        <v>측정투영기 각도지시값</v>
      </c>
      <c r="H582" s="512"/>
      <c r="I582" s="512"/>
      <c r="J582" s="512"/>
      <c r="K582" s="512"/>
      <c r="L582" s="512"/>
      <c r="M582" s="512"/>
      <c r="N582" s="512"/>
      <c r="O582" s="512"/>
      <c r="P582" s="512"/>
      <c r="Q582" s="512"/>
      <c r="R582" s="512"/>
      <c r="S582" s="512"/>
      <c r="T582" s="512"/>
      <c r="U582" s="512"/>
      <c r="V582" s="512"/>
      <c r="W582" s="512"/>
      <c r="X582" s="512"/>
      <c r="Y582" s="512"/>
      <c r="Z582" s="512"/>
      <c r="AA582" s="512"/>
      <c r="AB582" s="512"/>
      <c r="AC582" s="512"/>
      <c r="AD582" s="512"/>
      <c r="AE582" s="513"/>
      <c r="AF582" s="546" t="s">
        <v>1243</v>
      </c>
      <c r="AG582" s="547"/>
      <c r="AH582" s="547"/>
      <c r="AI582" s="547"/>
      <c r="AJ582" s="548"/>
      <c r="AK582" s="546" t="s">
        <v>1136</v>
      </c>
      <c r="AL582" s="547"/>
      <c r="AM582" s="547"/>
      <c r="AN582" s="547"/>
      <c r="AO582" s="548"/>
    </row>
    <row r="583" spans="1:44" ht="18.75" customHeight="1">
      <c r="A583" s="57"/>
      <c r="B583" s="549"/>
      <c r="C583" s="550"/>
      <c r="D583" s="550"/>
      <c r="E583" s="550"/>
      <c r="F583" s="551"/>
      <c r="G583" s="511" t="s">
        <v>1137</v>
      </c>
      <c r="H583" s="512"/>
      <c r="I583" s="512"/>
      <c r="J583" s="512"/>
      <c r="K583" s="513"/>
      <c r="L583" s="511" t="s">
        <v>1138</v>
      </c>
      <c r="M583" s="512"/>
      <c r="N583" s="512"/>
      <c r="O583" s="512"/>
      <c r="P583" s="513"/>
      <c r="Q583" s="511" t="s">
        <v>1139</v>
      </c>
      <c r="R583" s="512"/>
      <c r="S583" s="512"/>
      <c r="T583" s="512"/>
      <c r="U583" s="513"/>
      <c r="V583" s="511" t="s">
        <v>1140</v>
      </c>
      <c r="W583" s="512"/>
      <c r="X583" s="512"/>
      <c r="Y583" s="512"/>
      <c r="Z583" s="513"/>
      <c r="AA583" s="511" t="s">
        <v>1141</v>
      </c>
      <c r="AB583" s="512"/>
      <c r="AC583" s="512"/>
      <c r="AD583" s="512"/>
      <c r="AE583" s="513"/>
      <c r="AF583" s="549"/>
      <c r="AG583" s="550"/>
      <c r="AH583" s="550"/>
      <c r="AI583" s="550"/>
      <c r="AJ583" s="551"/>
      <c r="AK583" s="549"/>
      <c r="AL583" s="550"/>
      <c r="AM583" s="550"/>
      <c r="AN583" s="550"/>
      <c r="AO583" s="551"/>
    </row>
    <row r="584" spans="1:44" ht="18.75" customHeight="1">
      <c r="A584" s="57"/>
      <c r="B584" s="511" t="str">
        <f>Calcu!D249</f>
        <v/>
      </c>
      <c r="C584" s="512"/>
      <c r="D584" s="512"/>
      <c r="E584" s="512"/>
      <c r="F584" s="513"/>
      <c r="G584" s="511" t="str">
        <f>B584</f>
        <v/>
      </c>
      <c r="H584" s="512"/>
      <c r="I584" s="512"/>
      <c r="J584" s="512"/>
      <c r="K584" s="513"/>
      <c r="L584" s="511" t="str">
        <f>G584</f>
        <v/>
      </c>
      <c r="M584" s="512"/>
      <c r="N584" s="512"/>
      <c r="O584" s="512"/>
      <c r="P584" s="513"/>
      <c r="Q584" s="511" t="str">
        <f>L584</f>
        <v/>
      </c>
      <c r="R584" s="512"/>
      <c r="S584" s="512"/>
      <c r="T584" s="512"/>
      <c r="U584" s="513"/>
      <c r="V584" s="511" t="str">
        <f>Q584</f>
        <v/>
      </c>
      <c r="W584" s="512"/>
      <c r="X584" s="512"/>
      <c r="Y584" s="512"/>
      <c r="Z584" s="513"/>
      <c r="AA584" s="511" t="str">
        <f>V584</f>
        <v/>
      </c>
      <c r="AB584" s="512"/>
      <c r="AC584" s="512"/>
      <c r="AD584" s="512"/>
      <c r="AE584" s="513"/>
      <c r="AF584" s="511" t="str">
        <f>AA584</f>
        <v/>
      </c>
      <c r="AG584" s="512"/>
      <c r="AH584" s="512"/>
      <c r="AI584" s="512"/>
      <c r="AJ584" s="513"/>
      <c r="AK584" s="511" t="str">
        <f>AF584</f>
        <v/>
      </c>
      <c r="AL584" s="512"/>
      <c r="AM584" s="512"/>
      <c r="AN584" s="512"/>
      <c r="AO584" s="513"/>
    </row>
    <row r="585" spans="1:44" ht="18.75" customHeight="1">
      <c r="A585" s="57"/>
      <c r="B585" s="540" t="str">
        <f>Calcu!C249</f>
        <v/>
      </c>
      <c r="C585" s="541"/>
      <c r="D585" s="541"/>
      <c r="E585" s="541"/>
      <c r="F585" s="542"/>
      <c r="G585" s="540" t="str">
        <f>Calcu!E249</f>
        <v/>
      </c>
      <c r="H585" s="541"/>
      <c r="I585" s="541"/>
      <c r="J585" s="541"/>
      <c r="K585" s="542"/>
      <c r="L585" s="540" t="str">
        <f>Calcu!F249</f>
        <v/>
      </c>
      <c r="M585" s="541"/>
      <c r="N585" s="541"/>
      <c r="O585" s="541"/>
      <c r="P585" s="542"/>
      <c r="Q585" s="540" t="str">
        <f>Calcu!G249</f>
        <v/>
      </c>
      <c r="R585" s="541"/>
      <c r="S585" s="541"/>
      <c r="T585" s="541"/>
      <c r="U585" s="542"/>
      <c r="V585" s="540" t="str">
        <f>Calcu!H249</f>
        <v/>
      </c>
      <c r="W585" s="541"/>
      <c r="X585" s="541"/>
      <c r="Y585" s="541"/>
      <c r="Z585" s="542"/>
      <c r="AA585" s="540" t="str">
        <f>Calcu!I249</f>
        <v/>
      </c>
      <c r="AB585" s="541"/>
      <c r="AC585" s="541"/>
      <c r="AD585" s="541"/>
      <c r="AE585" s="542"/>
      <c r="AF585" s="540" t="str">
        <f>Calcu!J249</f>
        <v/>
      </c>
      <c r="AG585" s="541"/>
      <c r="AH585" s="541"/>
      <c r="AI585" s="541"/>
      <c r="AJ585" s="542"/>
      <c r="AK585" s="617" t="str">
        <f>Calcu!K249</f>
        <v/>
      </c>
      <c r="AL585" s="618"/>
      <c r="AM585" s="618"/>
      <c r="AN585" s="618"/>
      <c r="AO585" s="619"/>
    </row>
    <row r="586" spans="1:44" ht="18.75" customHeight="1">
      <c r="A586" s="57"/>
      <c r="B586" s="540" t="str">
        <f>Calcu!C250</f>
        <v/>
      </c>
      <c r="C586" s="541"/>
      <c r="D586" s="541"/>
      <c r="E586" s="541"/>
      <c r="F586" s="542"/>
      <c r="G586" s="540" t="str">
        <f>Calcu!E250</f>
        <v/>
      </c>
      <c r="H586" s="541"/>
      <c r="I586" s="541"/>
      <c r="J586" s="541"/>
      <c r="K586" s="542"/>
      <c r="L586" s="540" t="str">
        <f>Calcu!F250</f>
        <v/>
      </c>
      <c r="M586" s="541"/>
      <c r="N586" s="541"/>
      <c r="O586" s="541"/>
      <c r="P586" s="542"/>
      <c r="Q586" s="540" t="str">
        <f>Calcu!G250</f>
        <v/>
      </c>
      <c r="R586" s="541"/>
      <c r="S586" s="541"/>
      <c r="T586" s="541"/>
      <c r="U586" s="542"/>
      <c r="V586" s="540" t="str">
        <f>Calcu!H250</f>
        <v/>
      </c>
      <c r="W586" s="541"/>
      <c r="X586" s="541"/>
      <c r="Y586" s="541"/>
      <c r="Z586" s="542"/>
      <c r="AA586" s="540" t="str">
        <f>Calcu!I250</f>
        <v/>
      </c>
      <c r="AB586" s="541"/>
      <c r="AC586" s="541"/>
      <c r="AD586" s="541"/>
      <c r="AE586" s="542"/>
      <c r="AF586" s="540" t="str">
        <f>Calcu!J250</f>
        <v/>
      </c>
      <c r="AG586" s="541"/>
      <c r="AH586" s="541"/>
      <c r="AI586" s="541"/>
      <c r="AJ586" s="542"/>
      <c r="AK586" s="617" t="str">
        <f>Calcu!K250</f>
        <v/>
      </c>
      <c r="AL586" s="618"/>
      <c r="AM586" s="618"/>
      <c r="AN586" s="618"/>
      <c r="AO586" s="619"/>
    </row>
    <row r="587" spans="1:44" ht="18.75" customHeight="1">
      <c r="A587" s="57"/>
      <c r="B587" s="540" t="str">
        <f>Calcu!C251</f>
        <v/>
      </c>
      <c r="C587" s="541"/>
      <c r="D587" s="541"/>
      <c r="E587" s="541"/>
      <c r="F587" s="542"/>
      <c r="G587" s="540" t="str">
        <f>Calcu!E251</f>
        <v/>
      </c>
      <c r="H587" s="541"/>
      <c r="I587" s="541"/>
      <c r="J587" s="541"/>
      <c r="K587" s="542"/>
      <c r="L587" s="540" t="str">
        <f>Calcu!F251</f>
        <v/>
      </c>
      <c r="M587" s="541"/>
      <c r="N587" s="541"/>
      <c r="O587" s="541"/>
      <c r="P587" s="542"/>
      <c r="Q587" s="540" t="str">
        <f>Calcu!G251</f>
        <v/>
      </c>
      <c r="R587" s="541"/>
      <c r="S587" s="541"/>
      <c r="T587" s="541"/>
      <c r="U587" s="542"/>
      <c r="V587" s="540" t="str">
        <f>Calcu!H251</f>
        <v/>
      </c>
      <c r="W587" s="541"/>
      <c r="X587" s="541"/>
      <c r="Y587" s="541"/>
      <c r="Z587" s="542"/>
      <c r="AA587" s="540" t="str">
        <f>Calcu!I251</f>
        <v/>
      </c>
      <c r="AB587" s="541"/>
      <c r="AC587" s="541"/>
      <c r="AD587" s="541"/>
      <c r="AE587" s="542"/>
      <c r="AF587" s="540" t="str">
        <f>Calcu!J251</f>
        <v/>
      </c>
      <c r="AG587" s="541"/>
      <c r="AH587" s="541"/>
      <c r="AI587" s="541"/>
      <c r="AJ587" s="542"/>
      <c r="AK587" s="617" t="str">
        <f>Calcu!K251</f>
        <v/>
      </c>
      <c r="AL587" s="618"/>
      <c r="AM587" s="618"/>
      <c r="AN587" s="618"/>
      <c r="AO587" s="619"/>
    </row>
    <row r="588" spans="1:44" ht="18.75" customHeight="1">
      <c r="A588" s="57"/>
      <c r="B588" s="540" t="str">
        <f>Calcu!C252</f>
        <v/>
      </c>
      <c r="C588" s="541"/>
      <c r="D588" s="541"/>
      <c r="E588" s="541"/>
      <c r="F588" s="542"/>
      <c r="G588" s="540" t="str">
        <f>Calcu!E252</f>
        <v/>
      </c>
      <c r="H588" s="541"/>
      <c r="I588" s="541"/>
      <c r="J588" s="541"/>
      <c r="K588" s="542"/>
      <c r="L588" s="540" t="str">
        <f>Calcu!F252</f>
        <v/>
      </c>
      <c r="M588" s="541"/>
      <c r="N588" s="541"/>
      <c r="O588" s="541"/>
      <c r="P588" s="542"/>
      <c r="Q588" s="540" t="str">
        <f>Calcu!G252</f>
        <v/>
      </c>
      <c r="R588" s="541"/>
      <c r="S588" s="541"/>
      <c r="T588" s="541"/>
      <c r="U588" s="542"/>
      <c r="V588" s="540" t="str">
        <f>Calcu!H252</f>
        <v/>
      </c>
      <c r="W588" s="541"/>
      <c r="X588" s="541"/>
      <c r="Y588" s="541"/>
      <c r="Z588" s="542"/>
      <c r="AA588" s="540" t="str">
        <f>Calcu!I252</f>
        <v/>
      </c>
      <c r="AB588" s="541"/>
      <c r="AC588" s="541"/>
      <c r="AD588" s="541"/>
      <c r="AE588" s="542"/>
      <c r="AF588" s="540" t="str">
        <f>Calcu!J252</f>
        <v/>
      </c>
      <c r="AG588" s="541"/>
      <c r="AH588" s="541"/>
      <c r="AI588" s="541"/>
      <c r="AJ588" s="542"/>
      <c r="AK588" s="617" t="str">
        <f>Calcu!K252</f>
        <v/>
      </c>
      <c r="AL588" s="618"/>
      <c r="AM588" s="618"/>
      <c r="AN588" s="618"/>
      <c r="AO588" s="619"/>
    </row>
    <row r="589" spans="1:44" ht="18.75" customHeight="1">
      <c r="A589" s="57"/>
      <c r="B589" s="540" t="str">
        <f>Calcu!C253</f>
        <v/>
      </c>
      <c r="C589" s="541"/>
      <c r="D589" s="541"/>
      <c r="E589" s="541"/>
      <c r="F589" s="542"/>
      <c r="G589" s="540" t="str">
        <f>Calcu!E253</f>
        <v/>
      </c>
      <c r="H589" s="541"/>
      <c r="I589" s="541"/>
      <c r="J589" s="541"/>
      <c r="K589" s="542"/>
      <c r="L589" s="540" t="str">
        <f>Calcu!F253</f>
        <v/>
      </c>
      <c r="M589" s="541"/>
      <c r="N589" s="541"/>
      <c r="O589" s="541"/>
      <c r="P589" s="542"/>
      <c r="Q589" s="540" t="str">
        <f>Calcu!G253</f>
        <v/>
      </c>
      <c r="R589" s="541"/>
      <c r="S589" s="541"/>
      <c r="T589" s="541"/>
      <c r="U589" s="542"/>
      <c r="V589" s="540" t="str">
        <f>Calcu!H253</f>
        <v/>
      </c>
      <c r="W589" s="541"/>
      <c r="X589" s="541"/>
      <c r="Y589" s="541"/>
      <c r="Z589" s="542"/>
      <c r="AA589" s="540" t="str">
        <f>Calcu!I253</f>
        <v/>
      </c>
      <c r="AB589" s="541"/>
      <c r="AC589" s="541"/>
      <c r="AD589" s="541"/>
      <c r="AE589" s="542"/>
      <c r="AF589" s="540" t="str">
        <f>Calcu!J253</f>
        <v/>
      </c>
      <c r="AG589" s="541"/>
      <c r="AH589" s="541"/>
      <c r="AI589" s="541"/>
      <c r="AJ589" s="542"/>
      <c r="AK589" s="617" t="str">
        <f>Calcu!K253</f>
        <v/>
      </c>
      <c r="AL589" s="618"/>
      <c r="AM589" s="618"/>
      <c r="AN589" s="618"/>
      <c r="AO589" s="619"/>
    </row>
    <row r="590" spans="1:44" ht="18.75" customHeight="1">
      <c r="A590" s="57"/>
      <c r="B590" s="540" t="str">
        <f>Calcu!C254</f>
        <v/>
      </c>
      <c r="C590" s="541"/>
      <c r="D590" s="541"/>
      <c r="E590" s="541"/>
      <c r="F590" s="542"/>
      <c r="G590" s="540" t="str">
        <f>Calcu!E254</f>
        <v/>
      </c>
      <c r="H590" s="541"/>
      <c r="I590" s="541"/>
      <c r="J590" s="541"/>
      <c r="K590" s="542"/>
      <c r="L590" s="540" t="str">
        <f>Calcu!F254</f>
        <v/>
      </c>
      <c r="M590" s="541"/>
      <c r="N590" s="541"/>
      <c r="O590" s="541"/>
      <c r="P590" s="542"/>
      <c r="Q590" s="540" t="str">
        <f>Calcu!G254</f>
        <v/>
      </c>
      <c r="R590" s="541"/>
      <c r="S590" s="541"/>
      <c r="T590" s="541"/>
      <c r="U590" s="542"/>
      <c r="V590" s="540" t="str">
        <f>Calcu!H254</f>
        <v/>
      </c>
      <c r="W590" s="541"/>
      <c r="X590" s="541"/>
      <c r="Y590" s="541"/>
      <c r="Z590" s="542"/>
      <c r="AA590" s="540" t="str">
        <f>Calcu!I254</f>
        <v/>
      </c>
      <c r="AB590" s="541"/>
      <c r="AC590" s="541"/>
      <c r="AD590" s="541"/>
      <c r="AE590" s="542"/>
      <c r="AF590" s="540" t="str">
        <f>Calcu!J254</f>
        <v/>
      </c>
      <c r="AG590" s="541"/>
      <c r="AH590" s="541"/>
      <c r="AI590" s="541"/>
      <c r="AJ590" s="542"/>
      <c r="AK590" s="617" t="str">
        <f>Calcu!K254</f>
        <v/>
      </c>
      <c r="AL590" s="618"/>
      <c r="AM590" s="618"/>
      <c r="AN590" s="618"/>
      <c r="AO590" s="619"/>
    </row>
    <row r="591" spans="1:44" ht="18.75" customHeight="1">
      <c r="A591" s="57"/>
      <c r="B591" s="540" t="str">
        <f>Calcu!C255</f>
        <v/>
      </c>
      <c r="C591" s="541"/>
      <c r="D591" s="541"/>
      <c r="E591" s="541"/>
      <c r="F591" s="542"/>
      <c r="G591" s="540" t="str">
        <f>Calcu!E255</f>
        <v/>
      </c>
      <c r="H591" s="541"/>
      <c r="I591" s="541"/>
      <c r="J591" s="541"/>
      <c r="K591" s="542"/>
      <c r="L591" s="540" t="str">
        <f>Calcu!F255</f>
        <v/>
      </c>
      <c r="M591" s="541"/>
      <c r="N591" s="541"/>
      <c r="O591" s="541"/>
      <c r="P591" s="542"/>
      <c r="Q591" s="540" t="str">
        <f>Calcu!G255</f>
        <v/>
      </c>
      <c r="R591" s="541"/>
      <c r="S591" s="541"/>
      <c r="T591" s="541"/>
      <c r="U591" s="542"/>
      <c r="V591" s="540" t="str">
        <f>Calcu!H255</f>
        <v/>
      </c>
      <c r="W591" s="541"/>
      <c r="X591" s="541"/>
      <c r="Y591" s="541"/>
      <c r="Z591" s="542"/>
      <c r="AA591" s="540" t="str">
        <f>Calcu!I255</f>
        <v/>
      </c>
      <c r="AB591" s="541"/>
      <c r="AC591" s="541"/>
      <c r="AD591" s="541"/>
      <c r="AE591" s="542"/>
      <c r="AF591" s="540" t="str">
        <f>Calcu!J255</f>
        <v/>
      </c>
      <c r="AG591" s="541"/>
      <c r="AH591" s="541"/>
      <c r="AI591" s="541"/>
      <c r="AJ591" s="542"/>
      <c r="AK591" s="617" t="str">
        <f>Calcu!K255</f>
        <v/>
      </c>
      <c r="AL591" s="618"/>
      <c r="AM591" s="618"/>
      <c r="AN591" s="618"/>
      <c r="AO591" s="619"/>
    </row>
    <row r="592" spans="1:44" ht="18.75" customHeight="1">
      <c r="A592" s="57"/>
      <c r="B592" s="540" t="str">
        <f>Calcu!C256</f>
        <v/>
      </c>
      <c r="C592" s="541"/>
      <c r="D592" s="541"/>
      <c r="E592" s="541"/>
      <c r="F592" s="542"/>
      <c r="G592" s="540" t="str">
        <f>Calcu!E256</f>
        <v/>
      </c>
      <c r="H592" s="541"/>
      <c r="I592" s="541"/>
      <c r="J592" s="541"/>
      <c r="K592" s="542"/>
      <c r="L592" s="540" t="str">
        <f>Calcu!F256</f>
        <v/>
      </c>
      <c r="M592" s="541"/>
      <c r="N592" s="541"/>
      <c r="O592" s="541"/>
      <c r="P592" s="542"/>
      <c r="Q592" s="540" t="str">
        <f>Calcu!G256</f>
        <v/>
      </c>
      <c r="R592" s="541"/>
      <c r="S592" s="541"/>
      <c r="T592" s="541"/>
      <c r="U592" s="542"/>
      <c r="V592" s="540" t="str">
        <f>Calcu!H256</f>
        <v/>
      </c>
      <c r="W592" s="541"/>
      <c r="X592" s="541"/>
      <c r="Y592" s="541"/>
      <c r="Z592" s="542"/>
      <c r="AA592" s="540" t="str">
        <f>Calcu!I256</f>
        <v/>
      </c>
      <c r="AB592" s="541"/>
      <c r="AC592" s="541"/>
      <c r="AD592" s="541"/>
      <c r="AE592" s="542"/>
      <c r="AF592" s="540" t="str">
        <f>Calcu!J256</f>
        <v/>
      </c>
      <c r="AG592" s="541"/>
      <c r="AH592" s="541"/>
      <c r="AI592" s="541"/>
      <c r="AJ592" s="542"/>
      <c r="AK592" s="617" t="str">
        <f>Calcu!K256</f>
        <v/>
      </c>
      <c r="AL592" s="618"/>
      <c r="AM592" s="618"/>
      <c r="AN592" s="618"/>
      <c r="AO592" s="619"/>
    </row>
    <row r="593" spans="1:46" ht="18.75" customHeight="1">
      <c r="A593" s="57"/>
      <c r="B593" s="540" t="str">
        <f>Calcu!C257</f>
        <v/>
      </c>
      <c r="C593" s="541"/>
      <c r="D593" s="541"/>
      <c r="E593" s="541"/>
      <c r="F593" s="542"/>
      <c r="G593" s="540" t="str">
        <f>Calcu!E257</f>
        <v/>
      </c>
      <c r="H593" s="541"/>
      <c r="I593" s="541"/>
      <c r="J593" s="541"/>
      <c r="K593" s="542"/>
      <c r="L593" s="540" t="str">
        <f>Calcu!F257</f>
        <v/>
      </c>
      <c r="M593" s="541"/>
      <c r="N593" s="541"/>
      <c r="O593" s="541"/>
      <c r="P593" s="542"/>
      <c r="Q593" s="540" t="str">
        <f>Calcu!G257</f>
        <v/>
      </c>
      <c r="R593" s="541"/>
      <c r="S593" s="541"/>
      <c r="T593" s="541"/>
      <c r="U593" s="542"/>
      <c r="V593" s="540" t="str">
        <f>Calcu!H257</f>
        <v/>
      </c>
      <c r="W593" s="541"/>
      <c r="X593" s="541"/>
      <c r="Y593" s="541"/>
      <c r="Z593" s="542"/>
      <c r="AA593" s="540" t="str">
        <f>Calcu!I257</f>
        <v/>
      </c>
      <c r="AB593" s="541"/>
      <c r="AC593" s="541"/>
      <c r="AD593" s="541"/>
      <c r="AE593" s="542"/>
      <c r="AF593" s="540" t="str">
        <f>Calcu!J257</f>
        <v/>
      </c>
      <c r="AG593" s="541"/>
      <c r="AH593" s="541"/>
      <c r="AI593" s="541"/>
      <c r="AJ593" s="542"/>
      <c r="AK593" s="617" t="str">
        <f>Calcu!K257</f>
        <v/>
      </c>
      <c r="AL593" s="618"/>
      <c r="AM593" s="618"/>
      <c r="AN593" s="618"/>
      <c r="AO593" s="619"/>
    </row>
    <row r="594" spans="1:46" ht="18.75" customHeight="1">
      <c r="A594" s="57"/>
      <c r="B594" s="540" t="str">
        <f>Calcu!C258</f>
        <v/>
      </c>
      <c r="C594" s="541"/>
      <c r="D594" s="541"/>
      <c r="E594" s="541"/>
      <c r="F594" s="542"/>
      <c r="G594" s="540" t="str">
        <f>Calcu!E258</f>
        <v/>
      </c>
      <c r="H594" s="541"/>
      <c r="I594" s="541"/>
      <c r="J594" s="541"/>
      <c r="K594" s="542"/>
      <c r="L594" s="540" t="str">
        <f>Calcu!F258</f>
        <v/>
      </c>
      <c r="M594" s="541"/>
      <c r="N594" s="541"/>
      <c r="O594" s="541"/>
      <c r="P594" s="542"/>
      <c r="Q594" s="540" t="str">
        <f>Calcu!G258</f>
        <v/>
      </c>
      <c r="R594" s="541"/>
      <c r="S594" s="541"/>
      <c r="T594" s="541"/>
      <c r="U594" s="542"/>
      <c r="V594" s="540" t="str">
        <f>Calcu!H258</f>
        <v/>
      </c>
      <c r="W594" s="541"/>
      <c r="X594" s="541"/>
      <c r="Y594" s="541"/>
      <c r="Z594" s="542"/>
      <c r="AA594" s="540" t="str">
        <f>Calcu!I258</f>
        <v/>
      </c>
      <c r="AB594" s="541"/>
      <c r="AC594" s="541"/>
      <c r="AD594" s="541"/>
      <c r="AE594" s="542"/>
      <c r="AF594" s="540" t="str">
        <f>Calcu!J258</f>
        <v/>
      </c>
      <c r="AG594" s="541"/>
      <c r="AH594" s="541"/>
      <c r="AI594" s="541"/>
      <c r="AJ594" s="542"/>
      <c r="AK594" s="617" t="str">
        <f>Calcu!K258</f>
        <v/>
      </c>
      <c r="AL594" s="618"/>
      <c r="AM594" s="618"/>
      <c r="AN594" s="618"/>
      <c r="AO594" s="619"/>
    </row>
    <row r="595" spans="1:46" ht="18.75" customHeight="1">
      <c r="A595" s="57"/>
      <c r="B595" s="540" t="str">
        <f>Calcu!C259</f>
        <v/>
      </c>
      <c r="C595" s="541"/>
      <c r="D595" s="541"/>
      <c r="E595" s="541"/>
      <c r="F595" s="542"/>
      <c r="G595" s="540" t="str">
        <f>Calcu!E259</f>
        <v/>
      </c>
      <c r="H595" s="541"/>
      <c r="I595" s="541"/>
      <c r="J595" s="541"/>
      <c r="K595" s="542"/>
      <c r="L595" s="540" t="str">
        <f>Calcu!F259</f>
        <v/>
      </c>
      <c r="M595" s="541"/>
      <c r="N595" s="541"/>
      <c r="O595" s="541"/>
      <c r="P595" s="542"/>
      <c r="Q595" s="540" t="str">
        <f>Calcu!G259</f>
        <v/>
      </c>
      <c r="R595" s="541"/>
      <c r="S595" s="541"/>
      <c r="T595" s="541"/>
      <c r="U595" s="542"/>
      <c r="V595" s="540" t="str">
        <f>Calcu!H259</f>
        <v/>
      </c>
      <c r="W595" s="541"/>
      <c r="X595" s="541"/>
      <c r="Y595" s="541"/>
      <c r="Z595" s="542"/>
      <c r="AA595" s="540" t="str">
        <f>Calcu!I259</f>
        <v/>
      </c>
      <c r="AB595" s="541"/>
      <c r="AC595" s="541"/>
      <c r="AD595" s="541"/>
      <c r="AE595" s="542"/>
      <c r="AF595" s="540" t="str">
        <f>Calcu!J259</f>
        <v/>
      </c>
      <c r="AG595" s="541"/>
      <c r="AH595" s="541"/>
      <c r="AI595" s="541"/>
      <c r="AJ595" s="542"/>
      <c r="AK595" s="617" t="str">
        <f>Calcu!K259</f>
        <v/>
      </c>
      <c r="AL595" s="618"/>
      <c r="AM595" s="618"/>
      <c r="AN595" s="618"/>
      <c r="AO595" s="619"/>
    </row>
    <row r="596" spans="1:46" ht="18.75" customHeight="1">
      <c r="A596" s="57"/>
      <c r="B596" s="540" t="str">
        <f>Calcu!C260</f>
        <v/>
      </c>
      <c r="C596" s="541"/>
      <c r="D596" s="541"/>
      <c r="E596" s="541"/>
      <c r="F596" s="542"/>
      <c r="G596" s="540" t="str">
        <f>Calcu!E260</f>
        <v/>
      </c>
      <c r="H596" s="541"/>
      <c r="I596" s="541"/>
      <c r="J596" s="541"/>
      <c r="K596" s="542"/>
      <c r="L596" s="540" t="str">
        <f>Calcu!F260</f>
        <v/>
      </c>
      <c r="M596" s="541"/>
      <c r="N596" s="541"/>
      <c r="O596" s="541"/>
      <c r="P596" s="542"/>
      <c r="Q596" s="540" t="str">
        <f>Calcu!G260</f>
        <v/>
      </c>
      <c r="R596" s="541"/>
      <c r="S596" s="541"/>
      <c r="T596" s="541"/>
      <c r="U596" s="542"/>
      <c r="V596" s="540" t="str">
        <f>Calcu!H260</f>
        <v/>
      </c>
      <c r="W596" s="541"/>
      <c r="X596" s="541"/>
      <c r="Y596" s="541"/>
      <c r="Z596" s="542"/>
      <c r="AA596" s="540" t="str">
        <f>Calcu!I260</f>
        <v/>
      </c>
      <c r="AB596" s="541"/>
      <c r="AC596" s="541"/>
      <c r="AD596" s="541"/>
      <c r="AE596" s="542"/>
      <c r="AF596" s="540" t="str">
        <f>Calcu!J260</f>
        <v/>
      </c>
      <c r="AG596" s="541"/>
      <c r="AH596" s="541"/>
      <c r="AI596" s="541"/>
      <c r="AJ596" s="542"/>
      <c r="AK596" s="617" t="str">
        <f>Calcu!K260</f>
        <v/>
      </c>
      <c r="AL596" s="618"/>
      <c r="AM596" s="618"/>
      <c r="AN596" s="618"/>
      <c r="AO596" s="619"/>
    </row>
    <row r="597" spans="1:46" ht="18.75" customHeight="1">
      <c r="A597" s="57"/>
      <c r="B597" s="540" t="str">
        <f>Calcu!C261</f>
        <v/>
      </c>
      <c r="C597" s="541"/>
      <c r="D597" s="541"/>
      <c r="E597" s="541"/>
      <c r="F597" s="542"/>
      <c r="G597" s="540" t="str">
        <f>Calcu!E261</f>
        <v/>
      </c>
      <c r="H597" s="541"/>
      <c r="I597" s="541"/>
      <c r="J597" s="541"/>
      <c r="K597" s="542"/>
      <c r="L597" s="540" t="str">
        <f>Calcu!F261</f>
        <v/>
      </c>
      <c r="M597" s="541"/>
      <c r="N597" s="541"/>
      <c r="O597" s="541"/>
      <c r="P597" s="542"/>
      <c r="Q597" s="540" t="str">
        <f>Calcu!G261</f>
        <v/>
      </c>
      <c r="R597" s="541"/>
      <c r="S597" s="541"/>
      <c r="T597" s="541"/>
      <c r="U597" s="542"/>
      <c r="V597" s="540" t="str">
        <f>Calcu!H261</f>
        <v/>
      </c>
      <c r="W597" s="541"/>
      <c r="X597" s="541"/>
      <c r="Y597" s="541"/>
      <c r="Z597" s="542"/>
      <c r="AA597" s="540" t="str">
        <f>Calcu!I261</f>
        <v/>
      </c>
      <c r="AB597" s="541"/>
      <c r="AC597" s="541"/>
      <c r="AD597" s="541"/>
      <c r="AE597" s="542"/>
      <c r="AF597" s="540" t="str">
        <f>Calcu!J261</f>
        <v/>
      </c>
      <c r="AG597" s="541"/>
      <c r="AH597" s="541"/>
      <c r="AI597" s="541"/>
      <c r="AJ597" s="542"/>
      <c r="AK597" s="617" t="str">
        <f>Calcu!K261</f>
        <v/>
      </c>
      <c r="AL597" s="618"/>
      <c r="AM597" s="618"/>
      <c r="AN597" s="618"/>
      <c r="AO597" s="619"/>
    </row>
    <row r="598" spans="1:46" ht="18.75" customHeight="1">
      <c r="A598" s="57"/>
      <c r="B598" s="540" t="str">
        <f>Calcu!C262</f>
        <v/>
      </c>
      <c r="C598" s="541"/>
      <c r="D598" s="541"/>
      <c r="E598" s="541"/>
      <c r="F598" s="542"/>
      <c r="G598" s="540" t="str">
        <f>Calcu!E262</f>
        <v/>
      </c>
      <c r="H598" s="541"/>
      <c r="I598" s="541"/>
      <c r="J598" s="541"/>
      <c r="K598" s="542"/>
      <c r="L598" s="540" t="str">
        <f>Calcu!F262</f>
        <v/>
      </c>
      <c r="M598" s="541"/>
      <c r="N598" s="541"/>
      <c r="O598" s="541"/>
      <c r="P598" s="542"/>
      <c r="Q598" s="540" t="str">
        <f>Calcu!G262</f>
        <v/>
      </c>
      <c r="R598" s="541"/>
      <c r="S598" s="541"/>
      <c r="T598" s="541"/>
      <c r="U598" s="542"/>
      <c r="V598" s="540" t="str">
        <f>Calcu!H262</f>
        <v/>
      </c>
      <c r="W598" s="541"/>
      <c r="X598" s="541"/>
      <c r="Y598" s="541"/>
      <c r="Z598" s="542"/>
      <c r="AA598" s="540" t="str">
        <f>Calcu!I262</f>
        <v/>
      </c>
      <c r="AB598" s="541"/>
      <c r="AC598" s="541"/>
      <c r="AD598" s="541"/>
      <c r="AE598" s="542"/>
      <c r="AF598" s="540" t="str">
        <f>Calcu!J262</f>
        <v/>
      </c>
      <c r="AG598" s="541"/>
      <c r="AH598" s="541"/>
      <c r="AI598" s="541"/>
      <c r="AJ598" s="542"/>
      <c r="AK598" s="617" t="str">
        <f>Calcu!K262</f>
        <v/>
      </c>
      <c r="AL598" s="618"/>
      <c r="AM598" s="618"/>
      <c r="AN598" s="618"/>
      <c r="AO598" s="619"/>
    </row>
    <row r="599" spans="1:46" ht="18.75" customHeight="1">
      <c r="A599" s="57"/>
      <c r="B599" s="540" t="str">
        <f>Calcu!C263</f>
        <v/>
      </c>
      <c r="C599" s="541"/>
      <c r="D599" s="541"/>
      <c r="E599" s="541"/>
      <c r="F599" s="542"/>
      <c r="G599" s="540" t="str">
        <f>Calcu!E263</f>
        <v/>
      </c>
      <c r="H599" s="541"/>
      <c r="I599" s="541"/>
      <c r="J599" s="541"/>
      <c r="K599" s="542"/>
      <c r="L599" s="540" t="str">
        <f>Calcu!F263</f>
        <v/>
      </c>
      <c r="M599" s="541"/>
      <c r="N599" s="541"/>
      <c r="O599" s="541"/>
      <c r="P599" s="542"/>
      <c r="Q599" s="540" t="str">
        <f>Calcu!G263</f>
        <v/>
      </c>
      <c r="R599" s="541"/>
      <c r="S599" s="541"/>
      <c r="T599" s="541"/>
      <c r="U599" s="542"/>
      <c r="V599" s="540" t="str">
        <f>Calcu!H263</f>
        <v/>
      </c>
      <c r="W599" s="541"/>
      <c r="X599" s="541"/>
      <c r="Y599" s="541"/>
      <c r="Z599" s="542"/>
      <c r="AA599" s="540" t="str">
        <f>Calcu!I263</f>
        <v/>
      </c>
      <c r="AB599" s="541"/>
      <c r="AC599" s="541"/>
      <c r="AD599" s="541"/>
      <c r="AE599" s="542"/>
      <c r="AF599" s="540" t="str">
        <f>Calcu!J263</f>
        <v/>
      </c>
      <c r="AG599" s="541"/>
      <c r="AH599" s="541"/>
      <c r="AI599" s="541"/>
      <c r="AJ599" s="542"/>
      <c r="AK599" s="617" t="str">
        <f>Calcu!K263</f>
        <v/>
      </c>
      <c r="AL599" s="618"/>
      <c r="AM599" s="618"/>
      <c r="AN599" s="618"/>
      <c r="AO599" s="619"/>
    </row>
    <row r="600" spans="1:46" ht="18.75" customHeight="1">
      <c r="A600" s="57"/>
      <c r="B600" s="540" t="str">
        <f>Calcu!C264</f>
        <v/>
      </c>
      <c r="C600" s="541"/>
      <c r="D600" s="541"/>
      <c r="E600" s="541"/>
      <c r="F600" s="542"/>
      <c r="G600" s="540" t="str">
        <f>Calcu!E264</f>
        <v/>
      </c>
      <c r="H600" s="541"/>
      <c r="I600" s="541"/>
      <c r="J600" s="541"/>
      <c r="K600" s="542"/>
      <c r="L600" s="540" t="str">
        <f>Calcu!F264</f>
        <v/>
      </c>
      <c r="M600" s="541"/>
      <c r="N600" s="541"/>
      <c r="O600" s="541"/>
      <c r="P600" s="542"/>
      <c r="Q600" s="540" t="str">
        <f>Calcu!G264</f>
        <v/>
      </c>
      <c r="R600" s="541"/>
      <c r="S600" s="541"/>
      <c r="T600" s="541"/>
      <c r="U600" s="542"/>
      <c r="V600" s="540" t="str">
        <f>Calcu!H264</f>
        <v/>
      </c>
      <c r="W600" s="541"/>
      <c r="X600" s="541"/>
      <c r="Y600" s="541"/>
      <c r="Z600" s="542"/>
      <c r="AA600" s="540" t="str">
        <f>Calcu!I264</f>
        <v/>
      </c>
      <c r="AB600" s="541"/>
      <c r="AC600" s="541"/>
      <c r="AD600" s="541"/>
      <c r="AE600" s="542"/>
      <c r="AF600" s="540" t="str">
        <f>Calcu!J264</f>
        <v/>
      </c>
      <c r="AG600" s="541"/>
      <c r="AH600" s="541"/>
      <c r="AI600" s="541"/>
      <c r="AJ600" s="542"/>
      <c r="AK600" s="617" t="str">
        <f>Calcu!K264</f>
        <v/>
      </c>
      <c r="AL600" s="618"/>
      <c r="AM600" s="618"/>
      <c r="AN600" s="618"/>
      <c r="AO600" s="619"/>
    </row>
    <row r="601" spans="1:46" ht="18.75" customHeight="1">
      <c r="A601" s="57"/>
      <c r="B601" s="540" t="str">
        <f>Calcu!C265</f>
        <v/>
      </c>
      <c r="C601" s="541"/>
      <c r="D601" s="541"/>
      <c r="E601" s="541"/>
      <c r="F601" s="542"/>
      <c r="G601" s="540" t="str">
        <f>Calcu!E265</f>
        <v/>
      </c>
      <c r="H601" s="541"/>
      <c r="I601" s="541"/>
      <c r="J601" s="541"/>
      <c r="K601" s="542"/>
      <c r="L601" s="540" t="str">
        <f>Calcu!F265</f>
        <v/>
      </c>
      <c r="M601" s="541"/>
      <c r="N601" s="541"/>
      <c r="O601" s="541"/>
      <c r="P601" s="542"/>
      <c r="Q601" s="540" t="str">
        <f>Calcu!G265</f>
        <v/>
      </c>
      <c r="R601" s="541"/>
      <c r="S601" s="541"/>
      <c r="T601" s="541"/>
      <c r="U601" s="542"/>
      <c r="V601" s="540" t="str">
        <f>Calcu!H265</f>
        <v/>
      </c>
      <c r="W601" s="541"/>
      <c r="X601" s="541"/>
      <c r="Y601" s="541"/>
      <c r="Z601" s="542"/>
      <c r="AA601" s="540" t="str">
        <f>Calcu!I265</f>
        <v/>
      </c>
      <c r="AB601" s="541"/>
      <c r="AC601" s="541"/>
      <c r="AD601" s="541"/>
      <c r="AE601" s="542"/>
      <c r="AF601" s="540" t="str">
        <f>Calcu!J265</f>
        <v/>
      </c>
      <c r="AG601" s="541"/>
      <c r="AH601" s="541"/>
      <c r="AI601" s="541"/>
      <c r="AJ601" s="542"/>
      <c r="AK601" s="617" t="str">
        <f>Calcu!K265</f>
        <v/>
      </c>
      <c r="AL601" s="618"/>
      <c r="AM601" s="618"/>
      <c r="AN601" s="618"/>
      <c r="AO601" s="619"/>
    </row>
    <row r="602" spans="1:46" ht="18.75" customHeight="1">
      <c r="A602" s="57"/>
      <c r="B602" s="540" t="str">
        <f>Calcu!C266</f>
        <v/>
      </c>
      <c r="C602" s="541"/>
      <c r="D602" s="541"/>
      <c r="E602" s="541"/>
      <c r="F602" s="542"/>
      <c r="G602" s="540" t="str">
        <f>Calcu!E266</f>
        <v/>
      </c>
      <c r="H602" s="541"/>
      <c r="I602" s="541"/>
      <c r="J602" s="541"/>
      <c r="K602" s="542"/>
      <c r="L602" s="540" t="str">
        <f>Calcu!F266</f>
        <v/>
      </c>
      <c r="M602" s="541"/>
      <c r="N602" s="541"/>
      <c r="O602" s="541"/>
      <c r="P602" s="542"/>
      <c r="Q602" s="540" t="str">
        <f>Calcu!G266</f>
        <v/>
      </c>
      <c r="R602" s="541"/>
      <c r="S602" s="541"/>
      <c r="T602" s="541"/>
      <c r="U602" s="542"/>
      <c r="V602" s="540" t="str">
        <f>Calcu!H266</f>
        <v/>
      </c>
      <c r="W602" s="541"/>
      <c r="X602" s="541"/>
      <c r="Y602" s="541"/>
      <c r="Z602" s="542"/>
      <c r="AA602" s="540" t="str">
        <f>Calcu!I266</f>
        <v/>
      </c>
      <c r="AB602" s="541"/>
      <c r="AC602" s="541"/>
      <c r="AD602" s="541"/>
      <c r="AE602" s="542"/>
      <c r="AF602" s="540" t="str">
        <f>Calcu!J266</f>
        <v/>
      </c>
      <c r="AG602" s="541"/>
      <c r="AH602" s="541"/>
      <c r="AI602" s="541"/>
      <c r="AJ602" s="542"/>
      <c r="AK602" s="617" t="str">
        <f>Calcu!K266</f>
        <v/>
      </c>
      <c r="AL602" s="618"/>
      <c r="AM602" s="618"/>
      <c r="AN602" s="618"/>
      <c r="AO602" s="619"/>
    </row>
    <row r="603" spans="1:46" ht="18.75" customHeight="1">
      <c r="A603" s="57"/>
      <c r="B603" s="540" t="str">
        <f>Calcu!C267</f>
        <v/>
      </c>
      <c r="C603" s="541"/>
      <c r="D603" s="541"/>
      <c r="E603" s="541"/>
      <c r="F603" s="542"/>
      <c r="G603" s="540" t="str">
        <f>Calcu!E267</f>
        <v/>
      </c>
      <c r="H603" s="541"/>
      <c r="I603" s="541"/>
      <c r="J603" s="541"/>
      <c r="K603" s="542"/>
      <c r="L603" s="540" t="str">
        <f>Calcu!F267</f>
        <v/>
      </c>
      <c r="M603" s="541"/>
      <c r="N603" s="541"/>
      <c r="O603" s="541"/>
      <c r="P603" s="542"/>
      <c r="Q603" s="540" t="str">
        <f>Calcu!G267</f>
        <v/>
      </c>
      <c r="R603" s="541"/>
      <c r="S603" s="541"/>
      <c r="T603" s="541"/>
      <c r="U603" s="542"/>
      <c r="V603" s="540" t="str">
        <f>Calcu!H267</f>
        <v/>
      </c>
      <c r="W603" s="541"/>
      <c r="X603" s="541"/>
      <c r="Y603" s="541"/>
      <c r="Z603" s="542"/>
      <c r="AA603" s="540" t="str">
        <f>Calcu!I267</f>
        <v/>
      </c>
      <c r="AB603" s="541"/>
      <c r="AC603" s="541"/>
      <c r="AD603" s="541"/>
      <c r="AE603" s="542"/>
      <c r="AF603" s="540" t="str">
        <f>Calcu!J267</f>
        <v/>
      </c>
      <c r="AG603" s="541"/>
      <c r="AH603" s="541"/>
      <c r="AI603" s="541"/>
      <c r="AJ603" s="542"/>
      <c r="AK603" s="617" t="str">
        <f>Calcu!K267</f>
        <v/>
      </c>
      <c r="AL603" s="618"/>
      <c r="AM603" s="618"/>
      <c r="AN603" s="618"/>
      <c r="AO603" s="619"/>
    </row>
    <row r="604" spans="1:46" ht="18.75" customHeight="1">
      <c r="A604" s="57"/>
      <c r="B604" s="540" t="str">
        <f>Calcu!C268</f>
        <v/>
      </c>
      <c r="C604" s="541"/>
      <c r="D604" s="541"/>
      <c r="E604" s="541"/>
      <c r="F604" s="542"/>
      <c r="G604" s="540" t="str">
        <f>Calcu!E268</f>
        <v/>
      </c>
      <c r="H604" s="541"/>
      <c r="I604" s="541"/>
      <c r="J604" s="541"/>
      <c r="K604" s="542"/>
      <c r="L604" s="540" t="str">
        <f>Calcu!F268</f>
        <v/>
      </c>
      <c r="M604" s="541"/>
      <c r="N604" s="541"/>
      <c r="O604" s="541"/>
      <c r="P604" s="542"/>
      <c r="Q604" s="540" t="str">
        <f>Calcu!G268</f>
        <v/>
      </c>
      <c r="R604" s="541"/>
      <c r="S604" s="541"/>
      <c r="T604" s="541"/>
      <c r="U604" s="542"/>
      <c r="V604" s="540" t="str">
        <f>Calcu!H268</f>
        <v/>
      </c>
      <c r="W604" s="541"/>
      <c r="X604" s="541"/>
      <c r="Y604" s="541"/>
      <c r="Z604" s="542"/>
      <c r="AA604" s="540" t="str">
        <f>Calcu!I268</f>
        <v/>
      </c>
      <c r="AB604" s="541"/>
      <c r="AC604" s="541"/>
      <c r="AD604" s="541"/>
      <c r="AE604" s="542"/>
      <c r="AF604" s="540" t="str">
        <f>Calcu!J268</f>
        <v/>
      </c>
      <c r="AG604" s="541"/>
      <c r="AH604" s="541"/>
      <c r="AI604" s="541"/>
      <c r="AJ604" s="542"/>
      <c r="AK604" s="617" t="str">
        <f>Calcu!K268</f>
        <v/>
      </c>
      <c r="AL604" s="618"/>
      <c r="AM604" s="618"/>
      <c r="AN604" s="618"/>
      <c r="AO604" s="619"/>
    </row>
    <row r="605" spans="1:46" ht="18.75" customHeight="1">
      <c r="A605" s="57"/>
      <c r="B605" s="341"/>
      <c r="C605" s="341"/>
      <c r="D605" s="341"/>
      <c r="E605" s="341"/>
      <c r="F605" s="341"/>
      <c r="G605" s="341"/>
      <c r="H605" s="341"/>
      <c r="I605" s="341"/>
      <c r="J605" s="341"/>
      <c r="K605" s="341"/>
      <c r="L605" s="341"/>
      <c r="M605" s="341"/>
      <c r="N605" s="341"/>
      <c r="O605" s="341"/>
      <c r="P605" s="341"/>
      <c r="Q605" s="341"/>
      <c r="R605" s="341"/>
      <c r="S605" s="341"/>
      <c r="T605" s="341"/>
      <c r="U605" s="341"/>
      <c r="V605" s="341"/>
      <c r="W605" s="341"/>
      <c r="X605" s="341"/>
      <c r="Y605" s="341"/>
      <c r="Z605" s="341"/>
      <c r="AA605" s="341"/>
      <c r="AB605" s="341"/>
      <c r="AC605" s="341"/>
      <c r="AD605" s="341"/>
      <c r="AE605" s="341"/>
      <c r="AF605" s="341"/>
      <c r="AG605" s="341"/>
      <c r="AH605" s="341"/>
      <c r="AI605" s="341"/>
      <c r="AJ605" s="341"/>
      <c r="AK605" s="341"/>
      <c r="AL605" s="341"/>
      <c r="AM605" s="341"/>
      <c r="AN605" s="341"/>
      <c r="AO605" s="341"/>
      <c r="AP605" s="341"/>
      <c r="AQ605" s="341"/>
      <c r="AR605" s="341"/>
      <c r="AS605" s="341"/>
      <c r="AT605" s="341"/>
    </row>
    <row r="606" spans="1:46" ht="18.75" customHeight="1">
      <c r="A606" s="57" t="s">
        <v>805</v>
      </c>
      <c r="B606" s="370"/>
      <c r="C606" s="370"/>
      <c r="D606" s="370"/>
      <c r="E606" s="370"/>
      <c r="F606" s="370"/>
      <c r="G606" s="370"/>
      <c r="H606" s="370"/>
      <c r="I606" s="370"/>
      <c r="J606" s="370"/>
      <c r="K606" s="370"/>
      <c r="L606" s="370"/>
      <c r="M606" s="370"/>
      <c r="N606" s="370"/>
      <c r="O606" s="370"/>
      <c r="P606" s="370"/>
      <c r="Q606" s="370"/>
      <c r="R606" s="370"/>
      <c r="S606" s="370"/>
      <c r="T606" s="370"/>
      <c r="U606" s="370"/>
      <c r="V606" s="370"/>
      <c r="W606" s="370"/>
      <c r="X606" s="370"/>
      <c r="Y606" s="370"/>
      <c r="Z606" s="370"/>
      <c r="AA606" s="370"/>
      <c r="AB606" s="370"/>
      <c r="AC606" s="370"/>
      <c r="AD606" s="370"/>
      <c r="AE606" s="370"/>
      <c r="AF606" s="370"/>
      <c r="AG606" s="370"/>
      <c r="AH606" s="370"/>
      <c r="AI606" s="370"/>
      <c r="AJ606" s="370"/>
      <c r="AK606" s="370"/>
      <c r="AL606" s="370"/>
      <c r="AM606" s="370"/>
      <c r="AN606" s="370"/>
      <c r="AO606" s="370"/>
      <c r="AP606" s="370"/>
      <c r="AQ606" s="370"/>
      <c r="AR606" s="370"/>
      <c r="AS606" s="370"/>
      <c r="AT606" s="370"/>
    </row>
    <row r="607" spans="1:46" ht="18.75" customHeight="1">
      <c r="A607" s="69"/>
      <c r="B607" s="370"/>
      <c r="C607" s="370"/>
      <c r="D607" s="370"/>
      <c r="E607" s="370"/>
      <c r="F607" s="370"/>
      <c r="G607" s="370"/>
      <c r="H607" s="370"/>
      <c r="I607" s="370"/>
      <c r="J607" s="370"/>
      <c r="K607" s="370"/>
      <c r="L607" s="370"/>
      <c r="M607" s="370"/>
      <c r="N607" s="370"/>
      <c r="O607" s="370"/>
      <c r="P607" s="370"/>
      <c r="Q607" s="370"/>
      <c r="R607" s="370"/>
      <c r="S607" s="370"/>
      <c r="T607" s="370"/>
      <c r="U607" s="370"/>
      <c r="V607" s="370"/>
      <c r="W607" s="370"/>
      <c r="X607" s="370"/>
      <c r="Y607" s="370"/>
      <c r="Z607" s="370"/>
      <c r="AA607" s="370"/>
      <c r="AB607" s="370"/>
      <c r="AC607" s="370"/>
      <c r="AD607" s="370"/>
      <c r="AE607" s="370"/>
      <c r="AF607" s="370"/>
      <c r="AG607" s="370"/>
      <c r="AH607" s="370"/>
      <c r="AI607" s="370"/>
      <c r="AJ607" s="370"/>
      <c r="AK607" s="370"/>
      <c r="AL607" s="370"/>
      <c r="AM607" s="370"/>
      <c r="AN607" s="370"/>
      <c r="AO607" s="370"/>
      <c r="AP607" s="370"/>
      <c r="AQ607" s="370"/>
      <c r="AR607" s="370"/>
      <c r="AS607" s="370"/>
      <c r="AT607" s="370"/>
    </row>
    <row r="608" spans="1:46" ht="18.75" customHeight="1">
      <c r="A608" s="69"/>
      <c r="B608" s="370"/>
      <c r="C608" s="370"/>
      <c r="D608" s="370"/>
      <c r="E608" s="370"/>
      <c r="F608" s="370"/>
      <c r="G608" s="370"/>
      <c r="H608" s="370"/>
      <c r="I608" s="370"/>
      <c r="J608" s="370"/>
      <c r="K608" s="370"/>
      <c r="L608" s="370"/>
      <c r="M608" s="370"/>
      <c r="N608" s="370"/>
      <c r="O608" s="370"/>
      <c r="P608" s="370"/>
      <c r="Q608" s="370"/>
      <c r="R608" s="370"/>
      <c r="S608" s="370"/>
      <c r="T608" s="370"/>
      <c r="U608" s="370"/>
      <c r="V608" s="370"/>
      <c r="W608" s="370"/>
      <c r="X608" s="370"/>
      <c r="Y608" s="370"/>
      <c r="Z608" s="370"/>
      <c r="AA608" s="370"/>
      <c r="AB608" s="370"/>
      <c r="AC608" s="370"/>
      <c r="AD608" s="370"/>
      <c r="AE608" s="370"/>
      <c r="AF608" s="370"/>
      <c r="AG608" s="370"/>
      <c r="AH608" s="370"/>
      <c r="AI608" s="370"/>
      <c r="AJ608" s="370"/>
      <c r="AK608" s="370"/>
      <c r="AL608" s="370"/>
      <c r="AM608" s="370"/>
      <c r="AN608" s="370"/>
      <c r="AO608" s="370"/>
      <c r="AP608" s="370"/>
      <c r="AQ608" s="370"/>
      <c r="AR608" s="370"/>
      <c r="AS608" s="370"/>
      <c r="AT608" s="370"/>
    </row>
    <row r="609" spans="1:69" ht="18.75" customHeight="1">
      <c r="A609" s="69"/>
      <c r="B609" s="370"/>
      <c r="C609" s="545" t="s">
        <v>945</v>
      </c>
      <c r="D609" s="545"/>
      <c r="E609" s="545"/>
      <c r="F609" s="341" t="s">
        <v>808</v>
      </c>
      <c r="G609" s="370" t="s">
        <v>1244</v>
      </c>
      <c r="H609" s="370"/>
      <c r="I609" s="370"/>
      <c r="J609" s="370"/>
      <c r="K609" s="370"/>
      <c r="L609" s="370"/>
      <c r="M609" s="370"/>
      <c r="N609" s="370"/>
      <c r="O609" s="370"/>
      <c r="P609" s="370"/>
      <c r="Q609" s="370"/>
      <c r="R609" s="370"/>
      <c r="S609" s="370"/>
      <c r="W609" s="59"/>
      <c r="X609" s="59"/>
      <c r="Y609" s="59"/>
      <c r="Z609" s="370"/>
      <c r="AA609" s="370"/>
      <c r="AB609" s="370"/>
      <c r="AC609" s="370"/>
      <c r="AD609" s="370"/>
      <c r="AE609" s="370"/>
      <c r="AF609" s="370"/>
      <c r="AG609" s="370"/>
      <c r="AH609" s="370"/>
      <c r="AI609" s="370"/>
      <c r="AJ609" s="370"/>
      <c r="AK609" s="370"/>
      <c r="AL609" s="370"/>
      <c r="AM609" s="370"/>
      <c r="AN609" s="370"/>
      <c r="AO609" s="370"/>
      <c r="AP609" s="370"/>
      <c r="AQ609" s="370"/>
      <c r="AR609" s="370"/>
      <c r="AS609" s="370"/>
      <c r="AT609" s="370"/>
    </row>
    <row r="610" spans="1:69" ht="18.75" customHeight="1">
      <c r="A610" s="69"/>
      <c r="B610" s="370"/>
      <c r="C610" s="545" t="s">
        <v>946</v>
      </c>
      <c r="D610" s="545"/>
      <c r="E610" s="545"/>
      <c r="F610" s="341" t="s">
        <v>1245</v>
      </c>
      <c r="G610" s="370" t="str">
        <f>H579&amp;"의 교정값"</f>
        <v>각도 게이지 블록의 교정값</v>
      </c>
      <c r="H610" s="370"/>
      <c r="I610" s="370"/>
      <c r="J610" s="370"/>
      <c r="K610" s="370"/>
      <c r="L610" s="370"/>
      <c r="M610" s="370"/>
      <c r="N610" s="370"/>
      <c r="O610" s="370"/>
      <c r="P610" s="370"/>
      <c r="Q610" s="370"/>
      <c r="R610" s="370"/>
      <c r="S610" s="370"/>
      <c r="T610" s="370"/>
      <c r="U610" s="370"/>
      <c r="V610" s="370"/>
      <c r="W610" s="370"/>
      <c r="X610" s="370"/>
      <c r="Y610" s="370"/>
      <c r="Z610" s="370"/>
      <c r="AA610" s="370"/>
      <c r="AB610" s="370"/>
      <c r="AC610" s="370"/>
      <c r="AD610" s="370"/>
      <c r="AE610" s="370"/>
      <c r="AF610" s="370"/>
      <c r="AG610" s="370"/>
      <c r="AH610" s="370"/>
      <c r="AI610" s="370"/>
      <c r="AJ610" s="370"/>
      <c r="AK610" s="370"/>
      <c r="AL610" s="370"/>
      <c r="AM610" s="370"/>
      <c r="AN610" s="370"/>
      <c r="AO610" s="370"/>
      <c r="AP610" s="370"/>
      <c r="AQ610" s="370"/>
      <c r="AR610" s="370"/>
      <c r="AS610" s="370"/>
      <c r="AT610" s="370"/>
      <c r="AU610" s="370"/>
      <c r="AV610" s="370"/>
      <c r="AW610" s="370"/>
      <c r="AX610" s="370"/>
      <c r="AY610" s="370"/>
      <c r="AZ610" s="370"/>
      <c r="BA610" s="370"/>
      <c r="BB610" s="370"/>
    </row>
    <row r="611" spans="1:69" ht="18.75" customHeight="1">
      <c r="A611" s="69"/>
      <c r="B611" s="370"/>
      <c r="C611" s="545" t="s">
        <v>947</v>
      </c>
      <c r="D611" s="545"/>
      <c r="E611" s="545"/>
      <c r="F611" s="341" t="s">
        <v>808</v>
      </c>
      <c r="G611" s="370" t="s">
        <v>969</v>
      </c>
      <c r="H611" s="370"/>
      <c r="I611" s="370"/>
      <c r="J611" s="370"/>
      <c r="K611" s="370"/>
      <c r="L611" s="370"/>
      <c r="M611" s="370"/>
      <c r="N611" s="370"/>
      <c r="O611" s="370"/>
      <c r="P611" s="370"/>
      <c r="Q611" s="370"/>
      <c r="U611" s="370"/>
      <c r="V611" s="370"/>
      <c r="W611" s="370"/>
      <c r="X611" s="370"/>
      <c r="Y611" s="370"/>
      <c r="Z611" s="370"/>
      <c r="AA611" s="370"/>
      <c r="AB611" s="370"/>
      <c r="AC611" s="370"/>
      <c r="AD611" s="370"/>
      <c r="AE611" s="370"/>
      <c r="AF611" s="370"/>
      <c r="AG611" s="370"/>
      <c r="AH611" s="370"/>
      <c r="AI611" s="370"/>
      <c r="AJ611" s="370"/>
      <c r="AK611" s="370"/>
      <c r="AL611" s="370"/>
      <c r="AM611" s="370"/>
      <c r="AN611" s="370"/>
      <c r="AO611" s="370"/>
      <c r="AP611" s="370"/>
      <c r="AQ611" s="370"/>
      <c r="AR611" s="370"/>
      <c r="AS611" s="370"/>
      <c r="AT611" s="370"/>
      <c r="AU611" s="370"/>
      <c r="AV611" s="370"/>
      <c r="AW611" s="370"/>
      <c r="AX611" s="370"/>
      <c r="AY611" s="370"/>
      <c r="AZ611" s="370"/>
      <c r="BA611" s="370"/>
      <c r="BB611" s="370"/>
    </row>
    <row r="612" spans="1:69" ht="18.75" customHeight="1">
      <c r="A612" s="69"/>
      <c r="B612" s="370"/>
      <c r="C612" s="545" t="s">
        <v>948</v>
      </c>
      <c r="D612" s="545"/>
      <c r="E612" s="545"/>
      <c r="F612" s="341" t="s">
        <v>808</v>
      </c>
      <c r="G612" s="370" t="s">
        <v>949</v>
      </c>
      <c r="H612" s="370"/>
      <c r="I612" s="370"/>
      <c r="J612" s="370"/>
      <c r="K612" s="370"/>
      <c r="L612" s="370"/>
      <c r="M612" s="370"/>
      <c r="N612" s="370"/>
      <c r="O612" s="370"/>
      <c r="P612" s="370"/>
      <c r="Q612" s="370"/>
      <c r="R612" s="370"/>
      <c r="S612" s="370"/>
      <c r="T612" s="370"/>
      <c r="U612" s="370"/>
      <c r="V612" s="370"/>
      <c r="W612" s="370"/>
      <c r="X612" s="370"/>
      <c r="Y612" s="370"/>
      <c r="Z612" s="370"/>
      <c r="AA612" s="370"/>
      <c r="AB612" s="370"/>
      <c r="AC612" s="370"/>
      <c r="AD612" s="370"/>
      <c r="AE612" s="370"/>
      <c r="AF612" s="370"/>
      <c r="AG612" s="370"/>
      <c r="AH612" s="370"/>
      <c r="AI612" s="370"/>
      <c r="AJ612" s="370"/>
      <c r="AK612" s="370"/>
      <c r="AL612" s="370"/>
      <c r="AM612" s="370"/>
      <c r="AN612" s="370"/>
      <c r="AO612" s="370"/>
      <c r="AP612" s="370"/>
      <c r="AQ612" s="370"/>
      <c r="AR612" s="370"/>
      <c r="AS612" s="370"/>
      <c r="AT612" s="370"/>
      <c r="AU612" s="370"/>
      <c r="AV612" s="370"/>
      <c r="AW612" s="370"/>
      <c r="AX612" s="370"/>
      <c r="AY612" s="370"/>
      <c r="AZ612" s="370"/>
      <c r="BA612" s="370"/>
      <c r="BB612" s="370"/>
    </row>
    <row r="613" spans="1:69" ht="18.75" customHeight="1">
      <c r="A613" s="69"/>
      <c r="B613" s="370"/>
      <c r="C613" s="545" t="s">
        <v>1192</v>
      </c>
      <c r="D613" s="545"/>
      <c r="E613" s="545"/>
      <c r="F613" s="341" t="s">
        <v>808</v>
      </c>
      <c r="G613" s="370" t="s">
        <v>950</v>
      </c>
      <c r="H613" s="370"/>
      <c r="I613" s="370"/>
      <c r="J613" s="370"/>
      <c r="K613" s="370"/>
      <c r="L613" s="370"/>
      <c r="M613" s="370"/>
      <c r="N613" s="370"/>
      <c r="O613" s="370"/>
      <c r="P613" s="370"/>
      <c r="Q613" s="370"/>
      <c r="R613" s="370"/>
      <c r="S613" s="370"/>
      <c r="T613" s="370"/>
      <c r="U613" s="370"/>
      <c r="V613" s="370"/>
      <c r="W613" s="370"/>
      <c r="X613" s="370"/>
      <c r="Y613" s="370"/>
      <c r="Z613" s="370"/>
      <c r="AA613" s="370"/>
      <c r="AB613" s="370"/>
      <c r="AC613" s="370"/>
      <c r="AD613" s="370"/>
      <c r="AE613" s="370"/>
      <c r="AF613" s="370"/>
      <c r="AG613" s="370"/>
      <c r="AH613" s="370"/>
      <c r="AI613" s="370"/>
      <c r="AJ613" s="370"/>
      <c r="AK613" s="370"/>
      <c r="AL613" s="370"/>
      <c r="AM613" s="370"/>
      <c r="AN613" s="370"/>
      <c r="AO613" s="370"/>
      <c r="AP613" s="370"/>
      <c r="AQ613" s="370"/>
      <c r="AR613" s="370"/>
      <c r="AS613" s="370"/>
      <c r="AT613" s="370"/>
      <c r="AU613" s="370"/>
      <c r="AV613" s="370"/>
      <c r="AW613" s="370"/>
      <c r="AX613" s="370"/>
      <c r="AY613" s="370"/>
      <c r="AZ613" s="370"/>
      <c r="BA613" s="370"/>
      <c r="BB613" s="370"/>
    </row>
    <row r="614" spans="1:69" ht="18.75" customHeight="1">
      <c r="A614" s="69"/>
      <c r="B614" s="370"/>
      <c r="C614" s="545" t="s">
        <v>812</v>
      </c>
      <c r="D614" s="545"/>
      <c r="E614" s="545"/>
      <c r="F614" s="341" t="s">
        <v>984</v>
      </c>
      <c r="G614" s="370" t="s">
        <v>951</v>
      </c>
      <c r="H614" s="370"/>
      <c r="I614" s="370"/>
      <c r="J614" s="370"/>
      <c r="K614" s="370"/>
      <c r="L614" s="370"/>
      <c r="M614" s="370"/>
      <c r="N614" s="370"/>
      <c r="O614" s="370"/>
      <c r="P614" s="370"/>
      <c r="Q614" s="370"/>
      <c r="R614" s="370"/>
      <c r="S614" s="370"/>
      <c r="T614" s="370"/>
      <c r="U614" s="370"/>
      <c r="V614" s="370"/>
      <c r="W614" s="370"/>
      <c r="X614" s="370"/>
      <c r="Y614" s="370"/>
      <c r="Z614" s="370"/>
      <c r="AA614" s="370"/>
      <c r="AB614" s="370"/>
      <c r="AC614" s="370"/>
      <c r="AD614" s="370"/>
      <c r="AE614" s="370"/>
      <c r="AF614" s="370"/>
      <c r="AG614" s="370"/>
      <c r="AH614" s="370"/>
      <c r="AI614" s="370"/>
      <c r="AJ614" s="370"/>
      <c r="AK614" s="370"/>
      <c r="AL614" s="370"/>
      <c r="AM614" s="370"/>
      <c r="AN614" s="370"/>
      <c r="AO614" s="370"/>
      <c r="AP614" s="370"/>
      <c r="AQ614" s="370"/>
      <c r="AR614" s="370"/>
      <c r="AS614" s="370"/>
      <c r="AT614" s="370"/>
      <c r="AU614" s="370"/>
      <c r="AV614" s="370"/>
      <c r="AW614" s="370"/>
      <c r="AX614" s="370"/>
      <c r="AY614" s="370"/>
      <c r="AZ614" s="370"/>
      <c r="BA614" s="370"/>
      <c r="BB614" s="370"/>
    </row>
    <row r="615" spans="1:69" ht="18.75" customHeight="1">
      <c r="A615" s="69"/>
      <c r="B615" s="370"/>
      <c r="C615" s="545" t="s">
        <v>1246</v>
      </c>
      <c r="D615" s="545"/>
      <c r="E615" s="545"/>
      <c r="F615" s="341" t="s">
        <v>808</v>
      </c>
      <c r="G615" s="370" t="s">
        <v>1247</v>
      </c>
      <c r="H615" s="370"/>
      <c r="I615" s="370"/>
      <c r="J615" s="370"/>
      <c r="K615" s="370"/>
      <c r="L615" s="370"/>
      <c r="M615" s="370"/>
      <c r="N615" s="370"/>
      <c r="O615" s="370"/>
      <c r="P615" s="370"/>
      <c r="Q615" s="370"/>
      <c r="R615" s="370"/>
      <c r="S615" s="370"/>
      <c r="T615" s="370"/>
      <c r="U615" s="370"/>
      <c r="V615" s="370"/>
      <c r="W615" s="370"/>
      <c r="X615" s="370"/>
      <c r="Y615" s="370"/>
      <c r="Z615" s="370"/>
      <c r="AA615" s="370"/>
      <c r="AB615" s="370"/>
      <c r="AC615" s="370"/>
      <c r="AD615" s="370"/>
      <c r="AE615" s="370"/>
      <c r="AF615" s="370"/>
      <c r="AG615" s="370"/>
      <c r="AH615" s="370"/>
      <c r="AI615" s="370"/>
      <c r="AJ615" s="370"/>
      <c r="AK615" s="370"/>
      <c r="AL615" s="370"/>
      <c r="AM615" s="370"/>
      <c r="AN615" s="370"/>
      <c r="AO615" s="370"/>
      <c r="AP615" s="370"/>
      <c r="AQ615" s="370"/>
      <c r="AR615" s="370"/>
      <c r="AS615" s="370"/>
      <c r="AT615" s="370"/>
      <c r="AU615" s="370"/>
      <c r="AV615" s="370"/>
      <c r="AW615" s="370"/>
      <c r="AX615" s="370"/>
      <c r="AY615" s="370"/>
      <c r="AZ615" s="370"/>
      <c r="BA615" s="370"/>
      <c r="BB615" s="370"/>
    </row>
    <row r="616" spans="1:69" ht="18.75" customHeight="1">
      <c r="A616" s="69"/>
      <c r="B616" s="370"/>
      <c r="C616" s="545"/>
      <c r="D616" s="545"/>
      <c r="E616" s="545"/>
      <c r="G616" s="370"/>
      <c r="H616" s="370"/>
      <c r="I616" s="370"/>
      <c r="J616" s="370"/>
      <c r="K616" s="370"/>
      <c r="L616" s="370"/>
      <c r="M616" s="370"/>
      <c r="N616" s="370"/>
      <c r="O616" s="370"/>
      <c r="P616" s="370"/>
      <c r="Q616" s="370"/>
      <c r="R616" s="370"/>
      <c r="S616" s="370"/>
      <c r="T616" s="370"/>
      <c r="U616" s="370"/>
      <c r="V616" s="370"/>
      <c r="W616" s="370"/>
      <c r="X616" s="370"/>
      <c r="Y616" s="370"/>
      <c r="Z616" s="370"/>
      <c r="AA616" s="370"/>
      <c r="AB616" s="370"/>
      <c r="AC616" s="370"/>
      <c r="AD616" s="370"/>
      <c r="AE616" s="370"/>
      <c r="AF616" s="370"/>
      <c r="AG616" s="370"/>
      <c r="AH616" s="370"/>
      <c r="AI616" s="370"/>
      <c r="AJ616" s="370"/>
      <c r="AK616" s="370"/>
      <c r="AL616" s="370"/>
      <c r="AM616" s="370"/>
      <c r="AN616" s="370"/>
      <c r="AO616" s="370"/>
      <c r="AP616" s="370"/>
      <c r="AQ616" s="370"/>
      <c r="AR616" s="370"/>
      <c r="AS616" s="370"/>
      <c r="AT616" s="370"/>
      <c r="AU616" s="370"/>
      <c r="AV616" s="370"/>
      <c r="AW616" s="370"/>
      <c r="AX616" s="370"/>
      <c r="AY616" s="370"/>
      <c r="AZ616" s="370"/>
      <c r="BA616" s="370"/>
      <c r="BB616" s="370"/>
      <c r="BD616" s="58"/>
      <c r="BE616" s="58"/>
      <c r="BF616" s="58"/>
      <c r="BG616" s="58"/>
      <c r="BH616" s="58"/>
      <c r="BI616" s="58"/>
      <c r="BJ616" s="58"/>
      <c r="BK616" s="58"/>
      <c r="BL616" s="58"/>
      <c r="BM616" s="58"/>
      <c r="BN616" s="58"/>
      <c r="BO616" s="58"/>
      <c r="BP616" s="58"/>
      <c r="BQ616" s="58"/>
    </row>
    <row r="617" spans="1:69" ht="18.75" customHeight="1">
      <c r="A617" s="57" t="s">
        <v>813</v>
      </c>
      <c r="B617" s="370"/>
      <c r="C617" s="370"/>
      <c r="D617" s="370"/>
      <c r="E617" s="370"/>
      <c r="F617" s="370"/>
      <c r="G617" s="370"/>
      <c r="H617" s="370"/>
      <c r="I617" s="370"/>
      <c r="J617" s="370"/>
      <c r="K617" s="370"/>
      <c r="L617" s="370"/>
      <c r="M617" s="370"/>
      <c r="N617" s="370"/>
      <c r="O617" s="370"/>
      <c r="P617" s="370"/>
      <c r="Q617" s="370"/>
      <c r="R617" s="370"/>
      <c r="S617" s="370"/>
      <c r="T617" s="370"/>
      <c r="U617" s="370"/>
      <c r="V617" s="370"/>
      <c r="W617" s="370"/>
      <c r="X617" s="370"/>
      <c r="Y617" s="370"/>
      <c r="Z617" s="370"/>
      <c r="AA617" s="370"/>
      <c r="AB617" s="370"/>
      <c r="AC617" s="370"/>
      <c r="AD617" s="370"/>
      <c r="AE617" s="370"/>
      <c r="AF617" s="370"/>
      <c r="AG617" s="370"/>
      <c r="AH617" s="370"/>
      <c r="AI617" s="370"/>
      <c r="AJ617" s="370"/>
      <c r="AK617" s="370"/>
      <c r="AL617" s="370"/>
      <c r="AM617" s="370"/>
      <c r="AN617" s="370"/>
      <c r="AO617" s="370"/>
      <c r="AP617" s="370"/>
      <c r="AQ617" s="370"/>
      <c r="AR617" s="370"/>
      <c r="AS617" s="370"/>
      <c r="AT617" s="370"/>
    </row>
    <row r="618" spans="1:69" ht="18.75" customHeight="1">
      <c r="A618" s="370"/>
      <c r="B618" s="370"/>
      <c r="C618" s="370"/>
      <c r="D618" s="370"/>
      <c r="E618" s="370"/>
      <c r="F618" s="370"/>
      <c r="G618" s="370"/>
      <c r="H618" s="370"/>
      <c r="I618" s="370"/>
      <c r="J618" s="370"/>
      <c r="K618" s="370"/>
      <c r="L618" s="370"/>
      <c r="M618" s="370"/>
      <c r="N618" s="370"/>
      <c r="O618" s="370"/>
      <c r="P618" s="370"/>
      <c r="Q618" s="370"/>
      <c r="R618" s="370"/>
      <c r="S618" s="370"/>
      <c r="T618" s="370"/>
      <c r="U618" s="370"/>
      <c r="V618" s="370"/>
      <c r="W618" s="370"/>
      <c r="X618" s="370"/>
      <c r="Y618" s="370"/>
      <c r="Z618" s="370"/>
      <c r="AA618" s="370"/>
      <c r="AB618" s="370"/>
      <c r="AC618" s="370"/>
      <c r="AD618" s="370"/>
      <c r="AE618" s="370"/>
      <c r="AF618" s="370"/>
      <c r="AG618" s="370"/>
      <c r="AH618" s="370"/>
      <c r="AI618" s="370"/>
      <c r="AJ618" s="370"/>
      <c r="AK618" s="370"/>
      <c r="AL618" s="370"/>
      <c r="AM618" s="370"/>
      <c r="AN618" s="370"/>
      <c r="AO618" s="370"/>
      <c r="AP618" s="370"/>
      <c r="AQ618" s="370"/>
      <c r="AR618" s="370"/>
      <c r="AS618" s="370"/>
      <c r="AT618" s="370"/>
    </row>
    <row r="619" spans="1:69" ht="18.75" customHeight="1">
      <c r="A619" s="370"/>
      <c r="B619" s="370"/>
      <c r="C619" s="370" t="s">
        <v>814</v>
      </c>
      <c r="D619" s="370"/>
      <c r="E619" s="370"/>
      <c r="F619" s="370"/>
      <c r="G619" s="370"/>
      <c r="H619" s="370"/>
      <c r="I619" s="370"/>
      <c r="J619" s="370"/>
      <c r="K619" s="370"/>
      <c r="L619" s="370"/>
      <c r="M619" s="370"/>
      <c r="N619" s="370"/>
      <c r="O619" s="370"/>
      <c r="P619" s="370"/>
      <c r="Q619" s="370"/>
      <c r="R619" s="370"/>
      <c r="S619" s="370"/>
      <c r="T619" s="370"/>
      <c r="U619" s="370"/>
      <c r="V619" s="370"/>
      <c r="W619" s="370"/>
      <c r="X619" s="370"/>
      <c r="Y619" s="370"/>
      <c r="Z619" s="370"/>
      <c r="AA619" s="370"/>
      <c r="AB619" s="370"/>
      <c r="AC619" s="370"/>
      <c r="AD619" s="370"/>
      <c r="AE619" s="370"/>
      <c r="AF619" s="370"/>
      <c r="AG619" s="370"/>
      <c r="AH619" s="370"/>
      <c r="AI619" s="370"/>
      <c r="AJ619" s="370"/>
      <c r="AK619" s="370"/>
      <c r="AL619" s="370"/>
      <c r="AM619" s="370"/>
      <c r="AN619" s="370"/>
      <c r="AO619" s="370"/>
      <c r="AP619" s="370"/>
      <c r="AQ619" s="370"/>
      <c r="AR619" s="370"/>
      <c r="AS619" s="370"/>
      <c r="AT619" s="370"/>
    </row>
    <row r="620" spans="1:69" ht="18.75" customHeight="1">
      <c r="A620" s="370"/>
      <c r="B620" s="370"/>
      <c r="C620" s="370"/>
      <c r="D620" s="370"/>
      <c r="E620" s="370"/>
      <c r="F620" s="370"/>
      <c r="G620" s="370"/>
      <c r="H620" s="370"/>
      <c r="I620" s="370"/>
      <c r="J620" s="370"/>
      <c r="K620" s="370"/>
      <c r="L620" s="370"/>
      <c r="M620" s="370"/>
      <c r="N620" s="370"/>
      <c r="O620" s="370"/>
      <c r="P620" s="370"/>
      <c r="Q620" s="370"/>
      <c r="R620" s="370"/>
      <c r="S620" s="370"/>
      <c r="T620" s="370"/>
      <c r="U620" s="370"/>
      <c r="V620" s="370"/>
      <c r="W620" s="370"/>
      <c r="X620" s="370"/>
      <c r="Y620" s="370"/>
      <c r="Z620" s="370"/>
      <c r="AA620" s="370"/>
      <c r="AB620" s="370"/>
      <c r="AC620" s="370"/>
      <c r="AD620" s="370"/>
      <c r="AE620" s="370"/>
      <c r="AF620" s="370"/>
      <c r="AG620" s="370"/>
      <c r="AH620" s="370"/>
      <c r="AI620" s="370"/>
      <c r="AJ620" s="370"/>
      <c r="AK620" s="370"/>
      <c r="AL620" s="370"/>
      <c r="AM620" s="370"/>
      <c r="AN620" s="370"/>
      <c r="AO620" s="370"/>
      <c r="AP620" s="370"/>
      <c r="AQ620" s="370"/>
      <c r="AR620" s="370"/>
      <c r="AS620" s="370"/>
      <c r="AT620" s="370"/>
    </row>
    <row r="621" spans="1:69" ht="18.75" customHeight="1">
      <c r="A621" s="370"/>
      <c r="B621" s="370"/>
      <c r="C621" s="370"/>
      <c r="D621" s="370"/>
      <c r="E621" s="370"/>
      <c r="F621" s="370"/>
      <c r="G621" s="370"/>
      <c r="H621" s="370"/>
      <c r="I621" s="370"/>
      <c r="J621" s="370"/>
      <c r="K621" s="370"/>
      <c r="L621" s="370"/>
      <c r="M621" s="370"/>
      <c r="N621" s="370"/>
      <c r="O621" s="370"/>
      <c r="P621" s="370"/>
      <c r="Q621" s="370"/>
      <c r="R621" s="370"/>
      <c r="S621" s="370"/>
      <c r="T621" s="370"/>
      <c r="U621" s="370"/>
      <c r="V621" s="370"/>
      <c r="W621" s="370"/>
      <c r="X621" s="370"/>
      <c r="Y621" s="370"/>
      <c r="Z621" s="370"/>
      <c r="AA621" s="370"/>
      <c r="AB621" s="370"/>
      <c r="AC621" s="370"/>
      <c r="AD621" s="370"/>
      <c r="AE621" s="370"/>
      <c r="AF621" s="370"/>
      <c r="AG621" s="370"/>
      <c r="AH621" s="370"/>
      <c r="AI621" s="370"/>
      <c r="AJ621" s="370"/>
      <c r="AK621" s="370"/>
      <c r="AL621" s="370"/>
      <c r="AM621" s="370"/>
      <c r="AN621" s="370"/>
      <c r="AO621" s="370"/>
      <c r="AP621" s="370"/>
      <c r="AQ621" s="370"/>
      <c r="AR621" s="370"/>
      <c r="AS621" s="370"/>
      <c r="AT621" s="370"/>
    </row>
    <row r="622" spans="1:69" ht="18.75" customHeight="1">
      <c r="A622" s="370"/>
      <c r="B622" s="370"/>
      <c r="C622" s="370"/>
      <c r="D622" s="370"/>
      <c r="E622" s="370"/>
      <c r="F622" s="370"/>
      <c r="G622" s="370"/>
      <c r="H622" s="370"/>
      <c r="I622" s="370"/>
      <c r="J622" s="370"/>
      <c r="K622" s="370"/>
      <c r="L622" s="370"/>
      <c r="M622" s="370"/>
      <c r="N622" s="370"/>
      <c r="O622" s="370"/>
      <c r="P622" s="370"/>
      <c r="Q622" s="370"/>
      <c r="R622" s="370"/>
      <c r="S622" s="370"/>
      <c r="T622" s="370"/>
      <c r="U622" s="370"/>
      <c r="V622" s="370"/>
      <c r="W622" s="370"/>
      <c r="X622" s="370"/>
      <c r="Y622" s="370"/>
      <c r="Z622" s="370"/>
      <c r="AA622" s="370"/>
      <c r="AB622" s="370"/>
      <c r="AC622" s="370"/>
      <c r="AD622" s="370"/>
      <c r="AE622" s="370"/>
      <c r="AF622" s="370"/>
      <c r="AG622" s="370"/>
      <c r="AH622" s="370"/>
      <c r="AI622" s="370"/>
      <c r="AJ622" s="370"/>
      <c r="AK622" s="370"/>
      <c r="AL622" s="370"/>
      <c r="AM622" s="370"/>
      <c r="AN622" s="370"/>
      <c r="AO622" s="370"/>
      <c r="AP622" s="370"/>
      <c r="AQ622" s="370"/>
      <c r="AR622" s="370"/>
      <c r="AS622" s="370"/>
      <c r="AT622" s="370"/>
    </row>
    <row r="623" spans="1:69" ht="18.75" customHeight="1">
      <c r="A623" s="60" t="s">
        <v>815</v>
      </c>
      <c r="B623" s="370"/>
      <c r="C623" s="370"/>
      <c r="D623" s="370"/>
      <c r="E623" s="370"/>
      <c r="F623" s="370"/>
      <c r="G623" s="370"/>
      <c r="H623" s="370"/>
      <c r="I623" s="370"/>
      <c r="J623" s="370"/>
      <c r="K623" s="370"/>
      <c r="L623" s="370"/>
      <c r="M623" s="370"/>
      <c r="N623" s="370"/>
      <c r="O623" s="370"/>
      <c r="P623" s="370"/>
      <c r="Q623" s="370"/>
      <c r="R623" s="370"/>
      <c r="S623" s="370"/>
      <c r="T623" s="370"/>
      <c r="U623" s="370"/>
      <c r="V623" s="370"/>
      <c r="W623" s="370"/>
      <c r="X623" s="370"/>
      <c r="Y623" s="370"/>
      <c r="Z623" s="370"/>
      <c r="AA623" s="370"/>
      <c r="AB623" s="370"/>
      <c r="AC623" s="370"/>
      <c r="AD623" s="370"/>
      <c r="AE623" s="370"/>
      <c r="AF623" s="370"/>
      <c r="AG623" s="370"/>
      <c r="AH623" s="370"/>
      <c r="AI623" s="370"/>
      <c r="AJ623" s="370"/>
      <c r="AK623" s="370"/>
      <c r="AL623" s="370"/>
      <c r="AM623" s="370"/>
      <c r="AN623" s="370"/>
      <c r="AO623" s="370"/>
      <c r="AP623" s="370"/>
      <c r="AQ623" s="370"/>
      <c r="AR623" s="370"/>
      <c r="AS623" s="370"/>
      <c r="AT623" s="370"/>
    </row>
    <row r="624" spans="1:69" ht="18.75" customHeight="1">
      <c r="A624" s="370"/>
      <c r="B624" s="558"/>
      <c r="C624" s="560"/>
      <c r="D624" s="537"/>
      <c r="E624" s="538"/>
      <c r="F624" s="538"/>
      <c r="G624" s="539"/>
      <c r="H624" s="522">
        <v>1</v>
      </c>
      <c r="I624" s="522"/>
      <c r="J624" s="522"/>
      <c r="K624" s="522"/>
      <c r="L624" s="522"/>
      <c r="M624" s="522"/>
      <c r="N624" s="522"/>
      <c r="O624" s="537">
        <v>2</v>
      </c>
      <c r="P624" s="538"/>
      <c r="Q624" s="538"/>
      <c r="R624" s="538"/>
      <c r="S624" s="538"/>
      <c r="T624" s="538"/>
      <c r="U624" s="538"/>
      <c r="V624" s="538"/>
      <c r="W624" s="538"/>
      <c r="X624" s="538"/>
      <c r="Y624" s="538"/>
      <c r="Z624" s="538"/>
      <c r="AA624" s="539"/>
      <c r="AB624" s="522">
        <v>3</v>
      </c>
      <c r="AC624" s="522"/>
      <c r="AD624" s="522"/>
      <c r="AE624" s="522"/>
      <c r="AF624" s="522"/>
      <c r="AG624" s="537">
        <v>4</v>
      </c>
      <c r="AH624" s="538"/>
      <c r="AI624" s="538"/>
      <c r="AJ624" s="538"/>
      <c r="AK624" s="538"/>
      <c r="AL624" s="538"/>
      <c r="AM624" s="538"/>
      <c r="AN624" s="538"/>
      <c r="AO624" s="539"/>
      <c r="AP624" s="537">
        <v>5</v>
      </c>
      <c r="AQ624" s="538"/>
      <c r="AR624" s="538"/>
      <c r="AS624" s="538"/>
      <c r="AT624" s="538"/>
      <c r="AU624" s="538"/>
      <c r="AV624" s="538"/>
      <c r="AW624" s="538"/>
      <c r="AX624" s="538"/>
      <c r="AY624" s="538"/>
      <c r="AZ624" s="538"/>
      <c r="BA624" s="538"/>
      <c r="BB624" s="539"/>
      <c r="BC624" s="522">
        <v>6</v>
      </c>
      <c r="BD624" s="522"/>
      <c r="BE624" s="522"/>
      <c r="BF624" s="522"/>
    </row>
    <row r="625" spans="1:60" ht="18.75" customHeight="1">
      <c r="A625" s="370"/>
      <c r="B625" s="563"/>
      <c r="C625" s="564"/>
      <c r="D625" s="558" t="s">
        <v>989</v>
      </c>
      <c r="E625" s="559"/>
      <c r="F625" s="559"/>
      <c r="G625" s="560"/>
      <c r="H625" s="557" t="s">
        <v>149</v>
      </c>
      <c r="I625" s="557"/>
      <c r="J625" s="557"/>
      <c r="K625" s="557"/>
      <c r="L625" s="557"/>
      <c r="M625" s="557"/>
      <c r="N625" s="557"/>
      <c r="O625" s="558" t="s">
        <v>1185</v>
      </c>
      <c r="P625" s="559"/>
      <c r="Q625" s="559"/>
      <c r="R625" s="559"/>
      <c r="S625" s="559"/>
      <c r="T625" s="559"/>
      <c r="U625" s="559"/>
      <c r="V625" s="559"/>
      <c r="W625" s="559"/>
      <c r="X625" s="559"/>
      <c r="Y625" s="559"/>
      <c r="Z625" s="559"/>
      <c r="AA625" s="560"/>
      <c r="AB625" s="557" t="s">
        <v>1186</v>
      </c>
      <c r="AC625" s="557"/>
      <c r="AD625" s="557"/>
      <c r="AE625" s="557"/>
      <c r="AF625" s="557"/>
      <c r="AG625" s="558" t="s">
        <v>820</v>
      </c>
      <c r="AH625" s="559"/>
      <c r="AI625" s="559"/>
      <c r="AJ625" s="559"/>
      <c r="AK625" s="559"/>
      <c r="AL625" s="559"/>
      <c r="AM625" s="559"/>
      <c r="AN625" s="559"/>
      <c r="AO625" s="560"/>
      <c r="AP625" s="558" t="s">
        <v>821</v>
      </c>
      <c r="AQ625" s="559"/>
      <c r="AR625" s="559"/>
      <c r="AS625" s="559"/>
      <c r="AT625" s="559"/>
      <c r="AU625" s="559"/>
      <c r="AV625" s="559"/>
      <c r="AW625" s="559"/>
      <c r="AX625" s="559"/>
      <c r="AY625" s="559"/>
      <c r="AZ625" s="559"/>
      <c r="BA625" s="559"/>
      <c r="BB625" s="560"/>
      <c r="BC625" s="557" t="s">
        <v>822</v>
      </c>
      <c r="BD625" s="557"/>
      <c r="BE625" s="557"/>
      <c r="BF625" s="557"/>
    </row>
    <row r="626" spans="1:60" ht="18.75" customHeight="1">
      <c r="A626" s="370"/>
      <c r="B626" s="565"/>
      <c r="C626" s="566"/>
      <c r="D626" s="572" t="s">
        <v>823</v>
      </c>
      <c r="E626" s="573"/>
      <c r="F626" s="573"/>
      <c r="G626" s="574"/>
      <c r="H626" s="556" t="s">
        <v>824</v>
      </c>
      <c r="I626" s="556"/>
      <c r="J626" s="556"/>
      <c r="K626" s="556"/>
      <c r="L626" s="556"/>
      <c r="M626" s="556"/>
      <c r="N626" s="556"/>
      <c r="O626" s="567" t="s">
        <v>825</v>
      </c>
      <c r="P626" s="568"/>
      <c r="Q626" s="568"/>
      <c r="R626" s="568"/>
      <c r="S626" s="568"/>
      <c r="T626" s="568"/>
      <c r="U626" s="568"/>
      <c r="V626" s="568"/>
      <c r="W626" s="568"/>
      <c r="X626" s="568"/>
      <c r="Y626" s="568"/>
      <c r="Z626" s="568"/>
      <c r="AA626" s="569"/>
      <c r="AB626" s="556"/>
      <c r="AC626" s="556"/>
      <c r="AD626" s="556"/>
      <c r="AE626" s="556"/>
      <c r="AF626" s="556"/>
      <c r="AG626" s="567" t="s">
        <v>998</v>
      </c>
      <c r="AH626" s="568"/>
      <c r="AI626" s="568"/>
      <c r="AJ626" s="568"/>
      <c r="AK626" s="568"/>
      <c r="AL626" s="568"/>
      <c r="AM626" s="568"/>
      <c r="AN626" s="568"/>
      <c r="AO626" s="569"/>
      <c r="AP626" s="567" t="s">
        <v>827</v>
      </c>
      <c r="AQ626" s="568"/>
      <c r="AR626" s="568"/>
      <c r="AS626" s="568"/>
      <c r="AT626" s="568"/>
      <c r="AU626" s="568"/>
      <c r="AV626" s="568"/>
      <c r="AW626" s="568"/>
      <c r="AX626" s="568"/>
      <c r="AY626" s="568"/>
      <c r="AZ626" s="568"/>
      <c r="BA626" s="568"/>
      <c r="BB626" s="569"/>
      <c r="BC626" s="556"/>
      <c r="BD626" s="556"/>
      <c r="BE626" s="556"/>
      <c r="BF626" s="556"/>
    </row>
    <row r="627" spans="1:60" ht="18.75" customHeight="1">
      <c r="A627" s="370"/>
      <c r="B627" s="522" t="s">
        <v>1248</v>
      </c>
      <c r="C627" s="522"/>
      <c r="D627" s="523" t="s">
        <v>946</v>
      </c>
      <c r="E627" s="524"/>
      <c r="F627" s="524"/>
      <c r="G627" s="525"/>
      <c r="H627" s="646" t="e">
        <f ca="1">Calcu!E273</f>
        <v>#N/A</v>
      </c>
      <c r="I627" s="647"/>
      <c r="J627" s="647"/>
      <c r="K627" s="647"/>
      <c r="L627" s="647"/>
      <c r="M627" s="528" t="str">
        <f>Calcu!F273</f>
        <v>˚</v>
      </c>
      <c r="N627" s="529"/>
      <c r="O627" s="620">
        <f>Calcu!L273</f>
        <v>0</v>
      </c>
      <c r="P627" s="621"/>
      <c r="Q627" s="621"/>
      <c r="R627" s="621"/>
      <c r="S627" s="621"/>
      <c r="T627" s="621"/>
      <c r="U627" s="621"/>
      <c r="V627" s="535" t="str">
        <f>Calcu!M273</f>
        <v>˚</v>
      </c>
      <c r="W627" s="535"/>
      <c r="X627" s="535"/>
      <c r="Y627" s="535"/>
      <c r="Z627" s="535"/>
      <c r="AA627" s="536"/>
      <c r="AB627" s="522" t="str">
        <f>Calcu!N273</f>
        <v>정규</v>
      </c>
      <c r="AC627" s="522"/>
      <c r="AD627" s="522"/>
      <c r="AE627" s="522"/>
      <c r="AF627" s="522"/>
      <c r="AG627" s="537">
        <f>Calcu!O273</f>
        <v>1</v>
      </c>
      <c r="AH627" s="538"/>
      <c r="AI627" s="538"/>
      <c r="AJ627" s="538"/>
      <c r="AK627" s="538"/>
      <c r="AL627" s="538"/>
      <c r="AM627" s="538"/>
      <c r="AN627" s="538"/>
      <c r="AO627" s="539"/>
      <c r="AP627" s="620">
        <f>Calcu!P273</f>
        <v>0</v>
      </c>
      <c r="AQ627" s="621"/>
      <c r="AR627" s="621"/>
      <c r="AS627" s="621"/>
      <c r="AT627" s="621"/>
      <c r="AU627" s="621">
        <v>0</v>
      </c>
      <c r="AV627" s="621"/>
      <c r="AW627" s="535" t="str">
        <f>Calcu!Q273</f>
        <v>˚</v>
      </c>
      <c r="AX627" s="535"/>
      <c r="AY627" s="535"/>
      <c r="AZ627" s="535"/>
      <c r="BA627" s="535"/>
      <c r="BB627" s="536"/>
      <c r="BC627" s="522" t="str">
        <f>Calcu!R273</f>
        <v>∞</v>
      </c>
      <c r="BD627" s="522"/>
      <c r="BE627" s="522"/>
      <c r="BF627" s="522"/>
    </row>
    <row r="628" spans="1:60" ht="18.75" customHeight="1">
      <c r="A628" s="370"/>
      <c r="B628" s="522" t="s">
        <v>1152</v>
      </c>
      <c r="C628" s="522"/>
      <c r="D628" s="523" t="s">
        <v>948</v>
      </c>
      <c r="E628" s="524"/>
      <c r="F628" s="524"/>
      <c r="G628" s="525"/>
      <c r="H628" s="646" t="e">
        <f ca="1">Calcu!E274</f>
        <v>#N/A</v>
      </c>
      <c r="I628" s="647"/>
      <c r="J628" s="647"/>
      <c r="K628" s="647"/>
      <c r="L628" s="647"/>
      <c r="M628" s="528" t="str">
        <f>Calcu!F274</f>
        <v>˚</v>
      </c>
      <c r="N628" s="529"/>
      <c r="O628" s="648">
        <f>Calcu!L274</f>
        <v>0</v>
      </c>
      <c r="P628" s="649"/>
      <c r="Q628" s="649"/>
      <c r="R628" s="649"/>
      <c r="S628" s="649"/>
      <c r="T628" s="649"/>
      <c r="U628" s="649"/>
      <c r="V628" s="535" t="str">
        <f>Calcu!M274</f>
        <v>˚</v>
      </c>
      <c r="W628" s="535"/>
      <c r="X628" s="535"/>
      <c r="Y628" s="535"/>
      <c r="Z628" s="535"/>
      <c r="AA628" s="536"/>
      <c r="AB628" s="522" t="str">
        <f>Calcu!N274</f>
        <v>t</v>
      </c>
      <c r="AC628" s="522"/>
      <c r="AD628" s="522"/>
      <c r="AE628" s="522"/>
      <c r="AF628" s="522"/>
      <c r="AG628" s="537">
        <f>Calcu!O274</f>
        <v>-1</v>
      </c>
      <c r="AH628" s="538"/>
      <c r="AI628" s="538"/>
      <c r="AJ628" s="538"/>
      <c r="AK628" s="538"/>
      <c r="AL628" s="538"/>
      <c r="AM628" s="538"/>
      <c r="AN628" s="538"/>
      <c r="AO628" s="539"/>
      <c r="AP628" s="648">
        <f>Calcu!P274</f>
        <v>0</v>
      </c>
      <c r="AQ628" s="649"/>
      <c r="AR628" s="649"/>
      <c r="AS628" s="649"/>
      <c r="AT628" s="649"/>
      <c r="AU628" s="649">
        <v>0</v>
      </c>
      <c r="AV628" s="649"/>
      <c r="AW628" s="535" t="str">
        <f>Calcu!Q274</f>
        <v>˚</v>
      </c>
      <c r="AX628" s="535"/>
      <c r="AY628" s="535"/>
      <c r="AZ628" s="535"/>
      <c r="BA628" s="535"/>
      <c r="BB628" s="536"/>
      <c r="BC628" s="522">
        <f>Calcu!R274</f>
        <v>4</v>
      </c>
      <c r="BD628" s="522"/>
      <c r="BE628" s="522"/>
      <c r="BF628" s="522"/>
    </row>
    <row r="629" spans="1:60" ht="18.75" customHeight="1">
      <c r="A629" s="370"/>
      <c r="B629" s="522" t="s">
        <v>1003</v>
      </c>
      <c r="C629" s="522"/>
      <c r="D629" s="523" t="s">
        <v>953</v>
      </c>
      <c r="E629" s="524"/>
      <c r="F629" s="524"/>
      <c r="G629" s="525"/>
      <c r="H629" s="646">
        <f>Calcu!E275</f>
        <v>0</v>
      </c>
      <c r="I629" s="647"/>
      <c r="J629" s="647"/>
      <c r="K629" s="647"/>
      <c r="L629" s="647"/>
      <c r="M629" s="528" t="str">
        <f>Calcu!F275</f>
        <v>˚</v>
      </c>
      <c r="N629" s="529"/>
      <c r="O629" s="620" t="e">
        <f>Calcu!L275</f>
        <v>#DIV/0!</v>
      </c>
      <c r="P629" s="621"/>
      <c r="Q629" s="621"/>
      <c r="R629" s="621"/>
      <c r="S629" s="621"/>
      <c r="T629" s="621"/>
      <c r="U629" s="621"/>
      <c r="V629" s="535" t="str">
        <f>Calcu!M275</f>
        <v>˚</v>
      </c>
      <c r="W629" s="535"/>
      <c r="X629" s="535"/>
      <c r="Y629" s="535"/>
      <c r="Z629" s="535"/>
      <c r="AA629" s="536"/>
      <c r="AB629" s="522" t="str">
        <f>Calcu!N275</f>
        <v>직사각형</v>
      </c>
      <c r="AC629" s="522"/>
      <c r="AD629" s="522"/>
      <c r="AE629" s="522"/>
      <c r="AF629" s="522"/>
      <c r="AG629" s="537">
        <f>Calcu!O275</f>
        <v>1</v>
      </c>
      <c r="AH629" s="538"/>
      <c r="AI629" s="538"/>
      <c r="AJ629" s="538"/>
      <c r="AK629" s="538"/>
      <c r="AL629" s="538"/>
      <c r="AM629" s="538"/>
      <c r="AN629" s="538"/>
      <c r="AO629" s="539"/>
      <c r="AP629" s="620" t="e">
        <f>Calcu!P275</f>
        <v>#DIV/0!</v>
      </c>
      <c r="AQ629" s="621"/>
      <c r="AR629" s="621"/>
      <c r="AS629" s="621"/>
      <c r="AT629" s="621"/>
      <c r="AU629" s="621">
        <v>0</v>
      </c>
      <c r="AV629" s="621"/>
      <c r="AW629" s="535" t="str">
        <f>Calcu!Q275</f>
        <v>˚</v>
      </c>
      <c r="AX629" s="535"/>
      <c r="AY629" s="535"/>
      <c r="AZ629" s="535"/>
      <c r="BA629" s="535"/>
      <c r="BB629" s="536"/>
      <c r="BC629" s="522" t="str">
        <f>Calcu!R275</f>
        <v>∞</v>
      </c>
      <c r="BD629" s="522"/>
      <c r="BE629" s="522"/>
      <c r="BF629" s="522"/>
    </row>
    <row r="630" spans="1:60" ht="18.75" customHeight="1">
      <c r="A630" s="370"/>
      <c r="B630" s="522" t="s">
        <v>922</v>
      </c>
      <c r="C630" s="522"/>
      <c r="D630" s="523" t="s">
        <v>1182</v>
      </c>
      <c r="E630" s="524"/>
      <c r="F630" s="524"/>
      <c r="G630" s="525"/>
      <c r="H630" s="646">
        <f>Calcu!E276</f>
        <v>0</v>
      </c>
      <c r="I630" s="647"/>
      <c r="J630" s="647"/>
      <c r="K630" s="647"/>
      <c r="L630" s="647"/>
      <c r="M630" s="528" t="str">
        <f>Calcu!F276</f>
        <v>˚</v>
      </c>
      <c r="N630" s="529"/>
      <c r="O630" s="648" t="e">
        <f ca="1">Calcu!L276</f>
        <v>#N/A</v>
      </c>
      <c r="P630" s="649"/>
      <c r="Q630" s="649"/>
      <c r="R630" s="649"/>
      <c r="S630" s="649"/>
      <c r="T630" s="649"/>
      <c r="U630" s="649"/>
      <c r="V630" s="535" t="str">
        <f>Calcu!M276</f>
        <v>˚</v>
      </c>
      <c r="W630" s="535"/>
      <c r="X630" s="535"/>
      <c r="Y630" s="535"/>
      <c r="Z630" s="535"/>
      <c r="AA630" s="536"/>
      <c r="AB630" s="522" t="str">
        <f>Calcu!N276</f>
        <v>직사각형</v>
      </c>
      <c r="AC630" s="522"/>
      <c r="AD630" s="522"/>
      <c r="AE630" s="522"/>
      <c r="AF630" s="522"/>
      <c r="AG630" s="537">
        <f>Calcu!O276</f>
        <v>1</v>
      </c>
      <c r="AH630" s="538"/>
      <c r="AI630" s="538"/>
      <c r="AJ630" s="538"/>
      <c r="AK630" s="538"/>
      <c r="AL630" s="538"/>
      <c r="AM630" s="538"/>
      <c r="AN630" s="538"/>
      <c r="AO630" s="539"/>
      <c r="AP630" s="648" t="e">
        <f ca="1">Calcu!P276</f>
        <v>#N/A</v>
      </c>
      <c r="AQ630" s="649"/>
      <c r="AR630" s="649"/>
      <c r="AS630" s="649"/>
      <c r="AT630" s="649"/>
      <c r="AU630" s="649">
        <v>0</v>
      </c>
      <c r="AV630" s="649"/>
      <c r="AW630" s="535" t="str">
        <f>Calcu!Q276</f>
        <v>˚</v>
      </c>
      <c r="AX630" s="535"/>
      <c r="AY630" s="535"/>
      <c r="AZ630" s="535"/>
      <c r="BA630" s="535"/>
      <c r="BB630" s="536"/>
      <c r="BC630" s="522">
        <f>Calcu!R276</f>
        <v>12</v>
      </c>
      <c r="BD630" s="522"/>
      <c r="BE630" s="522"/>
      <c r="BF630" s="522"/>
    </row>
    <row r="631" spans="1:60" ht="18.75" customHeight="1">
      <c r="A631" s="370"/>
      <c r="B631" s="522" t="s">
        <v>923</v>
      </c>
      <c r="C631" s="522"/>
      <c r="D631" s="523" t="s">
        <v>952</v>
      </c>
      <c r="E631" s="524"/>
      <c r="F631" s="524"/>
      <c r="G631" s="525"/>
      <c r="H631" s="646">
        <f>Calcu!E277</f>
        <v>0</v>
      </c>
      <c r="I631" s="647"/>
      <c r="J631" s="647"/>
      <c r="K631" s="647"/>
      <c r="L631" s="647"/>
      <c r="M631" s="528" t="str">
        <f>Calcu!F277</f>
        <v>˚</v>
      </c>
      <c r="N631" s="529"/>
      <c r="O631" s="648" t="e">
        <f ca="1">Calcu!L277</f>
        <v>#N/A</v>
      </c>
      <c r="P631" s="649"/>
      <c r="Q631" s="649"/>
      <c r="R631" s="649"/>
      <c r="S631" s="649"/>
      <c r="T631" s="649"/>
      <c r="U631" s="649"/>
      <c r="V631" s="535" t="str">
        <f>Calcu!M277</f>
        <v>˚</v>
      </c>
      <c r="W631" s="535"/>
      <c r="X631" s="535"/>
      <c r="Y631" s="535"/>
      <c r="Z631" s="535"/>
      <c r="AA631" s="536"/>
      <c r="AB631" s="522" t="str">
        <f>Calcu!N277</f>
        <v>직사각형</v>
      </c>
      <c r="AC631" s="522"/>
      <c r="AD631" s="522"/>
      <c r="AE631" s="522"/>
      <c r="AF631" s="522"/>
      <c r="AG631" s="537">
        <f>Calcu!O277</f>
        <v>1</v>
      </c>
      <c r="AH631" s="538"/>
      <c r="AI631" s="538"/>
      <c r="AJ631" s="538"/>
      <c r="AK631" s="538"/>
      <c r="AL631" s="538"/>
      <c r="AM631" s="538"/>
      <c r="AN631" s="538"/>
      <c r="AO631" s="539"/>
      <c r="AP631" s="648" t="e">
        <f ca="1">Calcu!P277</f>
        <v>#N/A</v>
      </c>
      <c r="AQ631" s="649"/>
      <c r="AR631" s="649"/>
      <c r="AS631" s="649"/>
      <c r="AT631" s="649"/>
      <c r="AU631" s="649">
        <v>0</v>
      </c>
      <c r="AV631" s="649"/>
      <c r="AW631" s="535" t="str">
        <f>Calcu!Q277</f>
        <v>˚</v>
      </c>
      <c r="AX631" s="535"/>
      <c r="AY631" s="535"/>
      <c r="AZ631" s="535"/>
      <c r="BA631" s="535"/>
      <c r="BB631" s="536"/>
      <c r="BC631" s="522">
        <f>Calcu!R277</f>
        <v>12</v>
      </c>
      <c r="BD631" s="522"/>
      <c r="BE631" s="522"/>
      <c r="BF631" s="522"/>
    </row>
    <row r="632" spans="1:60" ht="18.75" customHeight="1">
      <c r="A632" s="370"/>
      <c r="B632" s="522" t="s">
        <v>924</v>
      </c>
      <c r="C632" s="522"/>
      <c r="D632" s="523" t="s">
        <v>945</v>
      </c>
      <c r="E632" s="524"/>
      <c r="F632" s="524"/>
      <c r="G632" s="525"/>
      <c r="H632" s="646" t="e">
        <f ca="1">Calcu!E278</f>
        <v>#N/A</v>
      </c>
      <c r="I632" s="647"/>
      <c r="J632" s="647"/>
      <c r="K632" s="647"/>
      <c r="L632" s="647"/>
      <c r="M632" s="528" t="str">
        <f>Calcu!F278</f>
        <v>˚</v>
      </c>
      <c r="N632" s="529"/>
      <c r="O632" s="537"/>
      <c r="P632" s="538"/>
      <c r="Q632" s="538"/>
      <c r="R632" s="538"/>
      <c r="S632" s="538"/>
      <c r="T632" s="538"/>
      <c r="U632" s="538"/>
      <c r="V632" s="538"/>
      <c r="W632" s="538"/>
      <c r="X632" s="538"/>
      <c r="Y632" s="538"/>
      <c r="Z632" s="538"/>
      <c r="AA632" s="539"/>
      <c r="AB632" s="522"/>
      <c r="AC632" s="522"/>
      <c r="AD632" s="522"/>
      <c r="AE632" s="522"/>
      <c r="AF632" s="522"/>
      <c r="AG632" s="537"/>
      <c r="AH632" s="538"/>
      <c r="AI632" s="538"/>
      <c r="AJ632" s="538"/>
      <c r="AK632" s="538"/>
      <c r="AL632" s="538"/>
      <c r="AM632" s="538"/>
      <c r="AN632" s="538"/>
      <c r="AO632" s="539"/>
      <c r="AP632" s="648" t="e">
        <f>Calcu!P278</f>
        <v>#DIV/0!</v>
      </c>
      <c r="AQ632" s="649"/>
      <c r="AR632" s="649"/>
      <c r="AS632" s="649"/>
      <c r="AT632" s="649"/>
      <c r="AU632" s="649">
        <v>0</v>
      </c>
      <c r="AV632" s="649"/>
      <c r="AW632" s="535" t="str">
        <f>Calcu!Q278</f>
        <v>˚</v>
      </c>
      <c r="AX632" s="535"/>
      <c r="AY632" s="535"/>
      <c r="AZ632" s="535"/>
      <c r="BA632" s="535"/>
      <c r="BB632" s="536"/>
      <c r="BC632" s="522" t="e">
        <f ca="1">Calcu!R278</f>
        <v>#N/A</v>
      </c>
      <c r="BD632" s="522"/>
      <c r="BE632" s="522"/>
      <c r="BF632" s="522"/>
    </row>
    <row r="633" spans="1:60" ht="18.75" customHeight="1">
      <c r="A633" s="370"/>
      <c r="B633" s="370"/>
      <c r="C633" s="370"/>
      <c r="D633" s="370"/>
      <c r="E633" s="370"/>
      <c r="F633" s="370"/>
      <c r="G633" s="370"/>
      <c r="H633" s="370"/>
      <c r="I633" s="370"/>
      <c r="J633" s="370"/>
      <c r="K633" s="370"/>
      <c r="L633" s="370"/>
      <c r="M633" s="370"/>
      <c r="N633" s="370"/>
      <c r="O633" s="370"/>
      <c r="P633" s="370"/>
      <c r="Q633" s="370"/>
      <c r="R633" s="370"/>
      <c r="S633" s="370"/>
      <c r="T633" s="370"/>
      <c r="U633" s="370"/>
      <c r="V633" s="370"/>
      <c r="W633" s="370"/>
      <c r="X633" s="370"/>
      <c r="Y633" s="370"/>
      <c r="Z633" s="370"/>
      <c r="AA633" s="370"/>
      <c r="AB633" s="370"/>
      <c r="AC633" s="370"/>
      <c r="AD633" s="370"/>
      <c r="AE633" s="370"/>
      <c r="AF633" s="370"/>
      <c r="AG633" s="223"/>
      <c r="AH633" s="370"/>
      <c r="AI633" s="370"/>
      <c r="AJ633" s="370"/>
      <c r="AK633" s="370"/>
      <c r="AL633" s="370"/>
      <c r="AM633" s="370"/>
      <c r="AN633" s="370"/>
      <c r="AO633" s="370"/>
      <c r="AP633" s="370"/>
      <c r="AQ633" s="370"/>
      <c r="AR633" s="370"/>
      <c r="AS633" s="370"/>
      <c r="AT633" s="370"/>
    </row>
    <row r="634" spans="1:60" s="135" customFormat="1" ht="18.75" customHeight="1">
      <c r="A634" s="57" t="s">
        <v>1249</v>
      </c>
      <c r="B634" s="341"/>
      <c r="C634" s="341"/>
      <c r="D634" s="341"/>
      <c r="E634" s="341"/>
      <c r="F634" s="341"/>
      <c r="G634" s="341"/>
      <c r="H634" s="341"/>
      <c r="I634" s="341"/>
      <c r="J634" s="341"/>
      <c r="K634" s="341"/>
      <c r="L634" s="341"/>
      <c r="M634" s="341"/>
      <c r="N634" s="341"/>
      <c r="O634" s="341"/>
      <c r="P634" s="341"/>
      <c r="Q634" s="341"/>
      <c r="R634" s="341"/>
      <c r="S634" s="341"/>
      <c r="T634" s="341"/>
      <c r="U634" s="341"/>
      <c r="V634" s="341"/>
      <c r="W634" s="341"/>
      <c r="X634" s="341"/>
      <c r="Y634" s="341"/>
      <c r="Z634" s="341"/>
      <c r="AA634" s="341"/>
      <c r="AB634" s="341"/>
      <c r="AC634" s="341"/>
      <c r="AD634" s="341"/>
      <c r="AE634" s="341"/>
      <c r="AF634" s="341"/>
      <c r="AG634" s="341"/>
      <c r="AH634" s="341"/>
      <c r="AI634" s="341"/>
      <c r="AJ634" s="341"/>
      <c r="AK634" s="341"/>
      <c r="AL634" s="341"/>
      <c r="AM634" s="341"/>
      <c r="AN634" s="341"/>
      <c r="AO634" s="341"/>
      <c r="AP634" s="341"/>
      <c r="AQ634" s="341"/>
      <c r="AR634" s="341"/>
      <c r="AS634" s="341"/>
      <c r="AT634" s="341"/>
      <c r="AU634" s="341"/>
      <c r="AV634" s="341"/>
      <c r="AW634" s="341"/>
      <c r="AX634" s="341"/>
      <c r="AY634" s="341"/>
      <c r="AZ634" s="341"/>
      <c r="BA634" s="341"/>
      <c r="BB634" s="341"/>
      <c r="BC634" s="341"/>
      <c r="BD634" s="341"/>
      <c r="BE634" s="341"/>
      <c r="BF634" s="341"/>
    </row>
    <row r="635" spans="1:60" s="135" customFormat="1" ht="18.75" customHeight="1">
      <c r="A635" s="341"/>
      <c r="B635" s="341"/>
      <c r="C635" s="341"/>
      <c r="D635" s="341"/>
      <c r="E635" s="341"/>
      <c r="F635" s="341"/>
      <c r="G635" s="341"/>
      <c r="H635" s="341"/>
      <c r="I635" s="341"/>
      <c r="J635" s="341"/>
      <c r="K635" s="341"/>
      <c r="L635" s="341"/>
      <c r="M635" s="341"/>
      <c r="N635" s="341"/>
      <c r="O635" s="341"/>
      <c r="P635" s="341"/>
      <c r="Q635" s="341"/>
      <c r="R635" s="341"/>
      <c r="S635" s="341"/>
      <c r="T635" s="341"/>
      <c r="U635" s="341"/>
      <c r="V635" s="341"/>
      <c r="W635" s="341"/>
      <c r="X635" s="341"/>
      <c r="Y635" s="341"/>
      <c r="Z635" s="341"/>
      <c r="AA635" s="341"/>
      <c r="AB635" s="341"/>
      <c r="AC635" s="341"/>
      <c r="AD635" s="341"/>
      <c r="AE635" s="346"/>
      <c r="AF635" s="341"/>
      <c r="AG635" s="341"/>
      <c r="AH635" s="341"/>
      <c r="AI635" s="341"/>
      <c r="AJ635" s="341"/>
      <c r="AK635" s="346"/>
      <c r="AL635" s="346"/>
      <c r="AM635" s="363"/>
      <c r="AN635" s="363"/>
      <c r="AO635" s="363"/>
      <c r="AP635" s="363"/>
      <c r="AQ635" s="346"/>
      <c r="AR635" s="341"/>
      <c r="AT635" s="369"/>
      <c r="AU635" s="369"/>
      <c r="AV635" s="369"/>
      <c r="AW635" s="346"/>
      <c r="AX635" s="346"/>
      <c r="AY635" s="341"/>
      <c r="BA635" s="341"/>
      <c r="BB635" s="341"/>
      <c r="BC635" s="341"/>
      <c r="BD635" s="341"/>
      <c r="BE635" s="341"/>
      <c r="BF635" s="341"/>
    </row>
    <row r="636" spans="1:60" s="135" customFormat="1" ht="18.75" customHeight="1">
      <c r="A636" s="341"/>
      <c r="B636" s="341"/>
      <c r="C636" s="341"/>
      <c r="D636" s="341"/>
      <c r="E636" s="341" t="s">
        <v>1250</v>
      </c>
      <c r="F636" s="658">
        <f>AP627</f>
        <v>0</v>
      </c>
      <c r="G636" s="658"/>
      <c r="H636" s="658"/>
      <c r="I636" s="658"/>
      <c r="J636" s="346"/>
      <c r="K636" s="341" t="s">
        <v>905</v>
      </c>
      <c r="L636" s="654">
        <f>AP628</f>
        <v>0</v>
      </c>
      <c r="M636" s="654"/>
      <c r="N636" s="654"/>
      <c r="O636" s="654"/>
      <c r="P636" s="346"/>
      <c r="Q636" s="341" t="s">
        <v>1097</v>
      </c>
      <c r="R636" s="658" t="e">
        <f>AP629</f>
        <v>#DIV/0!</v>
      </c>
      <c r="S636" s="658"/>
      <c r="T636" s="658"/>
      <c r="U636" s="658"/>
      <c r="V636" s="346"/>
      <c r="W636" s="341" t="s">
        <v>905</v>
      </c>
      <c r="X636" s="654" t="e">
        <f ca="1">AP630</f>
        <v>#N/A</v>
      </c>
      <c r="Y636" s="654"/>
      <c r="Z636" s="654"/>
      <c r="AA636" s="654"/>
      <c r="AB636" s="346"/>
      <c r="AC636" s="341" t="s">
        <v>1251</v>
      </c>
      <c r="AD636" s="654" t="e">
        <f ca="1">AP631</f>
        <v>#N/A</v>
      </c>
      <c r="AE636" s="654"/>
      <c r="AF636" s="654"/>
      <c r="AG636" s="654"/>
      <c r="AH636" s="346"/>
      <c r="AI636" s="341"/>
      <c r="AJ636" s="341"/>
      <c r="AK636" s="343"/>
      <c r="AL636" s="343"/>
      <c r="AM636" s="343"/>
      <c r="AN636" s="343"/>
      <c r="AO636" s="346"/>
      <c r="AP636" s="341"/>
      <c r="AS636" s="341"/>
      <c r="AT636" s="341"/>
      <c r="AU636" s="341"/>
      <c r="AV636" s="341"/>
      <c r="AW636" s="341"/>
      <c r="AX636" s="341"/>
      <c r="AY636" s="341"/>
      <c r="AZ636" s="341"/>
      <c r="BA636" s="341"/>
      <c r="BB636" s="341"/>
      <c r="BC636" s="341"/>
      <c r="BD636" s="341"/>
    </row>
    <row r="637" spans="1:60" s="58" customFormat="1" ht="18.75" customHeight="1">
      <c r="A637" s="346"/>
      <c r="B637" s="346"/>
      <c r="C637" s="346"/>
      <c r="D637" s="346"/>
      <c r="E637" s="341" t="s">
        <v>845</v>
      </c>
      <c r="F637" s="654" t="e">
        <f>AP632</f>
        <v>#DIV/0!</v>
      </c>
      <c r="G637" s="654"/>
      <c r="H637" s="654"/>
      <c r="I637" s="654"/>
      <c r="J637" s="346"/>
      <c r="K637" s="341"/>
      <c r="L637" s="341"/>
      <c r="M637" s="342"/>
      <c r="N637" s="342"/>
      <c r="O637" s="342"/>
      <c r="P637" s="346"/>
      <c r="Q637" s="346"/>
      <c r="R637" s="341"/>
      <c r="S637" s="135"/>
      <c r="T637" s="346"/>
      <c r="U637" s="346"/>
      <c r="V637" s="346"/>
      <c r="W637" s="346"/>
      <c r="X637" s="346"/>
      <c r="Y637" s="346"/>
      <c r="Z637" s="346"/>
      <c r="AA637" s="346"/>
      <c r="AB637" s="346"/>
      <c r="AC637" s="346"/>
      <c r="AI637" s="346"/>
      <c r="AJ637" s="346"/>
      <c r="AK637" s="346"/>
      <c r="AL637" s="346"/>
      <c r="AM637" s="346"/>
      <c r="AN637" s="346"/>
      <c r="AO637" s="346"/>
      <c r="AP637" s="346"/>
      <c r="AQ637" s="346"/>
      <c r="AR637" s="346"/>
      <c r="AS637" s="346"/>
      <c r="AT637" s="346"/>
      <c r="AU637" s="346"/>
      <c r="AV637" s="346"/>
      <c r="AW637" s="346"/>
      <c r="AX637" s="346"/>
      <c r="AY637" s="346"/>
      <c r="AZ637" s="346"/>
      <c r="BA637" s="346"/>
      <c r="BB637" s="346"/>
      <c r="BC637" s="346"/>
      <c r="BD637" s="346"/>
      <c r="BE637" s="346"/>
      <c r="BF637" s="346"/>
      <c r="BG637" s="346"/>
      <c r="BH637" s="346"/>
    </row>
    <row r="638" spans="1:60" s="58" customFormat="1" ht="18.75" customHeight="1">
      <c r="A638" s="346"/>
      <c r="B638" s="346"/>
      <c r="C638" s="346"/>
      <c r="D638" s="349"/>
      <c r="E638" s="349"/>
      <c r="K638" s="145"/>
      <c r="L638" s="145"/>
      <c r="M638" s="145"/>
      <c r="N638" s="145"/>
      <c r="O638" s="346"/>
      <c r="P638" s="346"/>
      <c r="Q638" s="346"/>
      <c r="R638" s="346"/>
      <c r="S638" s="346"/>
      <c r="T638" s="346"/>
      <c r="U638" s="346"/>
      <c r="V638" s="346"/>
      <c r="W638" s="346"/>
      <c r="X638" s="346"/>
      <c r="Y638" s="346"/>
      <c r="Z638" s="346"/>
      <c r="AA638" s="346"/>
      <c r="AB638" s="346"/>
      <c r="AC638" s="346"/>
      <c r="AD638" s="346"/>
      <c r="AE638" s="346"/>
      <c r="AF638" s="346"/>
      <c r="AG638" s="346"/>
      <c r="AH638" s="346"/>
      <c r="AI638" s="346"/>
      <c r="AJ638" s="346"/>
      <c r="AK638" s="346"/>
      <c r="AL638" s="346"/>
      <c r="AM638" s="346"/>
      <c r="AN638" s="346"/>
      <c r="AO638" s="346"/>
      <c r="AP638" s="346"/>
      <c r="AQ638" s="346"/>
      <c r="AR638" s="346"/>
      <c r="AS638" s="346"/>
      <c r="AT638" s="346"/>
      <c r="AU638" s="346"/>
      <c r="AV638" s="346"/>
      <c r="AW638" s="346"/>
      <c r="AX638" s="346"/>
      <c r="AY638" s="346"/>
      <c r="AZ638" s="346"/>
      <c r="BA638" s="346"/>
      <c r="BB638" s="346"/>
      <c r="BC638" s="346"/>
      <c r="BD638" s="346"/>
      <c r="BE638" s="346"/>
      <c r="BF638" s="346"/>
    </row>
    <row r="639" spans="1:60" s="135" customFormat="1" ht="18.75" customHeight="1">
      <c r="A639" s="341"/>
      <c r="B639" s="341"/>
      <c r="C639" s="341"/>
      <c r="D639" s="379" t="s">
        <v>966</v>
      </c>
      <c r="E639" s="341" t="s">
        <v>1252</v>
      </c>
      <c r="F639" s="654" t="e">
        <f>F637</f>
        <v>#DIV/0!</v>
      </c>
      <c r="G639" s="654"/>
      <c r="H639" s="654"/>
      <c r="I639" s="654"/>
      <c r="J639" s="346"/>
      <c r="K639" s="344"/>
      <c r="L639" s="345"/>
      <c r="M639" s="345"/>
      <c r="N639" s="370"/>
      <c r="O639" s="370"/>
      <c r="P639" s="370"/>
      <c r="Q639" s="346"/>
      <c r="R639" s="346"/>
      <c r="T639" s="346"/>
      <c r="U639" s="346"/>
      <c r="V639" s="346"/>
      <c r="W639" s="346"/>
      <c r="X639" s="346"/>
      <c r="Y639" s="341"/>
      <c r="Z639" s="341"/>
      <c r="AA639" s="341"/>
      <c r="AB639" s="341"/>
      <c r="AC639" s="341"/>
      <c r="AD639" s="341"/>
      <c r="AE639" s="346"/>
      <c r="AF639" s="341"/>
      <c r="AG639" s="341"/>
      <c r="AH639" s="341"/>
      <c r="AI639" s="341"/>
      <c r="AJ639" s="341"/>
      <c r="AK639" s="341"/>
      <c r="AL639" s="341"/>
      <c r="AM639" s="341"/>
      <c r="AN639" s="341"/>
      <c r="AO639" s="341"/>
      <c r="AP639" s="341"/>
      <c r="AQ639" s="341"/>
      <c r="AR639" s="341"/>
      <c r="AS639" s="341"/>
      <c r="AT639" s="341"/>
      <c r="AU639" s="341"/>
      <c r="AV639" s="341"/>
      <c r="AW639" s="341"/>
      <c r="AX639" s="341"/>
      <c r="AY639" s="341"/>
      <c r="AZ639" s="341"/>
      <c r="BA639" s="341"/>
      <c r="BB639" s="341"/>
      <c r="BC639" s="341"/>
      <c r="BD639" s="341"/>
      <c r="BE639" s="341"/>
      <c r="BF639" s="341"/>
    </row>
    <row r="640" spans="1:60" s="346" customFormat="1" ht="18.75" customHeight="1"/>
    <row r="641" spans="1:60" ht="18.75" customHeight="1">
      <c r="A641" s="57" t="s">
        <v>925</v>
      </c>
      <c r="B641" s="370"/>
      <c r="C641" s="370"/>
      <c r="D641" s="370"/>
      <c r="E641" s="370"/>
      <c r="F641" s="370"/>
      <c r="G641" s="370"/>
      <c r="H641" s="370"/>
      <c r="I641" s="370"/>
      <c r="J641" s="370"/>
      <c r="K641" s="370"/>
      <c r="L641" s="370"/>
      <c r="M641" s="370"/>
      <c r="N641" s="370"/>
      <c r="O641" s="370"/>
      <c r="P641" s="370"/>
      <c r="Q641" s="370"/>
      <c r="R641" s="370"/>
      <c r="S641" s="370"/>
      <c r="T641" s="370"/>
      <c r="U641" s="370"/>
      <c r="V641" s="370"/>
      <c r="W641" s="370"/>
      <c r="X641" s="370"/>
      <c r="Y641" s="370"/>
      <c r="Z641" s="370"/>
      <c r="AA641" s="370"/>
      <c r="AB641" s="370"/>
      <c r="AC641" s="370"/>
      <c r="AD641" s="370"/>
      <c r="AE641" s="370"/>
      <c r="AF641" s="370"/>
      <c r="AG641" s="370"/>
      <c r="AH641" s="370"/>
      <c r="AI641" s="370"/>
      <c r="AJ641" s="370"/>
      <c r="AK641" s="370"/>
      <c r="AL641" s="370"/>
      <c r="AM641" s="370"/>
      <c r="AN641" s="370"/>
      <c r="AO641" s="370"/>
      <c r="AP641" s="370"/>
      <c r="AQ641" s="370"/>
      <c r="AR641" s="370"/>
      <c r="AS641" s="370"/>
      <c r="AZ641" s="370"/>
      <c r="BA641" s="370"/>
      <c r="BB641" s="370"/>
      <c r="BC641" s="370"/>
      <c r="BD641" s="370"/>
      <c r="BE641" s="370"/>
      <c r="BF641" s="370"/>
    </row>
    <row r="642" spans="1:60" ht="18.75" customHeight="1">
      <c r="A642" s="370"/>
      <c r="B642" s="370"/>
      <c r="C642" s="370"/>
      <c r="D642" s="370"/>
      <c r="E642" s="370"/>
      <c r="F642" s="370"/>
      <c r="G642" s="370"/>
      <c r="H642" s="370"/>
      <c r="I642" s="370"/>
      <c r="J642" s="370"/>
      <c r="K642" s="370"/>
      <c r="L642" s="655" t="e">
        <f>AP632</f>
        <v>#DIV/0!</v>
      </c>
      <c r="M642" s="655"/>
      <c r="N642" s="655"/>
      <c r="O642" s="655"/>
      <c r="P642" s="655"/>
      <c r="Q642" s="655"/>
      <c r="R642" s="655"/>
      <c r="S642" s="655"/>
      <c r="T642" s="655"/>
      <c r="U642" s="655"/>
      <c r="V642" s="655"/>
      <c r="W642" s="655"/>
      <c r="X642" s="655"/>
      <c r="Y642" s="655"/>
      <c r="Z642" s="655"/>
      <c r="AA642" s="655"/>
      <c r="AB642" s="655"/>
      <c r="AC642" s="655"/>
      <c r="AD642" s="655"/>
      <c r="AE642" s="655"/>
      <c r="AF642" s="655"/>
      <c r="AG642" s="655"/>
      <c r="AH642" s="655"/>
      <c r="AI642" s="655"/>
      <c r="AJ642" s="514" t="s">
        <v>1019</v>
      </c>
      <c r="AK642" s="614" t="e">
        <f ca="1">TRIM(BC632)</f>
        <v>#N/A</v>
      </c>
      <c r="AL642" s="614"/>
      <c r="AM642" s="614"/>
      <c r="AN642" s="614"/>
      <c r="AO642" s="614"/>
      <c r="AP642" s="146"/>
      <c r="AY642" s="58"/>
      <c r="AZ642" s="58"/>
      <c r="BA642" s="58"/>
      <c r="BB642" s="58"/>
      <c r="BC642" s="58"/>
    </row>
    <row r="643" spans="1:60" ht="18.75" customHeight="1">
      <c r="A643" s="370"/>
      <c r="B643" s="370"/>
      <c r="C643" s="370"/>
      <c r="D643" s="370"/>
      <c r="E643" s="370"/>
      <c r="F643" s="370"/>
      <c r="G643" s="370"/>
      <c r="H643" s="370"/>
      <c r="I643" s="370"/>
      <c r="J643" s="370"/>
      <c r="K643" s="370"/>
      <c r="L643" s="659">
        <f>AP627</f>
        <v>0</v>
      </c>
      <c r="M643" s="659"/>
      <c r="N643" s="659"/>
      <c r="O643" s="659"/>
      <c r="P643" s="514" t="s">
        <v>905</v>
      </c>
      <c r="Q643" s="656">
        <f>AP628</f>
        <v>0</v>
      </c>
      <c r="R643" s="656"/>
      <c r="S643" s="656"/>
      <c r="T643" s="656"/>
      <c r="U643" s="514" t="s">
        <v>1097</v>
      </c>
      <c r="V643" s="659" t="e">
        <f>AP629</f>
        <v>#DIV/0!</v>
      </c>
      <c r="W643" s="659"/>
      <c r="X643" s="659"/>
      <c r="Y643" s="659"/>
      <c r="Z643" s="514" t="s">
        <v>1097</v>
      </c>
      <c r="AA643" s="656" t="e">
        <f ca="1">AP630</f>
        <v>#N/A</v>
      </c>
      <c r="AB643" s="656"/>
      <c r="AC643" s="656"/>
      <c r="AD643" s="656"/>
      <c r="AE643" s="514" t="s">
        <v>1097</v>
      </c>
      <c r="AF643" s="656" t="e">
        <f ca="1">AP631</f>
        <v>#N/A</v>
      </c>
      <c r="AG643" s="656"/>
      <c r="AH643" s="656"/>
      <c r="AI643" s="656"/>
      <c r="AJ643" s="514"/>
      <c r="AK643" s="614"/>
      <c r="AL643" s="614"/>
      <c r="AM643" s="614"/>
      <c r="AN643" s="614"/>
      <c r="AO643" s="614"/>
      <c r="AP643" s="146"/>
    </row>
    <row r="644" spans="1:60" ht="18.75" customHeight="1">
      <c r="A644" s="370"/>
      <c r="B644" s="370"/>
      <c r="C644" s="370"/>
      <c r="D644" s="370"/>
      <c r="E644" s="370"/>
      <c r="F644" s="370"/>
      <c r="G644" s="370"/>
      <c r="H644" s="370"/>
      <c r="I644" s="370"/>
      <c r="J644" s="370"/>
      <c r="K644" s="370"/>
      <c r="L644" s="514" t="str">
        <f>BC627</f>
        <v>∞</v>
      </c>
      <c r="M644" s="514"/>
      <c r="N644" s="514"/>
      <c r="O644" s="514"/>
      <c r="P644" s="514"/>
      <c r="Q644" s="514">
        <f>BC628</f>
        <v>4</v>
      </c>
      <c r="R644" s="514"/>
      <c r="S644" s="514"/>
      <c r="T644" s="514"/>
      <c r="U644" s="514"/>
      <c r="V644" s="514" t="str">
        <f>BC629</f>
        <v>∞</v>
      </c>
      <c r="W644" s="514"/>
      <c r="X644" s="514"/>
      <c r="Y644" s="514"/>
      <c r="Z644" s="514"/>
      <c r="AA644" s="514">
        <f>BC630</f>
        <v>12</v>
      </c>
      <c r="AB644" s="514"/>
      <c r="AC644" s="514"/>
      <c r="AD644" s="514"/>
      <c r="AE644" s="514"/>
      <c r="AF644" s="514">
        <f>BC631</f>
        <v>12</v>
      </c>
      <c r="AG644" s="514"/>
      <c r="AH644" s="514"/>
      <c r="AI644" s="514"/>
    </row>
    <row r="645" spans="1:60" ht="18.75" customHeight="1">
      <c r="A645" s="370"/>
      <c r="B645" s="370"/>
      <c r="C645" s="370"/>
      <c r="D645" s="370"/>
      <c r="E645" s="370"/>
      <c r="F645" s="370"/>
      <c r="G645" s="370"/>
      <c r="H645" s="370"/>
      <c r="I645" s="370"/>
      <c r="J645" s="370"/>
      <c r="K645" s="370"/>
      <c r="L645" s="370"/>
      <c r="M645" s="370"/>
      <c r="N645" s="370"/>
      <c r="O645" s="370"/>
      <c r="P645" s="370"/>
      <c r="Q645" s="370"/>
      <c r="R645" s="370"/>
      <c r="S645" s="370"/>
      <c r="T645" s="370"/>
      <c r="U645" s="370"/>
      <c r="V645" s="370"/>
      <c r="W645" s="370"/>
      <c r="X645" s="370"/>
      <c r="Y645" s="370"/>
      <c r="Z645" s="370"/>
      <c r="AA645" s="370"/>
      <c r="AB645" s="370"/>
      <c r="AC645" s="370"/>
      <c r="AD645" s="370"/>
      <c r="AE645" s="370"/>
      <c r="AF645" s="370"/>
      <c r="AG645" s="370"/>
      <c r="AH645" s="370"/>
      <c r="AI645" s="370"/>
      <c r="AJ645" s="370"/>
      <c r="AK645" s="370"/>
      <c r="AL645" s="370"/>
      <c r="AM645" s="370"/>
      <c r="AN645" s="370"/>
      <c r="AO645" s="370"/>
      <c r="AP645" s="370"/>
      <c r="AQ645" s="370"/>
      <c r="AR645" s="370"/>
      <c r="AS645" s="370"/>
      <c r="AT645" s="370"/>
      <c r="AU645" s="370"/>
      <c r="AV645" s="370"/>
      <c r="AW645" s="370"/>
      <c r="AX645" s="370"/>
      <c r="AY645" s="370"/>
      <c r="AZ645" s="370"/>
      <c r="BA645" s="370"/>
      <c r="BB645" s="370"/>
      <c r="BC645" s="370"/>
      <c r="BD645" s="370"/>
      <c r="BE645" s="370"/>
      <c r="BF645" s="370"/>
      <c r="BG645" s="370"/>
      <c r="BH645" s="370"/>
    </row>
    <row r="646" spans="1:60" ht="18.75" customHeight="1">
      <c r="A646" s="57" t="s">
        <v>1253</v>
      </c>
      <c r="B646" s="370"/>
      <c r="C646" s="370"/>
      <c r="D646" s="370"/>
      <c r="E646" s="370"/>
      <c r="F646" s="370"/>
      <c r="G646" s="370"/>
      <c r="H646" s="370"/>
      <c r="I646" s="370"/>
      <c r="J646" s="370"/>
      <c r="K646" s="370"/>
      <c r="L646" s="370"/>
      <c r="M646" s="370"/>
      <c r="N646" s="370"/>
      <c r="O646" s="370"/>
      <c r="P646" s="370"/>
      <c r="Q646" s="370"/>
      <c r="R646" s="370"/>
      <c r="S646" s="370"/>
      <c r="T646" s="370"/>
      <c r="U646" s="370"/>
      <c r="V646" s="370"/>
      <c r="W646" s="370"/>
      <c r="X646" s="370"/>
      <c r="Y646" s="370"/>
      <c r="Z646" s="370"/>
      <c r="AA646" s="370"/>
      <c r="AB646" s="370"/>
      <c r="AC646" s="370"/>
      <c r="AD646" s="370"/>
      <c r="AE646" s="370"/>
      <c r="AF646" s="370"/>
      <c r="AG646" s="370"/>
      <c r="AH646" s="370"/>
      <c r="AI646" s="370"/>
      <c r="AJ646" s="370"/>
      <c r="AK646" s="370"/>
      <c r="AL646" s="370"/>
      <c r="AM646" s="370"/>
      <c r="AN646" s="370"/>
      <c r="AO646" s="370"/>
      <c r="AP646" s="370"/>
      <c r="AQ646" s="370"/>
      <c r="AR646" s="370"/>
      <c r="AS646" s="370"/>
      <c r="AT646" s="370"/>
      <c r="AU646" s="370"/>
      <c r="AV646" s="370"/>
      <c r="AW646" s="370"/>
      <c r="AX646" s="370"/>
      <c r="AY646" s="370"/>
      <c r="AZ646" s="370"/>
      <c r="BA646" s="370"/>
      <c r="BB646" s="370"/>
      <c r="BC646" s="370"/>
      <c r="BD646" s="370"/>
    </row>
    <row r="647" spans="1:60" ht="18.75" customHeight="1">
      <c r="A647" s="57"/>
      <c r="B647" s="370" t="s">
        <v>907</v>
      </c>
      <c r="C647" s="370"/>
      <c r="D647" s="370"/>
      <c r="E647" s="370"/>
      <c r="F647" s="370"/>
      <c r="G647" s="370"/>
      <c r="H647" s="370"/>
      <c r="I647" s="370"/>
      <c r="J647" s="370"/>
      <c r="K647" s="370"/>
      <c r="L647" s="370"/>
      <c r="M647" s="370"/>
      <c r="N647" s="370"/>
      <c r="O647" s="370"/>
      <c r="P647" s="370"/>
      <c r="Q647" s="370"/>
      <c r="R647" s="370"/>
      <c r="S647" s="370"/>
      <c r="T647" s="370"/>
      <c r="U647" s="370"/>
      <c r="V647" s="370"/>
      <c r="W647" s="370"/>
      <c r="X647" s="370"/>
      <c r="Y647" s="370"/>
      <c r="Z647" s="370"/>
      <c r="AA647" s="370"/>
      <c r="AB647" s="370"/>
      <c r="AC647" s="370"/>
      <c r="AD647" s="370"/>
      <c r="AE647" s="370"/>
      <c r="AF647" s="370"/>
      <c r="AG647" s="370"/>
      <c r="AH647" s="370"/>
      <c r="AI647" s="370"/>
      <c r="AJ647" s="370"/>
      <c r="AK647" s="370"/>
      <c r="AL647" s="370"/>
      <c r="AM647" s="370"/>
      <c r="AN647" s="370"/>
      <c r="AO647" s="370"/>
      <c r="AP647" s="370"/>
      <c r="AQ647" s="370"/>
      <c r="AR647" s="370"/>
      <c r="AS647" s="370"/>
      <c r="AT647" s="370"/>
      <c r="AU647" s="370"/>
      <c r="AV647" s="370"/>
      <c r="AW647" s="370"/>
      <c r="AX647" s="370"/>
      <c r="AY647" s="370"/>
      <c r="AZ647" s="370"/>
      <c r="BA647" s="370"/>
      <c r="BB647" s="370"/>
      <c r="BC647" s="370"/>
      <c r="BD647" s="370"/>
    </row>
    <row r="648" spans="1:60" ht="18.75" customHeight="1">
      <c r="A648" s="57"/>
      <c r="B648" s="370"/>
      <c r="C648" s="370" t="s">
        <v>1254</v>
      </c>
      <c r="D648" s="370"/>
      <c r="E648" s="370"/>
      <c r="F648" s="370"/>
      <c r="G648" s="370"/>
      <c r="H648" s="370"/>
      <c r="I648" s="370"/>
      <c r="J648" s="370"/>
      <c r="K648" s="370"/>
      <c r="L648" s="370"/>
      <c r="M648" s="370"/>
      <c r="N648" s="370"/>
      <c r="O648" s="370"/>
      <c r="P648" s="370"/>
      <c r="Q648" s="370"/>
      <c r="R648" s="370"/>
      <c r="S648" s="370"/>
      <c r="T648" s="370"/>
      <c r="U648" s="370"/>
      <c r="V648" s="370"/>
      <c r="W648" s="370"/>
      <c r="X648" s="370"/>
      <c r="Y648" s="370"/>
      <c r="Z648" s="370"/>
      <c r="AA648" s="370"/>
      <c r="AB648" s="370"/>
      <c r="AC648" s="370"/>
      <c r="AD648" s="370"/>
      <c r="AE648" s="370"/>
      <c r="AF648" s="370"/>
      <c r="AG648" s="370"/>
      <c r="AH648" s="370"/>
      <c r="AI648" s="370"/>
      <c r="AJ648" s="370"/>
      <c r="AK648" s="370"/>
      <c r="AL648" s="370"/>
      <c r="AM648" s="370"/>
      <c r="AN648" s="370"/>
      <c r="AO648" s="370"/>
      <c r="AP648" s="370"/>
      <c r="AQ648" s="370"/>
      <c r="AR648" s="370"/>
      <c r="AS648" s="370"/>
      <c r="AT648" s="370"/>
      <c r="AU648" s="370"/>
      <c r="AV648" s="370"/>
      <c r="AW648" s="370"/>
      <c r="AX648" s="370"/>
      <c r="AY648" s="370"/>
      <c r="AZ648" s="370"/>
      <c r="BA648" s="370"/>
      <c r="BB648" s="370"/>
      <c r="BC648" s="370"/>
      <c r="BD648" s="370"/>
    </row>
    <row r="649" spans="1:60" ht="18.75" customHeight="1">
      <c r="A649" s="57"/>
      <c r="B649" s="370"/>
      <c r="C649" s="56" t="s">
        <v>909</v>
      </c>
      <c r="D649" s="370"/>
      <c r="E649" s="370"/>
      <c r="F649" s="370"/>
      <c r="G649" s="370"/>
      <c r="H649" s="370"/>
      <c r="I649" s="370"/>
      <c r="J649" s="370"/>
      <c r="K649" s="370"/>
      <c r="L649" s="370"/>
      <c r="M649" s="370"/>
      <c r="N649" s="370"/>
      <c r="O649" s="370"/>
      <c r="P649" s="370"/>
      <c r="Q649" s="370"/>
      <c r="R649" s="370"/>
      <c r="S649" s="370"/>
      <c r="T649" s="370"/>
      <c r="U649" s="370"/>
      <c r="V649" s="370"/>
      <c r="W649" s="370"/>
      <c r="X649" s="370"/>
      <c r="Y649" s="370"/>
      <c r="Z649" s="370"/>
      <c r="AA649" s="370"/>
      <c r="AB649" s="370"/>
      <c r="AC649" s="370"/>
      <c r="AD649" s="370"/>
      <c r="AE649" s="370"/>
      <c r="AF649" s="370"/>
      <c r="AG649" s="370"/>
      <c r="AH649" s="370"/>
      <c r="AI649" s="370"/>
      <c r="AJ649" s="370"/>
      <c r="AK649" s="370"/>
      <c r="AL649" s="370"/>
      <c r="AM649" s="370"/>
      <c r="AN649" s="370"/>
      <c r="AO649" s="370"/>
      <c r="AP649" s="370"/>
      <c r="AQ649" s="370"/>
      <c r="AR649" s="370"/>
      <c r="AS649" s="370"/>
      <c r="AT649" s="370"/>
      <c r="AU649" s="370"/>
      <c r="AV649" s="370"/>
      <c r="AW649" s="370"/>
      <c r="AX649" s="370"/>
      <c r="AY649" s="370"/>
      <c r="AZ649" s="370"/>
      <c r="BA649" s="370"/>
      <c r="BB649" s="370"/>
      <c r="BC649" s="370"/>
      <c r="BD649" s="370"/>
    </row>
    <row r="650" spans="1:60" ht="18.75" customHeight="1">
      <c r="A650" s="57"/>
      <c r="B650" s="370"/>
      <c r="C650" s="346" t="s">
        <v>1255</v>
      </c>
      <c r="D650" s="370"/>
      <c r="E650" s="370"/>
      <c r="F650" s="370"/>
      <c r="G650" s="370"/>
      <c r="H650" s="370"/>
      <c r="I650" s="370"/>
      <c r="J650" s="370"/>
      <c r="K650" s="370"/>
      <c r="L650" s="370"/>
      <c r="M650" s="370"/>
      <c r="N650" s="370"/>
      <c r="O650" s="370"/>
      <c r="P650" s="370"/>
      <c r="Q650" s="370"/>
      <c r="R650" s="370"/>
      <c r="S650" s="370"/>
      <c r="T650" s="370"/>
      <c r="U650" s="370"/>
      <c r="V650" s="370"/>
      <c r="W650" s="370"/>
      <c r="X650" s="370"/>
      <c r="Y650" s="370"/>
      <c r="Z650" s="370"/>
      <c r="AA650" s="370"/>
      <c r="AB650" s="370"/>
      <c r="AC650" s="370"/>
      <c r="AD650" s="370"/>
      <c r="AE650" s="370"/>
      <c r="AF650" s="370"/>
      <c r="AG650" s="370"/>
      <c r="AH650" s="370"/>
      <c r="AI650" s="370"/>
      <c r="AJ650" s="370"/>
      <c r="AK650" s="370"/>
      <c r="AL650" s="370"/>
      <c r="AM650" s="370"/>
      <c r="AN650" s="370"/>
      <c r="AO650" s="370"/>
      <c r="AP650" s="370"/>
      <c r="AQ650" s="370"/>
      <c r="AR650" s="370"/>
      <c r="AS650" s="370"/>
      <c r="AT650" s="370"/>
      <c r="AU650" s="370"/>
      <c r="AV650" s="370"/>
      <c r="AW650" s="370"/>
      <c r="AX650" s="370"/>
      <c r="AY650" s="370"/>
      <c r="AZ650" s="370"/>
      <c r="BA650" s="370"/>
      <c r="BB650" s="370"/>
      <c r="BC650" s="370"/>
      <c r="BD650" s="370"/>
    </row>
    <row r="651" spans="1:60" ht="18.75" customHeight="1">
      <c r="A651" s="57"/>
      <c r="B651" s="370"/>
      <c r="D651" s="370"/>
      <c r="E651" s="379"/>
      <c r="F651" s="370"/>
      <c r="G651" s="197"/>
      <c r="H651" s="341"/>
      <c r="I651" s="341"/>
      <c r="J651" s="341"/>
      <c r="R651" s="379"/>
      <c r="S651" s="147"/>
      <c r="T651" s="147"/>
      <c r="U651" s="147"/>
      <c r="V651" s="147"/>
      <c r="W651" s="147"/>
      <c r="X651" s="370"/>
      <c r="Y651" s="370"/>
      <c r="Z651" s="370"/>
      <c r="AA651" s="370"/>
      <c r="AB651" s="370"/>
      <c r="AC651" s="370"/>
      <c r="AD651" s="370"/>
      <c r="AE651" s="370"/>
      <c r="AF651" s="370"/>
      <c r="AG651" s="370"/>
      <c r="AH651" s="370"/>
      <c r="AI651" s="370"/>
      <c r="AJ651" s="370"/>
      <c r="AK651" s="370"/>
      <c r="AL651" s="370"/>
      <c r="AM651" s="370"/>
      <c r="AN651" s="370"/>
      <c r="AO651" s="370"/>
      <c r="AP651" s="370"/>
      <c r="AQ651" s="370"/>
      <c r="AR651" s="370"/>
      <c r="AS651" s="370"/>
      <c r="AT651" s="370"/>
      <c r="AU651" s="370"/>
      <c r="AV651" s="370"/>
      <c r="AW651" s="370"/>
      <c r="AX651" s="370"/>
      <c r="AY651" s="370"/>
      <c r="AZ651" s="370"/>
      <c r="BA651" s="370"/>
      <c r="BB651" s="370"/>
      <c r="BC651" s="370"/>
      <c r="BD651" s="370"/>
    </row>
    <row r="652" spans="1:60" ht="18.75" customHeight="1">
      <c r="A652" s="57"/>
      <c r="B652" s="370" t="s">
        <v>907</v>
      </c>
      <c r="C652" s="370"/>
      <c r="D652" s="370"/>
      <c r="E652" s="370"/>
      <c r="F652" s="370"/>
      <c r="G652" s="370"/>
      <c r="H652" s="370"/>
      <c r="I652" s="370"/>
      <c r="J652" s="370"/>
      <c r="K652" s="370"/>
      <c r="L652" s="370"/>
      <c r="M652" s="370"/>
      <c r="N652" s="370"/>
      <c r="O652" s="370"/>
      <c r="P652" s="370"/>
      <c r="Q652" s="370"/>
      <c r="R652" s="370"/>
      <c r="S652" s="370"/>
      <c r="T652" s="370"/>
      <c r="U652" s="370"/>
      <c r="V652" s="370"/>
      <c r="W652" s="370"/>
      <c r="X652" s="370"/>
      <c r="Y652" s="370"/>
      <c r="Z652" s="370"/>
      <c r="AA652" s="370"/>
      <c r="AB652" s="370"/>
      <c r="AC652" s="370"/>
      <c r="AD652" s="370"/>
      <c r="AE652" s="370"/>
      <c r="AF652" s="370"/>
      <c r="AG652" s="370"/>
      <c r="AH652" s="370"/>
      <c r="AI652" s="370"/>
      <c r="AJ652" s="370"/>
      <c r="AK652" s="370"/>
      <c r="AL652" s="370"/>
      <c r="AM652" s="370"/>
      <c r="AN652" s="370"/>
      <c r="AO652" s="370"/>
      <c r="AP652" s="370"/>
      <c r="AQ652" s="370"/>
      <c r="AR652" s="370"/>
      <c r="AS652" s="370"/>
      <c r="AT652" s="370"/>
      <c r="AU652" s="370"/>
      <c r="AV652" s="370"/>
      <c r="AW652" s="370"/>
      <c r="AX652" s="370"/>
      <c r="AY652" s="370"/>
      <c r="AZ652" s="370"/>
      <c r="BA652" s="370"/>
      <c r="BB652" s="370"/>
      <c r="BC652" s="370"/>
      <c r="BD652" s="370"/>
    </row>
    <row r="653" spans="1:60" ht="18.75" customHeight="1">
      <c r="A653" s="57"/>
      <c r="B653" s="370"/>
      <c r="C653" s="370" t="s">
        <v>911</v>
      </c>
      <c r="D653" s="370"/>
      <c r="E653" s="370"/>
      <c r="F653" s="370"/>
      <c r="G653" s="370"/>
      <c r="H653" s="370"/>
      <c r="I653" s="370"/>
      <c r="J653" s="370"/>
      <c r="K653" s="370"/>
      <c r="L653" s="370"/>
      <c r="M653" s="370"/>
      <c r="N653" s="370"/>
      <c r="O653" s="370"/>
      <c r="P653" s="370"/>
      <c r="Q653" s="370"/>
      <c r="R653" s="370"/>
      <c r="S653" s="370"/>
      <c r="T653" s="370"/>
      <c r="U653" s="370"/>
      <c r="V653" s="370"/>
      <c r="W653" s="370"/>
      <c r="X653" s="370"/>
      <c r="Y653" s="370"/>
      <c r="Z653" s="370"/>
      <c r="AA653" s="370"/>
      <c r="AB653" s="370"/>
      <c r="AC653" s="370"/>
      <c r="AD653" s="370"/>
      <c r="AE653" s="370"/>
      <c r="AF653" s="370"/>
      <c r="AG653" s="370"/>
      <c r="AH653" s="370"/>
      <c r="AI653" s="370"/>
      <c r="AJ653" s="370"/>
      <c r="AK653" s="370"/>
      <c r="AL653" s="370"/>
      <c r="AM653" s="370"/>
      <c r="AN653" s="370"/>
      <c r="AO653" s="370"/>
      <c r="AP653" s="370"/>
      <c r="AQ653" s="370"/>
      <c r="AR653" s="370"/>
      <c r="AS653" s="370"/>
      <c r="AT653" s="370"/>
      <c r="AU653" s="370"/>
      <c r="AV653" s="370"/>
      <c r="AW653" s="370"/>
      <c r="AX653" s="370"/>
      <c r="AY653" s="370"/>
      <c r="AZ653" s="370"/>
      <c r="BA653" s="370"/>
      <c r="BB653" s="370"/>
      <c r="BC653" s="370"/>
      <c r="BD653" s="370"/>
    </row>
    <row r="654" spans="1:60" ht="18.75" customHeight="1">
      <c r="B654" s="370"/>
      <c r="C654" s="370" t="s">
        <v>912</v>
      </c>
      <c r="D654" s="370"/>
      <c r="E654" s="370"/>
      <c r="F654" s="370"/>
      <c r="G654" s="370"/>
      <c r="H654" s="370"/>
      <c r="I654" s="370"/>
      <c r="J654" s="370"/>
      <c r="K654" s="370"/>
      <c r="L654" s="370"/>
      <c r="M654" s="370"/>
      <c r="N654" s="370"/>
      <c r="O654" s="370"/>
      <c r="P654" s="370"/>
      <c r="Q654" s="370"/>
      <c r="R654" s="370"/>
      <c r="S654" s="370"/>
      <c r="T654" s="370"/>
      <c r="U654" s="370"/>
      <c r="V654" s="370"/>
      <c r="W654" s="370"/>
      <c r="X654" s="370"/>
      <c r="Y654" s="370"/>
      <c r="Z654" s="370"/>
      <c r="AA654" s="370"/>
      <c r="AB654" s="370"/>
      <c r="AC654" s="370"/>
      <c r="AD654" s="370"/>
      <c r="AE654" s="370"/>
      <c r="AF654" s="370"/>
      <c r="AG654" s="370"/>
      <c r="AH654" s="370"/>
      <c r="AI654" s="370"/>
      <c r="AJ654" s="370"/>
      <c r="AK654" s="370"/>
      <c r="AL654" s="370"/>
      <c r="AM654" s="370"/>
      <c r="AN654" s="370"/>
      <c r="AO654" s="370"/>
      <c r="AP654" s="370"/>
      <c r="AQ654" s="370"/>
      <c r="AR654" s="370"/>
      <c r="AS654" s="370"/>
      <c r="AT654" s="370"/>
      <c r="AU654" s="370"/>
      <c r="AV654" s="370"/>
      <c r="AW654" s="370"/>
      <c r="AX654" s="370"/>
      <c r="AY654" s="370"/>
      <c r="AZ654" s="370"/>
      <c r="BA654" s="370"/>
      <c r="BB654" s="370"/>
      <c r="BC654" s="370"/>
      <c r="BD654" s="370"/>
    </row>
    <row r="655" spans="1:60" ht="18.75" customHeight="1">
      <c r="A655" s="370"/>
      <c r="B655" s="370"/>
      <c r="C655" s="56" t="s">
        <v>913</v>
      </c>
      <c r="AL655" s="370"/>
      <c r="AM655" s="370"/>
      <c r="AN655" s="370"/>
      <c r="AO655" s="370"/>
      <c r="AP655" s="370"/>
      <c r="AQ655" s="370"/>
      <c r="AR655" s="370"/>
      <c r="AS655" s="370"/>
      <c r="AT655" s="370"/>
      <c r="AU655" s="370"/>
      <c r="AV655" s="370"/>
      <c r="AW655" s="370"/>
      <c r="AX655" s="370"/>
      <c r="AY655" s="370"/>
      <c r="AZ655" s="370"/>
      <c r="BA655" s="370"/>
      <c r="BB655" s="370"/>
    </row>
    <row r="656" spans="1:60" ht="18.75" customHeight="1">
      <c r="A656" s="370"/>
      <c r="B656" s="370"/>
      <c r="AL656" s="370"/>
      <c r="AM656" s="370"/>
      <c r="AN656" s="370"/>
      <c r="AO656" s="370"/>
      <c r="AP656" s="370"/>
      <c r="AQ656" s="370"/>
      <c r="AR656" s="370"/>
      <c r="AS656" s="370"/>
      <c r="AT656" s="370"/>
      <c r="AU656" s="370"/>
      <c r="AV656" s="370"/>
      <c r="AW656" s="370"/>
      <c r="AX656" s="370"/>
      <c r="AY656" s="370"/>
      <c r="AZ656" s="370"/>
      <c r="BA656" s="370"/>
      <c r="BB656" s="370"/>
    </row>
    <row r="657" spans="1:53" ht="18.75" customHeight="1">
      <c r="A657" s="370"/>
      <c r="B657" s="370"/>
      <c r="C657" s="370"/>
      <c r="D657" s="370"/>
      <c r="E657" s="59"/>
      <c r="F657" s="370"/>
      <c r="G657" s="370"/>
      <c r="H657" s="197" t="s">
        <v>1256</v>
      </c>
      <c r="I657" s="514" t="e">
        <f ca="1">Calcu!E293</f>
        <v>#DIV/0!</v>
      </c>
      <c r="J657" s="514"/>
      <c r="K657" s="514"/>
      <c r="L657" s="212" t="s">
        <v>851</v>
      </c>
      <c r="M657" s="610" t="e">
        <f>Calcu!P278</f>
        <v>#DIV/0!</v>
      </c>
      <c r="N657" s="610"/>
      <c r="O657" s="610"/>
      <c r="P657" s="371" t="s">
        <v>962</v>
      </c>
      <c r="Q657" s="212" t="s">
        <v>845</v>
      </c>
      <c r="R657" s="610" t="e">
        <f ca="1">I657*M657</f>
        <v>#DIV/0!</v>
      </c>
      <c r="S657" s="610"/>
      <c r="T657" s="610"/>
      <c r="U657" s="371" t="s">
        <v>962</v>
      </c>
      <c r="V657" s="341" t="s">
        <v>1257</v>
      </c>
      <c r="W657" s="657" t="e">
        <f ca="1">R657*60</f>
        <v>#DIV/0!</v>
      </c>
      <c r="X657" s="657"/>
      <c r="Y657" s="371" t="s">
        <v>967</v>
      </c>
      <c r="AA657" s="340"/>
      <c r="AB657" s="340"/>
      <c r="AC657" s="340"/>
      <c r="AD657" s="371"/>
      <c r="AE657" s="350"/>
      <c r="AF657" s="344"/>
      <c r="AG657" s="345"/>
      <c r="AH657" s="345"/>
      <c r="AI657" s="370"/>
      <c r="AJ657" s="370"/>
      <c r="AK657" s="370"/>
      <c r="AL657" s="346"/>
      <c r="AM657" s="346"/>
      <c r="AO657" s="348"/>
      <c r="AP657" s="348"/>
      <c r="AQ657" s="348"/>
      <c r="AR657" s="371"/>
      <c r="AS657" s="349"/>
      <c r="AT657" s="349"/>
      <c r="AU657" s="349"/>
      <c r="AV657" s="352"/>
      <c r="AW657" s="370"/>
      <c r="AX657" s="370"/>
      <c r="AY657" s="370"/>
      <c r="AZ657" s="346"/>
      <c r="BA657" s="346"/>
    </row>
  </sheetData>
  <mergeCells count="1989">
    <mergeCell ref="I657:K657"/>
    <mergeCell ref="M657:O657"/>
    <mergeCell ref="R657:T657"/>
    <mergeCell ref="W657:X657"/>
    <mergeCell ref="F636:I636"/>
    <mergeCell ref="L636:O636"/>
    <mergeCell ref="R636:U636"/>
    <mergeCell ref="X636:AA636"/>
    <mergeCell ref="AD636:AG636"/>
    <mergeCell ref="F637:I637"/>
    <mergeCell ref="F639:I639"/>
    <mergeCell ref="L642:AI642"/>
    <mergeCell ref="AJ642:AJ643"/>
    <mergeCell ref="AK642:AO643"/>
    <mergeCell ref="L643:O643"/>
    <mergeCell ref="P643:P644"/>
    <mergeCell ref="Q643:T643"/>
    <mergeCell ref="U643:U644"/>
    <mergeCell ref="V643:Y643"/>
    <mergeCell ref="Z643:Z644"/>
    <mergeCell ref="AA643:AD643"/>
    <mergeCell ref="AE643:AE644"/>
    <mergeCell ref="AF643:AI643"/>
    <mergeCell ref="L644:O644"/>
    <mergeCell ref="Q644:T644"/>
    <mergeCell ref="V644:Y644"/>
    <mergeCell ref="AA644:AD644"/>
    <mergeCell ref="AF644:AI644"/>
    <mergeCell ref="B631:C631"/>
    <mergeCell ref="D631:G631"/>
    <mergeCell ref="H631:L631"/>
    <mergeCell ref="M631:N631"/>
    <mergeCell ref="O631:U631"/>
    <mergeCell ref="V631:AA631"/>
    <mergeCell ref="AB631:AF631"/>
    <mergeCell ref="AG631:AO631"/>
    <mergeCell ref="AP631:AV631"/>
    <mergeCell ref="AW631:BB631"/>
    <mergeCell ref="BC631:BF631"/>
    <mergeCell ref="B632:C632"/>
    <mergeCell ref="D632:G632"/>
    <mergeCell ref="H632:L632"/>
    <mergeCell ref="M632:N632"/>
    <mergeCell ref="O632:AA632"/>
    <mergeCell ref="AB632:AF632"/>
    <mergeCell ref="AG632:AO632"/>
    <mergeCell ref="AP632:AV632"/>
    <mergeCell ref="AW632:BB632"/>
    <mergeCell ref="BC632:BF632"/>
    <mergeCell ref="B629:C629"/>
    <mergeCell ref="D629:G629"/>
    <mergeCell ref="H629:L629"/>
    <mergeCell ref="M629:N629"/>
    <mergeCell ref="O629:U629"/>
    <mergeCell ref="V629:AA629"/>
    <mergeCell ref="AB629:AF629"/>
    <mergeCell ref="AG629:AO629"/>
    <mergeCell ref="AP629:AV629"/>
    <mergeCell ref="AW629:BB629"/>
    <mergeCell ref="BC629:BF629"/>
    <mergeCell ref="B630:C630"/>
    <mergeCell ref="D630:G630"/>
    <mergeCell ref="H630:L630"/>
    <mergeCell ref="M630:N630"/>
    <mergeCell ref="O630:U630"/>
    <mergeCell ref="V630:AA630"/>
    <mergeCell ref="AB630:AF630"/>
    <mergeCell ref="AG630:AO630"/>
    <mergeCell ref="AP630:AV630"/>
    <mergeCell ref="AW630:BB630"/>
    <mergeCell ref="BC630:BF630"/>
    <mergeCell ref="B627:C627"/>
    <mergeCell ref="D627:G627"/>
    <mergeCell ref="H627:L627"/>
    <mergeCell ref="M627:N627"/>
    <mergeCell ref="O627:U627"/>
    <mergeCell ref="V627:AA627"/>
    <mergeCell ref="AB627:AF627"/>
    <mergeCell ref="AG627:AO627"/>
    <mergeCell ref="AP627:AV627"/>
    <mergeCell ref="AW627:BB627"/>
    <mergeCell ref="BC627:BF627"/>
    <mergeCell ref="B628:C628"/>
    <mergeCell ref="D628:G628"/>
    <mergeCell ref="H628:L628"/>
    <mergeCell ref="M628:N628"/>
    <mergeCell ref="O628:U628"/>
    <mergeCell ref="V628:AA628"/>
    <mergeCell ref="AB628:AF628"/>
    <mergeCell ref="AG628:AO628"/>
    <mergeCell ref="AP628:AV628"/>
    <mergeCell ref="AW628:BB628"/>
    <mergeCell ref="BC628:BF628"/>
    <mergeCell ref="C609:E609"/>
    <mergeCell ref="C610:E610"/>
    <mergeCell ref="C611:E611"/>
    <mergeCell ref="C612:E612"/>
    <mergeCell ref="C613:E613"/>
    <mergeCell ref="C614:E614"/>
    <mergeCell ref="C615:E615"/>
    <mergeCell ref="C616:E616"/>
    <mergeCell ref="B624:C626"/>
    <mergeCell ref="D624:G624"/>
    <mergeCell ref="H624:N624"/>
    <mergeCell ref="O624:AA624"/>
    <mergeCell ref="AB624:AF624"/>
    <mergeCell ref="AG624:AO624"/>
    <mergeCell ref="AP624:BB624"/>
    <mergeCell ref="BC624:BF624"/>
    <mergeCell ref="D625:G625"/>
    <mergeCell ref="H625:N625"/>
    <mergeCell ref="O625:AA625"/>
    <mergeCell ref="AB625:AF625"/>
    <mergeCell ref="AG625:AO625"/>
    <mergeCell ref="AP625:BB625"/>
    <mergeCell ref="BC625:BF625"/>
    <mergeCell ref="D626:G626"/>
    <mergeCell ref="H626:N626"/>
    <mergeCell ref="O626:AA626"/>
    <mergeCell ref="AB626:AF626"/>
    <mergeCell ref="AG626:AO626"/>
    <mergeCell ref="AP626:BB626"/>
    <mergeCell ref="BC626:BF626"/>
    <mergeCell ref="B602:F602"/>
    <mergeCell ref="G602:K602"/>
    <mergeCell ref="L602:P602"/>
    <mergeCell ref="Q602:U602"/>
    <mergeCell ref="V602:Z602"/>
    <mergeCell ref="AA602:AE602"/>
    <mergeCell ref="AF602:AJ602"/>
    <mergeCell ref="AK602:AO602"/>
    <mergeCell ref="B603:F603"/>
    <mergeCell ref="G603:K603"/>
    <mergeCell ref="L603:P603"/>
    <mergeCell ref="Q603:U603"/>
    <mergeCell ref="V603:Z603"/>
    <mergeCell ref="AA603:AE603"/>
    <mergeCell ref="AF603:AJ603"/>
    <mergeCell ref="AK603:AO603"/>
    <mergeCell ref="B604:F604"/>
    <mergeCell ref="G604:K604"/>
    <mergeCell ref="L604:P604"/>
    <mergeCell ref="Q604:U604"/>
    <mergeCell ref="V604:Z604"/>
    <mergeCell ref="AA604:AE604"/>
    <mergeCell ref="AF604:AJ604"/>
    <mergeCell ref="AK604:AO604"/>
    <mergeCell ref="B599:F599"/>
    <mergeCell ref="G599:K599"/>
    <mergeCell ref="L599:P599"/>
    <mergeCell ref="Q599:U599"/>
    <mergeCell ref="V599:Z599"/>
    <mergeCell ref="AA599:AE599"/>
    <mergeCell ref="AF599:AJ599"/>
    <mergeCell ref="AK599:AO599"/>
    <mergeCell ref="B600:F600"/>
    <mergeCell ref="G600:K600"/>
    <mergeCell ref="L600:P600"/>
    <mergeCell ref="Q600:U600"/>
    <mergeCell ref="V600:Z600"/>
    <mergeCell ref="AA600:AE600"/>
    <mergeCell ref="AF600:AJ600"/>
    <mergeCell ref="AK600:AO600"/>
    <mergeCell ref="B601:F601"/>
    <mergeCell ref="G601:K601"/>
    <mergeCell ref="L601:P601"/>
    <mergeCell ref="Q601:U601"/>
    <mergeCell ref="V601:Z601"/>
    <mergeCell ref="AA601:AE601"/>
    <mergeCell ref="AF601:AJ601"/>
    <mergeCell ref="AK601:AO601"/>
    <mergeCell ref="B596:F596"/>
    <mergeCell ref="G596:K596"/>
    <mergeCell ref="L596:P596"/>
    <mergeCell ref="Q596:U596"/>
    <mergeCell ref="V596:Z596"/>
    <mergeCell ref="AA596:AE596"/>
    <mergeCell ref="AF596:AJ596"/>
    <mergeCell ref="AK596:AO596"/>
    <mergeCell ref="B597:F597"/>
    <mergeCell ref="G597:K597"/>
    <mergeCell ref="L597:P597"/>
    <mergeCell ref="Q597:U597"/>
    <mergeCell ref="V597:Z597"/>
    <mergeCell ref="AA597:AE597"/>
    <mergeCell ref="AF597:AJ597"/>
    <mergeCell ref="AK597:AO597"/>
    <mergeCell ref="B598:F598"/>
    <mergeCell ref="G598:K598"/>
    <mergeCell ref="L598:P598"/>
    <mergeCell ref="Q598:U598"/>
    <mergeCell ref="V598:Z598"/>
    <mergeCell ref="AA598:AE598"/>
    <mergeCell ref="AF598:AJ598"/>
    <mergeCell ref="AK598:AO598"/>
    <mergeCell ref="B593:F593"/>
    <mergeCell ref="G593:K593"/>
    <mergeCell ref="L593:P593"/>
    <mergeCell ref="Q593:U593"/>
    <mergeCell ref="V593:Z593"/>
    <mergeCell ref="AA593:AE593"/>
    <mergeCell ref="AF593:AJ593"/>
    <mergeCell ref="AK593:AO593"/>
    <mergeCell ref="B594:F594"/>
    <mergeCell ref="G594:K594"/>
    <mergeCell ref="L594:P594"/>
    <mergeCell ref="Q594:U594"/>
    <mergeCell ref="V594:Z594"/>
    <mergeCell ref="AA594:AE594"/>
    <mergeCell ref="AF594:AJ594"/>
    <mergeCell ref="AK594:AO594"/>
    <mergeCell ref="B595:F595"/>
    <mergeCell ref="G595:K595"/>
    <mergeCell ref="L595:P595"/>
    <mergeCell ref="Q595:U595"/>
    <mergeCell ref="V595:Z595"/>
    <mergeCell ref="AA595:AE595"/>
    <mergeCell ref="AF595:AJ595"/>
    <mergeCell ref="AK595:AO595"/>
    <mergeCell ref="B590:F590"/>
    <mergeCell ref="G590:K590"/>
    <mergeCell ref="L590:P590"/>
    <mergeCell ref="Q590:U590"/>
    <mergeCell ref="V590:Z590"/>
    <mergeCell ref="AA590:AE590"/>
    <mergeCell ref="AF590:AJ590"/>
    <mergeCell ref="AK590:AO590"/>
    <mergeCell ref="B591:F591"/>
    <mergeCell ref="G591:K591"/>
    <mergeCell ref="L591:P591"/>
    <mergeCell ref="Q591:U591"/>
    <mergeCell ref="V591:Z591"/>
    <mergeCell ref="AA591:AE591"/>
    <mergeCell ref="AF591:AJ591"/>
    <mergeCell ref="AK591:AO591"/>
    <mergeCell ref="B592:F592"/>
    <mergeCell ref="G592:K592"/>
    <mergeCell ref="L592:P592"/>
    <mergeCell ref="Q592:U592"/>
    <mergeCell ref="V592:Z592"/>
    <mergeCell ref="AA592:AE592"/>
    <mergeCell ref="AF592:AJ592"/>
    <mergeCell ref="AK592:AO592"/>
    <mergeCell ref="B587:F587"/>
    <mergeCell ref="G587:K587"/>
    <mergeCell ref="L587:P587"/>
    <mergeCell ref="Q587:U587"/>
    <mergeCell ref="V587:Z587"/>
    <mergeCell ref="AA587:AE587"/>
    <mergeCell ref="AF587:AJ587"/>
    <mergeCell ref="AK587:AO587"/>
    <mergeCell ref="B588:F588"/>
    <mergeCell ref="G588:K588"/>
    <mergeCell ref="L588:P588"/>
    <mergeCell ref="Q588:U588"/>
    <mergeCell ref="V588:Z588"/>
    <mergeCell ref="AA588:AE588"/>
    <mergeCell ref="AF588:AJ588"/>
    <mergeCell ref="AK588:AO588"/>
    <mergeCell ref="B589:F589"/>
    <mergeCell ref="G589:K589"/>
    <mergeCell ref="L589:P589"/>
    <mergeCell ref="Q589:U589"/>
    <mergeCell ref="V589:Z589"/>
    <mergeCell ref="AA589:AE589"/>
    <mergeCell ref="AF589:AJ589"/>
    <mergeCell ref="AK589:AO589"/>
    <mergeCell ref="B584:F584"/>
    <mergeCell ref="G584:K584"/>
    <mergeCell ref="L584:P584"/>
    <mergeCell ref="Q584:U584"/>
    <mergeCell ref="V584:Z584"/>
    <mergeCell ref="AA584:AE584"/>
    <mergeCell ref="AF584:AJ584"/>
    <mergeCell ref="AK584:AO584"/>
    <mergeCell ref="B585:F585"/>
    <mergeCell ref="G585:K585"/>
    <mergeCell ref="L585:P585"/>
    <mergeCell ref="Q585:U585"/>
    <mergeCell ref="V585:Z585"/>
    <mergeCell ref="AA585:AE585"/>
    <mergeCell ref="AF585:AJ585"/>
    <mergeCell ref="AK585:AO585"/>
    <mergeCell ref="B586:F586"/>
    <mergeCell ref="G586:K586"/>
    <mergeCell ref="L586:P586"/>
    <mergeCell ref="Q586:U586"/>
    <mergeCell ref="V586:Z586"/>
    <mergeCell ref="AA586:AE586"/>
    <mergeCell ref="AF586:AJ586"/>
    <mergeCell ref="AK586:AO586"/>
    <mergeCell ref="I570:K570"/>
    <mergeCell ref="M570:O570"/>
    <mergeCell ref="R570:T570"/>
    <mergeCell ref="W570:X570"/>
    <mergeCell ref="B578:G578"/>
    <mergeCell ref="H578:M578"/>
    <mergeCell ref="B579:G579"/>
    <mergeCell ref="H579:M579"/>
    <mergeCell ref="B582:F583"/>
    <mergeCell ref="G582:AE582"/>
    <mergeCell ref="AF582:AJ583"/>
    <mergeCell ref="AK582:AO583"/>
    <mergeCell ref="G583:K583"/>
    <mergeCell ref="L583:P583"/>
    <mergeCell ref="Q583:U583"/>
    <mergeCell ref="V583:Z583"/>
    <mergeCell ref="AA583:AE583"/>
    <mergeCell ref="C544:G545"/>
    <mergeCell ref="F549:I549"/>
    <mergeCell ref="L549:O549"/>
    <mergeCell ref="R549:U549"/>
    <mergeCell ref="X549:AA549"/>
    <mergeCell ref="AD549:AG549"/>
    <mergeCell ref="F550:I550"/>
    <mergeCell ref="F552:I552"/>
    <mergeCell ref="L555:AI555"/>
    <mergeCell ref="AJ555:AJ556"/>
    <mergeCell ref="AK555:AO556"/>
    <mergeCell ref="L556:O556"/>
    <mergeCell ref="P556:P557"/>
    <mergeCell ref="Q556:T556"/>
    <mergeCell ref="U556:U557"/>
    <mergeCell ref="V556:Y556"/>
    <mergeCell ref="Z556:Z557"/>
    <mergeCell ref="AA556:AD556"/>
    <mergeCell ref="AE556:AE557"/>
    <mergeCell ref="AF556:AI556"/>
    <mergeCell ref="L557:O557"/>
    <mergeCell ref="Q557:T557"/>
    <mergeCell ref="V557:Y557"/>
    <mergeCell ref="AA557:AD557"/>
    <mergeCell ref="AF557:AI557"/>
    <mergeCell ref="C529:G530"/>
    <mergeCell ref="I535:K535"/>
    <mergeCell ref="P535:Q535"/>
    <mergeCell ref="V535:X535"/>
    <mergeCell ref="H536:L536"/>
    <mergeCell ref="M536:N536"/>
    <mergeCell ref="K538:M539"/>
    <mergeCell ref="N538:N539"/>
    <mergeCell ref="O538:Q538"/>
    <mergeCell ref="S538:S539"/>
    <mergeCell ref="T538:V539"/>
    <mergeCell ref="W538:W539"/>
    <mergeCell ref="O539:R539"/>
    <mergeCell ref="I540:P540"/>
    <mergeCell ref="C541:H542"/>
    <mergeCell ref="N541:O542"/>
    <mergeCell ref="L543:M543"/>
    <mergeCell ref="O543:Q543"/>
    <mergeCell ref="U543:W543"/>
    <mergeCell ref="C514:G515"/>
    <mergeCell ref="I520:J520"/>
    <mergeCell ref="O520:P520"/>
    <mergeCell ref="U520:W520"/>
    <mergeCell ref="H521:L521"/>
    <mergeCell ref="M521:N521"/>
    <mergeCell ref="K523:M524"/>
    <mergeCell ref="N523:N524"/>
    <mergeCell ref="O523:Q523"/>
    <mergeCell ref="S523:S524"/>
    <mergeCell ref="T523:V524"/>
    <mergeCell ref="W523:W524"/>
    <mergeCell ref="O524:R524"/>
    <mergeCell ref="I525:P525"/>
    <mergeCell ref="C526:H527"/>
    <mergeCell ref="N526:O527"/>
    <mergeCell ref="L528:M528"/>
    <mergeCell ref="O528:Q528"/>
    <mergeCell ref="U528:W528"/>
    <mergeCell ref="H506:L506"/>
    <mergeCell ref="M506:N506"/>
    <mergeCell ref="P507:Q507"/>
    <mergeCell ref="K508:M509"/>
    <mergeCell ref="N508:N509"/>
    <mergeCell ref="O508:R508"/>
    <mergeCell ref="S508:S509"/>
    <mergeCell ref="T508:U508"/>
    <mergeCell ref="X508:X509"/>
    <mergeCell ref="Y508:AA509"/>
    <mergeCell ref="AB508:AB509"/>
    <mergeCell ref="O509:R509"/>
    <mergeCell ref="T509:W509"/>
    <mergeCell ref="I510:P510"/>
    <mergeCell ref="C511:H512"/>
    <mergeCell ref="N511:O512"/>
    <mergeCell ref="L513:M513"/>
    <mergeCell ref="O513:Q513"/>
    <mergeCell ref="U513:W513"/>
    <mergeCell ref="H494:L494"/>
    <mergeCell ref="M494:N494"/>
    <mergeCell ref="Q495:S495"/>
    <mergeCell ref="K496:M497"/>
    <mergeCell ref="N496:N497"/>
    <mergeCell ref="O496:P496"/>
    <mergeCell ref="Q496:Q497"/>
    <mergeCell ref="R496:T496"/>
    <mergeCell ref="V496:V497"/>
    <mergeCell ref="W496:Y497"/>
    <mergeCell ref="Z496:Z497"/>
    <mergeCell ref="O497:P497"/>
    <mergeCell ref="R497:U497"/>
    <mergeCell ref="I498:P498"/>
    <mergeCell ref="C499:H500"/>
    <mergeCell ref="N499:O500"/>
    <mergeCell ref="L501:M501"/>
    <mergeCell ref="O501:Q501"/>
    <mergeCell ref="U501:W501"/>
    <mergeCell ref="H480:L480"/>
    <mergeCell ref="M480:N480"/>
    <mergeCell ref="AE482:AG482"/>
    <mergeCell ref="AL482:AM482"/>
    <mergeCell ref="AR482:AT482"/>
    <mergeCell ref="K483:M484"/>
    <mergeCell ref="N483:N484"/>
    <mergeCell ref="O483:Q483"/>
    <mergeCell ref="S483:S484"/>
    <mergeCell ref="T483:V484"/>
    <mergeCell ref="W483:W484"/>
    <mergeCell ref="O484:R484"/>
    <mergeCell ref="I485:M485"/>
    <mergeCell ref="C486:H487"/>
    <mergeCell ref="N486:O487"/>
    <mergeCell ref="L488:M488"/>
    <mergeCell ref="O488:Q488"/>
    <mergeCell ref="U488:W488"/>
    <mergeCell ref="B475:C475"/>
    <mergeCell ref="D475:G475"/>
    <mergeCell ref="H475:L475"/>
    <mergeCell ref="M475:N475"/>
    <mergeCell ref="O475:U475"/>
    <mergeCell ref="V475:AA475"/>
    <mergeCell ref="AB475:AF475"/>
    <mergeCell ref="AG475:AO475"/>
    <mergeCell ref="AP475:AV475"/>
    <mergeCell ref="AW475:BB475"/>
    <mergeCell ref="BC475:BF475"/>
    <mergeCell ref="B476:C476"/>
    <mergeCell ref="D476:G476"/>
    <mergeCell ref="H476:L476"/>
    <mergeCell ref="M476:N476"/>
    <mergeCell ref="O476:AA476"/>
    <mergeCell ref="AB476:AF476"/>
    <mergeCell ref="AG476:AO476"/>
    <mergeCell ref="AP476:AV476"/>
    <mergeCell ref="AW476:BB476"/>
    <mergeCell ref="BC476:BF476"/>
    <mergeCell ref="B473:C473"/>
    <mergeCell ref="D473:G473"/>
    <mergeCell ref="H473:L473"/>
    <mergeCell ref="M473:N473"/>
    <mergeCell ref="O473:U473"/>
    <mergeCell ref="V473:AA473"/>
    <mergeCell ref="AB473:AF473"/>
    <mergeCell ref="AG473:AO473"/>
    <mergeCell ref="AP473:AV473"/>
    <mergeCell ref="AW473:BB473"/>
    <mergeCell ref="BC473:BF473"/>
    <mergeCell ref="B474:C474"/>
    <mergeCell ref="D474:G474"/>
    <mergeCell ref="H474:L474"/>
    <mergeCell ref="M474:N474"/>
    <mergeCell ref="O474:U474"/>
    <mergeCell ref="V474:AA474"/>
    <mergeCell ref="AB474:AF474"/>
    <mergeCell ref="AG474:AO474"/>
    <mergeCell ref="AP474:AV474"/>
    <mergeCell ref="AW474:BB474"/>
    <mergeCell ref="BC474:BF474"/>
    <mergeCell ref="B471:C471"/>
    <mergeCell ref="D471:G471"/>
    <mergeCell ref="H471:L471"/>
    <mergeCell ref="M471:N471"/>
    <mergeCell ref="O471:U471"/>
    <mergeCell ref="V471:AA471"/>
    <mergeCell ref="AB471:AF471"/>
    <mergeCell ref="AG471:AO471"/>
    <mergeCell ref="AP471:AV471"/>
    <mergeCell ref="AW471:BB471"/>
    <mergeCell ref="BC471:BF471"/>
    <mergeCell ref="B472:C472"/>
    <mergeCell ref="D472:G472"/>
    <mergeCell ref="H472:L472"/>
    <mergeCell ref="M472:N472"/>
    <mergeCell ref="O472:U472"/>
    <mergeCell ref="V472:AA472"/>
    <mergeCell ref="AB472:AF472"/>
    <mergeCell ref="AG472:AO472"/>
    <mergeCell ref="AP472:AV472"/>
    <mergeCell ref="AW472:BB472"/>
    <mergeCell ref="BC472:BF472"/>
    <mergeCell ref="C453:E453"/>
    <mergeCell ref="C454:E454"/>
    <mergeCell ref="C455:E455"/>
    <mergeCell ref="C456:E456"/>
    <mergeCell ref="C457:E457"/>
    <mergeCell ref="C458:E458"/>
    <mergeCell ref="C459:E459"/>
    <mergeCell ref="C460:E460"/>
    <mergeCell ref="B468:C470"/>
    <mergeCell ref="D468:G468"/>
    <mergeCell ref="H468:N468"/>
    <mergeCell ref="O468:AA468"/>
    <mergeCell ref="AB468:AF468"/>
    <mergeCell ref="AG468:AO468"/>
    <mergeCell ref="AP468:BB468"/>
    <mergeCell ref="BC468:BF468"/>
    <mergeCell ref="D469:G469"/>
    <mergeCell ref="H469:N469"/>
    <mergeCell ref="O469:AA469"/>
    <mergeCell ref="AB469:AF469"/>
    <mergeCell ref="AG469:AO469"/>
    <mergeCell ref="AP469:BB469"/>
    <mergeCell ref="BC469:BF469"/>
    <mergeCell ref="D470:G470"/>
    <mergeCell ref="H470:N470"/>
    <mergeCell ref="O470:AA470"/>
    <mergeCell ref="AB470:AF470"/>
    <mergeCell ref="AG470:AO470"/>
    <mergeCell ref="AP470:BB470"/>
    <mergeCell ref="BC470:BF470"/>
    <mergeCell ref="B446:F446"/>
    <mergeCell ref="G446:K446"/>
    <mergeCell ref="L446:P446"/>
    <mergeCell ref="Q446:U446"/>
    <mergeCell ref="V446:Z446"/>
    <mergeCell ref="AA446:AE446"/>
    <mergeCell ref="AF446:AJ446"/>
    <mergeCell ref="AK446:AO446"/>
    <mergeCell ref="B447:F447"/>
    <mergeCell ref="G447:K447"/>
    <mergeCell ref="L447:P447"/>
    <mergeCell ref="Q447:U447"/>
    <mergeCell ref="V447:Z447"/>
    <mergeCell ref="AA447:AE447"/>
    <mergeCell ref="AF447:AJ447"/>
    <mergeCell ref="AK447:AO447"/>
    <mergeCell ref="B448:F448"/>
    <mergeCell ref="G448:K448"/>
    <mergeCell ref="L448:P448"/>
    <mergeCell ref="Q448:U448"/>
    <mergeCell ref="V448:Z448"/>
    <mergeCell ref="AA448:AE448"/>
    <mergeCell ref="AF448:AJ448"/>
    <mergeCell ref="AK448:AO448"/>
    <mergeCell ref="B443:F443"/>
    <mergeCell ref="G443:K443"/>
    <mergeCell ref="L443:P443"/>
    <mergeCell ref="Q443:U443"/>
    <mergeCell ref="V443:Z443"/>
    <mergeCell ref="AA443:AE443"/>
    <mergeCell ref="AF443:AJ443"/>
    <mergeCell ref="AK443:AO443"/>
    <mergeCell ref="B444:F444"/>
    <mergeCell ref="G444:K444"/>
    <mergeCell ref="L444:P444"/>
    <mergeCell ref="Q444:U444"/>
    <mergeCell ref="V444:Z444"/>
    <mergeCell ref="AA444:AE444"/>
    <mergeCell ref="AF444:AJ444"/>
    <mergeCell ref="AK444:AO444"/>
    <mergeCell ref="B445:F445"/>
    <mergeCell ref="G445:K445"/>
    <mergeCell ref="L445:P445"/>
    <mergeCell ref="Q445:U445"/>
    <mergeCell ref="V445:Z445"/>
    <mergeCell ref="AA445:AE445"/>
    <mergeCell ref="AF445:AJ445"/>
    <mergeCell ref="AK445:AO445"/>
    <mergeCell ref="I429:K429"/>
    <mergeCell ref="M429:P429"/>
    <mergeCell ref="R429:U429"/>
    <mergeCell ref="W429:Z429"/>
    <mergeCell ref="AB429:AE429"/>
    <mergeCell ref="B437:G437"/>
    <mergeCell ref="H437:M437"/>
    <mergeCell ref="B438:G438"/>
    <mergeCell ref="H438:M438"/>
    <mergeCell ref="B441:F442"/>
    <mergeCell ref="G441:AE441"/>
    <mergeCell ref="AF441:AJ442"/>
    <mergeCell ref="AK441:AO442"/>
    <mergeCell ref="G442:K442"/>
    <mergeCell ref="L442:P442"/>
    <mergeCell ref="Q442:U442"/>
    <mergeCell ref="V442:Z442"/>
    <mergeCell ref="AA442:AE442"/>
    <mergeCell ref="F409:G409"/>
    <mergeCell ref="H409:I409"/>
    <mergeCell ref="F411:G411"/>
    <mergeCell ref="H411:I411"/>
    <mergeCell ref="V414:W414"/>
    <mergeCell ref="X414:Y414"/>
    <mergeCell ref="AM414:AM415"/>
    <mergeCell ref="AN414:AR415"/>
    <mergeCell ref="L415:M415"/>
    <mergeCell ref="N415:O415"/>
    <mergeCell ref="R415:R416"/>
    <mergeCell ref="S415:T415"/>
    <mergeCell ref="U415:V415"/>
    <mergeCell ref="Y415:Y416"/>
    <mergeCell ref="Z415:AA415"/>
    <mergeCell ref="AB415:AC415"/>
    <mergeCell ref="AF415:AF416"/>
    <mergeCell ref="AG415:AH415"/>
    <mergeCell ref="AI415:AJ415"/>
    <mergeCell ref="L416:Q416"/>
    <mergeCell ref="S416:X416"/>
    <mergeCell ref="Z416:AE416"/>
    <mergeCell ref="AG416:AL416"/>
    <mergeCell ref="L402:N402"/>
    <mergeCell ref="O402:Q402"/>
    <mergeCell ref="S402:V402"/>
    <mergeCell ref="W402:X402"/>
    <mergeCell ref="AA402:AD402"/>
    <mergeCell ref="AE402:AF402"/>
    <mergeCell ref="C403:G404"/>
    <mergeCell ref="F408:G408"/>
    <mergeCell ref="H408:I408"/>
    <mergeCell ref="L408:M408"/>
    <mergeCell ref="N408:O408"/>
    <mergeCell ref="P408:Q408"/>
    <mergeCell ref="T408:U408"/>
    <mergeCell ref="V408:W408"/>
    <mergeCell ref="X408:Y408"/>
    <mergeCell ref="AB408:AC408"/>
    <mergeCell ref="AD408:AE408"/>
    <mergeCell ref="AF408:AG408"/>
    <mergeCell ref="AI394:AK395"/>
    <mergeCell ref="AL394:AL395"/>
    <mergeCell ref="AM394:AP394"/>
    <mergeCell ref="AQ394:AQ395"/>
    <mergeCell ref="AR394:AU395"/>
    <mergeCell ref="T395:AG395"/>
    <mergeCell ref="AM395:AP395"/>
    <mergeCell ref="H396:O396"/>
    <mergeCell ref="K397:M398"/>
    <mergeCell ref="N397:N398"/>
    <mergeCell ref="O397:Q397"/>
    <mergeCell ref="T397:T398"/>
    <mergeCell ref="U397:X398"/>
    <mergeCell ref="Y397:Z398"/>
    <mergeCell ref="O398:S398"/>
    <mergeCell ref="I399:P399"/>
    <mergeCell ref="C400:H401"/>
    <mergeCell ref="T400:V401"/>
    <mergeCell ref="W400:Y401"/>
    <mergeCell ref="I385:P385"/>
    <mergeCell ref="C386:H387"/>
    <mergeCell ref="U386:W387"/>
    <mergeCell ref="X386:Z387"/>
    <mergeCell ref="L388:N388"/>
    <mergeCell ref="O388:Q388"/>
    <mergeCell ref="S388:V388"/>
    <mergeCell ref="W388:X388"/>
    <mergeCell ref="AA388:AD388"/>
    <mergeCell ref="AE388:AF388"/>
    <mergeCell ref="C389:G390"/>
    <mergeCell ref="D394:J395"/>
    <mergeCell ref="K394:K395"/>
    <mergeCell ref="L394:R395"/>
    <mergeCell ref="S394:S395"/>
    <mergeCell ref="T394:AG394"/>
    <mergeCell ref="AH394:AH395"/>
    <mergeCell ref="I373:P373"/>
    <mergeCell ref="C374:H375"/>
    <mergeCell ref="T374:V375"/>
    <mergeCell ref="W374:Y375"/>
    <mergeCell ref="L376:N376"/>
    <mergeCell ref="O376:Q376"/>
    <mergeCell ref="S376:V376"/>
    <mergeCell ref="W376:X376"/>
    <mergeCell ref="AA376:AD376"/>
    <mergeCell ref="AE376:AF376"/>
    <mergeCell ref="I381:M381"/>
    <mergeCell ref="N381:O381"/>
    <mergeCell ref="P382:R382"/>
    <mergeCell ref="K383:M384"/>
    <mergeCell ref="N383:N384"/>
    <mergeCell ref="O383:R383"/>
    <mergeCell ref="S383:S384"/>
    <mergeCell ref="T383:U383"/>
    <mergeCell ref="X383:X384"/>
    <mergeCell ref="Y383:AB384"/>
    <mergeCell ref="AC383:AD384"/>
    <mergeCell ref="O384:R384"/>
    <mergeCell ref="T384:W384"/>
    <mergeCell ref="I360:M360"/>
    <mergeCell ref="C361:H362"/>
    <mergeCell ref="Y361:AA362"/>
    <mergeCell ref="AB361:AD362"/>
    <mergeCell ref="L363:N363"/>
    <mergeCell ref="O363:Q363"/>
    <mergeCell ref="S363:V363"/>
    <mergeCell ref="W363:X363"/>
    <mergeCell ref="AA363:AD363"/>
    <mergeCell ref="AE363:AF363"/>
    <mergeCell ref="I369:M369"/>
    <mergeCell ref="N369:O369"/>
    <mergeCell ref="Q370:S370"/>
    <mergeCell ref="T370:U370"/>
    <mergeCell ref="K371:M372"/>
    <mergeCell ref="N371:N372"/>
    <mergeCell ref="O371:P371"/>
    <mergeCell ref="Q371:Q372"/>
    <mergeCell ref="R371:T371"/>
    <mergeCell ref="U371:V371"/>
    <mergeCell ref="W371:W372"/>
    <mergeCell ref="X371:AA372"/>
    <mergeCell ref="AB371:AC372"/>
    <mergeCell ref="O372:P372"/>
    <mergeCell ref="R372:V372"/>
    <mergeCell ref="B351:C351"/>
    <mergeCell ref="D351:G351"/>
    <mergeCell ref="H351:L351"/>
    <mergeCell ref="M351:N351"/>
    <mergeCell ref="O351:AA351"/>
    <mergeCell ref="AB351:AF351"/>
    <mergeCell ref="AG351:AO351"/>
    <mergeCell ref="AP351:AU351"/>
    <mergeCell ref="AV351:AW351"/>
    <mergeCell ref="AX351:BB351"/>
    <mergeCell ref="BC351:BF351"/>
    <mergeCell ref="I355:M355"/>
    <mergeCell ref="N355:O355"/>
    <mergeCell ref="Y356:Z356"/>
    <mergeCell ref="AB356:AD356"/>
    <mergeCell ref="K358:M359"/>
    <mergeCell ref="N358:N359"/>
    <mergeCell ref="P358:Q358"/>
    <mergeCell ref="S358:U358"/>
    <mergeCell ref="Y358:Z358"/>
    <mergeCell ref="AA358:AA359"/>
    <mergeCell ref="AC358:AD359"/>
    <mergeCell ref="AF358:AI359"/>
    <mergeCell ref="AM358:AN359"/>
    <mergeCell ref="AO358:AO359"/>
    <mergeCell ref="AP358:AS359"/>
    <mergeCell ref="AT358:AU359"/>
    <mergeCell ref="P359:Z359"/>
    <mergeCell ref="B349:C349"/>
    <mergeCell ref="D349:G349"/>
    <mergeCell ref="H349:L349"/>
    <mergeCell ref="M349:N349"/>
    <mergeCell ref="O349:U349"/>
    <mergeCell ref="V349:AA349"/>
    <mergeCell ref="AB349:AF349"/>
    <mergeCell ref="AG349:AK349"/>
    <mergeCell ref="AL349:AO349"/>
    <mergeCell ref="AP349:AU349"/>
    <mergeCell ref="AV349:AW349"/>
    <mergeCell ref="AX349:BB349"/>
    <mergeCell ref="BC349:BF349"/>
    <mergeCell ref="B350:C350"/>
    <mergeCell ref="D350:G350"/>
    <mergeCell ref="H350:L350"/>
    <mergeCell ref="M350:N350"/>
    <mergeCell ref="O350:U350"/>
    <mergeCell ref="V350:AA350"/>
    <mergeCell ref="AB350:AF350"/>
    <mergeCell ref="AG350:AK350"/>
    <mergeCell ref="AL350:AO350"/>
    <mergeCell ref="AP350:AU350"/>
    <mergeCell ref="AV350:AW350"/>
    <mergeCell ref="AX350:BB350"/>
    <mergeCell ref="BC350:BF350"/>
    <mergeCell ref="B347:C347"/>
    <mergeCell ref="D347:G347"/>
    <mergeCell ref="H347:L347"/>
    <mergeCell ref="M347:N347"/>
    <mergeCell ref="O347:U347"/>
    <mergeCell ref="V347:AA347"/>
    <mergeCell ref="AB347:AF347"/>
    <mergeCell ref="AG347:AK347"/>
    <mergeCell ref="AL347:AO347"/>
    <mergeCell ref="AP347:AU347"/>
    <mergeCell ref="AV347:AW347"/>
    <mergeCell ref="AX347:BB347"/>
    <mergeCell ref="BC347:BF347"/>
    <mergeCell ref="B348:C348"/>
    <mergeCell ref="D348:G348"/>
    <mergeCell ref="H348:L348"/>
    <mergeCell ref="M348:N348"/>
    <mergeCell ref="O348:U348"/>
    <mergeCell ref="V348:AA348"/>
    <mergeCell ref="AB348:AF348"/>
    <mergeCell ref="AG348:AK348"/>
    <mergeCell ref="AL348:AO348"/>
    <mergeCell ref="AP348:AU348"/>
    <mergeCell ref="AV348:AW348"/>
    <mergeCell ref="AX348:BB348"/>
    <mergeCell ref="BC348:BF348"/>
    <mergeCell ref="C330:E330"/>
    <mergeCell ref="C331:E331"/>
    <mergeCell ref="C332:E332"/>
    <mergeCell ref="C333:E333"/>
    <mergeCell ref="C334:E334"/>
    <mergeCell ref="C335:E335"/>
    <mergeCell ref="C336:E336"/>
    <mergeCell ref="B344:C346"/>
    <mergeCell ref="D344:G344"/>
    <mergeCell ref="H344:N344"/>
    <mergeCell ref="O344:AA344"/>
    <mergeCell ref="AB344:AF344"/>
    <mergeCell ref="AG344:AO344"/>
    <mergeCell ref="AP344:BB344"/>
    <mergeCell ref="BC344:BF344"/>
    <mergeCell ref="D345:G345"/>
    <mergeCell ref="H345:N345"/>
    <mergeCell ref="O345:AA345"/>
    <mergeCell ref="AB345:AF345"/>
    <mergeCell ref="AG345:AO345"/>
    <mergeCell ref="AP345:BB345"/>
    <mergeCell ref="BC345:BF345"/>
    <mergeCell ref="D346:G346"/>
    <mergeCell ref="H346:N346"/>
    <mergeCell ref="O346:AA346"/>
    <mergeCell ref="AB346:AF346"/>
    <mergeCell ref="AG346:AO346"/>
    <mergeCell ref="AP346:BB346"/>
    <mergeCell ref="BC346:BF346"/>
    <mergeCell ref="B322:F322"/>
    <mergeCell ref="G322:K322"/>
    <mergeCell ref="L322:P322"/>
    <mergeCell ref="Q322:U322"/>
    <mergeCell ref="V322:Z322"/>
    <mergeCell ref="AA322:AE322"/>
    <mergeCell ref="AF322:AJ322"/>
    <mergeCell ref="AK322:AO322"/>
    <mergeCell ref="AP322:AT322"/>
    <mergeCell ref="B323:F323"/>
    <mergeCell ref="G323:K323"/>
    <mergeCell ref="L323:P323"/>
    <mergeCell ref="Q323:U323"/>
    <mergeCell ref="V323:Z323"/>
    <mergeCell ref="AA323:AE323"/>
    <mergeCell ref="AF323:AJ323"/>
    <mergeCell ref="AK323:AO323"/>
    <mergeCell ref="AP323:AT323"/>
    <mergeCell ref="B320:F320"/>
    <mergeCell ref="G320:K320"/>
    <mergeCell ref="L320:P320"/>
    <mergeCell ref="Q320:U320"/>
    <mergeCell ref="V320:Z320"/>
    <mergeCell ref="AA320:AE320"/>
    <mergeCell ref="AF320:AJ320"/>
    <mergeCell ref="AK320:AO320"/>
    <mergeCell ref="AP320:AT320"/>
    <mergeCell ref="B321:F321"/>
    <mergeCell ref="G321:K321"/>
    <mergeCell ref="L321:P321"/>
    <mergeCell ref="Q321:U321"/>
    <mergeCell ref="V321:Z321"/>
    <mergeCell ref="AA321:AE321"/>
    <mergeCell ref="AF321:AJ321"/>
    <mergeCell ref="AK321:AO321"/>
    <mergeCell ref="AP321:AT321"/>
    <mergeCell ref="B318:F318"/>
    <mergeCell ref="G318:K318"/>
    <mergeCell ref="L318:P318"/>
    <mergeCell ref="Q318:U318"/>
    <mergeCell ref="V318:Z318"/>
    <mergeCell ref="AA318:AE318"/>
    <mergeCell ref="AF318:AJ318"/>
    <mergeCell ref="AK318:AO318"/>
    <mergeCell ref="AP318:AT318"/>
    <mergeCell ref="B319:F319"/>
    <mergeCell ref="G319:K319"/>
    <mergeCell ref="L319:P319"/>
    <mergeCell ref="Q319:U319"/>
    <mergeCell ref="V319:Z319"/>
    <mergeCell ref="AA319:AE319"/>
    <mergeCell ref="AF319:AJ319"/>
    <mergeCell ref="AK319:AO319"/>
    <mergeCell ref="AP319:AT319"/>
    <mergeCell ref="B316:F316"/>
    <mergeCell ref="G316:K316"/>
    <mergeCell ref="L316:P316"/>
    <mergeCell ref="Q316:U316"/>
    <mergeCell ref="V316:Z316"/>
    <mergeCell ref="AA316:AE316"/>
    <mergeCell ref="AF316:AJ316"/>
    <mergeCell ref="AK316:AO316"/>
    <mergeCell ref="AP316:AT316"/>
    <mergeCell ref="B317:F317"/>
    <mergeCell ref="G317:K317"/>
    <mergeCell ref="L317:P317"/>
    <mergeCell ref="Q317:U317"/>
    <mergeCell ref="V317:Z317"/>
    <mergeCell ref="AA317:AE317"/>
    <mergeCell ref="AF317:AJ317"/>
    <mergeCell ref="AK317:AO317"/>
    <mergeCell ref="AP317:AT317"/>
    <mergeCell ref="B314:F314"/>
    <mergeCell ref="G314:K314"/>
    <mergeCell ref="L314:P314"/>
    <mergeCell ref="Q314:U314"/>
    <mergeCell ref="V314:Z314"/>
    <mergeCell ref="AA314:AE314"/>
    <mergeCell ref="AF314:AJ314"/>
    <mergeCell ref="AK314:AO314"/>
    <mergeCell ref="AP314:AT314"/>
    <mergeCell ref="B315:F315"/>
    <mergeCell ref="G315:K315"/>
    <mergeCell ref="L315:P315"/>
    <mergeCell ref="Q315:U315"/>
    <mergeCell ref="V315:Z315"/>
    <mergeCell ref="AA315:AE315"/>
    <mergeCell ref="AF315:AJ315"/>
    <mergeCell ref="AK315:AO315"/>
    <mergeCell ref="AP315:AT315"/>
    <mergeCell ref="B312:F312"/>
    <mergeCell ref="G312:K312"/>
    <mergeCell ref="L312:P312"/>
    <mergeCell ref="Q312:U312"/>
    <mergeCell ref="V312:Z312"/>
    <mergeCell ref="AA312:AE312"/>
    <mergeCell ref="AF312:AJ312"/>
    <mergeCell ref="AK312:AO312"/>
    <mergeCell ref="AP312:AT312"/>
    <mergeCell ref="B313:F313"/>
    <mergeCell ref="G313:K313"/>
    <mergeCell ref="L313:P313"/>
    <mergeCell ref="Q313:U313"/>
    <mergeCell ref="V313:Z313"/>
    <mergeCell ref="AA313:AE313"/>
    <mergeCell ref="AF313:AJ313"/>
    <mergeCell ref="AK313:AO313"/>
    <mergeCell ref="AP313:AT313"/>
    <mergeCell ref="B310:F310"/>
    <mergeCell ref="G310:K310"/>
    <mergeCell ref="L310:P310"/>
    <mergeCell ref="Q310:U310"/>
    <mergeCell ref="V310:Z310"/>
    <mergeCell ref="AA310:AE310"/>
    <mergeCell ref="AF310:AJ310"/>
    <mergeCell ref="AK310:AO310"/>
    <mergeCell ref="AP310:AT310"/>
    <mergeCell ref="B311:F311"/>
    <mergeCell ref="G311:K311"/>
    <mergeCell ref="L311:P311"/>
    <mergeCell ref="Q311:U311"/>
    <mergeCell ref="V311:Z311"/>
    <mergeCell ref="AA311:AE311"/>
    <mergeCell ref="AF311:AJ311"/>
    <mergeCell ref="AK311:AO311"/>
    <mergeCell ref="AP311:AT311"/>
    <mergeCell ref="B308:F308"/>
    <mergeCell ref="G308:K308"/>
    <mergeCell ref="L308:P308"/>
    <mergeCell ref="Q308:U308"/>
    <mergeCell ref="V308:Z308"/>
    <mergeCell ref="AA308:AE308"/>
    <mergeCell ref="AF308:AJ308"/>
    <mergeCell ref="AK308:AO308"/>
    <mergeCell ref="AP308:AT308"/>
    <mergeCell ref="B309:F309"/>
    <mergeCell ref="G309:K309"/>
    <mergeCell ref="L309:P309"/>
    <mergeCell ref="Q309:U309"/>
    <mergeCell ref="V309:Z309"/>
    <mergeCell ref="AA309:AE309"/>
    <mergeCell ref="AF309:AJ309"/>
    <mergeCell ref="AK309:AO309"/>
    <mergeCell ref="AP309:AT309"/>
    <mergeCell ref="B306:F306"/>
    <mergeCell ref="G306:K306"/>
    <mergeCell ref="L306:P306"/>
    <mergeCell ref="Q306:U306"/>
    <mergeCell ref="V306:Z306"/>
    <mergeCell ref="AA306:AE306"/>
    <mergeCell ref="AF306:AJ306"/>
    <mergeCell ref="AK306:AO306"/>
    <mergeCell ref="AP306:AT306"/>
    <mergeCell ref="B307:F307"/>
    <mergeCell ref="G307:K307"/>
    <mergeCell ref="L307:P307"/>
    <mergeCell ref="Q307:U307"/>
    <mergeCell ref="V307:Z307"/>
    <mergeCell ref="AA307:AE307"/>
    <mergeCell ref="AF307:AJ307"/>
    <mergeCell ref="AK307:AO307"/>
    <mergeCell ref="AP307:AT307"/>
    <mergeCell ref="B304:F304"/>
    <mergeCell ref="G304:K304"/>
    <mergeCell ref="L304:P304"/>
    <mergeCell ref="Q304:U304"/>
    <mergeCell ref="V304:Z304"/>
    <mergeCell ref="AA304:AE304"/>
    <mergeCell ref="AF304:AJ304"/>
    <mergeCell ref="AK304:AO304"/>
    <mergeCell ref="AP304:AT304"/>
    <mergeCell ref="B305:F305"/>
    <mergeCell ref="G305:K305"/>
    <mergeCell ref="L305:P305"/>
    <mergeCell ref="Q305:U305"/>
    <mergeCell ref="V305:Z305"/>
    <mergeCell ref="AA305:AE305"/>
    <mergeCell ref="AF305:AJ305"/>
    <mergeCell ref="AK305:AO305"/>
    <mergeCell ref="AP305:AT305"/>
    <mergeCell ref="AS289:AU289"/>
    <mergeCell ref="AZ289:BA289"/>
    <mergeCell ref="B297:G297"/>
    <mergeCell ref="H297:M297"/>
    <mergeCell ref="N297:S297"/>
    <mergeCell ref="T297:Y297"/>
    <mergeCell ref="B298:G298"/>
    <mergeCell ref="H298:M298"/>
    <mergeCell ref="N298:S298"/>
    <mergeCell ref="T298:Y298"/>
    <mergeCell ref="B301:F302"/>
    <mergeCell ref="G301:K302"/>
    <mergeCell ref="L301:AJ301"/>
    <mergeCell ref="AK301:AO302"/>
    <mergeCell ref="AP301:AT302"/>
    <mergeCell ref="L302:P302"/>
    <mergeCell ref="Q302:U302"/>
    <mergeCell ref="V302:Z302"/>
    <mergeCell ref="AA302:AE302"/>
    <mergeCell ref="AF302:AJ302"/>
    <mergeCell ref="BD284:BD285"/>
    <mergeCell ref="BE284:BI285"/>
    <mergeCell ref="L285:O285"/>
    <mergeCell ref="P285:P286"/>
    <mergeCell ref="Q285:T285"/>
    <mergeCell ref="U285:U286"/>
    <mergeCell ref="V285:Y285"/>
    <mergeCell ref="Z285:Z286"/>
    <mergeCell ref="AA285:AD285"/>
    <mergeCell ref="AE285:AE286"/>
    <mergeCell ref="AF285:AI285"/>
    <mergeCell ref="AJ285:AJ286"/>
    <mergeCell ref="AK285:AN285"/>
    <mergeCell ref="AO285:AO286"/>
    <mergeCell ref="AP285:AS285"/>
    <mergeCell ref="AT285:AT286"/>
    <mergeCell ref="AU285:AX285"/>
    <mergeCell ref="AY285:AY286"/>
    <mergeCell ref="AZ285:BC285"/>
    <mergeCell ref="L286:O286"/>
    <mergeCell ref="Q286:T286"/>
    <mergeCell ref="V286:Y286"/>
    <mergeCell ref="AA286:AD286"/>
    <mergeCell ref="AF286:AI286"/>
    <mergeCell ref="AK286:AN286"/>
    <mergeCell ref="AP286:AS286"/>
    <mergeCell ref="AU286:AX286"/>
    <mergeCell ref="AZ286:BC286"/>
    <mergeCell ref="F278:G278"/>
    <mergeCell ref="H278:K278"/>
    <mergeCell ref="P278:Q278"/>
    <mergeCell ref="R278:U278"/>
    <mergeCell ref="Z278:AA278"/>
    <mergeCell ref="AB278:AD278"/>
    <mergeCell ref="AH278:AI278"/>
    <mergeCell ref="AJ278:AL278"/>
    <mergeCell ref="AP278:AQ278"/>
    <mergeCell ref="AR278:AT278"/>
    <mergeCell ref="F279:H279"/>
    <mergeCell ref="K279:L279"/>
    <mergeCell ref="M279:O279"/>
    <mergeCell ref="F281:H281"/>
    <mergeCell ref="K281:M281"/>
    <mergeCell ref="Q281:R281"/>
    <mergeCell ref="L284:BC284"/>
    <mergeCell ref="H272:L272"/>
    <mergeCell ref="M272:N272"/>
    <mergeCell ref="O272:AA272"/>
    <mergeCell ref="AB272:AF272"/>
    <mergeCell ref="AG272:AO272"/>
    <mergeCell ref="AP272:AR272"/>
    <mergeCell ref="AU272:AW272"/>
    <mergeCell ref="BA272:BB272"/>
    <mergeCell ref="BC272:BF272"/>
    <mergeCell ref="F277:H277"/>
    <mergeCell ref="K277:L277"/>
    <mergeCell ref="M277:O277"/>
    <mergeCell ref="T277:U277"/>
    <mergeCell ref="V277:X277"/>
    <mergeCell ref="AA277:AB277"/>
    <mergeCell ref="AC277:AF277"/>
    <mergeCell ref="AK277:AL277"/>
    <mergeCell ref="AM277:AP277"/>
    <mergeCell ref="AW269:BB269"/>
    <mergeCell ref="BC269:BF269"/>
    <mergeCell ref="B270:C270"/>
    <mergeCell ref="D270:G270"/>
    <mergeCell ref="H270:L270"/>
    <mergeCell ref="M270:N270"/>
    <mergeCell ref="O270:U270"/>
    <mergeCell ref="V270:AA270"/>
    <mergeCell ref="AB270:AF270"/>
    <mergeCell ref="AG270:AO270"/>
    <mergeCell ref="AP270:AV270"/>
    <mergeCell ref="AW270:BB270"/>
    <mergeCell ref="BC270:BF270"/>
    <mergeCell ref="B271:C271"/>
    <mergeCell ref="D271:G271"/>
    <mergeCell ref="H271:L271"/>
    <mergeCell ref="M271:N271"/>
    <mergeCell ref="O271:U271"/>
    <mergeCell ref="V271:AA271"/>
    <mergeCell ref="AB271:AF271"/>
    <mergeCell ref="AG271:AO271"/>
    <mergeCell ref="AP271:AV271"/>
    <mergeCell ref="AW271:BB271"/>
    <mergeCell ref="BC271:BF271"/>
    <mergeCell ref="B266:C266"/>
    <mergeCell ref="D266:G266"/>
    <mergeCell ref="H266:L266"/>
    <mergeCell ref="M266:N266"/>
    <mergeCell ref="O266:U266"/>
    <mergeCell ref="V266:AA266"/>
    <mergeCell ref="AB266:AF266"/>
    <mergeCell ref="AG266:AJ266"/>
    <mergeCell ref="AP266:AV266"/>
    <mergeCell ref="AW266:BB266"/>
    <mergeCell ref="BC266:BF266"/>
    <mergeCell ref="AK265:AO265"/>
    <mergeCell ref="AK266:AO266"/>
    <mergeCell ref="AP267:AV267"/>
    <mergeCell ref="AW267:BB267"/>
    <mergeCell ref="BC267:BF267"/>
    <mergeCell ref="B268:C268"/>
    <mergeCell ref="D268:G268"/>
    <mergeCell ref="H268:L268"/>
    <mergeCell ref="M268:N268"/>
    <mergeCell ref="O268:U268"/>
    <mergeCell ref="V268:AA268"/>
    <mergeCell ref="AB268:AF268"/>
    <mergeCell ref="AG268:AJ268"/>
    <mergeCell ref="AP268:AV268"/>
    <mergeCell ref="AW268:BB268"/>
    <mergeCell ref="BC268:BF268"/>
    <mergeCell ref="B264:C264"/>
    <mergeCell ref="D264:G264"/>
    <mergeCell ref="H264:L264"/>
    <mergeCell ref="M264:N264"/>
    <mergeCell ref="O264:U264"/>
    <mergeCell ref="V264:AA264"/>
    <mergeCell ref="AB264:AF264"/>
    <mergeCell ref="AG264:AO264"/>
    <mergeCell ref="AP264:AV264"/>
    <mergeCell ref="AW264:BB264"/>
    <mergeCell ref="BC264:BF264"/>
    <mergeCell ref="B265:C265"/>
    <mergeCell ref="D265:G265"/>
    <mergeCell ref="H265:L265"/>
    <mergeCell ref="M265:N265"/>
    <mergeCell ref="O265:W265"/>
    <mergeCell ref="X265:AA265"/>
    <mergeCell ref="AB265:AF265"/>
    <mergeCell ref="AG265:AJ265"/>
    <mergeCell ref="AP265:AV265"/>
    <mergeCell ref="AW265:BB265"/>
    <mergeCell ref="BC265:BF265"/>
    <mergeCell ref="AP260:BB260"/>
    <mergeCell ref="BC260:BF260"/>
    <mergeCell ref="D261:G261"/>
    <mergeCell ref="H261:N261"/>
    <mergeCell ref="O261:AA261"/>
    <mergeCell ref="AB261:AF261"/>
    <mergeCell ref="AG261:AO261"/>
    <mergeCell ref="AP261:BB261"/>
    <mergeCell ref="BC261:BF261"/>
    <mergeCell ref="D262:G262"/>
    <mergeCell ref="H262:N262"/>
    <mergeCell ref="O262:AA262"/>
    <mergeCell ref="AB262:AF262"/>
    <mergeCell ref="AG262:AO262"/>
    <mergeCell ref="AP262:BB262"/>
    <mergeCell ref="BC262:BF262"/>
    <mergeCell ref="B263:C263"/>
    <mergeCell ref="D263:G263"/>
    <mergeCell ref="H263:L263"/>
    <mergeCell ref="M263:N263"/>
    <mergeCell ref="O263:Q263"/>
    <mergeCell ref="T263:V263"/>
    <mergeCell ref="Z263:AA263"/>
    <mergeCell ref="AB263:AF263"/>
    <mergeCell ref="AG263:AO263"/>
    <mergeCell ref="AP263:AR263"/>
    <mergeCell ref="AU263:AW263"/>
    <mergeCell ref="BA263:BB263"/>
    <mergeCell ref="BC263:BF263"/>
    <mergeCell ref="B256:F256"/>
    <mergeCell ref="G256:K256"/>
    <mergeCell ref="L256:P256"/>
    <mergeCell ref="Q256:U256"/>
    <mergeCell ref="V256:Z256"/>
    <mergeCell ref="AA256:AE256"/>
    <mergeCell ref="AF256:AJ256"/>
    <mergeCell ref="AK256:AO256"/>
    <mergeCell ref="B257:F257"/>
    <mergeCell ref="G257:K257"/>
    <mergeCell ref="L257:P257"/>
    <mergeCell ref="Q257:U257"/>
    <mergeCell ref="V257:Z257"/>
    <mergeCell ref="AA257:AE257"/>
    <mergeCell ref="AF257:AJ257"/>
    <mergeCell ref="AK257:AO257"/>
    <mergeCell ref="B260:C262"/>
    <mergeCell ref="D260:G260"/>
    <mergeCell ref="H260:N260"/>
    <mergeCell ref="O260:AA260"/>
    <mergeCell ref="AB260:AF260"/>
    <mergeCell ref="AG260:AO260"/>
    <mergeCell ref="B253:F253"/>
    <mergeCell ref="G253:K253"/>
    <mergeCell ref="L253:P253"/>
    <mergeCell ref="Q253:U253"/>
    <mergeCell ref="V253:Z253"/>
    <mergeCell ref="AA253:AE253"/>
    <mergeCell ref="AF253:AJ253"/>
    <mergeCell ref="AK253:AO253"/>
    <mergeCell ref="B254:F254"/>
    <mergeCell ref="G254:K254"/>
    <mergeCell ref="L254:P254"/>
    <mergeCell ref="Q254:U254"/>
    <mergeCell ref="V254:Z254"/>
    <mergeCell ref="AA254:AE254"/>
    <mergeCell ref="AF254:AJ254"/>
    <mergeCell ref="AK254:AO254"/>
    <mergeCell ref="B255:F255"/>
    <mergeCell ref="G255:K255"/>
    <mergeCell ref="L255:P255"/>
    <mergeCell ref="Q255:U255"/>
    <mergeCell ref="V255:Z255"/>
    <mergeCell ref="AA255:AE255"/>
    <mergeCell ref="AF255:AJ255"/>
    <mergeCell ref="AK255:AO255"/>
    <mergeCell ref="B250:F250"/>
    <mergeCell ref="G250:K250"/>
    <mergeCell ref="L250:P250"/>
    <mergeCell ref="Q250:U250"/>
    <mergeCell ref="V250:Z250"/>
    <mergeCell ref="AA250:AE250"/>
    <mergeCell ref="AF250:AJ250"/>
    <mergeCell ref="AK250:AO250"/>
    <mergeCell ref="B251:F251"/>
    <mergeCell ref="G251:K251"/>
    <mergeCell ref="L251:P251"/>
    <mergeCell ref="Q251:U251"/>
    <mergeCell ref="V251:Z251"/>
    <mergeCell ref="AA251:AE251"/>
    <mergeCell ref="AF251:AJ251"/>
    <mergeCell ref="AK251:AO251"/>
    <mergeCell ref="B252:F252"/>
    <mergeCell ref="G252:K252"/>
    <mergeCell ref="L252:P252"/>
    <mergeCell ref="Q252:U252"/>
    <mergeCell ref="V252:Z252"/>
    <mergeCell ref="AA252:AE252"/>
    <mergeCell ref="AF252:AJ252"/>
    <mergeCell ref="AK252:AO252"/>
    <mergeCell ref="B247:F247"/>
    <mergeCell ref="G247:K247"/>
    <mergeCell ref="L247:P247"/>
    <mergeCell ref="Q247:U247"/>
    <mergeCell ref="V247:Z247"/>
    <mergeCell ref="AA247:AE247"/>
    <mergeCell ref="AF247:AJ247"/>
    <mergeCell ref="AK247:AO247"/>
    <mergeCell ref="B248:F248"/>
    <mergeCell ref="G248:K248"/>
    <mergeCell ref="L248:P248"/>
    <mergeCell ref="Q248:U248"/>
    <mergeCell ref="V248:Z248"/>
    <mergeCell ref="AA248:AE248"/>
    <mergeCell ref="AF248:AJ248"/>
    <mergeCell ref="AK248:AO248"/>
    <mergeCell ref="B249:F249"/>
    <mergeCell ref="G249:K249"/>
    <mergeCell ref="L249:P249"/>
    <mergeCell ref="Q249:U249"/>
    <mergeCell ref="V249:Z249"/>
    <mergeCell ref="AA249:AE249"/>
    <mergeCell ref="AF249:AJ249"/>
    <mergeCell ref="AK249:AO249"/>
    <mergeCell ref="B244:F244"/>
    <mergeCell ref="G244:K244"/>
    <mergeCell ref="L244:P244"/>
    <mergeCell ref="Q244:U244"/>
    <mergeCell ref="V244:Z244"/>
    <mergeCell ref="AA244:AE244"/>
    <mergeCell ref="AF244:AJ244"/>
    <mergeCell ref="AK244:AO244"/>
    <mergeCell ref="B245:F245"/>
    <mergeCell ref="G245:K245"/>
    <mergeCell ref="L245:P245"/>
    <mergeCell ref="Q245:U245"/>
    <mergeCell ref="V245:Z245"/>
    <mergeCell ref="AA245:AE245"/>
    <mergeCell ref="AF245:AJ245"/>
    <mergeCell ref="AK245:AO245"/>
    <mergeCell ref="B246:F246"/>
    <mergeCell ref="G246:K246"/>
    <mergeCell ref="L246:P246"/>
    <mergeCell ref="Q246:U246"/>
    <mergeCell ref="V246:Z246"/>
    <mergeCell ref="AA246:AE246"/>
    <mergeCell ref="AF246:AJ246"/>
    <mergeCell ref="AK246:AO246"/>
    <mergeCell ref="B241:F241"/>
    <mergeCell ref="G241:K241"/>
    <mergeCell ref="L241:P241"/>
    <mergeCell ref="Q241:U241"/>
    <mergeCell ref="V241:Z241"/>
    <mergeCell ref="AA241:AE241"/>
    <mergeCell ref="AF241:AJ241"/>
    <mergeCell ref="AK241:AO241"/>
    <mergeCell ref="B242:F242"/>
    <mergeCell ref="G242:K242"/>
    <mergeCell ref="L242:P242"/>
    <mergeCell ref="Q242:U242"/>
    <mergeCell ref="V242:Z242"/>
    <mergeCell ref="AA242:AE242"/>
    <mergeCell ref="AF242:AJ242"/>
    <mergeCell ref="AK242:AO242"/>
    <mergeCell ref="B243:F243"/>
    <mergeCell ref="G243:K243"/>
    <mergeCell ref="L243:P243"/>
    <mergeCell ref="Q243:U243"/>
    <mergeCell ref="V243:Z243"/>
    <mergeCell ref="AA243:AE243"/>
    <mergeCell ref="AF243:AJ243"/>
    <mergeCell ref="AK243:AO243"/>
    <mergeCell ref="B238:F238"/>
    <mergeCell ref="G238:K238"/>
    <mergeCell ref="L238:P238"/>
    <mergeCell ref="Q238:U238"/>
    <mergeCell ref="V238:Z238"/>
    <mergeCell ref="AA238:AE238"/>
    <mergeCell ref="AF238:AJ238"/>
    <mergeCell ref="AK238:AO238"/>
    <mergeCell ref="B239:F239"/>
    <mergeCell ref="G239:K239"/>
    <mergeCell ref="L239:P239"/>
    <mergeCell ref="Q239:U239"/>
    <mergeCell ref="V239:Z239"/>
    <mergeCell ref="AA239:AE239"/>
    <mergeCell ref="AF239:AJ239"/>
    <mergeCell ref="AK239:AO239"/>
    <mergeCell ref="V240:Z240"/>
    <mergeCell ref="AA240:AE240"/>
    <mergeCell ref="AF240:AJ240"/>
    <mergeCell ref="AK240:AO240"/>
    <mergeCell ref="B235:F236"/>
    <mergeCell ref="G235:AE235"/>
    <mergeCell ref="AF235:AJ236"/>
    <mergeCell ref="AK235:AO236"/>
    <mergeCell ref="G236:K236"/>
    <mergeCell ref="L236:P236"/>
    <mergeCell ref="Q236:U236"/>
    <mergeCell ref="V236:Z236"/>
    <mergeCell ref="AA236:AE236"/>
    <mergeCell ref="B237:F237"/>
    <mergeCell ref="G237:K237"/>
    <mergeCell ref="L237:P237"/>
    <mergeCell ref="Q237:U237"/>
    <mergeCell ref="V237:Z237"/>
    <mergeCell ref="AA237:AE237"/>
    <mergeCell ref="AF237:AJ237"/>
    <mergeCell ref="AK237:AO237"/>
    <mergeCell ref="AK210:AN210"/>
    <mergeCell ref="AP210:AS210"/>
    <mergeCell ref="AU210:AX210"/>
    <mergeCell ref="AZ210:BC210"/>
    <mergeCell ref="AF223:AH223"/>
    <mergeCell ref="AL223:AM223"/>
    <mergeCell ref="AO223:AQ223"/>
    <mergeCell ref="AS223:AU223"/>
    <mergeCell ref="AZ223:BA223"/>
    <mergeCell ref="B231:G231"/>
    <mergeCell ref="H231:M231"/>
    <mergeCell ref="N231:S231"/>
    <mergeCell ref="T231:Y231"/>
    <mergeCell ref="B232:G232"/>
    <mergeCell ref="H232:M232"/>
    <mergeCell ref="N232:S232"/>
    <mergeCell ref="T232:Y232"/>
    <mergeCell ref="AR202:AT202"/>
    <mergeCell ref="F203:H203"/>
    <mergeCell ref="K203:L203"/>
    <mergeCell ref="M203:O203"/>
    <mergeCell ref="F205:H205"/>
    <mergeCell ref="K205:M205"/>
    <mergeCell ref="Q205:R205"/>
    <mergeCell ref="L208:BC208"/>
    <mergeCell ref="BD208:BD209"/>
    <mergeCell ref="BE208:BI209"/>
    <mergeCell ref="L209:O209"/>
    <mergeCell ref="P209:P210"/>
    <mergeCell ref="Q209:T209"/>
    <mergeCell ref="U209:U210"/>
    <mergeCell ref="V209:Y209"/>
    <mergeCell ref="Z209:Z210"/>
    <mergeCell ref="AA209:AD209"/>
    <mergeCell ref="AE209:AE210"/>
    <mergeCell ref="AF209:AI209"/>
    <mergeCell ref="AJ209:AJ210"/>
    <mergeCell ref="AK209:AN209"/>
    <mergeCell ref="AO209:AO210"/>
    <mergeCell ref="AP209:AS209"/>
    <mergeCell ref="AT209:AT210"/>
    <mergeCell ref="AU209:AX209"/>
    <mergeCell ref="AY209:AY210"/>
    <mergeCell ref="AZ209:BC209"/>
    <mergeCell ref="L210:O210"/>
    <mergeCell ref="Q210:T210"/>
    <mergeCell ref="V210:Y210"/>
    <mergeCell ref="AA210:AD210"/>
    <mergeCell ref="AF210:AI210"/>
    <mergeCell ref="C196:G197"/>
    <mergeCell ref="F201:H201"/>
    <mergeCell ref="K201:L201"/>
    <mergeCell ref="M201:O201"/>
    <mergeCell ref="T201:U201"/>
    <mergeCell ref="V201:X201"/>
    <mergeCell ref="AA201:AB201"/>
    <mergeCell ref="AC201:AF201"/>
    <mergeCell ref="AK201:AL201"/>
    <mergeCell ref="AM201:AP201"/>
    <mergeCell ref="F202:G202"/>
    <mergeCell ref="H202:K202"/>
    <mergeCell ref="P202:Q202"/>
    <mergeCell ref="R202:U202"/>
    <mergeCell ref="Z202:AA202"/>
    <mergeCell ref="AB202:AD202"/>
    <mergeCell ref="AH202:AI202"/>
    <mergeCell ref="AJ202:AL202"/>
    <mergeCell ref="AP202:AQ202"/>
    <mergeCell ref="C180:G181"/>
    <mergeCell ref="Q186:T186"/>
    <mergeCell ref="AC186:AG186"/>
    <mergeCell ref="S187:W187"/>
    <mergeCell ref="H188:O188"/>
    <mergeCell ref="R189:T189"/>
    <mergeCell ref="K190:M191"/>
    <mergeCell ref="N190:N191"/>
    <mergeCell ref="O190:Q190"/>
    <mergeCell ref="T190:T191"/>
    <mergeCell ref="U190:W191"/>
    <mergeCell ref="X190:Y191"/>
    <mergeCell ref="O191:S191"/>
    <mergeCell ref="I192:P192"/>
    <mergeCell ref="C193:H194"/>
    <mergeCell ref="N193:O194"/>
    <mergeCell ref="L195:M195"/>
    <mergeCell ref="O195:Q195"/>
    <mergeCell ref="R195:S195"/>
    <mergeCell ref="V195:X195"/>
    <mergeCell ref="L167:M167"/>
    <mergeCell ref="O167:Q167"/>
    <mergeCell ref="R167:S167"/>
    <mergeCell ref="V167:X167"/>
    <mergeCell ref="C168:G169"/>
    <mergeCell ref="H173:O173"/>
    <mergeCell ref="K174:M175"/>
    <mergeCell ref="N174:N175"/>
    <mergeCell ref="O174:P174"/>
    <mergeCell ref="S174:S175"/>
    <mergeCell ref="T174:V175"/>
    <mergeCell ref="W174:X175"/>
    <mergeCell ref="O175:R175"/>
    <mergeCell ref="I176:P176"/>
    <mergeCell ref="C177:H178"/>
    <mergeCell ref="N177:O178"/>
    <mergeCell ref="L179:M179"/>
    <mergeCell ref="O179:Q179"/>
    <mergeCell ref="R179:S179"/>
    <mergeCell ref="V179:X179"/>
    <mergeCell ref="C155:G156"/>
    <mergeCell ref="H160:O160"/>
    <mergeCell ref="P161:R161"/>
    <mergeCell ref="K162:M163"/>
    <mergeCell ref="N162:N163"/>
    <mergeCell ref="O162:R162"/>
    <mergeCell ref="S162:S163"/>
    <mergeCell ref="T162:U162"/>
    <mergeCell ref="X162:X163"/>
    <mergeCell ref="Y162:AA163"/>
    <mergeCell ref="AB162:AC163"/>
    <mergeCell ref="O163:R163"/>
    <mergeCell ref="T163:W163"/>
    <mergeCell ref="T154:W154"/>
    <mergeCell ref="I164:P164"/>
    <mergeCell ref="C165:H166"/>
    <mergeCell ref="N165:O166"/>
    <mergeCell ref="Z141:AA142"/>
    <mergeCell ref="H148:O148"/>
    <mergeCell ref="C149:I150"/>
    <mergeCell ref="J149:L150"/>
    <mergeCell ref="M149:M150"/>
    <mergeCell ref="N149:O149"/>
    <mergeCell ref="R149:R150"/>
    <mergeCell ref="S149:U150"/>
    <mergeCell ref="V149:W150"/>
    <mergeCell ref="I151:P151"/>
    <mergeCell ref="C152:H153"/>
    <mergeCell ref="S152:U153"/>
    <mergeCell ref="V152:AC153"/>
    <mergeCell ref="AD152:AD153"/>
    <mergeCell ref="AE152:AH153"/>
    <mergeCell ref="AI152:AO153"/>
    <mergeCell ref="L154:N154"/>
    <mergeCell ref="O154:S154"/>
    <mergeCell ref="Z154:AC154"/>
    <mergeCell ref="AH122:AN123"/>
    <mergeCell ref="L124:O124"/>
    <mergeCell ref="P124:T124"/>
    <mergeCell ref="U124:X124"/>
    <mergeCell ref="AA124:AD124"/>
    <mergeCell ref="C125:G126"/>
    <mergeCell ref="H130:J130"/>
    <mergeCell ref="I135:P135"/>
    <mergeCell ref="C136:H137"/>
    <mergeCell ref="S136:T137"/>
    <mergeCell ref="U136:Z137"/>
    <mergeCell ref="AA136:AA137"/>
    <mergeCell ref="AB136:AD137"/>
    <mergeCell ref="AE136:AI137"/>
    <mergeCell ref="L138:N138"/>
    <mergeCell ref="AB138:AE138"/>
    <mergeCell ref="C139:G140"/>
    <mergeCell ref="L108:M108"/>
    <mergeCell ref="AA108:AD108"/>
    <mergeCell ref="C109:G110"/>
    <mergeCell ref="AB111:AC112"/>
    <mergeCell ref="H118:O118"/>
    <mergeCell ref="C119:I120"/>
    <mergeCell ref="J119:L120"/>
    <mergeCell ref="M119:M120"/>
    <mergeCell ref="N119:O119"/>
    <mergeCell ref="R119:R120"/>
    <mergeCell ref="S119:U120"/>
    <mergeCell ref="V119:W120"/>
    <mergeCell ref="I121:P121"/>
    <mergeCell ref="C122:H123"/>
    <mergeCell ref="R122:T123"/>
    <mergeCell ref="U122:AB123"/>
    <mergeCell ref="AC122:AC123"/>
    <mergeCell ref="AD122:AG123"/>
    <mergeCell ref="L92:M92"/>
    <mergeCell ref="O92:Q92"/>
    <mergeCell ref="R92:S92"/>
    <mergeCell ref="V92:X92"/>
    <mergeCell ref="Y92:Z92"/>
    <mergeCell ref="H97:J97"/>
    <mergeCell ref="C98:I99"/>
    <mergeCell ref="J98:W99"/>
    <mergeCell ref="J100:Z101"/>
    <mergeCell ref="AA100:AE100"/>
    <mergeCell ref="AF100:AF101"/>
    <mergeCell ref="AG100:AL101"/>
    <mergeCell ref="AG103:AK104"/>
    <mergeCell ref="I105:P105"/>
    <mergeCell ref="C106:H107"/>
    <mergeCell ref="R106:S107"/>
    <mergeCell ref="T106:Y107"/>
    <mergeCell ref="Z106:Z107"/>
    <mergeCell ref="AA106:AB107"/>
    <mergeCell ref="AC106:AG107"/>
    <mergeCell ref="AI79:AK79"/>
    <mergeCell ref="AO79:AP79"/>
    <mergeCell ref="I85:M85"/>
    <mergeCell ref="N85:O85"/>
    <mergeCell ref="Q86:S86"/>
    <mergeCell ref="T86:U86"/>
    <mergeCell ref="K87:M88"/>
    <mergeCell ref="N87:N88"/>
    <mergeCell ref="O87:P87"/>
    <mergeCell ref="Q87:Q88"/>
    <mergeCell ref="R87:T87"/>
    <mergeCell ref="U87:V87"/>
    <mergeCell ref="W87:W88"/>
    <mergeCell ref="X87:Z88"/>
    <mergeCell ref="AA87:AB88"/>
    <mergeCell ref="O88:P88"/>
    <mergeCell ref="R88:V88"/>
    <mergeCell ref="AG67:AO67"/>
    <mergeCell ref="AP67:AR67"/>
    <mergeCell ref="AU67:AW67"/>
    <mergeCell ref="BA67:BB67"/>
    <mergeCell ref="BC67:BF67"/>
    <mergeCell ref="I71:M71"/>
    <mergeCell ref="N71:O71"/>
    <mergeCell ref="Y72:Z72"/>
    <mergeCell ref="AB72:AD72"/>
    <mergeCell ref="K74:M75"/>
    <mergeCell ref="N74:N75"/>
    <mergeCell ref="P74:Q74"/>
    <mergeCell ref="S74:U74"/>
    <mergeCell ref="Y74:Z74"/>
    <mergeCell ref="AA74:AA75"/>
    <mergeCell ref="AC74:AD75"/>
    <mergeCell ref="AF74:AI75"/>
    <mergeCell ref="AM74:AN75"/>
    <mergeCell ref="P75:Z75"/>
    <mergeCell ref="V65:AA65"/>
    <mergeCell ref="AB65:AF65"/>
    <mergeCell ref="AG65:AO65"/>
    <mergeCell ref="AP65:AV65"/>
    <mergeCell ref="AW65:BB65"/>
    <mergeCell ref="BC65:BF65"/>
    <mergeCell ref="B66:C66"/>
    <mergeCell ref="D66:G66"/>
    <mergeCell ref="H66:L66"/>
    <mergeCell ref="M66:N66"/>
    <mergeCell ref="O66:U66"/>
    <mergeCell ref="V66:AA66"/>
    <mergeCell ref="AB66:AF66"/>
    <mergeCell ref="AG66:AO66"/>
    <mergeCell ref="AP66:AV66"/>
    <mergeCell ref="AW66:BB66"/>
    <mergeCell ref="BC66:BF66"/>
    <mergeCell ref="H65:L65"/>
    <mergeCell ref="B65:C65"/>
    <mergeCell ref="D65:G65"/>
    <mergeCell ref="M65:N65"/>
    <mergeCell ref="O65:U65"/>
    <mergeCell ref="C45:E45"/>
    <mergeCell ref="C46:E46"/>
    <mergeCell ref="B55:C57"/>
    <mergeCell ref="H56:N56"/>
    <mergeCell ref="O56:AA56"/>
    <mergeCell ref="AP56:BB56"/>
    <mergeCell ref="H57:N57"/>
    <mergeCell ref="O57:AA57"/>
    <mergeCell ref="AP57:BB57"/>
    <mergeCell ref="O58:Q58"/>
    <mergeCell ref="T58:V58"/>
    <mergeCell ref="Z58:AA58"/>
    <mergeCell ref="AG58:AO58"/>
    <mergeCell ref="AP58:AR58"/>
    <mergeCell ref="AU58:AW58"/>
    <mergeCell ref="BA58:BB58"/>
    <mergeCell ref="AG59:AO59"/>
    <mergeCell ref="AG57:AO57"/>
    <mergeCell ref="D57:G57"/>
    <mergeCell ref="D56:G56"/>
    <mergeCell ref="M59:N59"/>
    <mergeCell ref="B59:C59"/>
    <mergeCell ref="B58:C58"/>
    <mergeCell ref="D58:G58"/>
    <mergeCell ref="O63:U63"/>
    <mergeCell ref="V63:AA63"/>
    <mergeCell ref="AG63:AJ63"/>
    <mergeCell ref="AK63:AO63"/>
    <mergeCell ref="AP63:AV63"/>
    <mergeCell ref="AW63:BB63"/>
    <mergeCell ref="B64:C64"/>
    <mergeCell ref="D64:G64"/>
    <mergeCell ref="H64:L64"/>
    <mergeCell ref="M64:N64"/>
    <mergeCell ref="O64:U64"/>
    <mergeCell ref="V64:AA64"/>
    <mergeCell ref="AB64:AF64"/>
    <mergeCell ref="BC63:BF63"/>
    <mergeCell ref="AB63:AF63"/>
    <mergeCell ref="AG64:AO64"/>
    <mergeCell ref="AP64:AV64"/>
    <mergeCell ref="AW64:BB64"/>
    <mergeCell ref="BC64:BF64"/>
    <mergeCell ref="AG60:AJ60"/>
    <mergeCell ref="AK60:AO60"/>
    <mergeCell ref="AP60:AV60"/>
    <mergeCell ref="AW60:BB60"/>
    <mergeCell ref="BC60:BF60"/>
    <mergeCell ref="O60:W60"/>
    <mergeCell ref="X60:AA60"/>
    <mergeCell ref="AB60:AF60"/>
    <mergeCell ref="AB61:AF61"/>
    <mergeCell ref="AG61:AJ61"/>
    <mergeCell ref="AK61:AO61"/>
    <mergeCell ref="AP61:AV61"/>
    <mergeCell ref="AW61:BB61"/>
    <mergeCell ref="BC61:BF61"/>
    <mergeCell ref="O61:U61"/>
    <mergeCell ref="V61:AA61"/>
    <mergeCell ref="AP62:AV62"/>
    <mergeCell ref="AW62:BB62"/>
    <mergeCell ref="BC62:BF62"/>
    <mergeCell ref="O62:W62"/>
    <mergeCell ref="X62:AA62"/>
    <mergeCell ref="AG62:AJ62"/>
    <mergeCell ref="AK62:AO62"/>
    <mergeCell ref="BC57:BF57"/>
    <mergeCell ref="BC58:BF58"/>
    <mergeCell ref="AB56:AF56"/>
    <mergeCell ref="AB58:AF58"/>
    <mergeCell ref="O59:U59"/>
    <mergeCell ref="V59:AA59"/>
    <mergeCell ref="AB59:AF59"/>
    <mergeCell ref="AP59:AV59"/>
    <mergeCell ref="AW59:BB59"/>
    <mergeCell ref="BC59:BF59"/>
    <mergeCell ref="O55:AA55"/>
    <mergeCell ref="AB55:AF55"/>
    <mergeCell ref="AG55:AO55"/>
    <mergeCell ref="AP55:BB55"/>
    <mergeCell ref="BC55:BF55"/>
    <mergeCell ref="AG56:AO56"/>
    <mergeCell ref="BC56:BF56"/>
    <mergeCell ref="T4:Y4"/>
    <mergeCell ref="N5:S5"/>
    <mergeCell ref="T5:Y5"/>
    <mergeCell ref="V9:Z9"/>
    <mergeCell ref="L17:P17"/>
    <mergeCell ref="Q17:U17"/>
    <mergeCell ref="V17:Z17"/>
    <mergeCell ref="V15:Z15"/>
    <mergeCell ref="Q23:U23"/>
    <mergeCell ref="V23:Z23"/>
    <mergeCell ref="Q14:U14"/>
    <mergeCell ref="V14:Z14"/>
    <mergeCell ref="AB62:AF62"/>
    <mergeCell ref="AB57:AF57"/>
    <mergeCell ref="AA13:AE13"/>
    <mergeCell ref="AF13:AJ13"/>
    <mergeCell ref="AF17:AJ17"/>
    <mergeCell ref="V19:Z19"/>
    <mergeCell ref="AA19:AE19"/>
    <mergeCell ref="AF19:AJ19"/>
    <mergeCell ref="AF16:AJ16"/>
    <mergeCell ref="AF8:AJ9"/>
    <mergeCell ref="V18:Z18"/>
    <mergeCell ref="AA18:AE18"/>
    <mergeCell ref="V16:Z16"/>
    <mergeCell ref="AA16:AE16"/>
    <mergeCell ref="V30:Z30"/>
    <mergeCell ref="Q27:U27"/>
    <mergeCell ref="Q30:U30"/>
    <mergeCell ref="Q28:U28"/>
    <mergeCell ref="V28:Z28"/>
    <mergeCell ref="M61:N61"/>
    <mergeCell ref="G15:K15"/>
    <mergeCell ref="B18:F18"/>
    <mergeCell ref="G18:K18"/>
    <mergeCell ref="L18:P18"/>
    <mergeCell ref="B20:F20"/>
    <mergeCell ref="G20:K20"/>
    <mergeCell ref="B26:F26"/>
    <mergeCell ref="G26:K26"/>
    <mergeCell ref="L26:P26"/>
    <mergeCell ref="B29:F29"/>
    <mergeCell ref="C35:E35"/>
    <mergeCell ref="C37:E37"/>
    <mergeCell ref="C36:E36"/>
    <mergeCell ref="C38:E38"/>
    <mergeCell ref="C44:E44"/>
    <mergeCell ref="B27:F27"/>
    <mergeCell ref="L27:P27"/>
    <mergeCell ref="B30:F30"/>
    <mergeCell ref="L30:P30"/>
    <mergeCell ref="G30:K30"/>
    <mergeCell ref="G29:K29"/>
    <mergeCell ref="L20:P20"/>
    <mergeCell ref="G27:K27"/>
    <mergeCell ref="G16:K16"/>
    <mergeCell ref="B21:F21"/>
    <mergeCell ref="G21:K21"/>
    <mergeCell ref="B24:F24"/>
    <mergeCell ref="G24:K24"/>
    <mergeCell ref="L24:P24"/>
    <mergeCell ref="C39:E39"/>
    <mergeCell ref="C40:E40"/>
    <mergeCell ref="C41:E41"/>
    <mergeCell ref="B4:G4"/>
    <mergeCell ref="H4:M4"/>
    <mergeCell ref="B5:G5"/>
    <mergeCell ref="H5:M5"/>
    <mergeCell ref="B14:F14"/>
    <mergeCell ref="G14:K14"/>
    <mergeCell ref="L14:P14"/>
    <mergeCell ref="B28:F28"/>
    <mergeCell ref="G28:K28"/>
    <mergeCell ref="L28:P28"/>
    <mergeCell ref="B15:F15"/>
    <mergeCell ref="B25:F25"/>
    <mergeCell ref="G25:K25"/>
    <mergeCell ref="L25:P25"/>
    <mergeCell ref="G10:K10"/>
    <mergeCell ref="L10:P10"/>
    <mergeCell ref="B22:F22"/>
    <mergeCell ref="G22:K22"/>
    <mergeCell ref="L22:P22"/>
    <mergeCell ref="B23:F23"/>
    <mergeCell ref="G23:K23"/>
    <mergeCell ref="L23:P23"/>
    <mergeCell ref="B10:F10"/>
    <mergeCell ref="G11:K11"/>
    <mergeCell ref="N4:S4"/>
    <mergeCell ref="B16:F16"/>
    <mergeCell ref="B19:F19"/>
    <mergeCell ref="G19:K19"/>
    <mergeCell ref="L19:P19"/>
    <mergeCell ref="Q19:U19"/>
    <mergeCell ref="B17:F17"/>
    <mergeCell ref="G17:K17"/>
    <mergeCell ref="AK13:AO13"/>
    <mergeCell ref="AK16:AO16"/>
    <mergeCell ref="L15:P15"/>
    <mergeCell ref="AF14:AJ14"/>
    <mergeCell ref="AK14:AO14"/>
    <mergeCell ref="Q15:U15"/>
    <mergeCell ref="V25:Z25"/>
    <mergeCell ref="AA25:AE25"/>
    <mergeCell ref="AF25:AJ25"/>
    <mergeCell ref="AK25:AO25"/>
    <mergeCell ref="AA15:AE15"/>
    <mergeCell ref="AF15:AJ15"/>
    <mergeCell ref="AK15:AO15"/>
    <mergeCell ref="AK18:AO18"/>
    <mergeCell ref="AK19:AO19"/>
    <mergeCell ref="AK17:AO17"/>
    <mergeCell ref="Q26:U26"/>
    <mergeCell ref="AA14:AE14"/>
    <mergeCell ref="Q18:U18"/>
    <mergeCell ref="L16:P16"/>
    <mergeCell ref="Q16:U16"/>
    <mergeCell ref="AA17:AE17"/>
    <mergeCell ref="AF20:AJ20"/>
    <mergeCell ref="AK20:AO20"/>
    <mergeCell ref="AA22:AE22"/>
    <mergeCell ref="AF22:AJ22"/>
    <mergeCell ref="AK22:AO22"/>
    <mergeCell ref="L21:P21"/>
    <mergeCell ref="Q21:U21"/>
    <mergeCell ref="V21:Z21"/>
    <mergeCell ref="AA21:AE21"/>
    <mergeCell ref="AF21:AJ21"/>
    <mergeCell ref="AK8:AO9"/>
    <mergeCell ref="G9:K9"/>
    <mergeCell ref="L9:P9"/>
    <mergeCell ref="Q9:U9"/>
    <mergeCell ref="B12:F12"/>
    <mergeCell ref="G12:K12"/>
    <mergeCell ref="L12:P12"/>
    <mergeCell ref="Q12:U12"/>
    <mergeCell ref="V12:Z12"/>
    <mergeCell ref="AA12:AE12"/>
    <mergeCell ref="AF12:AJ12"/>
    <mergeCell ref="AK12:AO12"/>
    <mergeCell ref="AK10:AO10"/>
    <mergeCell ref="B11:F11"/>
    <mergeCell ref="AA9:AE9"/>
    <mergeCell ref="B13:F13"/>
    <mergeCell ref="G13:K13"/>
    <mergeCell ref="AA11:AE11"/>
    <mergeCell ref="L13:P13"/>
    <mergeCell ref="Q13:U13"/>
    <mergeCell ref="V13:Z13"/>
    <mergeCell ref="AF11:AJ11"/>
    <mergeCell ref="AK11:AO11"/>
    <mergeCell ref="AF10:AJ10"/>
    <mergeCell ref="V10:Z10"/>
    <mergeCell ref="AA10:AE10"/>
    <mergeCell ref="Q10:U10"/>
    <mergeCell ref="Q11:U11"/>
    <mergeCell ref="V11:Z11"/>
    <mergeCell ref="L11:P11"/>
    <mergeCell ref="B8:F9"/>
    <mergeCell ref="G8:AE8"/>
    <mergeCell ref="AK21:AO21"/>
    <mergeCell ref="V22:Z22"/>
    <mergeCell ref="AA20:AE20"/>
    <mergeCell ref="Q22:U22"/>
    <mergeCell ref="AF18:AJ18"/>
    <mergeCell ref="Q20:U20"/>
    <mergeCell ref="V20:Z20"/>
    <mergeCell ref="AF28:AJ28"/>
    <mergeCell ref="AK28:AO28"/>
    <mergeCell ref="V26:Z26"/>
    <mergeCell ref="AA26:AE26"/>
    <mergeCell ref="AF26:AJ26"/>
    <mergeCell ref="AK26:AO26"/>
    <mergeCell ref="V27:Z27"/>
    <mergeCell ref="AF27:AJ27"/>
    <mergeCell ref="AK27:AO27"/>
    <mergeCell ref="AA27:AE27"/>
    <mergeCell ref="AA28:AE28"/>
    <mergeCell ref="AA23:AE23"/>
    <mergeCell ref="AF23:AJ23"/>
    <mergeCell ref="AK23:AO23"/>
    <mergeCell ref="Q24:U24"/>
    <mergeCell ref="V24:Z24"/>
    <mergeCell ref="AA24:AE24"/>
    <mergeCell ref="AF24:AJ24"/>
    <mergeCell ref="AK24:AO24"/>
    <mergeCell ref="Q25:U25"/>
    <mergeCell ref="C42:E42"/>
    <mergeCell ref="C43:E43"/>
    <mergeCell ref="D55:G55"/>
    <mergeCell ref="H55:N55"/>
    <mergeCell ref="AF30:AJ30"/>
    <mergeCell ref="AK30:AO30"/>
    <mergeCell ref="AA29:AE29"/>
    <mergeCell ref="AF29:AJ29"/>
    <mergeCell ref="AK29:AO29"/>
    <mergeCell ref="AA30:AE30"/>
    <mergeCell ref="L29:P29"/>
    <mergeCell ref="Q29:U29"/>
    <mergeCell ref="V29:Z29"/>
    <mergeCell ref="M63:N63"/>
    <mergeCell ref="B63:C63"/>
    <mergeCell ref="D63:G63"/>
    <mergeCell ref="H63:L63"/>
    <mergeCell ref="D60:G60"/>
    <mergeCell ref="H60:L60"/>
    <mergeCell ref="M60:N60"/>
    <mergeCell ref="D62:G62"/>
    <mergeCell ref="H62:L62"/>
    <mergeCell ref="B62:C62"/>
    <mergeCell ref="M62:N62"/>
    <mergeCell ref="H58:L58"/>
    <mergeCell ref="M58:N58"/>
    <mergeCell ref="D59:G59"/>
    <mergeCell ref="H59:L59"/>
    <mergeCell ref="B60:C60"/>
    <mergeCell ref="B61:C61"/>
    <mergeCell ref="D61:G61"/>
    <mergeCell ref="H61:L61"/>
    <mergeCell ref="B67:C67"/>
    <mergeCell ref="D67:G67"/>
    <mergeCell ref="H67:L67"/>
    <mergeCell ref="M67:N67"/>
    <mergeCell ref="I223:K223"/>
    <mergeCell ref="M223:O223"/>
    <mergeCell ref="R223:T223"/>
    <mergeCell ref="X223:Y223"/>
    <mergeCell ref="AA223:AC223"/>
    <mergeCell ref="B240:F240"/>
    <mergeCell ref="G240:K240"/>
    <mergeCell ref="L240:P240"/>
    <mergeCell ref="Q240:U240"/>
    <mergeCell ref="B303:F303"/>
    <mergeCell ref="G303:K303"/>
    <mergeCell ref="L303:P303"/>
    <mergeCell ref="Q303:U303"/>
    <mergeCell ref="V303:Z303"/>
    <mergeCell ref="AA303:AE303"/>
    <mergeCell ref="O67:AA67"/>
    <mergeCell ref="AB67:AF67"/>
    <mergeCell ref="I76:M76"/>
    <mergeCell ref="C77:H78"/>
    <mergeCell ref="N77:O78"/>
    <mergeCell ref="L79:M79"/>
    <mergeCell ref="O79:Q79"/>
    <mergeCell ref="T79:V79"/>
    <mergeCell ref="Z79:AA79"/>
    <mergeCell ref="AD79:AF79"/>
    <mergeCell ref="I89:P89"/>
    <mergeCell ref="C90:H91"/>
    <mergeCell ref="N90:O91"/>
    <mergeCell ref="AF303:AJ303"/>
    <mergeCell ref="AK303:AO303"/>
    <mergeCell ref="AP303:AT303"/>
    <mergeCell ref="I289:K289"/>
    <mergeCell ref="M289:O289"/>
    <mergeCell ref="R289:T289"/>
    <mergeCell ref="X289:Y289"/>
    <mergeCell ref="AA289:AC289"/>
    <mergeCell ref="AF289:AH289"/>
    <mergeCell ref="AL289:AM289"/>
    <mergeCell ref="AO289:AQ289"/>
    <mergeCell ref="AK267:AO267"/>
    <mergeCell ref="B267:C267"/>
    <mergeCell ref="D267:G267"/>
    <mergeCell ref="AK268:AO268"/>
    <mergeCell ref="H267:L267"/>
    <mergeCell ref="M267:N267"/>
    <mergeCell ref="O267:W267"/>
    <mergeCell ref="X267:AA267"/>
    <mergeCell ref="AB267:AF267"/>
    <mergeCell ref="AG267:AJ267"/>
    <mergeCell ref="B269:C269"/>
    <mergeCell ref="D269:G269"/>
    <mergeCell ref="H269:L269"/>
    <mergeCell ref="M269:N269"/>
    <mergeCell ref="O269:U269"/>
    <mergeCell ref="V269:AA269"/>
    <mergeCell ref="AB269:AF269"/>
    <mergeCell ref="AG269:AO269"/>
    <mergeCell ref="AP269:AV269"/>
    <mergeCell ref="B272:C272"/>
    <mergeCell ref="D272:G272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I308"/>
  <sheetViews>
    <sheetView showGridLines="0" zoomScaleNormal="100" workbookViewId="0"/>
  </sheetViews>
  <sheetFormatPr defaultColWidth="8.77734375" defaultRowHeight="18" customHeight="1"/>
  <cols>
    <col min="1" max="1" width="2.77734375" style="119" customWidth="1"/>
    <col min="2" max="2" width="8.77734375" style="121"/>
    <col min="3" max="3" width="10.77734375" style="121" bestFit="1" customWidth="1"/>
    <col min="4" max="4" width="8.77734375" style="121"/>
    <col min="5" max="9" width="8.77734375" style="120"/>
    <col min="10" max="11" width="11.109375" style="120" bestFit="1" customWidth="1"/>
    <col min="12" max="21" width="8.77734375" style="120"/>
    <col min="22" max="16384" width="8.77734375" style="119"/>
  </cols>
  <sheetData>
    <row r="1" spans="1:32" ht="18" customHeight="1">
      <c r="A1" s="241" t="s">
        <v>495</v>
      </c>
    </row>
    <row r="2" spans="1:32" ht="15" customHeight="1">
      <c r="A2" s="116" t="s">
        <v>202</v>
      </c>
      <c r="B2" s="117"/>
      <c r="C2" s="117"/>
      <c r="D2" s="117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</row>
    <row r="3" spans="1:32" ht="24">
      <c r="B3" s="210" t="s">
        <v>143</v>
      </c>
      <c r="C3" s="210" t="s">
        <v>203</v>
      </c>
      <c r="D3" s="210" t="s">
        <v>204</v>
      </c>
      <c r="E3" s="210" t="s">
        <v>205</v>
      </c>
      <c r="F3" s="210" t="s">
        <v>206</v>
      </c>
      <c r="G3" s="210" t="s">
        <v>144</v>
      </c>
      <c r="H3" s="210" t="s">
        <v>207</v>
      </c>
      <c r="I3" s="210" t="s">
        <v>208</v>
      </c>
      <c r="J3" s="210" t="s">
        <v>209</v>
      </c>
      <c r="K3" s="210" t="s">
        <v>210</v>
      </c>
      <c r="L3" s="234" t="s">
        <v>289</v>
      </c>
      <c r="M3" s="210" t="s">
        <v>211</v>
      </c>
      <c r="N3" s="403" t="s">
        <v>1302</v>
      </c>
      <c r="O3" s="210" t="s">
        <v>145</v>
      </c>
      <c r="P3" s="210" t="s">
        <v>212</v>
      </c>
      <c r="Q3" s="210" t="s">
        <v>146</v>
      </c>
      <c r="R3" s="210" t="s">
        <v>213</v>
      </c>
      <c r="T3" s="172" t="s">
        <v>115</v>
      </c>
      <c r="U3" s="172" t="s">
        <v>116</v>
      </c>
      <c r="V3" s="120"/>
    </row>
    <row r="4" spans="1:32" ht="15" customHeight="1">
      <c r="B4" s="165" t="e">
        <f>C4</f>
        <v>#DIV/0!</v>
      </c>
      <c r="C4" s="165" t="e">
        <f>AVERAGE(기본정보!B12:B13)</f>
        <v>#DIV/0!</v>
      </c>
      <c r="D4" s="165">
        <f>MIN(C10:C29)</f>
        <v>0</v>
      </c>
      <c r="E4" s="165">
        <f>MAX(C10:C29)</f>
        <v>0</v>
      </c>
      <c r="F4" s="165">
        <f>Length_5_R1!G4</f>
        <v>0</v>
      </c>
      <c r="G4" s="165">
        <f>Length_5_R1!H4</f>
        <v>0</v>
      </c>
      <c r="H4" s="165">
        <f>Length_5_R1!I4</f>
        <v>0</v>
      </c>
      <c r="I4" s="165">
        <f>IF(H4="inch",25.4,1)</f>
        <v>1</v>
      </c>
      <c r="J4" s="165">
        <f>MIN(T10:T29)</f>
        <v>0</v>
      </c>
      <c r="K4" s="165">
        <f>MAX(T10:T29)</f>
        <v>0</v>
      </c>
      <c r="L4" s="165" t="str">
        <f>TEXT(K4,IF(K4&gt;=1000,"# ###","G/표준"))</f>
        <v>0</v>
      </c>
      <c r="M4" s="165">
        <f>F4*I4</f>
        <v>0</v>
      </c>
      <c r="N4" s="165" t="str">
        <f ca="1">TEXT(M4,OFFSET(P51,MATCH(IFERROR(LEN(M4)-FIND(".",M4),0),O52:O61,0),0))</f>
        <v>0</v>
      </c>
      <c r="O4" s="165">
        <f>G4*I4</f>
        <v>0</v>
      </c>
      <c r="P4" s="165" t="e">
        <f ca="1">OFFSET(Length_5_R1!C3,MATCH($K4,$T10:$T29,0),0)</f>
        <v>#N/A</v>
      </c>
      <c r="Q4" s="165" t="e">
        <f ca="1">OFFSET(Length_5_R1!D3,MATCH($K4,$T10:$T29,0),0)</f>
        <v>#N/A</v>
      </c>
      <c r="R4" s="165" t="e">
        <f ca="1">OFFSET(Length_5_R1!E3,MATCH($K4,$T10:$T29,0),0)</f>
        <v>#N/A</v>
      </c>
      <c r="T4" s="248" t="str">
        <f ca="1">IF(SUM(R47,R109,R166,R224,S282)=0,"","초과")</f>
        <v/>
      </c>
      <c r="U4" s="248" t="str">
        <f>IF(SUM(AE9,AE71,AF133,AI190,AB248)=0,"","FAIL")</f>
        <v/>
      </c>
      <c r="V4" s="120"/>
    </row>
    <row r="5" spans="1:32" ht="15" customHeight="1">
      <c r="B5" s="117"/>
      <c r="C5" s="117"/>
      <c r="D5" s="117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</row>
    <row r="6" spans="1:32" ht="15" customHeight="1">
      <c r="A6" s="116" t="s">
        <v>214</v>
      </c>
      <c r="C6" s="117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19"/>
      <c r="Y6" s="129" t="s">
        <v>215</v>
      </c>
    </row>
    <row r="7" spans="1:32" ht="15" customHeight="1">
      <c r="B7" s="700" t="s">
        <v>216</v>
      </c>
      <c r="C7" s="694" t="s">
        <v>217</v>
      </c>
      <c r="D7" s="694" t="s">
        <v>150</v>
      </c>
      <c r="E7" s="702" t="s">
        <v>337</v>
      </c>
      <c r="F7" s="702"/>
      <c r="G7" s="702"/>
      <c r="H7" s="702"/>
      <c r="I7" s="702"/>
      <c r="J7" s="702"/>
      <c r="K7" s="698" t="s">
        <v>218</v>
      </c>
      <c r="L7" s="210" t="s">
        <v>219</v>
      </c>
      <c r="M7" s="210" t="s">
        <v>172</v>
      </c>
      <c r="N7" s="666" t="s">
        <v>220</v>
      </c>
      <c r="O7" s="668"/>
      <c r="P7" s="667"/>
      <c r="Q7" s="210" t="s">
        <v>221</v>
      </c>
      <c r="R7" s="173" t="s">
        <v>222</v>
      </c>
      <c r="S7" s="210" t="s">
        <v>223</v>
      </c>
      <c r="T7" s="210" t="s">
        <v>217</v>
      </c>
      <c r="U7" s="210" t="s">
        <v>224</v>
      </c>
      <c r="V7" s="666" t="s">
        <v>225</v>
      </c>
      <c r="W7" s="667"/>
      <c r="X7" s="122"/>
      <c r="Y7" s="685" t="s">
        <v>226</v>
      </c>
      <c r="Z7" s="686"/>
      <c r="AA7" s="663" t="s">
        <v>227</v>
      </c>
      <c r="AB7" s="664"/>
      <c r="AC7" s="664"/>
      <c r="AD7" s="664"/>
      <c r="AE7" s="664"/>
      <c r="AF7" s="664"/>
    </row>
    <row r="8" spans="1:32" ht="15" customHeight="1">
      <c r="B8" s="700"/>
      <c r="C8" s="701"/>
      <c r="D8" s="701"/>
      <c r="E8" s="174" t="s">
        <v>228</v>
      </c>
      <c r="F8" s="211" t="s">
        <v>229</v>
      </c>
      <c r="G8" s="174" t="s">
        <v>107</v>
      </c>
      <c r="H8" s="211" t="s">
        <v>108</v>
      </c>
      <c r="I8" s="174" t="s">
        <v>109</v>
      </c>
      <c r="J8" s="211" t="s">
        <v>230</v>
      </c>
      <c r="K8" s="699"/>
      <c r="L8" s="210" t="s">
        <v>231</v>
      </c>
      <c r="M8" s="210" t="s">
        <v>232</v>
      </c>
      <c r="N8" s="210" t="s">
        <v>233</v>
      </c>
      <c r="O8" s="210" t="s">
        <v>234</v>
      </c>
      <c r="P8" s="210" t="s">
        <v>235</v>
      </c>
      <c r="Q8" s="210" t="s">
        <v>236</v>
      </c>
      <c r="R8" s="210" t="s">
        <v>237</v>
      </c>
      <c r="S8" s="210" t="s">
        <v>238</v>
      </c>
      <c r="T8" s="210" t="s">
        <v>239</v>
      </c>
      <c r="U8" s="210" t="s">
        <v>240</v>
      </c>
      <c r="V8" s="210" t="s">
        <v>224</v>
      </c>
      <c r="W8" s="210" t="s">
        <v>241</v>
      </c>
      <c r="X8" s="122"/>
      <c r="Y8" s="205" t="s">
        <v>242</v>
      </c>
      <c r="Z8" s="205" t="s">
        <v>243</v>
      </c>
      <c r="AA8" s="210" t="s">
        <v>244</v>
      </c>
      <c r="AB8" s="209" t="s">
        <v>224</v>
      </c>
      <c r="AC8" s="210" t="s">
        <v>241</v>
      </c>
      <c r="AD8" s="204" t="s">
        <v>226</v>
      </c>
      <c r="AE8" s="204" t="s">
        <v>245</v>
      </c>
      <c r="AF8" s="204" t="s">
        <v>291</v>
      </c>
    </row>
    <row r="9" spans="1:32" ht="15" customHeight="1">
      <c r="B9" s="700"/>
      <c r="C9" s="695"/>
      <c r="D9" s="695"/>
      <c r="E9" s="211">
        <f>H4</f>
        <v>0</v>
      </c>
      <c r="F9" s="211">
        <f t="shared" ref="F9:J9" si="0">E9</f>
        <v>0</v>
      </c>
      <c r="G9" s="211">
        <f t="shared" si="0"/>
        <v>0</v>
      </c>
      <c r="H9" s="211">
        <f t="shared" si="0"/>
        <v>0</v>
      </c>
      <c r="I9" s="211">
        <f t="shared" si="0"/>
        <v>0</v>
      </c>
      <c r="J9" s="211">
        <f t="shared" si="0"/>
        <v>0</v>
      </c>
      <c r="K9" s="210" t="s">
        <v>166</v>
      </c>
      <c r="L9" s="210" t="s">
        <v>166</v>
      </c>
      <c r="M9" s="210" t="s">
        <v>166</v>
      </c>
      <c r="N9" s="206" t="s">
        <v>176</v>
      </c>
      <c r="O9" s="206" t="s">
        <v>176</v>
      </c>
      <c r="P9" s="206" t="s">
        <v>176</v>
      </c>
      <c r="Q9" s="206" t="s">
        <v>181</v>
      </c>
      <c r="R9" s="206" t="s">
        <v>185</v>
      </c>
      <c r="S9" s="206" t="s">
        <v>181</v>
      </c>
      <c r="T9" s="210" t="s">
        <v>173</v>
      </c>
      <c r="U9" s="210" t="s">
        <v>173</v>
      </c>
      <c r="V9" s="210" t="s">
        <v>173</v>
      </c>
      <c r="W9" s="210" t="s">
        <v>173</v>
      </c>
      <c r="X9" s="122"/>
      <c r="Y9" s="205" t="s">
        <v>173</v>
      </c>
      <c r="Z9" s="205" t="s">
        <v>173</v>
      </c>
      <c r="AA9" s="210" t="s">
        <v>173</v>
      </c>
      <c r="AB9" s="210" t="s">
        <v>173</v>
      </c>
      <c r="AC9" s="210" t="s">
        <v>173</v>
      </c>
      <c r="AD9" s="204" t="s">
        <v>173</v>
      </c>
      <c r="AE9" s="221">
        <f>IF(TYPE(MATCH("FAIL",AE10:AE29,0))=16,0,1)</f>
        <v>0</v>
      </c>
      <c r="AF9" s="204" t="s">
        <v>292</v>
      </c>
    </row>
    <row r="10" spans="1:32" ht="15" customHeight="1">
      <c r="B10" s="171" t="b">
        <f>IF(TRIM(Length_5_R1!A4)="",FALSE,TRUE)</f>
        <v>0</v>
      </c>
      <c r="C10" s="165" t="str">
        <f>IF($B10=FALSE,"",VALUE(Length_5_R1!A4))</f>
        <v/>
      </c>
      <c r="D10" s="165" t="str">
        <f>IF($B10=FALSE,"",Length_5_R1!B4)</f>
        <v/>
      </c>
      <c r="E10" s="171" t="str">
        <f>IF(B10=FALSE,"",Length_5_R1!M4)</f>
        <v/>
      </c>
      <c r="F10" s="171" t="str">
        <f>IF(B10=FALSE,"",Length_5_R1!N4)</f>
        <v/>
      </c>
      <c r="G10" s="171" t="str">
        <f>IF(B10=FALSE,"",Length_5_R1!O4)</f>
        <v/>
      </c>
      <c r="H10" s="171" t="str">
        <f>IF(B10=FALSE,"",Length_5_R1!P4)</f>
        <v/>
      </c>
      <c r="I10" s="171" t="str">
        <f>IF(B10=FALSE,"",Length_5_R1!Q4)</f>
        <v/>
      </c>
      <c r="J10" s="165" t="str">
        <f t="shared" ref="J10:J29" si="1">IF(B10=FALSE,"",AVERAGE(E10:I10))</f>
        <v/>
      </c>
      <c r="K10" s="175" t="str">
        <f t="shared" ref="K10:K29" si="2">IF(B10=FALSE,"",STDEV(E10:I10)*I$4)</f>
        <v/>
      </c>
      <c r="L10" s="176" t="str">
        <f>IF(B10=FALSE,"",Length_5_R1!D27)</f>
        <v/>
      </c>
      <c r="M10" s="177" t="str">
        <f>IF(B10=FALSE,"",Calcu!J10*I$4)</f>
        <v/>
      </c>
      <c r="N10" s="178" t="str">
        <f>IF(B10=FALSE,"",8*10^-6)</f>
        <v/>
      </c>
      <c r="O10" s="178" t="str">
        <f>IF(B10=FALSE,"",Length_5_R1!K27)</f>
        <v/>
      </c>
      <c r="P10" s="178" t="str">
        <f t="shared" ref="P10:P29" si="3">IF(B10=FALSE,"",AVERAGE(N10:O10))</f>
        <v/>
      </c>
      <c r="Q10" s="165" t="str">
        <f t="shared" ref="Q10:Q29" si="4">IF(B10=FALSE,"",B$4-C$4)</f>
        <v/>
      </c>
      <c r="R10" s="165" t="str">
        <f t="shared" ref="R10:R29" si="5">IF(B10=FALSE,"",N10-O10)</f>
        <v/>
      </c>
      <c r="S10" s="232" t="str">
        <f t="shared" ref="S10:S29" si="6">IF(B10=FALSE,"",AVERAGE(B$4:C$4)-20)</f>
        <v/>
      </c>
      <c r="T10" s="179" t="str">
        <f t="shared" ref="T10:T29" si="7">IF(B10=FALSE,"",C10*I$4)</f>
        <v/>
      </c>
      <c r="U10" s="180" t="str">
        <f t="shared" ref="U10:U29" si="8">IF(B10=FALSE,"",L10-M10-(P10*Q10+R10*S10)*T10)</f>
        <v/>
      </c>
      <c r="V10" s="165" t="str">
        <f>IF($B10=FALSE,"",ROUND(U10,$L$47))</f>
        <v/>
      </c>
      <c r="W10" s="165" t="str">
        <f>IF($B10=FALSE,"",ROUND(T10+V10,$L$47))</f>
        <v/>
      </c>
      <c r="X10" s="122"/>
      <c r="Y10" s="165">
        <f>IF(Length_5_R1!J4&lt;0,ROUNDUP(Length_5_R1!J4*I$4,$L$47),ROUNDDOWN(Length_5_R1!J4*I$4,$L$47))</f>
        <v>0</v>
      </c>
      <c r="Z10" s="165">
        <f>IF(Length_5_R1!K4&lt;0,ROUNDDOWN(Length_5_R1!K4*I$4,$L$47),ROUNDUP(Length_5_R1!K4*I$4,$L$47))</f>
        <v>0</v>
      </c>
      <c r="AA10" s="165" t="e">
        <f t="shared" ref="AA10:AA29" ca="1" si="9">TEXT(T10,IF(T10&gt;=1000,"# ##","")&amp;$P$47)</f>
        <v>#N/A</v>
      </c>
      <c r="AB10" s="168" t="e">
        <f t="shared" ref="AB10:AB29" ca="1" si="10">TEXT(V10,$P$47)</f>
        <v>#N/A</v>
      </c>
      <c r="AC10" s="165" t="e">
        <f t="shared" ref="AC10:AC29" ca="1" si="11">TEXT(W10,IF(W10&gt;=1000,"# ##","")&amp;$P$47)</f>
        <v>#N/A</v>
      </c>
      <c r="AD10" s="165" t="e">
        <f t="shared" ref="AD10:AD29" ca="1" si="12">"± "&amp;TEXT(Z10-T10,P$47)</f>
        <v>#VALUE!</v>
      </c>
      <c r="AE10" s="165" t="str">
        <f>IF($B10=FALSE,"",IF(AND(Y10&lt;=W10,W10&lt;=Z10),"PASS","FAIL"))</f>
        <v/>
      </c>
      <c r="AF10" s="165" t="e">
        <f ca="1">S$47</f>
        <v>#N/A</v>
      </c>
    </row>
    <row r="11" spans="1:32" ht="15" customHeight="1">
      <c r="B11" s="171" t="b">
        <f>IF(TRIM(Length_5_R1!A5)="",FALSE,TRUE)</f>
        <v>0</v>
      </c>
      <c r="C11" s="165" t="str">
        <f>IF($B11=FALSE,"",VALUE(Length_5_R1!A5))</f>
        <v/>
      </c>
      <c r="D11" s="165" t="str">
        <f>IF($B11=FALSE,"",Length_5_R1!B5)</f>
        <v/>
      </c>
      <c r="E11" s="171" t="str">
        <f>IF(B11=FALSE,"",Length_5_R1!M5)</f>
        <v/>
      </c>
      <c r="F11" s="171" t="str">
        <f>IF(B11=FALSE,"",Length_5_R1!N5)</f>
        <v/>
      </c>
      <c r="G11" s="171" t="str">
        <f>IF(B11=FALSE,"",Length_5_R1!O5)</f>
        <v/>
      </c>
      <c r="H11" s="171" t="str">
        <f>IF(B11=FALSE,"",Length_5_R1!P5)</f>
        <v/>
      </c>
      <c r="I11" s="171" t="str">
        <f>IF(B11=FALSE,"",Length_5_R1!Q5)</f>
        <v/>
      </c>
      <c r="J11" s="165" t="str">
        <f t="shared" si="1"/>
        <v/>
      </c>
      <c r="K11" s="175" t="str">
        <f t="shared" si="2"/>
        <v/>
      </c>
      <c r="L11" s="176" t="str">
        <f>IF(B11=FALSE,"",Length_5_R1!D28)</f>
        <v/>
      </c>
      <c r="M11" s="177" t="str">
        <f>IF(B11=FALSE,"",Calcu!J11*I$4)</f>
        <v/>
      </c>
      <c r="N11" s="178" t="str">
        <f t="shared" ref="N11:N29" si="13">IF(B11=FALSE,"",8*10^-6)</f>
        <v/>
      </c>
      <c r="O11" s="178" t="str">
        <f>IF(B11=FALSE,"",Length_5_R1!K28)</f>
        <v/>
      </c>
      <c r="P11" s="178" t="str">
        <f t="shared" si="3"/>
        <v/>
      </c>
      <c r="Q11" s="165" t="str">
        <f t="shared" si="4"/>
        <v/>
      </c>
      <c r="R11" s="165" t="str">
        <f t="shared" si="5"/>
        <v/>
      </c>
      <c r="S11" s="232" t="str">
        <f t="shared" si="6"/>
        <v/>
      </c>
      <c r="T11" s="179" t="str">
        <f t="shared" si="7"/>
        <v/>
      </c>
      <c r="U11" s="180" t="str">
        <f t="shared" si="8"/>
        <v/>
      </c>
      <c r="V11" s="165" t="str">
        <f t="shared" ref="V11:V29" si="14">IF($B11=FALSE,"",ROUND(U11,$L$47))</f>
        <v/>
      </c>
      <c r="W11" s="165" t="str">
        <f t="shared" ref="W11:W29" si="15">IF($B11=FALSE,"",ROUND(T11+V11,$L$47))</f>
        <v/>
      </c>
      <c r="X11" s="122"/>
      <c r="Y11" s="165">
        <f>IF(Length_5_R1!J5&lt;0,ROUNDUP(Length_5_R1!J5*I$4,$L$47),ROUNDDOWN(Length_5_R1!J5*I$4,$L$47))</f>
        <v>0</v>
      </c>
      <c r="Z11" s="165">
        <f>IF(Length_5_R1!K5&lt;0,ROUNDDOWN(Length_5_R1!K5*I$4,$L$47),ROUNDUP(Length_5_R1!K5*I$4,$L$47))</f>
        <v>0</v>
      </c>
      <c r="AA11" s="165" t="e">
        <f t="shared" ca="1" si="9"/>
        <v>#N/A</v>
      </c>
      <c r="AB11" s="168" t="e">
        <f t="shared" ca="1" si="10"/>
        <v>#N/A</v>
      </c>
      <c r="AC11" s="165" t="e">
        <f t="shared" ca="1" si="11"/>
        <v>#N/A</v>
      </c>
      <c r="AD11" s="165" t="e">
        <f t="shared" ca="1" si="12"/>
        <v>#VALUE!</v>
      </c>
      <c r="AE11" s="165" t="str">
        <f t="shared" ref="AE11:AE29" si="16">IF($B11=FALSE,"",IF(AND(Y11&lt;=W11,W11&lt;=Z11),"PASS","FAIL"))</f>
        <v/>
      </c>
      <c r="AF11" s="165" t="e">
        <f t="shared" ref="AF11:AF29" ca="1" si="17">S$47</f>
        <v>#N/A</v>
      </c>
    </row>
    <row r="12" spans="1:32" ht="15" customHeight="1">
      <c r="B12" s="171" t="b">
        <f>IF(TRIM(Length_5_R1!A6)="",FALSE,TRUE)</f>
        <v>0</v>
      </c>
      <c r="C12" s="165" t="str">
        <f>IF($B12=FALSE,"",VALUE(Length_5_R1!A6))</f>
        <v/>
      </c>
      <c r="D12" s="165" t="str">
        <f>IF($B12=FALSE,"",Length_5_R1!B6)</f>
        <v/>
      </c>
      <c r="E12" s="171" t="str">
        <f>IF(B12=FALSE,"",Length_5_R1!M6)</f>
        <v/>
      </c>
      <c r="F12" s="171" t="str">
        <f>IF(B12=FALSE,"",Length_5_R1!N6)</f>
        <v/>
      </c>
      <c r="G12" s="171" t="str">
        <f>IF(B12=FALSE,"",Length_5_R1!O6)</f>
        <v/>
      </c>
      <c r="H12" s="171" t="str">
        <f>IF(B12=FALSE,"",Length_5_R1!P6)</f>
        <v/>
      </c>
      <c r="I12" s="171" t="str">
        <f>IF(B12=FALSE,"",Length_5_R1!Q6)</f>
        <v/>
      </c>
      <c r="J12" s="165" t="str">
        <f t="shared" si="1"/>
        <v/>
      </c>
      <c r="K12" s="175" t="str">
        <f t="shared" si="2"/>
        <v/>
      </c>
      <c r="L12" s="176" t="str">
        <f>IF(B12=FALSE,"",Length_5_R1!D29)</f>
        <v/>
      </c>
      <c r="M12" s="177" t="str">
        <f>IF(B12=FALSE,"",Calcu!J12*I$4)</f>
        <v/>
      </c>
      <c r="N12" s="178" t="str">
        <f t="shared" si="13"/>
        <v/>
      </c>
      <c r="O12" s="178" t="str">
        <f>IF(B12=FALSE,"",Length_5_R1!K29)</f>
        <v/>
      </c>
      <c r="P12" s="178" t="str">
        <f t="shared" si="3"/>
        <v/>
      </c>
      <c r="Q12" s="165" t="str">
        <f t="shared" si="4"/>
        <v/>
      </c>
      <c r="R12" s="165" t="str">
        <f t="shared" si="5"/>
        <v/>
      </c>
      <c r="S12" s="232" t="str">
        <f t="shared" si="6"/>
        <v/>
      </c>
      <c r="T12" s="179" t="str">
        <f t="shared" si="7"/>
        <v/>
      </c>
      <c r="U12" s="180" t="str">
        <f t="shared" si="8"/>
        <v/>
      </c>
      <c r="V12" s="165" t="str">
        <f t="shared" si="14"/>
        <v/>
      </c>
      <c r="W12" s="165" t="str">
        <f t="shared" si="15"/>
        <v/>
      </c>
      <c r="X12" s="122"/>
      <c r="Y12" s="165">
        <f>IF(Length_5_R1!J6&lt;0,ROUNDUP(Length_5_R1!J6*I$4,$L$47),ROUNDDOWN(Length_5_R1!J6*I$4,$L$47))</f>
        <v>0</v>
      </c>
      <c r="Z12" s="165">
        <f>IF(Length_5_R1!K6&lt;0,ROUNDDOWN(Length_5_R1!K6*I$4,$L$47),ROUNDUP(Length_5_R1!K6*I$4,$L$47))</f>
        <v>0</v>
      </c>
      <c r="AA12" s="165" t="e">
        <f t="shared" ca="1" si="9"/>
        <v>#N/A</v>
      </c>
      <c r="AB12" s="168" t="e">
        <f t="shared" ca="1" si="10"/>
        <v>#N/A</v>
      </c>
      <c r="AC12" s="165" t="e">
        <f t="shared" ca="1" si="11"/>
        <v>#N/A</v>
      </c>
      <c r="AD12" s="165" t="e">
        <f t="shared" ca="1" si="12"/>
        <v>#VALUE!</v>
      </c>
      <c r="AE12" s="165" t="str">
        <f t="shared" si="16"/>
        <v/>
      </c>
      <c r="AF12" s="165" t="e">
        <f t="shared" ca="1" si="17"/>
        <v>#N/A</v>
      </c>
    </row>
    <row r="13" spans="1:32" ht="15" customHeight="1">
      <c r="B13" s="171" t="b">
        <f>IF(TRIM(Length_5_R1!A7)="",FALSE,TRUE)</f>
        <v>0</v>
      </c>
      <c r="C13" s="165" t="str">
        <f>IF($B13=FALSE,"",VALUE(Length_5_R1!A7))</f>
        <v/>
      </c>
      <c r="D13" s="165" t="str">
        <f>IF($B13=FALSE,"",Length_5_R1!B7)</f>
        <v/>
      </c>
      <c r="E13" s="171" t="str">
        <f>IF(B13=FALSE,"",Length_5_R1!M7)</f>
        <v/>
      </c>
      <c r="F13" s="171" t="str">
        <f>IF(B13=FALSE,"",Length_5_R1!N7)</f>
        <v/>
      </c>
      <c r="G13" s="171" t="str">
        <f>IF(B13=FALSE,"",Length_5_R1!O7)</f>
        <v/>
      </c>
      <c r="H13" s="171" t="str">
        <f>IF(B13=FALSE,"",Length_5_R1!P7)</f>
        <v/>
      </c>
      <c r="I13" s="171" t="str">
        <f>IF(B13=FALSE,"",Length_5_R1!Q7)</f>
        <v/>
      </c>
      <c r="J13" s="165" t="str">
        <f t="shared" si="1"/>
        <v/>
      </c>
      <c r="K13" s="175" t="str">
        <f t="shared" si="2"/>
        <v/>
      </c>
      <c r="L13" s="176" t="str">
        <f>IF(B13=FALSE,"",Length_5_R1!D30)</f>
        <v/>
      </c>
      <c r="M13" s="177" t="str">
        <f>IF(B13=FALSE,"",Calcu!J13*I$4)</f>
        <v/>
      </c>
      <c r="N13" s="178" t="str">
        <f t="shared" si="13"/>
        <v/>
      </c>
      <c r="O13" s="178" t="str">
        <f>IF(B13=FALSE,"",Length_5_R1!K30)</f>
        <v/>
      </c>
      <c r="P13" s="178" t="str">
        <f t="shared" si="3"/>
        <v/>
      </c>
      <c r="Q13" s="165" t="str">
        <f t="shared" si="4"/>
        <v/>
      </c>
      <c r="R13" s="165" t="str">
        <f t="shared" si="5"/>
        <v/>
      </c>
      <c r="S13" s="232" t="str">
        <f t="shared" si="6"/>
        <v/>
      </c>
      <c r="T13" s="179" t="str">
        <f t="shared" si="7"/>
        <v/>
      </c>
      <c r="U13" s="180" t="str">
        <f t="shared" si="8"/>
        <v/>
      </c>
      <c r="V13" s="165" t="str">
        <f t="shared" si="14"/>
        <v/>
      </c>
      <c r="W13" s="165" t="str">
        <f t="shared" si="15"/>
        <v/>
      </c>
      <c r="X13" s="122"/>
      <c r="Y13" s="165">
        <f>IF(Length_5_R1!J7&lt;0,ROUNDUP(Length_5_R1!J7*I$4,$L$47),ROUNDDOWN(Length_5_R1!J7*I$4,$L$47))</f>
        <v>0</v>
      </c>
      <c r="Z13" s="165">
        <f>IF(Length_5_R1!K7&lt;0,ROUNDDOWN(Length_5_R1!K7*I$4,$L$47),ROUNDUP(Length_5_R1!K7*I$4,$L$47))</f>
        <v>0</v>
      </c>
      <c r="AA13" s="165" t="e">
        <f t="shared" ca="1" si="9"/>
        <v>#N/A</v>
      </c>
      <c r="AB13" s="168" t="e">
        <f t="shared" ca="1" si="10"/>
        <v>#N/A</v>
      </c>
      <c r="AC13" s="165" t="e">
        <f t="shared" ca="1" si="11"/>
        <v>#N/A</v>
      </c>
      <c r="AD13" s="165" t="e">
        <f t="shared" ca="1" si="12"/>
        <v>#VALUE!</v>
      </c>
      <c r="AE13" s="165" t="str">
        <f t="shared" si="16"/>
        <v/>
      </c>
      <c r="AF13" s="165" t="e">
        <f t="shared" ca="1" si="17"/>
        <v>#N/A</v>
      </c>
    </row>
    <row r="14" spans="1:32" ht="15" customHeight="1">
      <c r="B14" s="171" t="b">
        <f>IF(TRIM(Length_5_R1!A8)="",FALSE,TRUE)</f>
        <v>0</v>
      </c>
      <c r="C14" s="165" t="str">
        <f>IF($B14=FALSE,"",VALUE(Length_5_R1!A8))</f>
        <v/>
      </c>
      <c r="D14" s="165" t="str">
        <f>IF($B14=FALSE,"",Length_5_R1!B8)</f>
        <v/>
      </c>
      <c r="E14" s="171" t="str">
        <f>IF(B14=FALSE,"",Length_5_R1!M8)</f>
        <v/>
      </c>
      <c r="F14" s="171" t="str">
        <f>IF(B14=FALSE,"",Length_5_R1!N8)</f>
        <v/>
      </c>
      <c r="G14" s="171" t="str">
        <f>IF(B14=FALSE,"",Length_5_R1!O8)</f>
        <v/>
      </c>
      <c r="H14" s="171" t="str">
        <f>IF(B14=FALSE,"",Length_5_R1!P8)</f>
        <v/>
      </c>
      <c r="I14" s="171" t="str">
        <f>IF(B14=FALSE,"",Length_5_R1!Q8)</f>
        <v/>
      </c>
      <c r="J14" s="165" t="str">
        <f t="shared" si="1"/>
        <v/>
      </c>
      <c r="K14" s="175" t="str">
        <f t="shared" si="2"/>
        <v/>
      </c>
      <c r="L14" s="176" t="str">
        <f>IF(B14=FALSE,"",Length_5_R1!D31)</f>
        <v/>
      </c>
      <c r="M14" s="177" t="str">
        <f>IF(B14=FALSE,"",Calcu!J14*I$4)</f>
        <v/>
      </c>
      <c r="N14" s="178" t="str">
        <f t="shared" si="13"/>
        <v/>
      </c>
      <c r="O14" s="178" t="str">
        <f>IF(B14=FALSE,"",Length_5_R1!K31)</f>
        <v/>
      </c>
      <c r="P14" s="178" t="str">
        <f t="shared" si="3"/>
        <v/>
      </c>
      <c r="Q14" s="165" t="str">
        <f t="shared" si="4"/>
        <v/>
      </c>
      <c r="R14" s="165" t="str">
        <f t="shared" si="5"/>
        <v/>
      </c>
      <c r="S14" s="232" t="str">
        <f t="shared" si="6"/>
        <v/>
      </c>
      <c r="T14" s="179" t="str">
        <f t="shared" si="7"/>
        <v/>
      </c>
      <c r="U14" s="180" t="str">
        <f t="shared" si="8"/>
        <v/>
      </c>
      <c r="V14" s="165" t="str">
        <f t="shared" si="14"/>
        <v/>
      </c>
      <c r="W14" s="165" t="str">
        <f t="shared" si="15"/>
        <v/>
      </c>
      <c r="X14" s="122"/>
      <c r="Y14" s="165">
        <f>IF(Length_5_R1!J8&lt;0,ROUNDUP(Length_5_R1!J8*I$4,$L$47),ROUNDDOWN(Length_5_R1!J8*I$4,$L$47))</f>
        <v>0</v>
      </c>
      <c r="Z14" s="165">
        <f>IF(Length_5_R1!K8&lt;0,ROUNDDOWN(Length_5_R1!K8*I$4,$L$47),ROUNDUP(Length_5_R1!K8*I$4,$L$47))</f>
        <v>0</v>
      </c>
      <c r="AA14" s="165" t="e">
        <f t="shared" ca="1" si="9"/>
        <v>#N/A</v>
      </c>
      <c r="AB14" s="168" t="e">
        <f t="shared" ca="1" si="10"/>
        <v>#N/A</v>
      </c>
      <c r="AC14" s="165" t="e">
        <f t="shared" ca="1" si="11"/>
        <v>#N/A</v>
      </c>
      <c r="AD14" s="165" t="e">
        <f t="shared" ca="1" si="12"/>
        <v>#VALUE!</v>
      </c>
      <c r="AE14" s="165" t="str">
        <f t="shared" si="16"/>
        <v/>
      </c>
      <c r="AF14" s="165" t="e">
        <f t="shared" ca="1" si="17"/>
        <v>#N/A</v>
      </c>
    </row>
    <row r="15" spans="1:32" ht="15" customHeight="1">
      <c r="B15" s="171" t="b">
        <f>IF(TRIM(Length_5_R1!A9)="",FALSE,TRUE)</f>
        <v>0</v>
      </c>
      <c r="C15" s="165" t="str">
        <f>IF($B15=FALSE,"",VALUE(Length_5_R1!A9))</f>
        <v/>
      </c>
      <c r="D15" s="165" t="str">
        <f>IF($B15=FALSE,"",Length_5_R1!B9)</f>
        <v/>
      </c>
      <c r="E15" s="171" t="str">
        <f>IF(B15=FALSE,"",Length_5_R1!M9)</f>
        <v/>
      </c>
      <c r="F15" s="171" t="str">
        <f>IF(B15=FALSE,"",Length_5_R1!N9)</f>
        <v/>
      </c>
      <c r="G15" s="171" t="str">
        <f>IF(B15=FALSE,"",Length_5_R1!O9)</f>
        <v/>
      </c>
      <c r="H15" s="171" t="str">
        <f>IF(B15=FALSE,"",Length_5_R1!P9)</f>
        <v/>
      </c>
      <c r="I15" s="171" t="str">
        <f>IF(B15=FALSE,"",Length_5_R1!Q9)</f>
        <v/>
      </c>
      <c r="J15" s="165" t="str">
        <f t="shared" si="1"/>
        <v/>
      </c>
      <c r="K15" s="175" t="str">
        <f t="shared" si="2"/>
        <v/>
      </c>
      <c r="L15" s="176" t="str">
        <f>IF(B15=FALSE,"",Length_5_R1!D32)</f>
        <v/>
      </c>
      <c r="M15" s="177" t="str">
        <f>IF(B15=FALSE,"",Calcu!J15*I$4)</f>
        <v/>
      </c>
      <c r="N15" s="178" t="str">
        <f t="shared" si="13"/>
        <v/>
      </c>
      <c r="O15" s="178" t="str">
        <f>IF(B15=FALSE,"",Length_5_R1!K32)</f>
        <v/>
      </c>
      <c r="P15" s="178" t="str">
        <f t="shared" si="3"/>
        <v/>
      </c>
      <c r="Q15" s="165" t="str">
        <f t="shared" si="4"/>
        <v/>
      </c>
      <c r="R15" s="165" t="str">
        <f t="shared" si="5"/>
        <v/>
      </c>
      <c r="S15" s="232" t="str">
        <f t="shared" si="6"/>
        <v/>
      </c>
      <c r="T15" s="179" t="str">
        <f t="shared" si="7"/>
        <v/>
      </c>
      <c r="U15" s="180" t="str">
        <f t="shared" si="8"/>
        <v/>
      </c>
      <c r="V15" s="165" t="str">
        <f t="shared" si="14"/>
        <v/>
      </c>
      <c r="W15" s="165" t="str">
        <f t="shared" si="15"/>
        <v/>
      </c>
      <c r="X15" s="122"/>
      <c r="Y15" s="165">
        <f>IF(Length_5_R1!J9&lt;0,ROUNDUP(Length_5_R1!J9*I$4,$L$47),ROUNDDOWN(Length_5_R1!J9*I$4,$L$47))</f>
        <v>0</v>
      </c>
      <c r="Z15" s="165">
        <f>IF(Length_5_R1!K9&lt;0,ROUNDDOWN(Length_5_R1!K9*I$4,$L$47),ROUNDUP(Length_5_R1!K9*I$4,$L$47))</f>
        <v>0</v>
      </c>
      <c r="AA15" s="165" t="e">
        <f t="shared" ca="1" si="9"/>
        <v>#N/A</v>
      </c>
      <c r="AB15" s="168" t="e">
        <f t="shared" ca="1" si="10"/>
        <v>#N/A</v>
      </c>
      <c r="AC15" s="165" t="e">
        <f t="shared" ca="1" si="11"/>
        <v>#N/A</v>
      </c>
      <c r="AD15" s="165" t="e">
        <f t="shared" ca="1" si="12"/>
        <v>#VALUE!</v>
      </c>
      <c r="AE15" s="165" t="str">
        <f t="shared" si="16"/>
        <v/>
      </c>
      <c r="AF15" s="165" t="e">
        <f t="shared" ca="1" si="17"/>
        <v>#N/A</v>
      </c>
    </row>
    <row r="16" spans="1:32" ht="15" customHeight="1">
      <c r="B16" s="171" t="b">
        <f>IF(TRIM(Length_5_R1!A10)="",FALSE,TRUE)</f>
        <v>0</v>
      </c>
      <c r="C16" s="165" t="str">
        <f>IF($B16=FALSE,"",VALUE(Length_5_R1!A10))</f>
        <v/>
      </c>
      <c r="D16" s="165" t="str">
        <f>IF($B16=FALSE,"",Length_5_R1!B10)</f>
        <v/>
      </c>
      <c r="E16" s="171" t="str">
        <f>IF(B16=FALSE,"",Length_5_R1!M10)</f>
        <v/>
      </c>
      <c r="F16" s="171" t="str">
        <f>IF(B16=FALSE,"",Length_5_R1!N10)</f>
        <v/>
      </c>
      <c r="G16" s="171" t="str">
        <f>IF(B16=FALSE,"",Length_5_R1!O10)</f>
        <v/>
      </c>
      <c r="H16" s="171" t="str">
        <f>IF(B16=FALSE,"",Length_5_R1!P10)</f>
        <v/>
      </c>
      <c r="I16" s="171" t="str">
        <f>IF(B16=FALSE,"",Length_5_R1!Q10)</f>
        <v/>
      </c>
      <c r="J16" s="165" t="str">
        <f t="shared" si="1"/>
        <v/>
      </c>
      <c r="K16" s="175" t="str">
        <f t="shared" si="2"/>
        <v/>
      </c>
      <c r="L16" s="176" t="str">
        <f>IF(B16=FALSE,"",Length_5_R1!D33)</f>
        <v/>
      </c>
      <c r="M16" s="177" t="str">
        <f>IF(B16=FALSE,"",Calcu!J16*I$4)</f>
        <v/>
      </c>
      <c r="N16" s="178" t="str">
        <f t="shared" si="13"/>
        <v/>
      </c>
      <c r="O16" s="178" t="str">
        <f>IF(B16=FALSE,"",Length_5_R1!K33)</f>
        <v/>
      </c>
      <c r="P16" s="178" t="str">
        <f t="shared" si="3"/>
        <v/>
      </c>
      <c r="Q16" s="165" t="str">
        <f t="shared" si="4"/>
        <v/>
      </c>
      <c r="R16" s="165" t="str">
        <f t="shared" si="5"/>
        <v/>
      </c>
      <c r="S16" s="232" t="str">
        <f t="shared" si="6"/>
        <v/>
      </c>
      <c r="T16" s="179" t="str">
        <f t="shared" si="7"/>
        <v/>
      </c>
      <c r="U16" s="180" t="str">
        <f t="shared" si="8"/>
        <v/>
      </c>
      <c r="V16" s="165" t="str">
        <f t="shared" si="14"/>
        <v/>
      </c>
      <c r="W16" s="165" t="str">
        <f t="shared" si="15"/>
        <v/>
      </c>
      <c r="X16" s="122"/>
      <c r="Y16" s="165">
        <f>IF(Length_5_R1!J10&lt;0,ROUNDUP(Length_5_R1!J10*I$4,$L$47),ROUNDDOWN(Length_5_R1!J10*I$4,$L$47))</f>
        <v>0</v>
      </c>
      <c r="Z16" s="165">
        <f>IF(Length_5_R1!K10&lt;0,ROUNDDOWN(Length_5_R1!K10*I$4,$L$47),ROUNDUP(Length_5_R1!K10*I$4,$L$47))</f>
        <v>0</v>
      </c>
      <c r="AA16" s="165" t="e">
        <f t="shared" ca="1" si="9"/>
        <v>#N/A</v>
      </c>
      <c r="AB16" s="168" t="e">
        <f t="shared" ca="1" si="10"/>
        <v>#N/A</v>
      </c>
      <c r="AC16" s="165" t="e">
        <f t="shared" ca="1" si="11"/>
        <v>#N/A</v>
      </c>
      <c r="AD16" s="165" t="e">
        <f t="shared" ca="1" si="12"/>
        <v>#VALUE!</v>
      </c>
      <c r="AE16" s="165" t="str">
        <f t="shared" si="16"/>
        <v/>
      </c>
      <c r="AF16" s="165" t="e">
        <f t="shared" ca="1" si="17"/>
        <v>#N/A</v>
      </c>
    </row>
    <row r="17" spans="1:32" ht="15" customHeight="1">
      <c r="B17" s="171" t="b">
        <f>IF(TRIM(Length_5_R1!A11)="",FALSE,TRUE)</f>
        <v>0</v>
      </c>
      <c r="C17" s="165" t="str">
        <f>IF($B17=FALSE,"",VALUE(Length_5_R1!A11))</f>
        <v/>
      </c>
      <c r="D17" s="165" t="str">
        <f>IF($B17=FALSE,"",Length_5_R1!B11)</f>
        <v/>
      </c>
      <c r="E17" s="171" t="str">
        <f>IF(B17=FALSE,"",Length_5_R1!M11)</f>
        <v/>
      </c>
      <c r="F17" s="171" t="str">
        <f>IF(B17=FALSE,"",Length_5_R1!N11)</f>
        <v/>
      </c>
      <c r="G17" s="171" t="str">
        <f>IF(B17=FALSE,"",Length_5_R1!O11)</f>
        <v/>
      </c>
      <c r="H17" s="171" t="str">
        <f>IF(B17=FALSE,"",Length_5_R1!P11)</f>
        <v/>
      </c>
      <c r="I17" s="171" t="str">
        <f>IF(B17=FALSE,"",Length_5_R1!Q11)</f>
        <v/>
      </c>
      <c r="J17" s="165" t="str">
        <f t="shared" si="1"/>
        <v/>
      </c>
      <c r="K17" s="175" t="str">
        <f t="shared" si="2"/>
        <v/>
      </c>
      <c r="L17" s="176" t="str">
        <f>IF(B17=FALSE,"",Length_5_R1!D34)</f>
        <v/>
      </c>
      <c r="M17" s="177" t="str">
        <f>IF(B17=FALSE,"",Calcu!J17*I$4)</f>
        <v/>
      </c>
      <c r="N17" s="178" t="str">
        <f t="shared" si="13"/>
        <v/>
      </c>
      <c r="O17" s="178" t="str">
        <f>IF(B17=FALSE,"",Length_5_R1!K34)</f>
        <v/>
      </c>
      <c r="P17" s="178" t="str">
        <f t="shared" si="3"/>
        <v/>
      </c>
      <c r="Q17" s="165" t="str">
        <f t="shared" si="4"/>
        <v/>
      </c>
      <c r="R17" s="165" t="str">
        <f t="shared" si="5"/>
        <v/>
      </c>
      <c r="S17" s="232" t="str">
        <f t="shared" si="6"/>
        <v/>
      </c>
      <c r="T17" s="179" t="str">
        <f t="shared" si="7"/>
        <v/>
      </c>
      <c r="U17" s="180" t="str">
        <f t="shared" si="8"/>
        <v/>
      </c>
      <c r="V17" s="165" t="str">
        <f t="shared" si="14"/>
        <v/>
      </c>
      <c r="W17" s="165" t="str">
        <f t="shared" si="15"/>
        <v/>
      </c>
      <c r="X17" s="122"/>
      <c r="Y17" s="165">
        <f>IF(Length_5_R1!J11&lt;0,ROUNDUP(Length_5_R1!J11*I$4,$L$47),ROUNDDOWN(Length_5_R1!J11*I$4,$L$47))</f>
        <v>0</v>
      </c>
      <c r="Z17" s="165">
        <f>IF(Length_5_R1!K11&lt;0,ROUNDDOWN(Length_5_R1!K11*I$4,$L$47),ROUNDUP(Length_5_R1!K11*I$4,$L$47))</f>
        <v>0</v>
      </c>
      <c r="AA17" s="165" t="e">
        <f t="shared" ca="1" si="9"/>
        <v>#N/A</v>
      </c>
      <c r="AB17" s="168" t="e">
        <f t="shared" ca="1" si="10"/>
        <v>#N/A</v>
      </c>
      <c r="AC17" s="165" t="e">
        <f t="shared" ca="1" si="11"/>
        <v>#N/A</v>
      </c>
      <c r="AD17" s="165" t="e">
        <f t="shared" ca="1" si="12"/>
        <v>#VALUE!</v>
      </c>
      <c r="AE17" s="165" t="str">
        <f t="shared" si="16"/>
        <v/>
      </c>
      <c r="AF17" s="165" t="e">
        <f t="shared" ca="1" si="17"/>
        <v>#N/A</v>
      </c>
    </row>
    <row r="18" spans="1:32" ht="15" customHeight="1">
      <c r="B18" s="171" t="b">
        <f>IF(TRIM(Length_5_R1!A12)="",FALSE,TRUE)</f>
        <v>0</v>
      </c>
      <c r="C18" s="165" t="str">
        <f>IF($B18=FALSE,"",VALUE(Length_5_R1!A12))</f>
        <v/>
      </c>
      <c r="D18" s="165" t="str">
        <f>IF($B18=FALSE,"",Length_5_R1!B12)</f>
        <v/>
      </c>
      <c r="E18" s="171" t="str">
        <f>IF(B18=FALSE,"",Length_5_R1!M12)</f>
        <v/>
      </c>
      <c r="F18" s="171" t="str">
        <f>IF(B18=FALSE,"",Length_5_R1!N12)</f>
        <v/>
      </c>
      <c r="G18" s="171" t="str">
        <f>IF(B18=FALSE,"",Length_5_R1!O12)</f>
        <v/>
      </c>
      <c r="H18" s="171" t="str">
        <f>IF(B18=FALSE,"",Length_5_R1!P12)</f>
        <v/>
      </c>
      <c r="I18" s="171" t="str">
        <f>IF(B18=FALSE,"",Length_5_R1!Q12)</f>
        <v/>
      </c>
      <c r="J18" s="165" t="str">
        <f t="shared" si="1"/>
        <v/>
      </c>
      <c r="K18" s="175" t="str">
        <f t="shared" si="2"/>
        <v/>
      </c>
      <c r="L18" s="176" t="str">
        <f>IF(B18=FALSE,"",Length_5_R1!D35)</f>
        <v/>
      </c>
      <c r="M18" s="177" t="str">
        <f>IF(B18=FALSE,"",Calcu!J18*I$4)</f>
        <v/>
      </c>
      <c r="N18" s="178" t="str">
        <f t="shared" si="13"/>
        <v/>
      </c>
      <c r="O18" s="178" t="str">
        <f>IF(B18=FALSE,"",Length_5_R1!K35)</f>
        <v/>
      </c>
      <c r="P18" s="178" t="str">
        <f t="shared" si="3"/>
        <v/>
      </c>
      <c r="Q18" s="165" t="str">
        <f t="shared" si="4"/>
        <v/>
      </c>
      <c r="R18" s="165" t="str">
        <f t="shared" si="5"/>
        <v/>
      </c>
      <c r="S18" s="232" t="str">
        <f t="shared" si="6"/>
        <v/>
      </c>
      <c r="T18" s="179" t="str">
        <f t="shared" si="7"/>
        <v/>
      </c>
      <c r="U18" s="180" t="str">
        <f t="shared" si="8"/>
        <v/>
      </c>
      <c r="V18" s="165" t="str">
        <f t="shared" si="14"/>
        <v/>
      </c>
      <c r="W18" s="165" t="str">
        <f t="shared" si="15"/>
        <v/>
      </c>
      <c r="X18" s="122"/>
      <c r="Y18" s="165">
        <f>IF(Length_5_R1!J12&lt;0,ROUNDUP(Length_5_R1!J12*I$4,$L$47),ROUNDDOWN(Length_5_R1!J12*I$4,$L$47))</f>
        <v>0</v>
      </c>
      <c r="Z18" s="165">
        <f>IF(Length_5_R1!K12&lt;0,ROUNDDOWN(Length_5_R1!K12*I$4,$L$47),ROUNDUP(Length_5_R1!K12*I$4,$L$47))</f>
        <v>0</v>
      </c>
      <c r="AA18" s="165" t="e">
        <f t="shared" ca="1" si="9"/>
        <v>#N/A</v>
      </c>
      <c r="AB18" s="168" t="e">
        <f t="shared" ca="1" si="10"/>
        <v>#N/A</v>
      </c>
      <c r="AC18" s="165" t="e">
        <f t="shared" ca="1" si="11"/>
        <v>#N/A</v>
      </c>
      <c r="AD18" s="165" t="e">
        <f t="shared" ca="1" si="12"/>
        <v>#VALUE!</v>
      </c>
      <c r="AE18" s="165" t="str">
        <f t="shared" si="16"/>
        <v/>
      </c>
      <c r="AF18" s="165" t="e">
        <f t="shared" ca="1" si="17"/>
        <v>#N/A</v>
      </c>
    </row>
    <row r="19" spans="1:32" ht="15" customHeight="1">
      <c r="B19" s="171" t="b">
        <f>IF(TRIM(Length_5_R1!A13)="",FALSE,TRUE)</f>
        <v>0</v>
      </c>
      <c r="C19" s="165" t="str">
        <f>IF($B19=FALSE,"",VALUE(Length_5_R1!A13))</f>
        <v/>
      </c>
      <c r="D19" s="165" t="str">
        <f>IF($B19=FALSE,"",Length_5_R1!B13)</f>
        <v/>
      </c>
      <c r="E19" s="171" t="str">
        <f>IF(B19=FALSE,"",Length_5_R1!M13)</f>
        <v/>
      </c>
      <c r="F19" s="171" t="str">
        <f>IF(B19=FALSE,"",Length_5_R1!N13)</f>
        <v/>
      </c>
      <c r="G19" s="171" t="str">
        <f>IF(B19=FALSE,"",Length_5_R1!O13)</f>
        <v/>
      </c>
      <c r="H19" s="171" t="str">
        <f>IF(B19=FALSE,"",Length_5_R1!P13)</f>
        <v/>
      </c>
      <c r="I19" s="171" t="str">
        <f>IF(B19=FALSE,"",Length_5_R1!Q13)</f>
        <v/>
      </c>
      <c r="J19" s="165" t="str">
        <f t="shared" si="1"/>
        <v/>
      </c>
      <c r="K19" s="175" t="str">
        <f t="shared" si="2"/>
        <v/>
      </c>
      <c r="L19" s="176" t="str">
        <f>IF(B19=FALSE,"",Length_5_R1!D36)</f>
        <v/>
      </c>
      <c r="M19" s="177" t="str">
        <f>IF(B19=FALSE,"",Calcu!J19*I$4)</f>
        <v/>
      </c>
      <c r="N19" s="178" t="str">
        <f t="shared" si="13"/>
        <v/>
      </c>
      <c r="O19" s="178" t="str">
        <f>IF(B19=FALSE,"",Length_5_R1!K36)</f>
        <v/>
      </c>
      <c r="P19" s="178" t="str">
        <f t="shared" si="3"/>
        <v/>
      </c>
      <c r="Q19" s="165" t="str">
        <f t="shared" si="4"/>
        <v/>
      </c>
      <c r="R19" s="165" t="str">
        <f t="shared" si="5"/>
        <v/>
      </c>
      <c r="S19" s="232" t="str">
        <f t="shared" si="6"/>
        <v/>
      </c>
      <c r="T19" s="179" t="str">
        <f t="shared" si="7"/>
        <v/>
      </c>
      <c r="U19" s="180" t="str">
        <f t="shared" si="8"/>
        <v/>
      </c>
      <c r="V19" s="165" t="str">
        <f t="shared" si="14"/>
        <v/>
      </c>
      <c r="W19" s="165" t="str">
        <f t="shared" si="15"/>
        <v/>
      </c>
      <c r="X19" s="122"/>
      <c r="Y19" s="165">
        <f>IF(Length_5_R1!J13&lt;0,ROUNDUP(Length_5_R1!J13*I$4,$L$47),ROUNDDOWN(Length_5_R1!J13*I$4,$L$47))</f>
        <v>0</v>
      </c>
      <c r="Z19" s="165">
        <f>IF(Length_5_R1!K13&lt;0,ROUNDDOWN(Length_5_R1!K13*I$4,$L$47),ROUNDUP(Length_5_R1!K13*I$4,$L$47))</f>
        <v>0</v>
      </c>
      <c r="AA19" s="165" t="e">
        <f t="shared" ca="1" si="9"/>
        <v>#N/A</v>
      </c>
      <c r="AB19" s="168" t="e">
        <f t="shared" ca="1" si="10"/>
        <v>#N/A</v>
      </c>
      <c r="AC19" s="165" t="e">
        <f t="shared" ca="1" si="11"/>
        <v>#N/A</v>
      </c>
      <c r="AD19" s="165" t="e">
        <f t="shared" ca="1" si="12"/>
        <v>#VALUE!</v>
      </c>
      <c r="AE19" s="165" t="str">
        <f t="shared" si="16"/>
        <v/>
      </c>
      <c r="AF19" s="165" t="e">
        <f t="shared" ca="1" si="17"/>
        <v>#N/A</v>
      </c>
    </row>
    <row r="20" spans="1:32" ht="15" customHeight="1">
      <c r="B20" s="171" t="b">
        <f>IF(TRIM(Length_5_R1!A14)="",FALSE,TRUE)</f>
        <v>0</v>
      </c>
      <c r="C20" s="165" t="str">
        <f>IF($B20=FALSE,"",VALUE(Length_5_R1!A14))</f>
        <v/>
      </c>
      <c r="D20" s="165" t="str">
        <f>IF($B20=FALSE,"",Length_5_R1!B14)</f>
        <v/>
      </c>
      <c r="E20" s="171" t="str">
        <f>IF(B20=FALSE,"",Length_5_R1!M14)</f>
        <v/>
      </c>
      <c r="F20" s="171" t="str">
        <f>IF(B20=FALSE,"",Length_5_R1!N14)</f>
        <v/>
      </c>
      <c r="G20" s="171" t="str">
        <f>IF(B20=FALSE,"",Length_5_R1!O14)</f>
        <v/>
      </c>
      <c r="H20" s="171" t="str">
        <f>IF(B20=FALSE,"",Length_5_R1!P14)</f>
        <v/>
      </c>
      <c r="I20" s="171" t="str">
        <f>IF(B20=FALSE,"",Length_5_R1!Q14)</f>
        <v/>
      </c>
      <c r="J20" s="165" t="str">
        <f t="shared" si="1"/>
        <v/>
      </c>
      <c r="K20" s="175" t="str">
        <f t="shared" si="2"/>
        <v/>
      </c>
      <c r="L20" s="176" t="str">
        <f>IF(B20=FALSE,"",Length_5_R1!D37)</f>
        <v/>
      </c>
      <c r="M20" s="177" t="str">
        <f>IF(B20=FALSE,"",Calcu!J20*I$4)</f>
        <v/>
      </c>
      <c r="N20" s="178" t="str">
        <f t="shared" si="13"/>
        <v/>
      </c>
      <c r="O20" s="178" t="str">
        <f>IF(B20=FALSE,"",Length_5_R1!K37)</f>
        <v/>
      </c>
      <c r="P20" s="178" t="str">
        <f t="shared" si="3"/>
        <v/>
      </c>
      <c r="Q20" s="165" t="str">
        <f t="shared" si="4"/>
        <v/>
      </c>
      <c r="R20" s="165" t="str">
        <f t="shared" si="5"/>
        <v/>
      </c>
      <c r="S20" s="232" t="str">
        <f t="shared" si="6"/>
        <v/>
      </c>
      <c r="T20" s="179" t="str">
        <f t="shared" si="7"/>
        <v/>
      </c>
      <c r="U20" s="180" t="str">
        <f t="shared" si="8"/>
        <v/>
      </c>
      <c r="V20" s="165" t="str">
        <f t="shared" si="14"/>
        <v/>
      </c>
      <c r="W20" s="165" t="str">
        <f t="shared" si="15"/>
        <v/>
      </c>
      <c r="X20" s="122"/>
      <c r="Y20" s="165">
        <f>IF(Length_5_R1!J14&lt;0,ROUNDUP(Length_5_R1!J14*I$4,$L$47),ROUNDDOWN(Length_5_R1!J14*I$4,$L$47))</f>
        <v>0</v>
      </c>
      <c r="Z20" s="165">
        <f>IF(Length_5_R1!K14&lt;0,ROUNDDOWN(Length_5_R1!K14*I$4,$L$47),ROUNDUP(Length_5_R1!K14*I$4,$L$47))</f>
        <v>0</v>
      </c>
      <c r="AA20" s="165" t="e">
        <f t="shared" ca="1" si="9"/>
        <v>#N/A</v>
      </c>
      <c r="AB20" s="168" t="e">
        <f t="shared" ca="1" si="10"/>
        <v>#N/A</v>
      </c>
      <c r="AC20" s="165" t="e">
        <f t="shared" ca="1" si="11"/>
        <v>#N/A</v>
      </c>
      <c r="AD20" s="165" t="e">
        <f t="shared" ca="1" si="12"/>
        <v>#VALUE!</v>
      </c>
      <c r="AE20" s="165" t="str">
        <f t="shared" si="16"/>
        <v/>
      </c>
      <c r="AF20" s="165" t="e">
        <f t="shared" ca="1" si="17"/>
        <v>#N/A</v>
      </c>
    </row>
    <row r="21" spans="1:32" ht="15" customHeight="1">
      <c r="B21" s="171" t="b">
        <f>IF(TRIM(Length_5_R1!A15)="",FALSE,TRUE)</f>
        <v>0</v>
      </c>
      <c r="C21" s="165" t="str">
        <f>IF($B21=FALSE,"",VALUE(Length_5_R1!A15))</f>
        <v/>
      </c>
      <c r="D21" s="165" t="str">
        <f>IF($B21=FALSE,"",Length_5_R1!B15)</f>
        <v/>
      </c>
      <c r="E21" s="171" t="str">
        <f>IF(B21=FALSE,"",Length_5_R1!M15)</f>
        <v/>
      </c>
      <c r="F21" s="171" t="str">
        <f>IF(B21=FALSE,"",Length_5_R1!N15)</f>
        <v/>
      </c>
      <c r="G21" s="171" t="str">
        <f>IF(B21=FALSE,"",Length_5_R1!O15)</f>
        <v/>
      </c>
      <c r="H21" s="171" t="str">
        <f>IF(B21=FALSE,"",Length_5_R1!P15)</f>
        <v/>
      </c>
      <c r="I21" s="171" t="str">
        <f>IF(B21=FALSE,"",Length_5_R1!Q15)</f>
        <v/>
      </c>
      <c r="J21" s="165" t="str">
        <f t="shared" si="1"/>
        <v/>
      </c>
      <c r="K21" s="175" t="str">
        <f t="shared" si="2"/>
        <v/>
      </c>
      <c r="L21" s="176" t="str">
        <f>IF(B21=FALSE,"",Length_5_R1!D38)</f>
        <v/>
      </c>
      <c r="M21" s="177" t="str">
        <f>IF(B21=FALSE,"",Calcu!J21*I$4)</f>
        <v/>
      </c>
      <c r="N21" s="178" t="str">
        <f t="shared" si="13"/>
        <v/>
      </c>
      <c r="O21" s="178" t="str">
        <f>IF(B21=FALSE,"",Length_5_R1!K38)</f>
        <v/>
      </c>
      <c r="P21" s="178" t="str">
        <f t="shared" si="3"/>
        <v/>
      </c>
      <c r="Q21" s="165" t="str">
        <f t="shared" si="4"/>
        <v/>
      </c>
      <c r="R21" s="165" t="str">
        <f t="shared" si="5"/>
        <v/>
      </c>
      <c r="S21" s="232" t="str">
        <f t="shared" si="6"/>
        <v/>
      </c>
      <c r="T21" s="179" t="str">
        <f t="shared" si="7"/>
        <v/>
      </c>
      <c r="U21" s="180" t="str">
        <f t="shared" si="8"/>
        <v/>
      </c>
      <c r="V21" s="165" t="str">
        <f t="shared" si="14"/>
        <v/>
      </c>
      <c r="W21" s="165" t="str">
        <f t="shared" si="15"/>
        <v/>
      </c>
      <c r="X21" s="122"/>
      <c r="Y21" s="165">
        <f>IF(Length_5_R1!J15&lt;0,ROUNDUP(Length_5_R1!J15*I$4,$L$47),ROUNDDOWN(Length_5_R1!J15*I$4,$L$47))</f>
        <v>0</v>
      </c>
      <c r="Z21" s="165">
        <f>IF(Length_5_R1!K15&lt;0,ROUNDDOWN(Length_5_R1!K15*I$4,$L$47),ROUNDUP(Length_5_R1!K15*I$4,$L$47))</f>
        <v>0</v>
      </c>
      <c r="AA21" s="165" t="e">
        <f t="shared" ca="1" si="9"/>
        <v>#N/A</v>
      </c>
      <c r="AB21" s="168" t="e">
        <f t="shared" ca="1" si="10"/>
        <v>#N/A</v>
      </c>
      <c r="AC21" s="165" t="e">
        <f t="shared" ca="1" si="11"/>
        <v>#N/A</v>
      </c>
      <c r="AD21" s="165" t="e">
        <f t="shared" ca="1" si="12"/>
        <v>#VALUE!</v>
      </c>
      <c r="AE21" s="165" t="str">
        <f t="shared" si="16"/>
        <v/>
      </c>
      <c r="AF21" s="165" t="e">
        <f t="shared" ca="1" si="17"/>
        <v>#N/A</v>
      </c>
    </row>
    <row r="22" spans="1:32" ht="15" customHeight="1">
      <c r="B22" s="171" t="b">
        <f>IF(TRIM(Length_5_R1!A16)="",FALSE,TRUE)</f>
        <v>0</v>
      </c>
      <c r="C22" s="165" t="str">
        <f>IF($B22=FALSE,"",VALUE(Length_5_R1!A16))</f>
        <v/>
      </c>
      <c r="D22" s="165" t="str">
        <f>IF($B22=FALSE,"",Length_5_R1!B16)</f>
        <v/>
      </c>
      <c r="E22" s="171" t="str">
        <f>IF(B22=FALSE,"",Length_5_R1!M16)</f>
        <v/>
      </c>
      <c r="F22" s="171" t="str">
        <f>IF(B22=FALSE,"",Length_5_R1!N16)</f>
        <v/>
      </c>
      <c r="G22" s="171" t="str">
        <f>IF(B22=FALSE,"",Length_5_R1!O16)</f>
        <v/>
      </c>
      <c r="H22" s="171" t="str">
        <f>IF(B22=FALSE,"",Length_5_R1!P16)</f>
        <v/>
      </c>
      <c r="I22" s="171" t="str">
        <f>IF(B22=FALSE,"",Length_5_R1!Q16)</f>
        <v/>
      </c>
      <c r="J22" s="165" t="str">
        <f t="shared" si="1"/>
        <v/>
      </c>
      <c r="K22" s="175" t="str">
        <f t="shared" si="2"/>
        <v/>
      </c>
      <c r="L22" s="176" t="str">
        <f>IF(B22=FALSE,"",Length_5_R1!D39)</f>
        <v/>
      </c>
      <c r="M22" s="177" t="str">
        <f>IF(B22=FALSE,"",Calcu!J22*I$4)</f>
        <v/>
      </c>
      <c r="N22" s="178" t="str">
        <f t="shared" si="13"/>
        <v/>
      </c>
      <c r="O22" s="178" t="str">
        <f>IF(B22=FALSE,"",Length_5_R1!K39)</f>
        <v/>
      </c>
      <c r="P22" s="178" t="str">
        <f t="shared" si="3"/>
        <v/>
      </c>
      <c r="Q22" s="165" t="str">
        <f t="shared" si="4"/>
        <v/>
      </c>
      <c r="R22" s="165" t="str">
        <f t="shared" si="5"/>
        <v/>
      </c>
      <c r="S22" s="232" t="str">
        <f t="shared" si="6"/>
        <v/>
      </c>
      <c r="T22" s="179" t="str">
        <f t="shared" si="7"/>
        <v/>
      </c>
      <c r="U22" s="180" t="str">
        <f t="shared" si="8"/>
        <v/>
      </c>
      <c r="V22" s="165" t="str">
        <f t="shared" si="14"/>
        <v/>
      </c>
      <c r="W22" s="165" t="str">
        <f t="shared" si="15"/>
        <v/>
      </c>
      <c r="X22" s="122"/>
      <c r="Y22" s="165">
        <f>IF(Length_5_R1!J16&lt;0,ROUNDUP(Length_5_R1!J16*I$4,$L$47),ROUNDDOWN(Length_5_R1!J16*I$4,$L$47))</f>
        <v>0</v>
      </c>
      <c r="Z22" s="165">
        <f>IF(Length_5_R1!K16&lt;0,ROUNDDOWN(Length_5_R1!K16*I$4,$L$47),ROUNDUP(Length_5_R1!K16*I$4,$L$47))</f>
        <v>0</v>
      </c>
      <c r="AA22" s="165" t="e">
        <f t="shared" ca="1" si="9"/>
        <v>#N/A</v>
      </c>
      <c r="AB22" s="168" t="e">
        <f t="shared" ca="1" si="10"/>
        <v>#N/A</v>
      </c>
      <c r="AC22" s="165" t="e">
        <f t="shared" ca="1" si="11"/>
        <v>#N/A</v>
      </c>
      <c r="AD22" s="165" t="e">
        <f t="shared" ca="1" si="12"/>
        <v>#VALUE!</v>
      </c>
      <c r="AE22" s="165" t="str">
        <f t="shared" si="16"/>
        <v/>
      </c>
      <c r="AF22" s="165" t="e">
        <f t="shared" ca="1" si="17"/>
        <v>#N/A</v>
      </c>
    </row>
    <row r="23" spans="1:32" ht="15" customHeight="1">
      <c r="B23" s="171" t="b">
        <f>IF(TRIM(Length_5_R1!A17)="",FALSE,TRUE)</f>
        <v>0</v>
      </c>
      <c r="C23" s="165" t="str">
        <f>IF($B23=FALSE,"",VALUE(Length_5_R1!A17))</f>
        <v/>
      </c>
      <c r="D23" s="165" t="str">
        <f>IF($B23=FALSE,"",Length_5_R1!B17)</f>
        <v/>
      </c>
      <c r="E23" s="171" t="str">
        <f>IF(B23=FALSE,"",Length_5_R1!M17)</f>
        <v/>
      </c>
      <c r="F23" s="171" t="str">
        <f>IF(B23=FALSE,"",Length_5_R1!N17)</f>
        <v/>
      </c>
      <c r="G23" s="171" t="str">
        <f>IF(B23=FALSE,"",Length_5_R1!O17)</f>
        <v/>
      </c>
      <c r="H23" s="171" t="str">
        <f>IF(B23=FALSE,"",Length_5_R1!P17)</f>
        <v/>
      </c>
      <c r="I23" s="171" t="str">
        <f>IF(B23=FALSE,"",Length_5_R1!Q17)</f>
        <v/>
      </c>
      <c r="J23" s="165" t="str">
        <f t="shared" si="1"/>
        <v/>
      </c>
      <c r="K23" s="175" t="str">
        <f t="shared" si="2"/>
        <v/>
      </c>
      <c r="L23" s="176" t="str">
        <f>IF(B23=FALSE,"",Length_5_R1!D40)</f>
        <v/>
      </c>
      <c r="M23" s="177" t="str">
        <f>IF(B23=FALSE,"",Calcu!J23*I$4)</f>
        <v/>
      </c>
      <c r="N23" s="178" t="str">
        <f t="shared" si="13"/>
        <v/>
      </c>
      <c r="O23" s="178" t="str">
        <f>IF(B23=FALSE,"",Length_5_R1!K40)</f>
        <v/>
      </c>
      <c r="P23" s="178" t="str">
        <f t="shared" si="3"/>
        <v/>
      </c>
      <c r="Q23" s="165" t="str">
        <f t="shared" si="4"/>
        <v/>
      </c>
      <c r="R23" s="165" t="str">
        <f t="shared" si="5"/>
        <v/>
      </c>
      <c r="S23" s="232" t="str">
        <f t="shared" si="6"/>
        <v/>
      </c>
      <c r="T23" s="179" t="str">
        <f t="shared" si="7"/>
        <v/>
      </c>
      <c r="U23" s="180" t="str">
        <f t="shared" si="8"/>
        <v/>
      </c>
      <c r="V23" s="165" t="str">
        <f t="shared" si="14"/>
        <v/>
      </c>
      <c r="W23" s="165" t="str">
        <f t="shared" si="15"/>
        <v/>
      </c>
      <c r="X23" s="122"/>
      <c r="Y23" s="165">
        <f>IF(Length_5_R1!J17&lt;0,ROUNDUP(Length_5_R1!J17*I$4,$L$47),ROUNDDOWN(Length_5_R1!J17*I$4,$L$47))</f>
        <v>0</v>
      </c>
      <c r="Z23" s="165">
        <f>IF(Length_5_R1!K17&lt;0,ROUNDDOWN(Length_5_R1!K17*I$4,$L$47),ROUNDUP(Length_5_R1!K17*I$4,$L$47))</f>
        <v>0</v>
      </c>
      <c r="AA23" s="165" t="e">
        <f t="shared" ca="1" si="9"/>
        <v>#N/A</v>
      </c>
      <c r="AB23" s="168" t="e">
        <f t="shared" ca="1" si="10"/>
        <v>#N/A</v>
      </c>
      <c r="AC23" s="165" t="e">
        <f t="shared" ca="1" si="11"/>
        <v>#N/A</v>
      </c>
      <c r="AD23" s="165" t="e">
        <f t="shared" ca="1" si="12"/>
        <v>#VALUE!</v>
      </c>
      <c r="AE23" s="165" t="str">
        <f t="shared" si="16"/>
        <v/>
      </c>
      <c r="AF23" s="165" t="e">
        <f t="shared" ca="1" si="17"/>
        <v>#N/A</v>
      </c>
    </row>
    <row r="24" spans="1:32" ht="15" customHeight="1">
      <c r="B24" s="171" t="b">
        <f>IF(TRIM(Length_5_R1!A18)="",FALSE,TRUE)</f>
        <v>0</v>
      </c>
      <c r="C24" s="165" t="str">
        <f>IF($B24=FALSE,"",VALUE(Length_5_R1!A18))</f>
        <v/>
      </c>
      <c r="D24" s="165" t="str">
        <f>IF($B24=FALSE,"",Length_5_R1!B18)</f>
        <v/>
      </c>
      <c r="E24" s="171" t="str">
        <f>IF(B24=FALSE,"",Length_5_R1!M18)</f>
        <v/>
      </c>
      <c r="F24" s="171" t="str">
        <f>IF(B24=FALSE,"",Length_5_R1!N18)</f>
        <v/>
      </c>
      <c r="G24" s="171" t="str">
        <f>IF(B24=FALSE,"",Length_5_R1!O18)</f>
        <v/>
      </c>
      <c r="H24" s="171" t="str">
        <f>IF(B24=FALSE,"",Length_5_R1!P18)</f>
        <v/>
      </c>
      <c r="I24" s="171" t="str">
        <f>IF(B24=FALSE,"",Length_5_R1!Q18)</f>
        <v/>
      </c>
      <c r="J24" s="165" t="str">
        <f t="shared" si="1"/>
        <v/>
      </c>
      <c r="K24" s="175" t="str">
        <f t="shared" si="2"/>
        <v/>
      </c>
      <c r="L24" s="176" t="str">
        <f>IF(B24=FALSE,"",Length_5_R1!D41)</f>
        <v/>
      </c>
      <c r="M24" s="177" t="str">
        <f>IF(B24=FALSE,"",Calcu!J24*I$4)</f>
        <v/>
      </c>
      <c r="N24" s="178" t="str">
        <f t="shared" si="13"/>
        <v/>
      </c>
      <c r="O24" s="178" t="str">
        <f>IF(B24=FALSE,"",Length_5_R1!K41)</f>
        <v/>
      </c>
      <c r="P24" s="178" t="str">
        <f t="shared" si="3"/>
        <v/>
      </c>
      <c r="Q24" s="165" t="str">
        <f t="shared" si="4"/>
        <v/>
      </c>
      <c r="R24" s="165" t="str">
        <f t="shared" si="5"/>
        <v/>
      </c>
      <c r="S24" s="232" t="str">
        <f t="shared" si="6"/>
        <v/>
      </c>
      <c r="T24" s="179" t="str">
        <f t="shared" si="7"/>
        <v/>
      </c>
      <c r="U24" s="180" t="str">
        <f t="shared" si="8"/>
        <v/>
      </c>
      <c r="V24" s="165" t="str">
        <f t="shared" si="14"/>
        <v/>
      </c>
      <c r="W24" s="165" t="str">
        <f t="shared" si="15"/>
        <v/>
      </c>
      <c r="X24" s="122"/>
      <c r="Y24" s="165">
        <f>IF(Length_5_R1!J18&lt;0,ROUNDUP(Length_5_R1!J18*I$4,$L$47),ROUNDDOWN(Length_5_R1!J18*I$4,$L$47))</f>
        <v>0</v>
      </c>
      <c r="Z24" s="165">
        <f>IF(Length_5_R1!K18&lt;0,ROUNDDOWN(Length_5_R1!K18*I$4,$L$47),ROUNDUP(Length_5_R1!K18*I$4,$L$47))</f>
        <v>0</v>
      </c>
      <c r="AA24" s="165" t="e">
        <f t="shared" ca="1" si="9"/>
        <v>#N/A</v>
      </c>
      <c r="AB24" s="168" t="e">
        <f t="shared" ca="1" si="10"/>
        <v>#N/A</v>
      </c>
      <c r="AC24" s="165" t="e">
        <f t="shared" ca="1" si="11"/>
        <v>#N/A</v>
      </c>
      <c r="AD24" s="165" t="e">
        <f t="shared" ca="1" si="12"/>
        <v>#VALUE!</v>
      </c>
      <c r="AE24" s="165" t="str">
        <f t="shared" si="16"/>
        <v/>
      </c>
      <c r="AF24" s="165" t="e">
        <f t="shared" ca="1" si="17"/>
        <v>#N/A</v>
      </c>
    </row>
    <row r="25" spans="1:32" ht="15" customHeight="1">
      <c r="B25" s="171" t="b">
        <f>IF(TRIM(Length_5_R1!A19)="",FALSE,TRUE)</f>
        <v>0</v>
      </c>
      <c r="C25" s="165" t="str">
        <f>IF($B25=FALSE,"",VALUE(Length_5_R1!A19))</f>
        <v/>
      </c>
      <c r="D25" s="165" t="str">
        <f>IF($B25=FALSE,"",Length_5_R1!B19)</f>
        <v/>
      </c>
      <c r="E25" s="171" t="str">
        <f>IF(B25=FALSE,"",Length_5_R1!M19)</f>
        <v/>
      </c>
      <c r="F25" s="171" t="str">
        <f>IF(B25=FALSE,"",Length_5_R1!N19)</f>
        <v/>
      </c>
      <c r="G25" s="171" t="str">
        <f>IF(B25=FALSE,"",Length_5_R1!O19)</f>
        <v/>
      </c>
      <c r="H25" s="171" t="str">
        <f>IF(B25=FALSE,"",Length_5_R1!P19)</f>
        <v/>
      </c>
      <c r="I25" s="171" t="str">
        <f>IF(B25=FALSE,"",Length_5_R1!Q19)</f>
        <v/>
      </c>
      <c r="J25" s="165" t="str">
        <f t="shared" si="1"/>
        <v/>
      </c>
      <c r="K25" s="175" t="str">
        <f t="shared" si="2"/>
        <v/>
      </c>
      <c r="L25" s="176" t="str">
        <f>IF(B25=FALSE,"",Length_5_R1!D42)</f>
        <v/>
      </c>
      <c r="M25" s="177" t="str">
        <f>IF(B25=FALSE,"",Calcu!J25*I$4)</f>
        <v/>
      </c>
      <c r="N25" s="178" t="str">
        <f t="shared" si="13"/>
        <v/>
      </c>
      <c r="O25" s="178" t="str">
        <f>IF(B25=FALSE,"",Length_5_R1!K42)</f>
        <v/>
      </c>
      <c r="P25" s="178" t="str">
        <f t="shared" si="3"/>
        <v/>
      </c>
      <c r="Q25" s="165" t="str">
        <f t="shared" si="4"/>
        <v/>
      </c>
      <c r="R25" s="165" t="str">
        <f t="shared" si="5"/>
        <v/>
      </c>
      <c r="S25" s="232" t="str">
        <f t="shared" si="6"/>
        <v/>
      </c>
      <c r="T25" s="179" t="str">
        <f t="shared" si="7"/>
        <v/>
      </c>
      <c r="U25" s="180" t="str">
        <f t="shared" si="8"/>
        <v/>
      </c>
      <c r="V25" s="165" t="str">
        <f t="shared" si="14"/>
        <v/>
      </c>
      <c r="W25" s="165" t="str">
        <f t="shared" si="15"/>
        <v/>
      </c>
      <c r="X25" s="122"/>
      <c r="Y25" s="165">
        <f>IF(Length_5_R1!J19&lt;0,ROUNDUP(Length_5_R1!J19*I$4,$L$47),ROUNDDOWN(Length_5_R1!J19*I$4,$L$47))</f>
        <v>0</v>
      </c>
      <c r="Z25" s="165">
        <f>IF(Length_5_R1!K19&lt;0,ROUNDDOWN(Length_5_R1!K19*I$4,$L$47),ROUNDUP(Length_5_R1!K19*I$4,$L$47))</f>
        <v>0</v>
      </c>
      <c r="AA25" s="165" t="e">
        <f t="shared" ca="1" si="9"/>
        <v>#N/A</v>
      </c>
      <c r="AB25" s="168" t="e">
        <f t="shared" ca="1" si="10"/>
        <v>#N/A</v>
      </c>
      <c r="AC25" s="165" t="e">
        <f t="shared" ca="1" si="11"/>
        <v>#N/A</v>
      </c>
      <c r="AD25" s="165" t="e">
        <f t="shared" ca="1" si="12"/>
        <v>#VALUE!</v>
      </c>
      <c r="AE25" s="165" t="str">
        <f t="shared" si="16"/>
        <v/>
      </c>
      <c r="AF25" s="165" t="e">
        <f t="shared" ca="1" si="17"/>
        <v>#N/A</v>
      </c>
    </row>
    <row r="26" spans="1:32" ht="15" customHeight="1">
      <c r="B26" s="171" t="b">
        <f>IF(TRIM(Length_5_R1!A20)="",FALSE,TRUE)</f>
        <v>0</v>
      </c>
      <c r="C26" s="165" t="str">
        <f>IF($B26=FALSE,"",VALUE(Length_5_R1!A20))</f>
        <v/>
      </c>
      <c r="D26" s="165" t="str">
        <f>IF($B26=FALSE,"",Length_5_R1!B20)</f>
        <v/>
      </c>
      <c r="E26" s="171" t="str">
        <f>IF(B26=FALSE,"",Length_5_R1!M20)</f>
        <v/>
      </c>
      <c r="F26" s="171" t="str">
        <f>IF(B26=FALSE,"",Length_5_R1!N20)</f>
        <v/>
      </c>
      <c r="G26" s="171" t="str">
        <f>IF(B26=FALSE,"",Length_5_R1!O20)</f>
        <v/>
      </c>
      <c r="H26" s="171" t="str">
        <f>IF(B26=FALSE,"",Length_5_R1!P20)</f>
        <v/>
      </c>
      <c r="I26" s="171" t="str">
        <f>IF(B26=FALSE,"",Length_5_R1!Q20)</f>
        <v/>
      </c>
      <c r="J26" s="165" t="str">
        <f t="shared" si="1"/>
        <v/>
      </c>
      <c r="K26" s="175" t="str">
        <f t="shared" si="2"/>
        <v/>
      </c>
      <c r="L26" s="176" t="str">
        <f>IF(B26=FALSE,"",Length_5_R1!D43)</f>
        <v/>
      </c>
      <c r="M26" s="177" t="str">
        <f>IF(B26=FALSE,"",Calcu!J26*I$4)</f>
        <v/>
      </c>
      <c r="N26" s="178" t="str">
        <f t="shared" si="13"/>
        <v/>
      </c>
      <c r="O26" s="178" t="str">
        <f>IF(B26=FALSE,"",Length_5_R1!K43)</f>
        <v/>
      </c>
      <c r="P26" s="178" t="str">
        <f t="shared" si="3"/>
        <v/>
      </c>
      <c r="Q26" s="165" t="str">
        <f t="shared" si="4"/>
        <v/>
      </c>
      <c r="R26" s="165" t="str">
        <f t="shared" si="5"/>
        <v/>
      </c>
      <c r="S26" s="232" t="str">
        <f t="shared" si="6"/>
        <v/>
      </c>
      <c r="T26" s="179" t="str">
        <f t="shared" si="7"/>
        <v/>
      </c>
      <c r="U26" s="180" t="str">
        <f t="shared" si="8"/>
        <v/>
      </c>
      <c r="V26" s="165" t="str">
        <f t="shared" si="14"/>
        <v/>
      </c>
      <c r="W26" s="165" t="str">
        <f t="shared" si="15"/>
        <v/>
      </c>
      <c r="X26" s="122"/>
      <c r="Y26" s="165">
        <f>IF(Length_5_R1!J20&lt;0,ROUNDUP(Length_5_R1!J20*I$4,$L$47),ROUNDDOWN(Length_5_R1!J20*I$4,$L$47))</f>
        <v>0</v>
      </c>
      <c r="Z26" s="165">
        <f>IF(Length_5_R1!K20&lt;0,ROUNDDOWN(Length_5_R1!K20*I$4,$L$47),ROUNDUP(Length_5_R1!K20*I$4,$L$47))</f>
        <v>0</v>
      </c>
      <c r="AA26" s="165" t="e">
        <f t="shared" ca="1" si="9"/>
        <v>#N/A</v>
      </c>
      <c r="AB26" s="168" t="e">
        <f t="shared" ca="1" si="10"/>
        <v>#N/A</v>
      </c>
      <c r="AC26" s="165" t="e">
        <f t="shared" ca="1" si="11"/>
        <v>#N/A</v>
      </c>
      <c r="AD26" s="165" t="e">
        <f t="shared" ca="1" si="12"/>
        <v>#VALUE!</v>
      </c>
      <c r="AE26" s="165" t="str">
        <f t="shared" si="16"/>
        <v/>
      </c>
      <c r="AF26" s="165" t="e">
        <f t="shared" ca="1" si="17"/>
        <v>#N/A</v>
      </c>
    </row>
    <row r="27" spans="1:32" ht="15" customHeight="1">
      <c r="B27" s="171" t="b">
        <f>IF(TRIM(Length_5_R1!A21)="",FALSE,TRUE)</f>
        <v>0</v>
      </c>
      <c r="C27" s="165" t="str">
        <f>IF($B27=FALSE,"",VALUE(Length_5_R1!A21))</f>
        <v/>
      </c>
      <c r="D27" s="165" t="str">
        <f>IF($B27=FALSE,"",Length_5_R1!B21)</f>
        <v/>
      </c>
      <c r="E27" s="171" t="str">
        <f>IF(B27=FALSE,"",Length_5_R1!M21)</f>
        <v/>
      </c>
      <c r="F27" s="171" t="str">
        <f>IF(B27=FALSE,"",Length_5_R1!N21)</f>
        <v/>
      </c>
      <c r="G27" s="171" t="str">
        <f>IF(B27=FALSE,"",Length_5_R1!O21)</f>
        <v/>
      </c>
      <c r="H27" s="171" t="str">
        <f>IF(B27=FALSE,"",Length_5_R1!P21)</f>
        <v/>
      </c>
      <c r="I27" s="171" t="str">
        <f>IF(B27=FALSE,"",Length_5_R1!Q21)</f>
        <v/>
      </c>
      <c r="J27" s="165" t="str">
        <f t="shared" si="1"/>
        <v/>
      </c>
      <c r="K27" s="175" t="str">
        <f t="shared" si="2"/>
        <v/>
      </c>
      <c r="L27" s="176" t="str">
        <f>IF(B27=FALSE,"",Length_5_R1!D44)</f>
        <v/>
      </c>
      <c r="M27" s="177" t="str">
        <f>IF(B27=FALSE,"",Calcu!J27*I$4)</f>
        <v/>
      </c>
      <c r="N27" s="178" t="str">
        <f t="shared" si="13"/>
        <v/>
      </c>
      <c r="O27" s="178" t="str">
        <f>IF(B27=FALSE,"",Length_5_R1!K44)</f>
        <v/>
      </c>
      <c r="P27" s="178" t="str">
        <f t="shared" si="3"/>
        <v/>
      </c>
      <c r="Q27" s="165" t="str">
        <f t="shared" si="4"/>
        <v/>
      </c>
      <c r="R27" s="165" t="str">
        <f t="shared" si="5"/>
        <v/>
      </c>
      <c r="S27" s="232" t="str">
        <f t="shared" si="6"/>
        <v/>
      </c>
      <c r="T27" s="179" t="str">
        <f t="shared" si="7"/>
        <v/>
      </c>
      <c r="U27" s="180" t="str">
        <f t="shared" si="8"/>
        <v/>
      </c>
      <c r="V27" s="165" t="str">
        <f t="shared" si="14"/>
        <v/>
      </c>
      <c r="W27" s="165" t="str">
        <f t="shared" si="15"/>
        <v/>
      </c>
      <c r="X27" s="122"/>
      <c r="Y27" s="165">
        <f>IF(Length_5_R1!J21&lt;0,ROUNDUP(Length_5_R1!J21*I$4,$L$47),ROUNDDOWN(Length_5_R1!J21*I$4,$L$47))</f>
        <v>0</v>
      </c>
      <c r="Z27" s="165">
        <f>IF(Length_5_R1!K21&lt;0,ROUNDDOWN(Length_5_R1!K21*I$4,$L$47),ROUNDUP(Length_5_R1!K21*I$4,$L$47))</f>
        <v>0</v>
      </c>
      <c r="AA27" s="165" t="e">
        <f t="shared" ca="1" si="9"/>
        <v>#N/A</v>
      </c>
      <c r="AB27" s="168" t="e">
        <f t="shared" ca="1" si="10"/>
        <v>#N/A</v>
      </c>
      <c r="AC27" s="165" t="e">
        <f t="shared" ca="1" si="11"/>
        <v>#N/A</v>
      </c>
      <c r="AD27" s="165" t="e">
        <f t="shared" ca="1" si="12"/>
        <v>#VALUE!</v>
      </c>
      <c r="AE27" s="165" t="str">
        <f t="shared" si="16"/>
        <v/>
      </c>
      <c r="AF27" s="165" t="e">
        <f t="shared" ca="1" si="17"/>
        <v>#N/A</v>
      </c>
    </row>
    <row r="28" spans="1:32" ht="15" customHeight="1">
      <c r="B28" s="171" t="b">
        <f>IF(TRIM(Length_5_R1!A22)="",FALSE,TRUE)</f>
        <v>0</v>
      </c>
      <c r="C28" s="165" t="str">
        <f>IF($B28=FALSE,"",VALUE(Length_5_R1!A22))</f>
        <v/>
      </c>
      <c r="D28" s="165" t="str">
        <f>IF($B28=FALSE,"",Length_5_R1!B22)</f>
        <v/>
      </c>
      <c r="E28" s="171" t="str">
        <f>IF(B28=FALSE,"",Length_5_R1!M22)</f>
        <v/>
      </c>
      <c r="F28" s="171" t="str">
        <f>IF(B28=FALSE,"",Length_5_R1!N22)</f>
        <v/>
      </c>
      <c r="G28" s="171" t="str">
        <f>IF(B28=FALSE,"",Length_5_R1!O22)</f>
        <v/>
      </c>
      <c r="H28" s="171" t="str">
        <f>IF(B28=FALSE,"",Length_5_R1!P22)</f>
        <v/>
      </c>
      <c r="I28" s="171" t="str">
        <f>IF(B28=FALSE,"",Length_5_R1!Q22)</f>
        <v/>
      </c>
      <c r="J28" s="165" t="str">
        <f t="shared" si="1"/>
        <v/>
      </c>
      <c r="K28" s="175" t="str">
        <f t="shared" si="2"/>
        <v/>
      </c>
      <c r="L28" s="176" t="str">
        <f>IF(B28=FALSE,"",Length_5_R1!D45)</f>
        <v/>
      </c>
      <c r="M28" s="177" t="str">
        <f>IF(B28=FALSE,"",Calcu!J28*I$4)</f>
        <v/>
      </c>
      <c r="N28" s="178" t="str">
        <f t="shared" si="13"/>
        <v/>
      </c>
      <c r="O28" s="178" t="str">
        <f>IF(B28=FALSE,"",Length_5_R1!K45)</f>
        <v/>
      </c>
      <c r="P28" s="178" t="str">
        <f t="shared" si="3"/>
        <v/>
      </c>
      <c r="Q28" s="165" t="str">
        <f t="shared" si="4"/>
        <v/>
      </c>
      <c r="R28" s="165" t="str">
        <f t="shared" si="5"/>
        <v/>
      </c>
      <c r="S28" s="232" t="str">
        <f t="shared" si="6"/>
        <v/>
      </c>
      <c r="T28" s="179" t="str">
        <f t="shared" si="7"/>
        <v/>
      </c>
      <c r="U28" s="180" t="str">
        <f t="shared" si="8"/>
        <v/>
      </c>
      <c r="V28" s="165" t="str">
        <f t="shared" si="14"/>
        <v/>
      </c>
      <c r="W28" s="165" t="str">
        <f t="shared" si="15"/>
        <v/>
      </c>
      <c r="X28" s="122"/>
      <c r="Y28" s="165">
        <f>IF(Length_5_R1!J22&lt;0,ROUNDUP(Length_5_R1!J22*I$4,$L$47),ROUNDDOWN(Length_5_R1!J22*I$4,$L$47))</f>
        <v>0</v>
      </c>
      <c r="Z28" s="165">
        <f>IF(Length_5_R1!K22&lt;0,ROUNDDOWN(Length_5_R1!K22*I$4,$L$47),ROUNDUP(Length_5_R1!K22*I$4,$L$47))</f>
        <v>0</v>
      </c>
      <c r="AA28" s="165" t="e">
        <f t="shared" ca="1" si="9"/>
        <v>#N/A</v>
      </c>
      <c r="AB28" s="168" t="e">
        <f t="shared" ca="1" si="10"/>
        <v>#N/A</v>
      </c>
      <c r="AC28" s="165" t="e">
        <f t="shared" ca="1" si="11"/>
        <v>#N/A</v>
      </c>
      <c r="AD28" s="165" t="e">
        <f t="shared" ca="1" si="12"/>
        <v>#VALUE!</v>
      </c>
      <c r="AE28" s="165" t="str">
        <f t="shared" si="16"/>
        <v/>
      </c>
      <c r="AF28" s="165" t="e">
        <f t="shared" ca="1" si="17"/>
        <v>#N/A</v>
      </c>
    </row>
    <row r="29" spans="1:32" ht="15" customHeight="1">
      <c r="B29" s="171" t="b">
        <f>IF(TRIM(Length_5_R1!A23)="",FALSE,TRUE)</f>
        <v>0</v>
      </c>
      <c r="C29" s="165" t="str">
        <f>IF($B29=FALSE,"",VALUE(Length_5_R1!A23))</f>
        <v/>
      </c>
      <c r="D29" s="165" t="str">
        <f>IF($B29=FALSE,"",Length_5_R1!B23)</f>
        <v/>
      </c>
      <c r="E29" s="171" t="str">
        <f>IF(B29=FALSE,"",Length_5_R1!M23)</f>
        <v/>
      </c>
      <c r="F29" s="171" t="str">
        <f>IF(B29=FALSE,"",Length_5_R1!N23)</f>
        <v/>
      </c>
      <c r="G29" s="171" t="str">
        <f>IF(B29=FALSE,"",Length_5_R1!O23)</f>
        <v/>
      </c>
      <c r="H29" s="171" t="str">
        <f>IF(B29=FALSE,"",Length_5_R1!P23)</f>
        <v/>
      </c>
      <c r="I29" s="171" t="str">
        <f>IF(B29=FALSE,"",Length_5_R1!Q23)</f>
        <v/>
      </c>
      <c r="J29" s="165" t="str">
        <f t="shared" si="1"/>
        <v/>
      </c>
      <c r="K29" s="175" t="str">
        <f t="shared" si="2"/>
        <v/>
      </c>
      <c r="L29" s="176" t="str">
        <f>IF(B29=FALSE,"",Length_5_R1!D46)</f>
        <v/>
      </c>
      <c r="M29" s="177" t="str">
        <f>IF(B29=FALSE,"",Calcu!J29*I$4)</f>
        <v/>
      </c>
      <c r="N29" s="178" t="str">
        <f t="shared" si="13"/>
        <v/>
      </c>
      <c r="O29" s="178" t="str">
        <f>IF(B29=FALSE,"",Length_5_R1!K46)</f>
        <v/>
      </c>
      <c r="P29" s="178" t="str">
        <f t="shared" si="3"/>
        <v/>
      </c>
      <c r="Q29" s="165" t="str">
        <f t="shared" si="4"/>
        <v/>
      </c>
      <c r="R29" s="165" t="str">
        <f t="shared" si="5"/>
        <v/>
      </c>
      <c r="S29" s="232" t="str">
        <f t="shared" si="6"/>
        <v/>
      </c>
      <c r="T29" s="179" t="str">
        <f t="shared" si="7"/>
        <v/>
      </c>
      <c r="U29" s="180" t="str">
        <f t="shared" si="8"/>
        <v/>
      </c>
      <c r="V29" s="165" t="str">
        <f t="shared" si="14"/>
        <v/>
      </c>
      <c r="W29" s="165" t="str">
        <f t="shared" si="15"/>
        <v/>
      </c>
      <c r="X29" s="122"/>
      <c r="Y29" s="165">
        <f>IF(Length_5_R1!J23&lt;0,ROUNDUP(Length_5_R1!J23*I$4,$L$47),ROUNDDOWN(Length_5_R1!J23*I$4,$L$47))</f>
        <v>0</v>
      </c>
      <c r="Z29" s="165">
        <f>IF(Length_5_R1!K23&lt;0,ROUNDDOWN(Length_5_R1!K23*I$4,$L$47),ROUNDUP(Length_5_R1!K23*I$4,$L$47))</f>
        <v>0</v>
      </c>
      <c r="AA29" s="165" t="e">
        <f t="shared" ca="1" si="9"/>
        <v>#N/A</v>
      </c>
      <c r="AB29" s="168" t="e">
        <f t="shared" ca="1" si="10"/>
        <v>#N/A</v>
      </c>
      <c r="AC29" s="165" t="e">
        <f t="shared" ca="1" si="11"/>
        <v>#N/A</v>
      </c>
      <c r="AD29" s="165" t="e">
        <f t="shared" ca="1" si="12"/>
        <v>#VALUE!</v>
      </c>
      <c r="AE29" s="165" t="str">
        <f t="shared" si="16"/>
        <v/>
      </c>
      <c r="AF29" s="165" t="e">
        <f t="shared" ca="1" si="17"/>
        <v>#N/A</v>
      </c>
    </row>
    <row r="30" spans="1:32" ht="15" customHeight="1">
      <c r="N30" s="118"/>
      <c r="O30" s="118"/>
      <c r="P30" s="118"/>
      <c r="Q30" s="118"/>
      <c r="R30" s="118"/>
      <c r="S30" s="118"/>
      <c r="T30" s="118"/>
      <c r="Y30" s="118"/>
    </row>
    <row r="31" spans="1:32" ht="15" customHeight="1">
      <c r="A31" s="116" t="s">
        <v>246</v>
      </c>
      <c r="C31" s="117"/>
      <c r="D31" s="117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</row>
    <row r="32" spans="1:32" ht="15" customHeight="1">
      <c r="A32" s="116"/>
      <c r="B32" s="683"/>
      <c r="C32" s="683" t="s">
        <v>147</v>
      </c>
      <c r="D32" s="694" t="s">
        <v>148</v>
      </c>
      <c r="E32" s="683" t="s">
        <v>149</v>
      </c>
      <c r="F32" s="683" t="s">
        <v>150</v>
      </c>
      <c r="G32" s="666">
        <v>1</v>
      </c>
      <c r="H32" s="668"/>
      <c r="I32" s="668"/>
      <c r="J32" s="668"/>
      <c r="K32" s="668"/>
      <c r="L32" s="668"/>
      <c r="M32" s="667"/>
      <c r="N32" s="210">
        <v>2</v>
      </c>
      <c r="O32" s="666">
        <v>3</v>
      </c>
      <c r="P32" s="668"/>
      <c r="Q32" s="668"/>
      <c r="R32" s="667"/>
      <c r="S32" s="666">
        <v>4</v>
      </c>
      <c r="T32" s="668"/>
      <c r="U32" s="667"/>
      <c r="V32" s="210">
        <v>5</v>
      </c>
      <c r="W32" s="683" t="s">
        <v>151</v>
      </c>
      <c r="X32" s="683" t="s">
        <v>152</v>
      </c>
      <c r="Y32" s="666" t="s">
        <v>1264</v>
      </c>
      <c r="Z32" s="667"/>
      <c r="AA32" s="122"/>
      <c r="AB32" s="122"/>
      <c r="AC32" s="122"/>
    </row>
    <row r="33" spans="1:29" ht="15" customHeight="1">
      <c r="A33" s="116"/>
      <c r="B33" s="688"/>
      <c r="C33" s="688"/>
      <c r="D33" s="695"/>
      <c r="E33" s="688"/>
      <c r="F33" s="688"/>
      <c r="G33" s="279" t="s">
        <v>491</v>
      </c>
      <c r="H33" s="279" t="s">
        <v>285</v>
      </c>
      <c r="I33" s="231" t="s">
        <v>286</v>
      </c>
      <c r="J33" s="231" t="s">
        <v>287</v>
      </c>
      <c r="K33" s="666" t="s">
        <v>151</v>
      </c>
      <c r="L33" s="668"/>
      <c r="M33" s="667"/>
      <c r="N33" s="210" t="s">
        <v>157</v>
      </c>
      <c r="O33" s="666" t="s">
        <v>156</v>
      </c>
      <c r="P33" s="667"/>
      <c r="Q33" s="666" t="s">
        <v>158</v>
      </c>
      <c r="R33" s="667"/>
      <c r="S33" s="666" t="s">
        <v>159</v>
      </c>
      <c r="T33" s="668"/>
      <c r="U33" s="667"/>
      <c r="V33" s="210" t="s">
        <v>160</v>
      </c>
      <c r="W33" s="687"/>
      <c r="X33" s="684"/>
      <c r="Y33" s="392" t="s">
        <v>189</v>
      </c>
      <c r="Z33" s="392" t="s">
        <v>1265</v>
      </c>
      <c r="AA33" s="122"/>
      <c r="AB33" s="122"/>
      <c r="AC33" s="122"/>
    </row>
    <row r="34" spans="1:29" ht="15" customHeight="1">
      <c r="B34" s="210" t="s">
        <v>163</v>
      </c>
      <c r="C34" s="181" t="s">
        <v>164</v>
      </c>
      <c r="D34" s="182" t="s">
        <v>165</v>
      </c>
      <c r="E34" s="208" t="e">
        <f ca="1">OFFSET(L$9,MATCH(K$4,T$10:T$29,0),0)</f>
        <v>#N/A</v>
      </c>
      <c r="F34" s="183" t="s">
        <v>166</v>
      </c>
      <c r="G34" s="165" t="e">
        <f ca="1">OFFSET(Length_5_R1!F26,MATCH(E4,C10:C29,0),0)</f>
        <v>#N/A</v>
      </c>
      <c r="H34" s="215" t="e">
        <f ca="1">OFFSET(Length_5_R1!G26,MATCH(E4,C10:C29,0),0)</f>
        <v>#N/A</v>
      </c>
      <c r="I34" s="165" t="e">
        <f ca="1">OFFSET(Length_5_R1!J26,MATCH(E4,C10:C29,0),0)</f>
        <v>#N/A</v>
      </c>
      <c r="J34" s="165" t="e">
        <f ca="1">OFFSET(Length_5_R1!I26,MATCH(E4,C10:C29,0),0)</f>
        <v>#N/A</v>
      </c>
      <c r="K34" s="188" t="e">
        <f ca="1">G34/J34</f>
        <v>#N/A</v>
      </c>
      <c r="L34" s="177" t="e">
        <f ca="1">IF(I34="L=m",H34/1000,H34)/J34</f>
        <v>#N/A</v>
      </c>
      <c r="M34" s="167" t="s">
        <v>167</v>
      </c>
      <c r="N34" s="184" t="s">
        <v>168</v>
      </c>
      <c r="O34" s="165"/>
      <c r="P34" s="165"/>
      <c r="Q34" s="177">
        <v>1</v>
      </c>
      <c r="R34" s="165"/>
      <c r="S34" s="185" t="e">
        <f ca="1">ABS(K34*Q34)</f>
        <v>#N/A</v>
      </c>
      <c r="T34" s="165" t="e">
        <f ca="1">ABS(L34*Q34)</f>
        <v>#N/A</v>
      </c>
      <c r="U34" s="167" t="s">
        <v>167</v>
      </c>
      <c r="V34" s="165" t="s">
        <v>169</v>
      </c>
      <c r="W34" s="193" t="e">
        <f ca="1">SQRT(SUMSQ(S34,T34*K$4))</f>
        <v>#N/A</v>
      </c>
      <c r="X34" s="189">
        <f t="shared" ref="X34:X42" si="18">IF(V34="∞",0,W34^4/V34)</f>
        <v>0</v>
      </c>
      <c r="Y34" s="185" t="str">
        <f t="shared" ref="Y34:Y42" si="19">IF(OR(N34="직사각형",N34="삼각형"),W34,"")</f>
        <v/>
      </c>
      <c r="Z34" s="185" t="e">
        <f t="shared" ref="Z34:Z42" ca="1" si="20">IF(OR(N34="직사각형",N34="삼각형"),"",W34)</f>
        <v>#N/A</v>
      </c>
      <c r="AA34" s="122"/>
      <c r="AB34" s="122"/>
      <c r="AC34" s="122"/>
    </row>
    <row r="35" spans="1:29" ht="15" customHeight="1">
      <c r="B35" s="210" t="s">
        <v>171</v>
      </c>
      <c r="C35" s="181" t="s">
        <v>172</v>
      </c>
      <c r="D35" s="182" t="s">
        <v>175</v>
      </c>
      <c r="E35" s="208" t="e">
        <f ca="1">OFFSET(M$9,MATCH(K$4,T$10:T$29,0),0)</f>
        <v>#N/A</v>
      </c>
      <c r="F35" s="183" t="s">
        <v>166</v>
      </c>
      <c r="G35" s="165"/>
      <c r="H35" s="167">
        <f>IF(MAX(K10:K29)=0,O4*1000,MAX(K10:K29)*1000)</f>
        <v>0</v>
      </c>
      <c r="I35" s="165">
        <f>IF(MAX(K10:K29)=0,2,1)</f>
        <v>2</v>
      </c>
      <c r="J35" s="186">
        <v>5</v>
      </c>
      <c r="K35" s="193">
        <f>H35/(IF(I35="",1,I35)*SQRT(J35))</f>
        <v>0</v>
      </c>
      <c r="L35" s="193"/>
      <c r="M35" s="167" t="s">
        <v>167</v>
      </c>
      <c r="N35" s="184" t="s">
        <v>247</v>
      </c>
      <c r="O35" s="165"/>
      <c r="P35" s="165"/>
      <c r="Q35" s="177">
        <v>-1</v>
      </c>
      <c r="R35" s="165"/>
      <c r="S35" s="185">
        <f t="shared" ref="S35:S42" si="21">ABS(K35*Q35)</f>
        <v>0</v>
      </c>
      <c r="T35" s="165">
        <f t="shared" ref="T35:T42" si="22">ABS(L35*Q35)</f>
        <v>0</v>
      </c>
      <c r="U35" s="167" t="s">
        <v>167</v>
      </c>
      <c r="V35" s="165">
        <v>4</v>
      </c>
      <c r="W35" s="193">
        <f t="shared" ref="W35:W42" si="23">SQRT(SUMSQ(S35,T35*K$4))</f>
        <v>0</v>
      </c>
      <c r="X35" s="189">
        <f t="shared" si="18"/>
        <v>0</v>
      </c>
      <c r="Y35" s="185" t="str">
        <f t="shared" si="19"/>
        <v/>
      </c>
      <c r="Z35" s="185">
        <f t="shared" si="20"/>
        <v>0</v>
      </c>
      <c r="AA35" s="122"/>
      <c r="AB35" s="122"/>
      <c r="AC35" s="122"/>
    </row>
    <row r="36" spans="1:29" ht="15" customHeight="1">
      <c r="B36" s="210" t="s">
        <v>249</v>
      </c>
      <c r="C36" s="181" t="s">
        <v>250</v>
      </c>
      <c r="D36" s="182" t="s">
        <v>110</v>
      </c>
      <c r="E36" s="178" t="e">
        <f ca="1">OFFSET(P$9,MATCH(K$4,T$10:T$29,0),0)</f>
        <v>#N/A</v>
      </c>
      <c r="F36" s="183" t="s">
        <v>185</v>
      </c>
      <c r="G36" s="178"/>
      <c r="H36" s="178">
        <f>1*10^-6</f>
        <v>9.9999999999999995E-7</v>
      </c>
      <c r="I36" s="166"/>
      <c r="J36" s="186">
        <v>3</v>
      </c>
      <c r="K36" s="284"/>
      <c r="L36" s="284">
        <f>SQRT((H36/SQRT(J36)/2)^2+(H36/SQRT(J36)/2)^2)</f>
        <v>4.0824829046386305E-7</v>
      </c>
      <c r="M36" s="183" t="s">
        <v>185</v>
      </c>
      <c r="N36" s="184" t="s">
        <v>251</v>
      </c>
      <c r="O36" s="167">
        <f>H37</f>
        <v>0.2</v>
      </c>
      <c r="P36" s="165" t="s">
        <v>177</v>
      </c>
      <c r="Q36" s="177">
        <f>-O36*1000</f>
        <v>-200</v>
      </c>
      <c r="R36" s="165" t="s">
        <v>187</v>
      </c>
      <c r="S36" s="185">
        <f t="shared" si="21"/>
        <v>0</v>
      </c>
      <c r="T36" s="165">
        <f t="shared" si="22"/>
        <v>8.1649658092772609E-5</v>
      </c>
      <c r="U36" s="167" t="s">
        <v>174</v>
      </c>
      <c r="V36" s="165">
        <v>100</v>
      </c>
      <c r="W36" s="193">
        <f t="shared" si="23"/>
        <v>0</v>
      </c>
      <c r="X36" s="189">
        <f t="shared" si="18"/>
        <v>0</v>
      </c>
      <c r="Y36" s="185">
        <f t="shared" si="19"/>
        <v>0</v>
      </c>
      <c r="Z36" s="185" t="str">
        <f t="shared" si="20"/>
        <v/>
      </c>
      <c r="AA36" s="122"/>
      <c r="AB36" s="122"/>
      <c r="AC36" s="122"/>
    </row>
    <row r="37" spans="1:29" ht="15" customHeight="1">
      <c r="B37" s="210" t="s">
        <v>252</v>
      </c>
      <c r="C37" s="181" t="s">
        <v>180</v>
      </c>
      <c r="D37" s="182" t="s">
        <v>112</v>
      </c>
      <c r="E37" s="167" t="str">
        <f>Q10</f>
        <v/>
      </c>
      <c r="F37" s="183" t="s">
        <v>253</v>
      </c>
      <c r="G37" s="166"/>
      <c r="H37" s="167">
        <f>IF(기본정보!H12=1,0.4,0.2)</f>
        <v>0.2</v>
      </c>
      <c r="I37" s="166"/>
      <c r="J37" s="186">
        <v>3</v>
      </c>
      <c r="K37" s="193"/>
      <c r="L37" s="193">
        <f>H37/(IF(I37="",1,I37)*SQRT(J37))</f>
        <v>0.11547005383792516</v>
      </c>
      <c r="M37" s="183" t="s">
        <v>253</v>
      </c>
      <c r="N37" s="184" t="s">
        <v>254</v>
      </c>
      <c r="O37" s="178" t="e">
        <f ca="1">E36</f>
        <v>#N/A</v>
      </c>
      <c r="P37" s="165" t="s">
        <v>255</v>
      </c>
      <c r="Q37" s="177" t="e">
        <f ca="1">-O37*1000</f>
        <v>#N/A</v>
      </c>
      <c r="R37" s="165" t="s">
        <v>182</v>
      </c>
      <c r="S37" s="185" t="e">
        <f t="shared" ca="1" si="21"/>
        <v>#N/A</v>
      </c>
      <c r="T37" s="165" t="e">
        <f t="shared" ca="1" si="22"/>
        <v>#N/A</v>
      </c>
      <c r="U37" s="167" t="s">
        <v>167</v>
      </c>
      <c r="V37" s="165">
        <v>12</v>
      </c>
      <c r="W37" s="193" t="e">
        <f t="shared" ca="1" si="23"/>
        <v>#N/A</v>
      </c>
      <c r="X37" s="189" t="e">
        <f t="shared" ca="1" si="18"/>
        <v>#N/A</v>
      </c>
      <c r="Y37" s="185" t="e">
        <f t="shared" ca="1" si="19"/>
        <v>#N/A</v>
      </c>
      <c r="Z37" s="185" t="str">
        <f t="shared" si="20"/>
        <v/>
      </c>
      <c r="AA37" s="122"/>
      <c r="AB37" s="122"/>
      <c r="AC37" s="122"/>
    </row>
    <row r="38" spans="1:29" ht="15" customHeight="1">
      <c r="B38" s="210" t="s">
        <v>183</v>
      </c>
      <c r="C38" s="181" t="s">
        <v>184</v>
      </c>
      <c r="D38" s="182" t="s">
        <v>111</v>
      </c>
      <c r="E38" s="187" t="e">
        <f ca="1">OFFSET(R$9,MATCH(K$4,T$10:T$29,0),0)</f>
        <v>#N/A</v>
      </c>
      <c r="F38" s="183" t="s">
        <v>185</v>
      </c>
      <c r="G38" s="178"/>
      <c r="H38" s="178">
        <f>1*10^-6</f>
        <v>9.9999999999999995E-7</v>
      </c>
      <c r="I38" s="166"/>
      <c r="J38" s="186">
        <v>3</v>
      </c>
      <c r="K38" s="284"/>
      <c r="L38" s="284">
        <f>SQRT((H38/SQRT(J38))^2+(H38/SQRT(J38))^2)</f>
        <v>8.1649658092772609E-7</v>
      </c>
      <c r="M38" s="183" t="s">
        <v>176</v>
      </c>
      <c r="N38" s="184" t="s">
        <v>186</v>
      </c>
      <c r="O38" s="167">
        <f>E39</f>
        <v>0.1</v>
      </c>
      <c r="P38" s="165" t="s">
        <v>177</v>
      </c>
      <c r="Q38" s="177">
        <f>-O38*1000</f>
        <v>-100</v>
      </c>
      <c r="R38" s="165" t="s">
        <v>178</v>
      </c>
      <c r="S38" s="185">
        <f t="shared" si="21"/>
        <v>0</v>
      </c>
      <c r="T38" s="165">
        <f t="shared" si="22"/>
        <v>8.1649658092772609E-5</v>
      </c>
      <c r="U38" s="167" t="s">
        <v>167</v>
      </c>
      <c r="V38" s="165">
        <v>100</v>
      </c>
      <c r="W38" s="193">
        <f t="shared" si="23"/>
        <v>0</v>
      </c>
      <c r="X38" s="189">
        <f t="shared" si="18"/>
        <v>0</v>
      </c>
      <c r="Y38" s="185">
        <f t="shared" si="19"/>
        <v>0</v>
      </c>
      <c r="Z38" s="185" t="str">
        <f t="shared" si="20"/>
        <v/>
      </c>
      <c r="AA38" s="122"/>
      <c r="AB38" s="122"/>
      <c r="AC38" s="122"/>
    </row>
    <row r="39" spans="1:29" ht="15" customHeight="1">
      <c r="B39" s="210" t="s">
        <v>188</v>
      </c>
      <c r="C39" s="181" t="s">
        <v>113</v>
      </c>
      <c r="D39" s="182" t="s">
        <v>114</v>
      </c>
      <c r="E39" s="167">
        <f>MAX(S10,0.1)</f>
        <v>0.1</v>
      </c>
      <c r="F39" s="183" t="s">
        <v>181</v>
      </c>
      <c r="G39" s="166"/>
      <c r="H39" s="167">
        <f>IF(기본정보!H12=1,3,1)</f>
        <v>1</v>
      </c>
      <c r="I39" s="166"/>
      <c r="J39" s="186">
        <v>3</v>
      </c>
      <c r="K39" s="193"/>
      <c r="L39" s="193">
        <f>H39/(IF(I39="",1,I39)*SQRT(J39))</f>
        <v>0.57735026918962584</v>
      </c>
      <c r="M39" s="183" t="s">
        <v>181</v>
      </c>
      <c r="N39" s="184" t="s">
        <v>189</v>
      </c>
      <c r="O39" s="187" t="e">
        <f ca="1">E38</f>
        <v>#N/A</v>
      </c>
      <c r="P39" s="165" t="s">
        <v>177</v>
      </c>
      <c r="Q39" s="177" t="e">
        <f ca="1">-O39*1000</f>
        <v>#N/A</v>
      </c>
      <c r="R39" s="165" t="s">
        <v>182</v>
      </c>
      <c r="S39" s="185" t="e">
        <f t="shared" ca="1" si="21"/>
        <v>#N/A</v>
      </c>
      <c r="T39" s="165" t="e">
        <f t="shared" ca="1" si="22"/>
        <v>#N/A</v>
      </c>
      <c r="U39" s="167" t="s">
        <v>167</v>
      </c>
      <c r="V39" s="165">
        <v>12</v>
      </c>
      <c r="W39" s="193" t="e">
        <f t="shared" ca="1" si="23"/>
        <v>#N/A</v>
      </c>
      <c r="X39" s="189" t="e">
        <f t="shared" ca="1" si="18"/>
        <v>#N/A</v>
      </c>
      <c r="Y39" s="185" t="e">
        <f t="shared" ca="1" si="19"/>
        <v>#N/A</v>
      </c>
      <c r="Z39" s="185" t="str">
        <f t="shared" si="20"/>
        <v/>
      </c>
      <c r="AA39" s="122"/>
      <c r="AB39" s="122"/>
      <c r="AC39" s="122"/>
    </row>
    <row r="40" spans="1:29" ht="15" customHeight="1">
      <c r="B40" s="210" t="s">
        <v>191</v>
      </c>
      <c r="C40" s="181" t="s">
        <v>192</v>
      </c>
      <c r="D40" s="182" t="s">
        <v>1274</v>
      </c>
      <c r="E40" s="165">
        <v>0</v>
      </c>
      <c r="F40" s="183" t="s">
        <v>166</v>
      </c>
      <c r="G40" s="222"/>
      <c r="H40" s="165">
        <f>O4*1000</f>
        <v>0</v>
      </c>
      <c r="I40" s="165">
        <v>2</v>
      </c>
      <c r="J40" s="186">
        <v>3</v>
      </c>
      <c r="K40" s="193">
        <f t="shared" ref="K40:K42" si="24">H40/(IF(I40="",1,I40)*SQRT(J40))</f>
        <v>0</v>
      </c>
      <c r="L40" s="193"/>
      <c r="M40" s="167" t="s">
        <v>167</v>
      </c>
      <c r="N40" s="184" t="s">
        <v>189</v>
      </c>
      <c r="O40" s="165"/>
      <c r="P40" s="165"/>
      <c r="Q40" s="177">
        <v>1</v>
      </c>
      <c r="R40" s="165"/>
      <c r="S40" s="185">
        <f t="shared" si="21"/>
        <v>0</v>
      </c>
      <c r="T40" s="165">
        <f t="shared" si="22"/>
        <v>0</v>
      </c>
      <c r="U40" s="167" t="s">
        <v>167</v>
      </c>
      <c r="V40" s="165" t="s">
        <v>258</v>
      </c>
      <c r="W40" s="193">
        <f t="shared" si="23"/>
        <v>0</v>
      </c>
      <c r="X40" s="189">
        <f t="shared" si="18"/>
        <v>0</v>
      </c>
      <c r="Y40" s="185">
        <f t="shared" si="19"/>
        <v>0</v>
      </c>
      <c r="Z40" s="185" t="str">
        <f t="shared" si="20"/>
        <v/>
      </c>
      <c r="AA40" s="122"/>
      <c r="AB40" s="122"/>
      <c r="AC40" s="122"/>
    </row>
    <row r="41" spans="1:29" ht="15" customHeight="1">
      <c r="B41" s="276" t="s">
        <v>481</v>
      </c>
      <c r="C41" s="181" t="s">
        <v>484</v>
      </c>
      <c r="D41" s="182" t="s">
        <v>1275</v>
      </c>
      <c r="E41" s="165">
        <v>0</v>
      </c>
      <c r="F41" s="183" t="s">
        <v>166</v>
      </c>
      <c r="G41" s="278"/>
      <c r="H41" s="165">
        <v>1</v>
      </c>
      <c r="I41" s="165">
        <v>2</v>
      </c>
      <c r="J41" s="186">
        <v>3</v>
      </c>
      <c r="K41" s="193">
        <f t="shared" si="24"/>
        <v>0.28867513459481292</v>
      </c>
      <c r="L41" s="193"/>
      <c r="M41" s="167" t="s">
        <v>167</v>
      </c>
      <c r="N41" s="184" t="s">
        <v>189</v>
      </c>
      <c r="O41" s="165"/>
      <c r="P41" s="165"/>
      <c r="Q41" s="177">
        <v>1</v>
      </c>
      <c r="R41" s="165"/>
      <c r="S41" s="185">
        <f t="shared" si="21"/>
        <v>0.28867513459481292</v>
      </c>
      <c r="T41" s="165">
        <f t="shared" si="22"/>
        <v>0</v>
      </c>
      <c r="U41" s="167" t="s">
        <v>167</v>
      </c>
      <c r="V41" s="165">
        <v>12</v>
      </c>
      <c r="W41" s="193">
        <f t="shared" si="23"/>
        <v>0.28867513459481292</v>
      </c>
      <c r="X41" s="189">
        <f t="shared" si="18"/>
        <v>5.78703703703704E-4</v>
      </c>
      <c r="Y41" s="185">
        <f t="shared" si="19"/>
        <v>0.28867513459481292</v>
      </c>
      <c r="Z41" s="185" t="str">
        <f t="shared" si="20"/>
        <v/>
      </c>
      <c r="AA41" s="122"/>
      <c r="AB41" s="122"/>
      <c r="AC41" s="122"/>
    </row>
    <row r="42" spans="1:29" ht="15" customHeight="1">
      <c r="B42" s="276" t="s">
        <v>482</v>
      </c>
      <c r="C42" s="181" t="s">
        <v>485</v>
      </c>
      <c r="D42" s="182" t="s">
        <v>486</v>
      </c>
      <c r="E42" s="165">
        <v>0</v>
      </c>
      <c r="F42" s="183" t="s">
        <v>166</v>
      </c>
      <c r="G42" s="278">
        <v>0.1</v>
      </c>
      <c r="H42" s="185">
        <f>(1-COS(ATAN(G42/100)))*K4*1000</f>
        <v>0</v>
      </c>
      <c r="I42" s="166"/>
      <c r="J42" s="186">
        <v>3</v>
      </c>
      <c r="K42" s="193">
        <f t="shared" si="24"/>
        <v>0</v>
      </c>
      <c r="L42" s="193"/>
      <c r="M42" s="167" t="s">
        <v>167</v>
      </c>
      <c r="N42" s="184" t="s">
        <v>189</v>
      </c>
      <c r="O42" s="165"/>
      <c r="P42" s="165"/>
      <c r="Q42" s="177">
        <v>1</v>
      </c>
      <c r="R42" s="165"/>
      <c r="S42" s="185">
        <f t="shared" si="21"/>
        <v>0</v>
      </c>
      <c r="T42" s="165">
        <f t="shared" si="22"/>
        <v>0</v>
      </c>
      <c r="U42" s="167" t="s">
        <v>167</v>
      </c>
      <c r="V42" s="165" t="s">
        <v>258</v>
      </c>
      <c r="W42" s="193">
        <f t="shared" si="23"/>
        <v>0</v>
      </c>
      <c r="X42" s="189">
        <f t="shared" si="18"/>
        <v>0</v>
      </c>
      <c r="Y42" s="185">
        <f t="shared" si="19"/>
        <v>0</v>
      </c>
      <c r="Z42" s="185" t="str">
        <f t="shared" si="20"/>
        <v/>
      </c>
      <c r="AA42" s="122"/>
      <c r="AB42" s="122"/>
      <c r="AC42" s="122"/>
    </row>
    <row r="43" spans="1:29" ht="15" customHeight="1">
      <c r="B43" s="210" t="s">
        <v>483</v>
      </c>
      <c r="C43" s="181" t="s">
        <v>193</v>
      </c>
      <c r="D43" s="182" t="s">
        <v>261</v>
      </c>
      <c r="E43" s="208" t="e">
        <f ca="1">E34-E35-(E36*E37+E38*E39)*K4</f>
        <v>#N/A</v>
      </c>
      <c r="F43" s="183" t="s">
        <v>166</v>
      </c>
      <c r="G43" s="216"/>
      <c r="H43" s="217"/>
      <c r="I43" s="216"/>
      <c r="J43" s="216"/>
      <c r="K43" s="216"/>
      <c r="L43" s="216"/>
      <c r="M43" s="216"/>
      <c r="N43" s="216"/>
      <c r="O43" s="216"/>
      <c r="P43" s="216"/>
      <c r="Q43" s="216"/>
      <c r="R43" s="218"/>
      <c r="S43" s="188" t="e">
        <f ca="1">SQRT(SUMSQ(S34:S42))</f>
        <v>#N/A</v>
      </c>
      <c r="T43" s="188" t="e">
        <f ca="1">SQRT(SUMSQ(T34:T42))</f>
        <v>#N/A</v>
      </c>
      <c r="U43" s="167" t="s">
        <v>487</v>
      </c>
      <c r="V43" s="179" t="e">
        <f ca="1">IF(X43=0,"∞",ROUNDDOWN(W43^4/X43,0))</f>
        <v>#N/A</v>
      </c>
      <c r="W43" s="219" t="e">
        <f ca="1">SQRT(SUMSQ(W34:W42))</f>
        <v>#N/A</v>
      </c>
      <c r="X43" s="394" t="e">
        <f ca="1">SUM(X34:X42)</f>
        <v>#N/A</v>
      </c>
      <c r="Y43" s="219" t="e">
        <f ca="1">SQRT(SUMSQ(Y34:Y42))</f>
        <v>#N/A</v>
      </c>
      <c r="Z43" s="219" t="e">
        <f ca="1">SQRT(SUMSQ(Z34:Z42))</f>
        <v>#N/A</v>
      </c>
      <c r="AA43" s="122"/>
      <c r="AB43" s="122"/>
      <c r="AC43" s="122"/>
    </row>
    <row r="44" spans="1:29" ht="15" customHeight="1">
      <c r="L44" s="122"/>
      <c r="U44" s="122"/>
      <c r="V44" s="122"/>
      <c r="W44" s="122"/>
      <c r="X44" s="122"/>
      <c r="Y44" s="122"/>
      <c r="AC44" s="122"/>
    </row>
    <row r="45" spans="1:29" ht="15" customHeight="1">
      <c r="B45" s="211"/>
      <c r="C45" s="666" t="s">
        <v>266</v>
      </c>
      <c r="D45" s="668"/>
      <c r="E45" s="668"/>
      <c r="F45" s="668"/>
      <c r="G45" s="667"/>
      <c r="H45" s="331" t="s">
        <v>195</v>
      </c>
      <c r="I45" s="331" t="s">
        <v>144</v>
      </c>
      <c r="J45" s="666" t="s">
        <v>1292</v>
      </c>
      <c r="K45" s="668"/>
      <c r="L45" s="668"/>
      <c r="M45" s="667"/>
      <c r="N45" s="398" t="s">
        <v>1293</v>
      </c>
      <c r="O45" s="666" t="s">
        <v>436</v>
      </c>
      <c r="P45" s="668"/>
      <c r="Q45" s="668"/>
      <c r="R45" s="683" t="s">
        <v>1294</v>
      </c>
      <c r="S45" s="666" t="s">
        <v>1295</v>
      </c>
      <c r="T45" s="668"/>
      <c r="U45" s="667"/>
      <c r="W45" s="122"/>
    </row>
    <row r="46" spans="1:29" ht="15" customHeight="1">
      <c r="B46" s="211"/>
      <c r="C46" s="211">
        <v>1</v>
      </c>
      <c r="D46" s="211">
        <v>2</v>
      </c>
      <c r="E46" s="211" t="s">
        <v>239</v>
      </c>
      <c r="F46" s="211" t="s">
        <v>150</v>
      </c>
      <c r="G46" s="211" t="s">
        <v>268</v>
      </c>
      <c r="H46" s="332" t="s">
        <v>173</v>
      </c>
      <c r="I46" s="332" t="s">
        <v>773</v>
      </c>
      <c r="J46" s="398" t="s">
        <v>383</v>
      </c>
      <c r="K46" s="398" t="s">
        <v>1296</v>
      </c>
      <c r="L46" s="398" t="s">
        <v>1297</v>
      </c>
      <c r="M46" s="398" t="s">
        <v>433</v>
      </c>
      <c r="N46" s="399"/>
      <c r="O46" s="398" t="s">
        <v>383</v>
      </c>
      <c r="P46" s="398" t="s">
        <v>269</v>
      </c>
      <c r="Q46" s="398" t="s">
        <v>445</v>
      </c>
      <c r="R46" s="688"/>
      <c r="S46" s="397" t="s">
        <v>1298</v>
      </c>
      <c r="T46" s="703" t="s">
        <v>1299</v>
      </c>
      <c r="U46" s="704"/>
      <c r="W46" s="122"/>
    </row>
    <row r="47" spans="1:29" ht="15" customHeight="1">
      <c r="B47" s="211" t="s">
        <v>194</v>
      </c>
      <c r="C47" s="124" t="e">
        <f ca="1">S43*E58</f>
        <v>#N/A</v>
      </c>
      <c r="D47" s="124" t="e">
        <f ca="1">T43*E58</f>
        <v>#N/A</v>
      </c>
      <c r="E47" s="124">
        <f>K4</f>
        <v>0</v>
      </c>
      <c r="F47" s="126" t="str">
        <f>U43</f>
        <v>μm</v>
      </c>
      <c r="G47" s="131" t="e">
        <f ca="1">SQRT(SUMSQ(C47,D47*E47))/1000</f>
        <v>#N/A</v>
      </c>
      <c r="H47" s="130" t="e">
        <f ca="1">MAX(G47:G48)</f>
        <v>#N/A</v>
      </c>
      <c r="I47" s="155">
        <f>O4</f>
        <v>0</v>
      </c>
      <c r="J47" s="123" t="e">
        <f ca="1">MAX(IF(H47&lt;0.00001,6,IF(H47&lt;0.0001,5,IF(H47&lt;0.001,4,IF(H47&lt;0.01,3,IF(H47&lt;0.1,2,IF(H47&lt;1,1,IF(H47&lt;10,0,IF(H47&lt;100,-1,-2)))))))),0)+K48</f>
        <v>#N/A</v>
      </c>
      <c r="K47" s="123" t="e">
        <f ca="1">MAX(IF(ROUND(H48,5)&lt;0.00001,6,IF(ROUND(H48,4)&lt;0.0001,5,IF(ROUND(H48,3)&lt;0.001,4,IF(ROUND(H48,2)&lt;0.01,3,IF(ROUND(H48,1)&lt;0.1,2,IF(ROUND(H48,0)&lt;1,1,IF(ROUND(H48,-1)&lt;10,0,IF(ROUND(H48,-2)&lt;100,-1,-2)))))))),0)+1</f>
        <v>#N/A</v>
      </c>
      <c r="L47" s="165">
        <f>IFERROR(LEN(I47)-FIND(".",I47),0)</f>
        <v>0</v>
      </c>
      <c r="M47" s="189" t="e">
        <f ca="1">IF(Q48,IF(M48,MIN(J47,L47),J47),L47)</f>
        <v>#N/A</v>
      </c>
      <c r="N47" s="155" t="e">
        <f ca="1">ABS((H47-ROUND(H47,M47))/H47*100)</f>
        <v>#N/A</v>
      </c>
      <c r="O47" s="165" t="e">
        <f ca="1">OFFSET(P51,MATCH(M47,O52:O61,0),0)</f>
        <v>#N/A</v>
      </c>
      <c r="P47" s="165" t="e">
        <f ca="1">OFFSET(P51,MATCH(M47,O52:O61,0),0)</f>
        <v>#N/A</v>
      </c>
      <c r="Q47" s="165" t="str">
        <f ca="1">OFFSET(P51,MATCH(L47,O52:O61,0),0)</f>
        <v>0</v>
      </c>
      <c r="R47" s="127">
        <f ca="1">IFERROR(IF(G47=H47,0,1),0)</f>
        <v>0</v>
      </c>
      <c r="S47" s="132" t="e">
        <f ca="1">TEXT(IF(N47&gt;5,ROUNDUP(H47,M47),ROUND(H47,M47)),O47)</f>
        <v>#N/A</v>
      </c>
      <c r="T47" s="401" t="e">
        <f ca="1">ROUND(H48,K47)</f>
        <v>#N/A</v>
      </c>
      <c r="U47" s="132" t="e">
        <f ca="1">ROUNDUP(IF(G47=H47,D47,D48),3)</f>
        <v>#N/A</v>
      </c>
      <c r="W47" s="122"/>
    </row>
    <row r="48" spans="1:29" ht="15" customHeight="1">
      <c r="B48" s="211" t="s">
        <v>274</v>
      </c>
      <c r="C48" s="125" t="e">
        <f ca="1">$P$4</f>
        <v>#N/A</v>
      </c>
      <c r="D48" s="126" t="e">
        <f ca="1">$Q$4</f>
        <v>#N/A</v>
      </c>
      <c r="E48" s="126">
        <f>K4</f>
        <v>0</v>
      </c>
      <c r="F48" s="126" t="e">
        <f ca="1">$R$4</f>
        <v>#N/A</v>
      </c>
      <c r="G48" s="131" t="e">
        <f ca="1">SQRT(SUMSQ(C48,D48*E48))/1000</f>
        <v>#N/A</v>
      </c>
      <c r="H48" s="130" t="e">
        <f ca="1">IF(H47=G47,C47,C48)</f>
        <v>#N/A</v>
      </c>
      <c r="I48" s="119"/>
      <c r="J48" s="388" t="s">
        <v>1259</v>
      </c>
      <c r="K48" s="165">
        <f>IF(O48=TRUE,1,기본정보!$A$47)</f>
        <v>1</v>
      </c>
      <c r="L48" s="388" t="s">
        <v>1260</v>
      </c>
      <c r="M48" s="165" t="b">
        <f>IF(O48=TRUE,FALSE,기본정보!$A$52)</f>
        <v>0</v>
      </c>
      <c r="N48" s="388" t="s">
        <v>1261</v>
      </c>
      <c r="O48" s="165" t="b">
        <f>기본정보!$A$46=0</f>
        <v>1</v>
      </c>
      <c r="P48" s="398" t="s">
        <v>1291</v>
      </c>
      <c r="Q48" s="400" t="b">
        <f>TYPE('교정결과-HY'!$A$1)=2</f>
        <v>1</v>
      </c>
      <c r="R48" s="119"/>
      <c r="T48" s="132" t="e">
        <f ca="1">TEXT(T47,OFFSET(P51,MATCH(K47,O52:O61,0),0))</f>
        <v>#N/A</v>
      </c>
      <c r="U48" s="132" t="e">
        <f ca="1">TEXT(U47,OFFSET(P51,MATCH(3,O52:O61,0),0))</f>
        <v>#N/A</v>
      </c>
      <c r="W48" s="122"/>
    </row>
    <row r="49" spans="1:22" ht="15" customHeight="1">
      <c r="B49" s="120"/>
      <c r="C49" s="120"/>
      <c r="D49" s="120"/>
      <c r="Q49" s="119"/>
      <c r="R49" s="119"/>
      <c r="S49" s="119"/>
      <c r="T49" s="119"/>
      <c r="U49" s="119"/>
      <c r="V49" s="122"/>
    </row>
    <row r="50" spans="1:22" ht="15" customHeight="1">
      <c r="B50" s="128" t="s">
        <v>264</v>
      </c>
      <c r="C50" s="120"/>
      <c r="D50" s="120"/>
      <c r="F50" s="119"/>
      <c r="I50" s="181" t="s">
        <v>53</v>
      </c>
      <c r="J50" s="181" t="s">
        <v>153</v>
      </c>
      <c r="M50" s="119"/>
      <c r="N50" s="119"/>
      <c r="O50" s="207" t="s">
        <v>154</v>
      </c>
      <c r="P50" s="207" t="s">
        <v>155</v>
      </c>
      <c r="Q50" s="119"/>
      <c r="R50" s="122"/>
      <c r="S50" s="119"/>
      <c r="T50" s="119"/>
      <c r="U50" s="119"/>
    </row>
    <row r="51" spans="1:22" ht="15" customHeight="1">
      <c r="B51" s="660" t="s">
        <v>1266</v>
      </c>
      <c r="C51" s="662"/>
      <c r="D51" s="683" t="s">
        <v>1271</v>
      </c>
      <c r="E51" s="392" t="s">
        <v>189</v>
      </c>
      <c r="F51" s="392" t="s">
        <v>290</v>
      </c>
      <c r="G51" s="392" t="s">
        <v>1272</v>
      </c>
      <c r="I51" s="181"/>
      <c r="J51" s="181">
        <v>95.45</v>
      </c>
      <c r="M51" s="119"/>
      <c r="N51" s="119"/>
      <c r="O51" s="214" t="s">
        <v>161</v>
      </c>
      <c r="P51" s="214" t="s">
        <v>162</v>
      </c>
      <c r="Q51" s="119"/>
      <c r="S51" s="119"/>
      <c r="T51" s="119"/>
      <c r="U51" s="119"/>
    </row>
    <row r="52" spans="1:22" ht="15" customHeight="1">
      <c r="B52" s="393" t="s">
        <v>1267</v>
      </c>
      <c r="C52" s="395" t="s">
        <v>1268</v>
      </c>
      <c r="D52" s="688"/>
      <c r="E52" s="391" t="e">
        <f ca="1">Y43</f>
        <v>#N/A</v>
      </c>
      <c r="F52" s="391" t="e">
        <f ca="1">Z43</f>
        <v>#N/A</v>
      </c>
      <c r="G52" s="233" t="e">
        <f ca="1">F52/E52</f>
        <v>#N/A</v>
      </c>
      <c r="I52" s="165">
        <v>1</v>
      </c>
      <c r="J52" s="165">
        <v>13.97</v>
      </c>
      <c r="M52" s="119"/>
      <c r="N52" s="119"/>
      <c r="O52" s="190">
        <v>0</v>
      </c>
      <c r="P52" s="191" t="s">
        <v>170</v>
      </c>
      <c r="Q52" s="119"/>
      <c r="S52" s="119"/>
      <c r="T52" s="119"/>
      <c r="U52" s="119"/>
    </row>
    <row r="53" spans="1:22" ht="15" customHeight="1">
      <c r="B53" s="165">
        <v>1</v>
      </c>
      <c r="C53" s="185">
        <f ca="1">IFERROR(LARGE(Y34:Y42,B53),0)</f>
        <v>0</v>
      </c>
      <c r="D53" s="231" t="s">
        <v>288</v>
      </c>
      <c r="E53" s="691">
        <f ca="1">SQRT(SUMSQ(C55:C61,D53:D54))</f>
        <v>0</v>
      </c>
      <c r="F53" s="691"/>
      <c r="G53" s="692" t="e">
        <f ca="1">E53/SQRT(SUMSQ(E54,F54))</f>
        <v>#DIV/0!</v>
      </c>
      <c r="H53" s="119"/>
      <c r="I53" s="165">
        <v>2</v>
      </c>
      <c r="J53" s="165">
        <v>4.53</v>
      </c>
      <c r="O53" s="190">
        <v>1</v>
      </c>
      <c r="P53" s="191" t="s">
        <v>248</v>
      </c>
      <c r="Q53" s="119"/>
      <c r="R53" s="119"/>
      <c r="S53" s="119"/>
      <c r="T53" s="119"/>
      <c r="U53" s="119"/>
      <c r="V53" s="122"/>
    </row>
    <row r="54" spans="1:22" ht="15" customHeight="1">
      <c r="B54" s="165">
        <v>2</v>
      </c>
      <c r="C54" s="185">
        <f ca="1">IFERROR(LARGE(Y34:Y42,B54),0)</f>
        <v>0</v>
      </c>
      <c r="D54" s="231" t="s">
        <v>196</v>
      </c>
      <c r="E54" s="237">
        <f ca="1">C53</f>
        <v>0</v>
      </c>
      <c r="F54" s="237">
        <f ca="1">C54</f>
        <v>0</v>
      </c>
      <c r="G54" s="693"/>
      <c r="H54" s="119"/>
      <c r="I54" s="165">
        <v>3</v>
      </c>
      <c r="J54" s="165">
        <v>3.31</v>
      </c>
      <c r="O54" s="190">
        <v>2</v>
      </c>
      <c r="P54" s="191" t="s">
        <v>179</v>
      </c>
      <c r="Q54" s="119"/>
      <c r="R54" s="119"/>
      <c r="S54" s="119"/>
      <c r="T54" s="119"/>
      <c r="U54" s="119"/>
      <c r="V54" s="122"/>
    </row>
    <row r="55" spans="1:22" ht="15" customHeight="1">
      <c r="B55" s="165">
        <v>3</v>
      </c>
      <c r="C55" s="185">
        <f ca="1">IFERROR(LARGE(Y34:Y42,B55),0)</f>
        <v>0</v>
      </c>
      <c r="D55" s="683" t="s">
        <v>265</v>
      </c>
      <c r="E55" s="164" t="s">
        <v>271</v>
      </c>
      <c r="F55" s="164" t="s">
        <v>272</v>
      </c>
      <c r="G55" s="164" t="s">
        <v>273</v>
      </c>
      <c r="H55" s="119"/>
      <c r="I55" s="165">
        <v>4</v>
      </c>
      <c r="J55" s="165">
        <v>2.87</v>
      </c>
      <c r="O55" s="190">
        <v>3</v>
      </c>
      <c r="P55" s="191" t="s">
        <v>256</v>
      </c>
      <c r="Q55" s="119"/>
      <c r="R55" s="119"/>
      <c r="S55" s="119"/>
      <c r="T55" s="119"/>
      <c r="U55" s="119"/>
      <c r="V55" s="122"/>
    </row>
    <row r="56" spans="1:22" ht="15" customHeight="1">
      <c r="B56" s="165">
        <v>4</v>
      </c>
      <c r="C56" s="185">
        <f ca="1">IFERROR(LARGE(Y34:Y42,B56),0)</f>
        <v>0</v>
      </c>
      <c r="D56" s="688"/>
      <c r="E56" s="165">
        <f ca="1">OFFSET(H33,MATCH(E54,Y34:Y42,0),0)/IF(OFFSET(I33,MATCH(E54,Y34:Y42,0),0)="",1,OFFSET(I33,MATCH(E54,Y34:Y42,0),0))</f>
        <v>9.9999999999999995E-7</v>
      </c>
      <c r="F56" s="165">
        <f ca="1">OFFSET(H33,MATCH(F54,Y34:Y42,0),0)/IF(OFFSET(I33,MATCH(F54,Y34:Y42,0),0)="",1,OFFSET(I33,MATCH(F54,Y34:Y42,0),0))</f>
        <v>9.9999999999999995E-7</v>
      </c>
      <c r="G56" s="230">
        <f ca="1">ABS(E56-F56)/(E56+F56)</f>
        <v>0</v>
      </c>
      <c r="H56" s="119"/>
      <c r="I56" s="165">
        <v>5</v>
      </c>
      <c r="J56" s="165">
        <v>2.65</v>
      </c>
      <c r="O56" s="190">
        <v>4</v>
      </c>
      <c r="P56" s="191" t="s">
        <v>257</v>
      </c>
      <c r="Q56" s="119"/>
      <c r="R56" s="119"/>
      <c r="S56" s="119"/>
      <c r="T56" s="119"/>
      <c r="U56" s="119"/>
      <c r="V56" s="122"/>
    </row>
    <row r="57" spans="1:22" ht="15" customHeight="1">
      <c r="B57" s="165">
        <v>5</v>
      </c>
      <c r="C57" s="185">
        <f ca="1">IFERROR(LARGE(Y34:Y42,B57),0)</f>
        <v>0</v>
      </c>
      <c r="D57" s="210" t="s">
        <v>270</v>
      </c>
      <c r="E57" s="154" t="e">
        <f ca="1">IF(AND(G52&lt;0.3,G53&lt;0.3),"사다리꼴","정규")</f>
        <v>#N/A</v>
      </c>
      <c r="F57" s="119"/>
      <c r="G57" s="119"/>
      <c r="H57" s="119"/>
      <c r="I57" s="165">
        <v>6</v>
      </c>
      <c r="J57" s="165">
        <v>2.52</v>
      </c>
      <c r="O57" s="190">
        <v>5</v>
      </c>
      <c r="P57" s="191" t="s">
        <v>190</v>
      </c>
      <c r="Q57" s="119"/>
      <c r="R57" s="119"/>
      <c r="S57" s="119"/>
      <c r="T57" s="119"/>
      <c r="U57" s="119"/>
      <c r="V57" s="122"/>
    </row>
    <row r="58" spans="1:22" ht="15" customHeight="1">
      <c r="B58" s="165">
        <v>6</v>
      </c>
      <c r="C58" s="185">
        <f ca="1">IFERROR(LARGE(Y34:Y42,B58),0)</f>
        <v>0</v>
      </c>
      <c r="D58" s="210" t="s">
        <v>198</v>
      </c>
      <c r="E58" s="165" t="e">
        <f ca="1">IF(E57="정규",IF(OR(V43="∞",V43&gt;=10),2,OFFSET(J51,MATCH(V43,I52:I61,0),0)),ROUND((1-SQRT((1-0.95)*(1-G56^2)))/SQRT((1+G56^2)/6),2))</f>
        <v>#N/A</v>
      </c>
      <c r="F58" s="119"/>
      <c r="G58" s="119"/>
      <c r="H58" s="119"/>
      <c r="I58" s="165">
        <v>7</v>
      </c>
      <c r="J58" s="165">
        <v>2.4300000000000002</v>
      </c>
      <c r="O58" s="190">
        <v>6</v>
      </c>
      <c r="P58" s="191" t="s">
        <v>259</v>
      </c>
      <c r="Q58" s="119"/>
      <c r="R58" s="119"/>
      <c r="S58" s="119"/>
      <c r="T58" s="119"/>
      <c r="U58" s="119"/>
      <c r="V58" s="122"/>
    </row>
    <row r="59" spans="1:22" ht="15" customHeight="1">
      <c r="B59" s="165">
        <v>7</v>
      </c>
      <c r="C59" s="185">
        <f ca="1">IFERROR(LARGE(Y34:Y42,B59),0)</f>
        <v>0</v>
      </c>
      <c r="E59" s="121"/>
      <c r="F59" s="119"/>
      <c r="G59" s="119"/>
      <c r="H59" s="119"/>
      <c r="I59" s="165">
        <v>8</v>
      </c>
      <c r="J59" s="165">
        <v>2.37</v>
      </c>
      <c r="O59" s="190">
        <v>7</v>
      </c>
      <c r="P59" s="191" t="s">
        <v>260</v>
      </c>
      <c r="Q59" s="119"/>
      <c r="R59" s="119"/>
      <c r="S59" s="119"/>
      <c r="T59" s="119"/>
      <c r="U59" s="119"/>
      <c r="V59" s="122"/>
    </row>
    <row r="60" spans="1:22" ht="15" customHeight="1">
      <c r="B60" s="165">
        <v>8</v>
      </c>
      <c r="C60" s="185">
        <f ca="1">IFERROR(LARGE(Y34:Y42,B60),0)</f>
        <v>0</v>
      </c>
      <c r="E60" s="121"/>
      <c r="I60" s="165">
        <v>9</v>
      </c>
      <c r="J60" s="165">
        <v>2.3199999999999998</v>
      </c>
      <c r="O60" s="190">
        <v>8</v>
      </c>
      <c r="P60" s="191" t="s">
        <v>262</v>
      </c>
      <c r="Q60" s="119"/>
      <c r="R60" s="119"/>
      <c r="S60" s="119"/>
      <c r="T60" s="119"/>
      <c r="U60" s="119"/>
      <c r="V60" s="122"/>
    </row>
    <row r="61" spans="1:22" ht="15" customHeight="1">
      <c r="B61" s="165">
        <v>9</v>
      </c>
      <c r="C61" s="185">
        <f ca="1">IFERROR(LARGE(Y34:Y42,B61),0)</f>
        <v>0</v>
      </c>
      <c r="E61" s="121"/>
      <c r="I61" s="165" t="s">
        <v>54</v>
      </c>
      <c r="J61" s="165">
        <v>2</v>
      </c>
      <c r="O61" s="190">
        <v>9</v>
      </c>
      <c r="P61" s="191" t="s">
        <v>263</v>
      </c>
      <c r="Q61" s="119"/>
      <c r="R61" s="119"/>
      <c r="S61" s="119"/>
      <c r="T61" s="119"/>
      <c r="U61" s="119"/>
      <c r="V61" s="122"/>
    </row>
    <row r="62" spans="1:22" ht="15" customHeight="1">
      <c r="B62" s="120"/>
      <c r="C62" s="120"/>
      <c r="E62" s="121"/>
      <c r="Q62" s="119"/>
      <c r="R62" s="119"/>
      <c r="S62" s="119"/>
      <c r="T62" s="119"/>
      <c r="U62" s="119"/>
      <c r="V62" s="122"/>
    </row>
    <row r="63" spans="1:22" ht="18" customHeight="1">
      <c r="A63" s="241" t="s">
        <v>496</v>
      </c>
    </row>
    <row r="64" spans="1:22" ht="15" customHeight="1">
      <c r="A64" s="116" t="s">
        <v>202</v>
      </c>
      <c r="B64" s="117"/>
      <c r="C64" s="117"/>
      <c r="D64" s="117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</row>
    <row r="65" spans="1:32" ht="24">
      <c r="B65" s="245" t="s">
        <v>143</v>
      </c>
      <c r="C65" s="245" t="s">
        <v>203</v>
      </c>
      <c r="D65" s="245" t="s">
        <v>204</v>
      </c>
      <c r="E65" s="245" t="s">
        <v>106</v>
      </c>
      <c r="F65" s="245" t="s">
        <v>62</v>
      </c>
      <c r="G65" s="245" t="s">
        <v>76</v>
      </c>
      <c r="H65" s="245" t="s">
        <v>60</v>
      </c>
      <c r="I65" s="245" t="s">
        <v>208</v>
      </c>
      <c r="J65" s="245" t="s">
        <v>209</v>
      </c>
      <c r="K65" s="245" t="s">
        <v>210</v>
      </c>
      <c r="L65" s="245" t="s">
        <v>289</v>
      </c>
      <c r="M65" s="245" t="s">
        <v>211</v>
      </c>
      <c r="N65" s="406" t="s">
        <v>1302</v>
      </c>
      <c r="O65" s="245" t="s">
        <v>145</v>
      </c>
      <c r="P65" s="245" t="s">
        <v>212</v>
      </c>
      <c r="Q65" s="245" t="s">
        <v>146</v>
      </c>
      <c r="R65" s="245" t="s">
        <v>213</v>
      </c>
      <c r="S65" s="118"/>
      <c r="T65" s="118"/>
      <c r="U65" s="119"/>
    </row>
    <row r="66" spans="1:32" ht="15" customHeight="1">
      <c r="B66" s="165" t="e">
        <f>C66</f>
        <v>#DIV/0!</v>
      </c>
      <c r="C66" s="165" t="e">
        <f>AVERAGE(기본정보!B12:B13)</f>
        <v>#DIV/0!</v>
      </c>
      <c r="D66" s="165">
        <f>MIN(C72:C91)</f>
        <v>0</v>
      </c>
      <c r="E66" s="165">
        <f>MAX(C72:C91)</f>
        <v>0</v>
      </c>
      <c r="F66" s="165">
        <f>Length_5_R2!G4</f>
        <v>0</v>
      </c>
      <c r="G66" s="165">
        <f>Length_5_R2!H4</f>
        <v>0</v>
      </c>
      <c r="H66" s="165">
        <f>Length_5_R2!I4</f>
        <v>0</v>
      </c>
      <c r="I66" s="165">
        <f>IF(H66="inch",25.4,1)</f>
        <v>1</v>
      </c>
      <c r="J66" s="165">
        <f>MIN(T72:T91)</f>
        <v>0</v>
      </c>
      <c r="K66" s="165">
        <f>MAX(T72:T91)</f>
        <v>0</v>
      </c>
      <c r="L66" s="165" t="str">
        <f>TEXT(K66,IF(K66&gt;=1000,"# ###","G/표준"))</f>
        <v>0</v>
      </c>
      <c r="M66" s="165">
        <f>F66*I66</f>
        <v>0</v>
      </c>
      <c r="N66" s="165" t="str">
        <f ca="1">TEXT(M66,OFFSET(P113,MATCH(IFERROR(LEN(M66)-FIND(".",M66),0),O114:O123,0),0))</f>
        <v>0</v>
      </c>
      <c r="O66" s="165">
        <f>G66*I66</f>
        <v>0</v>
      </c>
      <c r="P66" s="165" t="e">
        <f ca="1">OFFSET(Length_5_R2!C3,MATCH($K66,$T72:$T91,0),0)</f>
        <v>#N/A</v>
      </c>
      <c r="Q66" s="165" t="e">
        <f ca="1">OFFSET(Length_5_R2!D3,MATCH($K66,$T72:$T91,0),0)</f>
        <v>#N/A</v>
      </c>
      <c r="R66" s="165" t="e">
        <f ca="1">OFFSET(Length_5_R2!E3,MATCH($K66,$T72:$T91,0),0)</f>
        <v>#N/A</v>
      </c>
      <c r="U66" s="119"/>
    </row>
    <row r="67" spans="1:32" ht="15" customHeight="1">
      <c r="B67" s="117"/>
      <c r="C67" s="117"/>
      <c r="D67" s="117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</row>
    <row r="68" spans="1:32" ht="15" customHeight="1">
      <c r="A68" s="116" t="s">
        <v>214</v>
      </c>
      <c r="C68" s="117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19"/>
      <c r="Y68" s="129" t="s">
        <v>215</v>
      </c>
    </row>
    <row r="69" spans="1:32" ht="15" customHeight="1">
      <c r="B69" s="683" t="s">
        <v>216</v>
      </c>
      <c r="C69" s="694" t="s">
        <v>90</v>
      </c>
      <c r="D69" s="694" t="s">
        <v>60</v>
      </c>
      <c r="E69" s="702" t="s">
        <v>337</v>
      </c>
      <c r="F69" s="702"/>
      <c r="G69" s="702"/>
      <c r="H69" s="702"/>
      <c r="I69" s="702"/>
      <c r="J69" s="702"/>
      <c r="K69" s="698" t="s">
        <v>218</v>
      </c>
      <c r="L69" s="245" t="s">
        <v>219</v>
      </c>
      <c r="M69" s="245" t="s">
        <v>172</v>
      </c>
      <c r="N69" s="666" t="s">
        <v>137</v>
      </c>
      <c r="O69" s="668"/>
      <c r="P69" s="667"/>
      <c r="Q69" s="245" t="s">
        <v>221</v>
      </c>
      <c r="R69" s="173" t="s">
        <v>184</v>
      </c>
      <c r="S69" s="245" t="s">
        <v>223</v>
      </c>
      <c r="T69" s="245" t="s">
        <v>90</v>
      </c>
      <c r="U69" s="245" t="s">
        <v>224</v>
      </c>
      <c r="V69" s="666" t="s">
        <v>225</v>
      </c>
      <c r="W69" s="667"/>
      <c r="X69" s="122"/>
      <c r="Y69" s="685" t="s">
        <v>86</v>
      </c>
      <c r="Z69" s="686"/>
      <c r="AA69" s="663" t="s">
        <v>227</v>
      </c>
      <c r="AB69" s="664"/>
      <c r="AC69" s="664"/>
      <c r="AD69" s="664"/>
      <c r="AE69" s="664"/>
      <c r="AF69" s="664"/>
    </row>
    <row r="70" spans="1:32" ht="15" customHeight="1">
      <c r="B70" s="687"/>
      <c r="C70" s="701"/>
      <c r="D70" s="701"/>
      <c r="E70" s="174" t="s">
        <v>228</v>
      </c>
      <c r="F70" s="247" t="s">
        <v>229</v>
      </c>
      <c r="G70" s="174" t="s">
        <v>107</v>
      </c>
      <c r="H70" s="247" t="s">
        <v>108</v>
      </c>
      <c r="I70" s="174" t="s">
        <v>109</v>
      </c>
      <c r="J70" s="247" t="s">
        <v>230</v>
      </c>
      <c r="K70" s="699"/>
      <c r="L70" s="245" t="s">
        <v>231</v>
      </c>
      <c r="M70" s="245" t="s">
        <v>232</v>
      </c>
      <c r="N70" s="245" t="s">
        <v>233</v>
      </c>
      <c r="O70" s="245" t="s">
        <v>234</v>
      </c>
      <c r="P70" s="245" t="s">
        <v>235</v>
      </c>
      <c r="Q70" s="245" t="s">
        <v>236</v>
      </c>
      <c r="R70" s="245" t="s">
        <v>237</v>
      </c>
      <c r="S70" s="245" t="s">
        <v>238</v>
      </c>
      <c r="T70" s="245" t="s">
        <v>239</v>
      </c>
      <c r="U70" s="245" t="s">
        <v>240</v>
      </c>
      <c r="V70" s="245" t="s">
        <v>224</v>
      </c>
      <c r="W70" s="245" t="s">
        <v>87</v>
      </c>
      <c r="X70" s="122"/>
      <c r="Y70" s="205" t="s">
        <v>242</v>
      </c>
      <c r="Z70" s="205" t="s">
        <v>243</v>
      </c>
      <c r="AA70" s="245" t="s">
        <v>117</v>
      </c>
      <c r="AB70" s="244" t="s">
        <v>224</v>
      </c>
      <c r="AC70" s="245" t="s">
        <v>87</v>
      </c>
      <c r="AD70" s="204" t="s">
        <v>86</v>
      </c>
      <c r="AE70" s="204" t="s">
        <v>245</v>
      </c>
      <c r="AF70" s="204" t="s">
        <v>197</v>
      </c>
    </row>
    <row r="71" spans="1:32" ht="15" customHeight="1">
      <c r="B71" s="688"/>
      <c r="C71" s="695"/>
      <c r="D71" s="695"/>
      <c r="E71" s="247">
        <f>H66</f>
        <v>0</v>
      </c>
      <c r="F71" s="247">
        <f>E71</f>
        <v>0</v>
      </c>
      <c r="G71" s="247">
        <f>F71</f>
        <v>0</v>
      </c>
      <c r="H71" s="247">
        <f>G71</f>
        <v>0</v>
      </c>
      <c r="I71" s="247">
        <f>H71</f>
        <v>0</v>
      </c>
      <c r="J71" s="247">
        <f>I71</f>
        <v>0</v>
      </c>
      <c r="K71" s="245" t="s">
        <v>166</v>
      </c>
      <c r="L71" s="245" t="s">
        <v>166</v>
      </c>
      <c r="M71" s="245" t="s">
        <v>166</v>
      </c>
      <c r="N71" s="206" t="s">
        <v>176</v>
      </c>
      <c r="O71" s="206" t="s">
        <v>176</v>
      </c>
      <c r="P71" s="206" t="s">
        <v>176</v>
      </c>
      <c r="Q71" s="206" t="s">
        <v>181</v>
      </c>
      <c r="R71" s="206" t="s">
        <v>176</v>
      </c>
      <c r="S71" s="206" t="s">
        <v>181</v>
      </c>
      <c r="T71" s="245" t="s">
        <v>166</v>
      </c>
      <c r="U71" s="245" t="s">
        <v>166</v>
      </c>
      <c r="V71" s="245" t="s">
        <v>166</v>
      </c>
      <c r="W71" s="245" t="s">
        <v>166</v>
      </c>
      <c r="X71" s="122"/>
      <c r="Y71" s="205" t="s">
        <v>166</v>
      </c>
      <c r="Z71" s="205" t="s">
        <v>166</v>
      </c>
      <c r="AA71" s="245" t="s">
        <v>166</v>
      </c>
      <c r="AB71" s="245" t="s">
        <v>166</v>
      </c>
      <c r="AC71" s="245" t="s">
        <v>166</v>
      </c>
      <c r="AD71" s="204" t="s">
        <v>166</v>
      </c>
      <c r="AE71" s="221">
        <f>IF(TYPE(MATCH("FAIL",AE72:AE91,0))=16,0,1)</f>
        <v>0</v>
      </c>
      <c r="AF71" s="204" t="s">
        <v>166</v>
      </c>
    </row>
    <row r="72" spans="1:32" ht="15" customHeight="1">
      <c r="B72" s="171" t="b">
        <f>IF(TRIM(Length_5_R2!A4)="",FALSE,TRUE)</f>
        <v>0</v>
      </c>
      <c r="C72" s="165" t="str">
        <f>IF($B72=FALSE,"",VALUE(Length_5_R2!A4))</f>
        <v/>
      </c>
      <c r="D72" s="165" t="str">
        <f>IF($B72=FALSE,"",Length_5_R2!B4)</f>
        <v/>
      </c>
      <c r="E72" s="171" t="str">
        <f>IF(B72=FALSE,"",Length_5_R2!M4)</f>
        <v/>
      </c>
      <c r="F72" s="171" t="str">
        <f>IF(B72=FALSE,"",Length_5_R2!N4)</f>
        <v/>
      </c>
      <c r="G72" s="171" t="str">
        <f>IF(B72=FALSE,"",Length_5_R2!O4)</f>
        <v/>
      </c>
      <c r="H72" s="171" t="str">
        <f>IF(B72=FALSE,"",Length_5_R2!P4)</f>
        <v/>
      </c>
      <c r="I72" s="171" t="str">
        <f>IF(B72=FALSE,"",Length_5_R2!Q4)</f>
        <v/>
      </c>
      <c r="J72" s="165" t="str">
        <f t="shared" ref="J72:J91" si="25">IF(B72=FALSE,"",AVERAGE(E72:I72))</f>
        <v/>
      </c>
      <c r="K72" s="175" t="str">
        <f t="shared" ref="K72:K91" si="26">IF(B72=FALSE,"",STDEV(E72:I72)*I$66)</f>
        <v/>
      </c>
      <c r="L72" s="176" t="str">
        <f>IF(B72=FALSE,"",Length_5_R2!D27)</f>
        <v/>
      </c>
      <c r="M72" s="177" t="str">
        <f>IF(B72=FALSE,"",Calcu!J72*I$66)</f>
        <v/>
      </c>
      <c r="N72" s="178" t="str">
        <f t="shared" ref="N72:N91" si="27">IF(B72=FALSE,"",8*10^-6)</f>
        <v/>
      </c>
      <c r="O72" s="178" t="str">
        <f>IF(B72=FALSE,"",Length_5_R2!K27)</f>
        <v/>
      </c>
      <c r="P72" s="178" t="str">
        <f t="shared" ref="P72:P91" si="28">IF(B72=FALSE,"",AVERAGE(N72:O72))</f>
        <v/>
      </c>
      <c r="Q72" s="165" t="str">
        <f t="shared" ref="Q72:Q91" si="29">IF(B72=FALSE,"",B$66-C$66)</f>
        <v/>
      </c>
      <c r="R72" s="165" t="str">
        <f t="shared" ref="R72:R91" si="30">IF(B72=FALSE,"",N72-O72)</f>
        <v/>
      </c>
      <c r="S72" s="232" t="str">
        <f t="shared" ref="S72:S91" si="31">IF(B72=FALSE,"",AVERAGE(B$66:C$66)-20)</f>
        <v/>
      </c>
      <c r="T72" s="179" t="str">
        <f t="shared" ref="T72:T91" si="32">IF(B72=FALSE,"",C72*I$66)</f>
        <v/>
      </c>
      <c r="U72" s="180" t="str">
        <f t="shared" ref="U72:U91" si="33">IF(B72=FALSE,"",L72-M72-(P72*Q72+R72*S72)*T72)</f>
        <v/>
      </c>
      <c r="V72" s="165" t="str">
        <f>IF($B72=FALSE,"",ROUND(U72,$L$109))</f>
        <v/>
      </c>
      <c r="W72" s="165" t="str">
        <f>IF($B72=FALSE,"",ROUND(T72+V72,$L$109))</f>
        <v/>
      </c>
      <c r="X72" s="122"/>
      <c r="Y72" s="165">
        <f>IF(Length_5_R2!J4&lt;0,ROUNDUP(Length_5_R2!J4*I$66,$L$109),ROUNDDOWN(Length_5_R2!J4*I$66,$L$109))</f>
        <v>0</v>
      </c>
      <c r="Z72" s="165">
        <f>IF(Length_5_R2!K4&lt;0,ROUNDDOWN(Length_5_R2!K4*I$66,$L$109),ROUNDUP(Length_5_R2!K4*I$66,$L$109))</f>
        <v>0</v>
      </c>
      <c r="AA72" s="165" t="e">
        <f t="shared" ref="AA72:AA91" ca="1" si="34">TEXT(T72,IF(T72&gt;=1000,"# ##","")&amp;$P$109)</f>
        <v>#N/A</v>
      </c>
      <c r="AB72" s="168" t="e">
        <f t="shared" ref="AB72:AB91" ca="1" si="35">TEXT(V72,$P$109)</f>
        <v>#N/A</v>
      </c>
      <c r="AC72" s="165" t="e">
        <f t="shared" ref="AC72:AC91" ca="1" si="36">TEXT(W72,IF(W72&gt;=1000,"# ##","")&amp;$P$109)</f>
        <v>#N/A</v>
      </c>
      <c r="AD72" s="165" t="e">
        <f t="shared" ref="AD72:AD91" ca="1" si="37">"± "&amp;TEXT(Z72-T72,P$109)</f>
        <v>#VALUE!</v>
      </c>
      <c r="AE72" s="165" t="str">
        <f>IF($B72=FALSE,"",IF(AND(Y72&lt;=W72,W72&lt;=Z72),"PASS","FAIL"))</f>
        <v/>
      </c>
      <c r="AF72" s="165" t="e">
        <f ca="1">S$109</f>
        <v>#N/A</v>
      </c>
    </row>
    <row r="73" spans="1:32" ht="15" customHeight="1">
      <c r="B73" s="171" t="b">
        <f>IF(TRIM(Length_5_R2!A5)="",FALSE,TRUE)</f>
        <v>0</v>
      </c>
      <c r="C73" s="165" t="str">
        <f>IF($B73=FALSE,"",VALUE(Length_5_R2!A5))</f>
        <v/>
      </c>
      <c r="D73" s="165" t="str">
        <f>IF($B73=FALSE,"",Length_5_R2!B5)</f>
        <v/>
      </c>
      <c r="E73" s="171" t="str">
        <f>IF(B73=FALSE,"",Length_5_R2!M5)</f>
        <v/>
      </c>
      <c r="F73" s="171" t="str">
        <f>IF(B73=FALSE,"",Length_5_R2!N5)</f>
        <v/>
      </c>
      <c r="G73" s="171" t="str">
        <f>IF(B73=FALSE,"",Length_5_R2!O5)</f>
        <v/>
      </c>
      <c r="H73" s="171" t="str">
        <f>IF(B73=FALSE,"",Length_5_R2!P5)</f>
        <v/>
      </c>
      <c r="I73" s="171" t="str">
        <f>IF(B73=FALSE,"",Length_5_R2!Q5)</f>
        <v/>
      </c>
      <c r="J73" s="165" t="str">
        <f t="shared" si="25"/>
        <v/>
      </c>
      <c r="K73" s="175" t="str">
        <f t="shared" si="26"/>
        <v/>
      </c>
      <c r="L73" s="176" t="str">
        <f>IF(B73=FALSE,"",Length_5_R2!D28)</f>
        <v/>
      </c>
      <c r="M73" s="177" t="str">
        <f>IF(B73=FALSE,"",Calcu!J73*I$66)</f>
        <v/>
      </c>
      <c r="N73" s="178" t="str">
        <f t="shared" si="27"/>
        <v/>
      </c>
      <c r="O73" s="178" t="str">
        <f>IF(B73=FALSE,"",Length_5_R2!K28)</f>
        <v/>
      </c>
      <c r="P73" s="178" t="str">
        <f t="shared" si="28"/>
        <v/>
      </c>
      <c r="Q73" s="165" t="str">
        <f t="shared" si="29"/>
        <v/>
      </c>
      <c r="R73" s="165" t="str">
        <f t="shared" si="30"/>
        <v/>
      </c>
      <c r="S73" s="232" t="str">
        <f t="shared" si="31"/>
        <v/>
      </c>
      <c r="T73" s="179" t="str">
        <f t="shared" si="32"/>
        <v/>
      </c>
      <c r="U73" s="180" t="str">
        <f t="shared" si="33"/>
        <v/>
      </c>
      <c r="V73" s="165" t="str">
        <f t="shared" ref="V73:V91" si="38">IF($B73=FALSE,"",ROUND(U73,$L$109))</f>
        <v/>
      </c>
      <c r="W73" s="165" t="str">
        <f t="shared" ref="W73:W91" si="39">IF($B73=FALSE,"",ROUND(T73+V73,$L$109))</f>
        <v/>
      </c>
      <c r="X73" s="122"/>
      <c r="Y73" s="165">
        <f>IF(Length_5_R2!J5&lt;0,ROUNDUP(Length_5_R2!J5*I$66,$L$109),ROUNDDOWN(Length_5_R2!J5*I$66,$L$109))</f>
        <v>0</v>
      </c>
      <c r="Z73" s="165">
        <f>IF(Length_5_R2!K5&lt;0,ROUNDDOWN(Length_5_R2!K5*I$66,$L$109),ROUNDUP(Length_5_R2!K5*I$66,$L$109))</f>
        <v>0</v>
      </c>
      <c r="AA73" s="165" t="e">
        <f t="shared" ca="1" si="34"/>
        <v>#N/A</v>
      </c>
      <c r="AB73" s="168" t="e">
        <f t="shared" ca="1" si="35"/>
        <v>#N/A</v>
      </c>
      <c r="AC73" s="165" t="e">
        <f t="shared" ca="1" si="36"/>
        <v>#N/A</v>
      </c>
      <c r="AD73" s="165" t="e">
        <f t="shared" ca="1" si="37"/>
        <v>#VALUE!</v>
      </c>
      <c r="AE73" s="165" t="str">
        <f t="shared" ref="AE73:AE91" si="40">IF($B73=FALSE,"",IF(AND(Y73&lt;=W73,W73&lt;=Z73),"PASS","FAIL"))</f>
        <v/>
      </c>
      <c r="AF73" s="165" t="e">
        <f t="shared" ref="AF73:AF91" ca="1" si="41">S$109</f>
        <v>#N/A</v>
      </c>
    </row>
    <row r="74" spans="1:32" ht="15" customHeight="1">
      <c r="B74" s="171" t="b">
        <f>IF(TRIM(Length_5_R2!A6)="",FALSE,TRUE)</f>
        <v>0</v>
      </c>
      <c r="C74" s="165" t="str">
        <f>IF($B74=FALSE,"",VALUE(Length_5_R2!A6))</f>
        <v/>
      </c>
      <c r="D74" s="165" t="str">
        <f>IF($B74=FALSE,"",Length_5_R2!B6)</f>
        <v/>
      </c>
      <c r="E74" s="171" t="str">
        <f>IF(B74=FALSE,"",Length_5_R2!M6)</f>
        <v/>
      </c>
      <c r="F74" s="171" t="str">
        <f>IF(B74=FALSE,"",Length_5_R2!N6)</f>
        <v/>
      </c>
      <c r="G74" s="171" t="str">
        <f>IF(B74=FALSE,"",Length_5_R2!O6)</f>
        <v/>
      </c>
      <c r="H74" s="171" t="str">
        <f>IF(B74=FALSE,"",Length_5_R2!P6)</f>
        <v/>
      </c>
      <c r="I74" s="171" t="str">
        <f>IF(B74=FALSE,"",Length_5_R2!Q6)</f>
        <v/>
      </c>
      <c r="J74" s="165" t="str">
        <f t="shared" si="25"/>
        <v/>
      </c>
      <c r="K74" s="175" t="str">
        <f t="shared" si="26"/>
        <v/>
      </c>
      <c r="L74" s="176" t="str">
        <f>IF(B74=FALSE,"",Length_5_R2!D29)</f>
        <v/>
      </c>
      <c r="M74" s="177" t="str">
        <f>IF(B74=FALSE,"",Calcu!J74*I$66)</f>
        <v/>
      </c>
      <c r="N74" s="178" t="str">
        <f t="shared" si="27"/>
        <v/>
      </c>
      <c r="O74" s="178" t="str">
        <f>IF(B74=FALSE,"",Length_5_R2!K29)</f>
        <v/>
      </c>
      <c r="P74" s="178" t="str">
        <f t="shared" si="28"/>
        <v/>
      </c>
      <c r="Q74" s="165" t="str">
        <f t="shared" si="29"/>
        <v/>
      </c>
      <c r="R74" s="165" t="str">
        <f t="shared" si="30"/>
        <v/>
      </c>
      <c r="S74" s="232" t="str">
        <f t="shared" si="31"/>
        <v/>
      </c>
      <c r="T74" s="179" t="str">
        <f t="shared" si="32"/>
        <v/>
      </c>
      <c r="U74" s="180" t="str">
        <f t="shared" si="33"/>
        <v/>
      </c>
      <c r="V74" s="165" t="str">
        <f t="shared" si="38"/>
        <v/>
      </c>
      <c r="W74" s="165" t="str">
        <f t="shared" si="39"/>
        <v/>
      </c>
      <c r="X74" s="122"/>
      <c r="Y74" s="165">
        <f>IF(Length_5_R2!J6&lt;0,ROUNDUP(Length_5_R2!J6*I$66,$L$109),ROUNDDOWN(Length_5_R2!J6*I$66,$L$109))</f>
        <v>0</v>
      </c>
      <c r="Z74" s="165">
        <f>IF(Length_5_R2!K6&lt;0,ROUNDDOWN(Length_5_R2!K6*I$66,$L$109),ROUNDUP(Length_5_R2!K6*I$66,$L$109))</f>
        <v>0</v>
      </c>
      <c r="AA74" s="165" t="e">
        <f t="shared" ca="1" si="34"/>
        <v>#N/A</v>
      </c>
      <c r="AB74" s="168" t="e">
        <f t="shared" ca="1" si="35"/>
        <v>#N/A</v>
      </c>
      <c r="AC74" s="165" t="e">
        <f t="shared" ca="1" si="36"/>
        <v>#N/A</v>
      </c>
      <c r="AD74" s="165" t="e">
        <f t="shared" ca="1" si="37"/>
        <v>#VALUE!</v>
      </c>
      <c r="AE74" s="165" t="str">
        <f t="shared" si="40"/>
        <v/>
      </c>
      <c r="AF74" s="165" t="e">
        <f t="shared" ca="1" si="41"/>
        <v>#N/A</v>
      </c>
    </row>
    <row r="75" spans="1:32" ht="15" customHeight="1">
      <c r="B75" s="171" t="b">
        <f>IF(TRIM(Length_5_R2!A7)="",FALSE,TRUE)</f>
        <v>0</v>
      </c>
      <c r="C75" s="165" t="str">
        <f>IF($B75=FALSE,"",VALUE(Length_5_R2!A7))</f>
        <v/>
      </c>
      <c r="D75" s="165" t="str">
        <f>IF($B75=FALSE,"",Length_5_R2!B7)</f>
        <v/>
      </c>
      <c r="E75" s="171" t="str">
        <f>IF(B75=FALSE,"",Length_5_R2!M7)</f>
        <v/>
      </c>
      <c r="F75" s="171" t="str">
        <f>IF(B75=FALSE,"",Length_5_R2!N7)</f>
        <v/>
      </c>
      <c r="G75" s="171" t="str">
        <f>IF(B75=FALSE,"",Length_5_R2!O7)</f>
        <v/>
      </c>
      <c r="H75" s="171" t="str">
        <f>IF(B75=FALSE,"",Length_5_R2!P7)</f>
        <v/>
      </c>
      <c r="I75" s="171" t="str">
        <f>IF(B75=FALSE,"",Length_5_R2!Q7)</f>
        <v/>
      </c>
      <c r="J75" s="165" t="str">
        <f t="shared" si="25"/>
        <v/>
      </c>
      <c r="K75" s="175" t="str">
        <f t="shared" si="26"/>
        <v/>
      </c>
      <c r="L75" s="176" t="str">
        <f>IF(B75=FALSE,"",Length_5_R2!D30)</f>
        <v/>
      </c>
      <c r="M75" s="177" t="str">
        <f>IF(B75=FALSE,"",Calcu!J75*I$66)</f>
        <v/>
      </c>
      <c r="N75" s="178" t="str">
        <f t="shared" si="27"/>
        <v/>
      </c>
      <c r="O75" s="178" t="str">
        <f>IF(B75=FALSE,"",Length_5_R2!K30)</f>
        <v/>
      </c>
      <c r="P75" s="178" t="str">
        <f t="shared" si="28"/>
        <v/>
      </c>
      <c r="Q75" s="165" t="str">
        <f t="shared" si="29"/>
        <v/>
      </c>
      <c r="R75" s="165" t="str">
        <f t="shared" si="30"/>
        <v/>
      </c>
      <c r="S75" s="232" t="str">
        <f t="shared" si="31"/>
        <v/>
      </c>
      <c r="T75" s="179" t="str">
        <f t="shared" si="32"/>
        <v/>
      </c>
      <c r="U75" s="180" t="str">
        <f t="shared" si="33"/>
        <v/>
      </c>
      <c r="V75" s="165" t="str">
        <f t="shared" si="38"/>
        <v/>
      </c>
      <c r="W75" s="165" t="str">
        <f t="shared" si="39"/>
        <v/>
      </c>
      <c r="X75" s="122"/>
      <c r="Y75" s="165">
        <f>IF(Length_5_R2!J7&lt;0,ROUNDUP(Length_5_R2!J7*I$66,$L$109),ROUNDDOWN(Length_5_R2!J7*I$66,$L$109))</f>
        <v>0</v>
      </c>
      <c r="Z75" s="165">
        <f>IF(Length_5_R2!K7&lt;0,ROUNDDOWN(Length_5_R2!K7*I$66,$L$109),ROUNDUP(Length_5_R2!K7*I$66,$L$109))</f>
        <v>0</v>
      </c>
      <c r="AA75" s="165" t="e">
        <f t="shared" ca="1" si="34"/>
        <v>#N/A</v>
      </c>
      <c r="AB75" s="168" t="e">
        <f t="shared" ca="1" si="35"/>
        <v>#N/A</v>
      </c>
      <c r="AC75" s="165" t="e">
        <f t="shared" ca="1" si="36"/>
        <v>#N/A</v>
      </c>
      <c r="AD75" s="165" t="e">
        <f t="shared" ca="1" si="37"/>
        <v>#VALUE!</v>
      </c>
      <c r="AE75" s="165" t="str">
        <f t="shared" si="40"/>
        <v/>
      </c>
      <c r="AF75" s="165" t="e">
        <f t="shared" ca="1" si="41"/>
        <v>#N/A</v>
      </c>
    </row>
    <row r="76" spans="1:32" ht="15" customHeight="1">
      <c r="B76" s="171" t="b">
        <f>IF(TRIM(Length_5_R2!A8)="",FALSE,TRUE)</f>
        <v>0</v>
      </c>
      <c r="C76" s="165" t="str">
        <f>IF($B76=FALSE,"",VALUE(Length_5_R2!A8))</f>
        <v/>
      </c>
      <c r="D76" s="165" t="str">
        <f>IF($B76=FALSE,"",Length_5_R2!B8)</f>
        <v/>
      </c>
      <c r="E76" s="171" t="str">
        <f>IF(B76=FALSE,"",Length_5_R2!M8)</f>
        <v/>
      </c>
      <c r="F76" s="171" t="str">
        <f>IF(B76=FALSE,"",Length_5_R2!N8)</f>
        <v/>
      </c>
      <c r="G76" s="171" t="str">
        <f>IF(B76=FALSE,"",Length_5_R2!O8)</f>
        <v/>
      </c>
      <c r="H76" s="171" t="str">
        <f>IF(B76=FALSE,"",Length_5_R2!P8)</f>
        <v/>
      </c>
      <c r="I76" s="171" t="str">
        <f>IF(B76=FALSE,"",Length_5_R2!Q8)</f>
        <v/>
      </c>
      <c r="J76" s="165" t="str">
        <f t="shared" si="25"/>
        <v/>
      </c>
      <c r="K76" s="175" t="str">
        <f t="shared" si="26"/>
        <v/>
      </c>
      <c r="L76" s="176" t="str">
        <f>IF(B76=FALSE,"",Length_5_R2!D31)</f>
        <v/>
      </c>
      <c r="M76" s="177" t="str">
        <f>IF(B76=FALSE,"",Calcu!J76*I$66)</f>
        <v/>
      </c>
      <c r="N76" s="178" t="str">
        <f t="shared" si="27"/>
        <v/>
      </c>
      <c r="O76" s="178" t="str">
        <f>IF(B76=FALSE,"",Length_5_R2!K31)</f>
        <v/>
      </c>
      <c r="P76" s="178" t="str">
        <f t="shared" si="28"/>
        <v/>
      </c>
      <c r="Q76" s="165" t="str">
        <f t="shared" si="29"/>
        <v/>
      </c>
      <c r="R76" s="165" t="str">
        <f t="shared" si="30"/>
        <v/>
      </c>
      <c r="S76" s="232" t="str">
        <f t="shared" si="31"/>
        <v/>
      </c>
      <c r="T76" s="179" t="str">
        <f t="shared" si="32"/>
        <v/>
      </c>
      <c r="U76" s="180" t="str">
        <f t="shared" si="33"/>
        <v/>
      </c>
      <c r="V76" s="165" t="str">
        <f t="shared" si="38"/>
        <v/>
      </c>
      <c r="W76" s="165" t="str">
        <f t="shared" si="39"/>
        <v/>
      </c>
      <c r="X76" s="122"/>
      <c r="Y76" s="165">
        <f>IF(Length_5_R2!J8&lt;0,ROUNDUP(Length_5_R2!J8*I$66,$L$109),ROUNDDOWN(Length_5_R2!J8*I$66,$L$109))</f>
        <v>0</v>
      </c>
      <c r="Z76" s="165">
        <f>IF(Length_5_R2!K8&lt;0,ROUNDDOWN(Length_5_R2!K8*I$66,$L$109),ROUNDUP(Length_5_R2!K8*I$66,$L$109))</f>
        <v>0</v>
      </c>
      <c r="AA76" s="165" t="e">
        <f t="shared" ca="1" si="34"/>
        <v>#N/A</v>
      </c>
      <c r="AB76" s="168" t="e">
        <f t="shared" ca="1" si="35"/>
        <v>#N/A</v>
      </c>
      <c r="AC76" s="165" t="e">
        <f t="shared" ca="1" si="36"/>
        <v>#N/A</v>
      </c>
      <c r="AD76" s="165" t="e">
        <f t="shared" ca="1" si="37"/>
        <v>#VALUE!</v>
      </c>
      <c r="AE76" s="165" t="str">
        <f t="shared" si="40"/>
        <v/>
      </c>
      <c r="AF76" s="165" t="e">
        <f t="shared" ca="1" si="41"/>
        <v>#N/A</v>
      </c>
    </row>
    <row r="77" spans="1:32" ht="15" customHeight="1">
      <c r="B77" s="171" t="b">
        <f>IF(TRIM(Length_5_R2!A9)="",FALSE,TRUE)</f>
        <v>0</v>
      </c>
      <c r="C77" s="165" t="str">
        <f>IF($B77=FALSE,"",VALUE(Length_5_R2!A9))</f>
        <v/>
      </c>
      <c r="D77" s="165" t="str">
        <f>IF($B77=FALSE,"",Length_5_R2!B9)</f>
        <v/>
      </c>
      <c r="E77" s="171" t="str">
        <f>IF(B77=FALSE,"",Length_5_R2!M9)</f>
        <v/>
      </c>
      <c r="F77" s="171" t="str">
        <f>IF(B77=FALSE,"",Length_5_R2!N9)</f>
        <v/>
      </c>
      <c r="G77" s="171" t="str">
        <f>IF(B77=FALSE,"",Length_5_R2!O9)</f>
        <v/>
      </c>
      <c r="H77" s="171" t="str">
        <f>IF(B77=FALSE,"",Length_5_R2!P9)</f>
        <v/>
      </c>
      <c r="I77" s="171" t="str">
        <f>IF(B77=FALSE,"",Length_5_R2!Q9)</f>
        <v/>
      </c>
      <c r="J77" s="165" t="str">
        <f t="shared" si="25"/>
        <v/>
      </c>
      <c r="K77" s="175" t="str">
        <f t="shared" si="26"/>
        <v/>
      </c>
      <c r="L77" s="176" t="str">
        <f>IF(B77=FALSE,"",Length_5_R2!D32)</f>
        <v/>
      </c>
      <c r="M77" s="177" t="str">
        <f>IF(B77=FALSE,"",Calcu!J77*I$66)</f>
        <v/>
      </c>
      <c r="N77" s="178" t="str">
        <f t="shared" si="27"/>
        <v/>
      </c>
      <c r="O77" s="178" t="str">
        <f>IF(B77=FALSE,"",Length_5_R2!K32)</f>
        <v/>
      </c>
      <c r="P77" s="178" t="str">
        <f t="shared" si="28"/>
        <v/>
      </c>
      <c r="Q77" s="165" t="str">
        <f t="shared" si="29"/>
        <v/>
      </c>
      <c r="R77" s="165" t="str">
        <f t="shared" si="30"/>
        <v/>
      </c>
      <c r="S77" s="232" t="str">
        <f t="shared" si="31"/>
        <v/>
      </c>
      <c r="T77" s="179" t="str">
        <f t="shared" si="32"/>
        <v/>
      </c>
      <c r="U77" s="180" t="str">
        <f t="shared" si="33"/>
        <v/>
      </c>
      <c r="V77" s="165" t="str">
        <f t="shared" si="38"/>
        <v/>
      </c>
      <c r="W77" s="165" t="str">
        <f t="shared" si="39"/>
        <v/>
      </c>
      <c r="X77" s="122"/>
      <c r="Y77" s="165">
        <f>IF(Length_5_R2!J9&lt;0,ROUNDUP(Length_5_R2!J9*I$66,$L$109),ROUNDDOWN(Length_5_R2!J9*I$66,$L$109))</f>
        <v>0</v>
      </c>
      <c r="Z77" s="165">
        <f>IF(Length_5_R2!K9&lt;0,ROUNDDOWN(Length_5_R2!K9*I$66,$L$109),ROUNDUP(Length_5_R2!K9*I$66,$L$109))</f>
        <v>0</v>
      </c>
      <c r="AA77" s="165" t="e">
        <f t="shared" ca="1" si="34"/>
        <v>#N/A</v>
      </c>
      <c r="AB77" s="168" t="e">
        <f t="shared" ca="1" si="35"/>
        <v>#N/A</v>
      </c>
      <c r="AC77" s="165" t="e">
        <f t="shared" ca="1" si="36"/>
        <v>#N/A</v>
      </c>
      <c r="AD77" s="165" t="e">
        <f t="shared" ca="1" si="37"/>
        <v>#VALUE!</v>
      </c>
      <c r="AE77" s="165" t="str">
        <f t="shared" si="40"/>
        <v/>
      </c>
      <c r="AF77" s="165" t="e">
        <f t="shared" ca="1" si="41"/>
        <v>#N/A</v>
      </c>
    </row>
    <row r="78" spans="1:32" ht="15" customHeight="1">
      <c r="B78" s="171" t="b">
        <f>IF(TRIM(Length_5_R2!A10)="",FALSE,TRUE)</f>
        <v>0</v>
      </c>
      <c r="C78" s="165" t="str">
        <f>IF($B78=FALSE,"",VALUE(Length_5_R2!A10))</f>
        <v/>
      </c>
      <c r="D78" s="165" t="str">
        <f>IF($B78=FALSE,"",Length_5_R2!B10)</f>
        <v/>
      </c>
      <c r="E78" s="171" t="str">
        <f>IF(B78=FALSE,"",Length_5_R2!M10)</f>
        <v/>
      </c>
      <c r="F78" s="171" t="str">
        <f>IF(B78=FALSE,"",Length_5_R2!N10)</f>
        <v/>
      </c>
      <c r="G78" s="171" t="str">
        <f>IF(B78=FALSE,"",Length_5_R2!O10)</f>
        <v/>
      </c>
      <c r="H78" s="171" t="str">
        <f>IF(B78=FALSE,"",Length_5_R2!P10)</f>
        <v/>
      </c>
      <c r="I78" s="171" t="str">
        <f>IF(B78=FALSE,"",Length_5_R2!Q10)</f>
        <v/>
      </c>
      <c r="J78" s="165" t="str">
        <f t="shared" si="25"/>
        <v/>
      </c>
      <c r="K78" s="175" t="str">
        <f t="shared" si="26"/>
        <v/>
      </c>
      <c r="L78" s="176" t="str">
        <f>IF(B78=FALSE,"",Length_5_R2!D33)</f>
        <v/>
      </c>
      <c r="M78" s="177" t="str">
        <f>IF(B78=FALSE,"",Calcu!J78*I$66)</f>
        <v/>
      </c>
      <c r="N78" s="178" t="str">
        <f t="shared" si="27"/>
        <v/>
      </c>
      <c r="O78" s="178" t="str">
        <f>IF(B78=FALSE,"",Length_5_R2!K33)</f>
        <v/>
      </c>
      <c r="P78" s="178" t="str">
        <f t="shared" si="28"/>
        <v/>
      </c>
      <c r="Q78" s="165" t="str">
        <f t="shared" si="29"/>
        <v/>
      </c>
      <c r="R78" s="165" t="str">
        <f t="shared" si="30"/>
        <v/>
      </c>
      <c r="S78" s="232" t="str">
        <f t="shared" si="31"/>
        <v/>
      </c>
      <c r="T78" s="179" t="str">
        <f t="shared" si="32"/>
        <v/>
      </c>
      <c r="U78" s="180" t="str">
        <f t="shared" si="33"/>
        <v/>
      </c>
      <c r="V78" s="165" t="str">
        <f t="shared" si="38"/>
        <v/>
      </c>
      <c r="W78" s="165" t="str">
        <f t="shared" si="39"/>
        <v/>
      </c>
      <c r="X78" s="122"/>
      <c r="Y78" s="165">
        <f>IF(Length_5_R2!J10&lt;0,ROUNDUP(Length_5_R2!J10*I$66,$L$109),ROUNDDOWN(Length_5_R2!J10*I$66,$L$109))</f>
        <v>0</v>
      </c>
      <c r="Z78" s="165">
        <f>IF(Length_5_R2!K10&lt;0,ROUNDDOWN(Length_5_R2!K10*I$66,$L$109),ROUNDUP(Length_5_R2!K10*I$66,$L$109))</f>
        <v>0</v>
      </c>
      <c r="AA78" s="165" t="e">
        <f t="shared" ca="1" si="34"/>
        <v>#N/A</v>
      </c>
      <c r="AB78" s="168" t="e">
        <f t="shared" ca="1" si="35"/>
        <v>#N/A</v>
      </c>
      <c r="AC78" s="165" t="e">
        <f t="shared" ca="1" si="36"/>
        <v>#N/A</v>
      </c>
      <c r="AD78" s="165" t="e">
        <f t="shared" ca="1" si="37"/>
        <v>#VALUE!</v>
      </c>
      <c r="AE78" s="165" t="str">
        <f t="shared" si="40"/>
        <v/>
      </c>
      <c r="AF78" s="165" t="e">
        <f t="shared" ca="1" si="41"/>
        <v>#N/A</v>
      </c>
    </row>
    <row r="79" spans="1:32" ht="15" customHeight="1">
      <c r="B79" s="171" t="b">
        <f>IF(TRIM(Length_5_R2!A11)="",FALSE,TRUE)</f>
        <v>0</v>
      </c>
      <c r="C79" s="165" t="str">
        <f>IF($B79=FALSE,"",VALUE(Length_5_R2!A11))</f>
        <v/>
      </c>
      <c r="D79" s="165" t="str">
        <f>IF($B79=FALSE,"",Length_5_R2!B11)</f>
        <v/>
      </c>
      <c r="E79" s="171" t="str">
        <f>IF(B79=FALSE,"",Length_5_R2!M11)</f>
        <v/>
      </c>
      <c r="F79" s="171" t="str">
        <f>IF(B79=FALSE,"",Length_5_R2!N11)</f>
        <v/>
      </c>
      <c r="G79" s="171" t="str">
        <f>IF(B79=FALSE,"",Length_5_R2!O11)</f>
        <v/>
      </c>
      <c r="H79" s="171" t="str">
        <f>IF(B79=FALSE,"",Length_5_R2!P11)</f>
        <v/>
      </c>
      <c r="I79" s="171" t="str">
        <f>IF(B79=FALSE,"",Length_5_R2!Q11)</f>
        <v/>
      </c>
      <c r="J79" s="165" t="str">
        <f t="shared" si="25"/>
        <v/>
      </c>
      <c r="K79" s="175" t="str">
        <f t="shared" si="26"/>
        <v/>
      </c>
      <c r="L79" s="176" t="str">
        <f>IF(B79=FALSE,"",Length_5_R2!D34)</f>
        <v/>
      </c>
      <c r="M79" s="177" t="str">
        <f>IF(B79=FALSE,"",Calcu!J79*I$66)</f>
        <v/>
      </c>
      <c r="N79" s="178" t="str">
        <f t="shared" si="27"/>
        <v/>
      </c>
      <c r="O79" s="178" t="str">
        <f>IF(B79=FALSE,"",Length_5_R2!K34)</f>
        <v/>
      </c>
      <c r="P79" s="178" t="str">
        <f t="shared" si="28"/>
        <v/>
      </c>
      <c r="Q79" s="165" t="str">
        <f t="shared" si="29"/>
        <v/>
      </c>
      <c r="R79" s="165" t="str">
        <f t="shared" si="30"/>
        <v/>
      </c>
      <c r="S79" s="232" t="str">
        <f t="shared" si="31"/>
        <v/>
      </c>
      <c r="T79" s="179" t="str">
        <f t="shared" si="32"/>
        <v/>
      </c>
      <c r="U79" s="180" t="str">
        <f t="shared" si="33"/>
        <v/>
      </c>
      <c r="V79" s="165" t="str">
        <f t="shared" si="38"/>
        <v/>
      </c>
      <c r="W79" s="165" t="str">
        <f t="shared" si="39"/>
        <v/>
      </c>
      <c r="X79" s="122"/>
      <c r="Y79" s="165">
        <f>IF(Length_5_R2!J11&lt;0,ROUNDUP(Length_5_R2!J11*I$66,$L$109),ROUNDDOWN(Length_5_R2!J11*I$66,$L$109))</f>
        <v>0</v>
      </c>
      <c r="Z79" s="165">
        <f>IF(Length_5_R2!K11&lt;0,ROUNDDOWN(Length_5_R2!K11*I$66,$L$109),ROUNDUP(Length_5_R2!K11*I$66,$L$109))</f>
        <v>0</v>
      </c>
      <c r="AA79" s="165" t="e">
        <f t="shared" ca="1" si="34"/>
        <v>#N/A</v>
      </c>
      <c r="AB79" s="168" t="e">
        <f t="shared" ca="1" si="35"/>
        <v>#N/A</v>
      </c>
      <c r="AC79" s="165" t="e">
        <f t="shared" ca="1" si="36"/>
        <v>#N/A</v>
      </c>
      <c r="AD79" s="165" t="e">
        <f t="shared" ca="1" si="37"/>
        <v>#VALUE!</v>
      </c>
      <c r="AE79" s="165" t="str">
        <f t="shared" si="40"/>
        <v/>
      </c>
      <c r="AF79" s="165" t="e">
        <f t="shared" ca="1" si="41"/>
        <v>#N/A</v>
      </c>
    </row>
    <row r="80" spans="1:32" ht="15" customHeight="1">
      <c r="B80" s="171" t="b">
        <f>IF(TRIM(Length_5_R2!A12)="",FALSE,TRUE)</f>
        <v>0</v>
      </c>
      <c r="C80" s="165" t="str">
        <f>IF($B80=FALSE,"",VALUE(Length_5_R2!A12))</f>
        <v/>
      </c>
      <c r="D80" s="165" t="str">
        <f>IF($B80=FALSE,"",Length_5_R2!B12)</f>
        <v/>
      </c>
      <c r="E80" s="171" t="str">
        <f>IF(B80=FALSE,"",Length_5_R2!M12)</f>
        <v/>
      </c>
      <c r="F80" s="171" t="str">
        <f>IF(B80=FALSE,"",Length_5_R2!N12)</f>
        <v/>
      </c>
      <c r="G80" s="171" t="str">
        <f>IF(B80=FALSE,"",Length_5_R2!O12)</f>
        <v/>
      </c>
      <c r="H80" s="171" t="str">
        <f>IF(B80=FALSE,"",Length_5_R2!P12)</f>
        <v/>
      </c>
      <c r="I80" s="171" t="str">
        <f>IF(B80=FALSE,"",Length_5_R2!Q12)</f>
        <v/>
      </c>
      <c r="J80" s="165" t="str">
        <f t="shared" si="25"/>
        <v/>
      </c>
      <c r="K80" s="175" t="str">
        <f t="shared" si="26"/>
        <v/>
      </c>
      <c r="L80" s="176" t="str">
        <f>IF(B80=FALSE,"",Length_5_R2!D35)</f>
        <v/>
      </c>
      <c r="M80" s="177" t="str">
        <f>IF(B80=FALSE,"",Calcu!J80*I$66)</f>
        <v/>
      </c>
      <c r="N80" s="178" t="str">
        <f t="shared" si="27"/>
        <v/>
      </c>
      <c r="O80" s="178" t="str">
        <f>IF(B80=FALSE,"",Length_5_R2!K35)</f>
        <v/>
      </c>
      <c r="P80" s="178" t="str">
        <f t="shared" si="28"/>
        <v/>
      </c>
      <c r="Q80" s="165" t="str">
        <f t="shared" si="29"/>
        <v/>
      </c>
      <c r="R80" s="165" t="str">
        <f t="shared" si="30"/>
        <v/>
      </c>
      <c r="S80" s="232" t="str">
        <f t="shared" si="31"/>
        <v/>
      </c>
      <c r="T80" s="179" t="str">
        <f t="shared" si="32"/>
        <v/>
      </c>
      <c r="U80" s="180" t="str">
        <f t="shared" si="33"/>
        <v/>
      </c>
      <c r="V80" s="165" t="str">
        <f t="shared" si="38"/>
        <v/>
      </c>
      <c r="W80" s="165" t="str">
        <f t="shared" si="39"/>
        <v/>
      </c>
      <c r="X80" s="122"/>
      <c r="Y80" s="165">
        <f>IF(Length_5_R2!J12&lt;0,ROUNDUP(Length_5_R2!J12*I$66,$L$109),ROUNDDOWN(Length_5_R2!J12*I$66,$L$109))</f>
        <v>0</v>
      </c>
      <c r="Z80" s="165">
        <f>IF(Length_5_R2!K12&lt;0,ROUNDDOWN(Length_5_R2!K12*I$66,$L$109),ROUNDUP(Length_5_R2!K12*I$66,$L$109))</f>
        <v>0</v>
      </c>
      <c r="AA80" s="165" t="e">
        <f t="shared" ca="1" si="34"/>
        <v>#N/A</v>
      </c>
      <c r="AB80" s="168" t="e">
        <f t="shared" ca="1" si="35"/>
        <v>#N/A</v>
      </c>
      <c r="AC80" s="165" t="e">
        <f t="shared" ca="1" si="36"/>
        <v>#N/A</v>
      </c>
      <c r="AD80" s="165" t="e">
        <f t="shared" ca="1" si="37"/>
        <v>#VALUE!</v>
      </c>
      <c r="AE80" s="165" t="str">
        <f t="shared" si="40"/>
        <v/>
      </c>
      <c r="AF80" s="165" t="e">
        <f t="shared" ca="1" si="41"/>
        <v>#N/A</v>
      </c>
    </row>
    <row r="81" spans="1:32" ht="15" customHeight="1">
      <c r="B81" s="171" t="b">
        <f>IF(TRIM(Length_5_R2!A13)="",FALSE,TRUE)</f>
        <v>0</v>
      </c>
      <c r="C81" s="165" t="str">
        <f>IF($B81=FALSE,"",VALUE(Length_5_R2!A13))</f>
        <v/>
      </c>
      <c r="D81" s="165" t="str">
        <f>IF($B81=FALSE,"",Length_5_R2!B13)</f>
        <v/>
      </c>
      <c r="E81" s="171" t="str">
        <f>IF(B81=FALSE,"",Length_5_R2!M13)</f>
        <v/>
      </c>
      <c r="F81" s="171" t="str">
        <f>IF(B81=FALSE,"",Length_5_R2!N13)</f>
        <v/>
      </c>
      <c r="G81" s="171" t="str">
        <f>IF(B81=FALSE,"",Length_5_R2!O13)</f>
        <v/>
      </c>
      <c r="H81" s="171" t="str">
        <f>IF(B81=FALSE,"",Length_5_R2!P13)</f>
        <v/>
      </c>
      <c r="I81" s="171" t="str">
        <f>IF(B81=FALSE,"",Length_5_R2!Q13)</f>
        <v/>
      </c>
      <c r="J81" s="165" t="str">
        <f t="shared" si="25"/>
        <v/>
      </c>
      <c r="K81" s="175" t="str">
        <f t="shared" si="26"/>
        <v/>
      </c>
      <c r="L81" s="176" t="str">
        <f>IF(B81=FALSE,"",Length_5_R2!D36)</f>
        <v/>
      </c>
      <c r="M81" s="177" t="str">
        <f>IF(B81=FALSE,"",Calcu!J81*I$66)</f>
        <v/>
      </c>
      <c r="N81" s="178" t="str">
        <f t="shared" si="27"/>
        <v/>
      </c>
      <c r="O81" s="178" t="str">
        <f>IF(B81=FALSE,"",Length_5_R2!K36)</f>
        <v/>
      </c>
      <c r="P81" s="178" t="str">
        <f t="shared" si="28"/>
        <v/>
      </c>
      <c r="Q81" s="165" t="str">
        <f t="shared" si="29"/>
        <v/>
      </c>
      <c r="R81" s="165" t="str">
        <f t="shared" si="30"/>
        <v/>
      </c>
      <c r="S81" s="232" t="str">
        <f t="shared" si="31"/>
        <v/>
      </c>
      <c r="T81" s="179" t="str">
        <f t="shared" si="32"/>
        <v/>
      </c>
      <c r="U81" s="180" t="str">
        <f t="shared" si="33"/>
        <v/>
      </c>
      <c r="V81" s="165" t="str">
        <f t="shared" si="38"/>
        <v/>
      </c>
      <c r="W81" s="165" t="str">
        <f t="shared" si="39"/>
        <v/>
      </c>
      <c r="X81" s="122"/>
      <c r="Y81" s="165">
        <f>IF(Length_5_R2!J13&lt;0,ROUNDUP(Length_5_R2!J13*I$66,$L$109),ROUNDDOWN(Length_5_R2!J13*I$66,$L$109))</f>
        <v>0</v>
      </c>
      <c r="Z81" s="165">
        <f>IF(Length_5_R2!K13&lt;0,ROUNDDOWN(Length_5_R2!K13*I$66,$L$109),ROUNDUP(Length_5_R2!K13*I$66,$L$109))</f>
        <v>0</v>
      </c>
      <c r="AA81" s="165" t="e">
        <f t="shared" ca="1" si="34"/>
        <v>#N/A</v>
      </c>
      <c r="AB81" s="168" t="e">
        <f t="shared" ca="1" si="35"/>
        <v>#N/A</v>
      </c>
      <c r="AC81" s="165" t="e">
        <f t="shared" ca="1" si="36"/>
        <v>#N/A</v>
      </c>
      <c r="AD81" s="165" t="e">
        <f t="shared" ca="1" si="37"/>
        <v>#VALUE!</v>
      </c>
      <c r="AE81" s="165" t="str">
        <f t="shared" si="40"/>
        <v/>
      </c>
      <c r="AF81" s="165" t="e">
        <f t="shared" ca="1" si="41"/>
        <v>#N/A</v>
      </c>
    </row>
    <row r="82" spans="1:32" ht="15" customHeight="1">
      <c r="B82" s="171" t="b">
        <f>IF(TRIM(Length_5_R2!A14)="",FALSE,TRUE)</f>
        <v>0</v>
      </c>
      <c r="C82" s="165" t="str">
        <f>IF($B82=FALSE,"",VALUE(Length_5_R2!A14))</f>
        <v/>
      </c>
      <c r="D82" s="165" t="str">
        <f>IF($B82=FALSE,"",Length_5_R2!B14)</f>
        <v/>
      </c>
      <c r="E82" s="171" t="str">
        <f>IF(B82=FALSE,"",Length_5_R2!M14)</f>
        <v/>
      </c>
      <c r="F82" s="171" t="str">
        <f>IF(B82=FALSE,"",Length_5_R2!N14)</f>
        <v/>
      </c>
      <c r="G82" s="171" t="str">
        <f>IF(B82=FALSE,"",Length_5_R2!O14)</f>
        <v/>
      </c>
      <c r="H82" s="171" t="str">
        <f>IF(B82=FALSE,"",Length_5_R2!P14)</f>
        <v/>
      </c>
      <c r="I82" s="171" t="str">
        <f>IF(B82=FALSE,"",Length_5_R2!Q14)</f>
        <v/>
      </c>
      <c r="J82" s="165" t="str">
        <f t="shared" si="25"/>
        <v/>
      </c>
      <c r="K82" s="175" t="str">
        <f t="shared" si="26"/>
        <v/>
      </c>
      <c r="L82" s="176" t="str">
        <f>IF(B82=FALSE,"",Length_5_R2!D37)</f>
        <v/>
      </c>
      <c r="M82" s="177" t="str">
        <f>IF(B82=FALSE,"",Calcu!J82*I$66)</f>
        <v/>
      </c>
      <c r="N82" s="178" t="str">
        <f t="shared" si="27"/>
        <v/>
      </c>
      <c r="O82" s="178" t="str">
        <f>IF(B82=FALSE,"",Length_5_R2!K37)</f>
        <v/>
      </c>
      <c r="P82" s="178" t="str">
        <f t="shared" si="28"/>
        <v/>
      </c>
      <c r="Q82" s="165" t="str">
        <f t="shared" si="29"/>
        <v/>
      </c>
      <c r="R82" s="165" t="str">
        <f t="shared" si="30"/>
        <v/>
      </c>
      <c r="S82" s="232" t="str">
        <f t="shared" si="31"/>
        <v/>
      </c>
      <c r="T82" s="179" t="str">
        <f t="shared" si="32"/>
        <v/>
      </c>
      <c r="U82" s="180" t="str">
        <f t="shared" si="33"/>
        <v/>
      </c>
      <c r="V82" s="165" t="str">
        <f t="shared" si="38"/>
        <v/>
      </c>
      <c r="W82" s="165" t="str">
        <f t="shared" si="39"/>
        <v/>
      </c>
      <c r="X82" s="122"/>
      <c r="Y82" s="165">
        <f>IF(Length_5_R2!J14&lt;0,ROUNDUP(Length_5_R2!J14*I$66,$L$109),ROUNDDOWN(Length_5_R2!J14*I$66,$L$109))</f>
        <v>0</v>
      </c>
      <c r="Z82" s="165">
        <f>IF(Length_5_R2!K14&lt;0,ROUNDDOWN(Length_5_R2!K14*I$66,$L$109),ROUNDUP(Length_5_R2!K14*I$66,$L$109))</f>
        <v>0</v>
      </c>
      <c r="AA82" s="165" t="e">
        <f t="shared" ca="1" si="34"/>
        <v>#N/A</v>
      </c>
      <c r="AB82" s="168" t="e">
        <f t="shared" ca="1" si="35"/>
        <v>#N/A</v>
      </c>
      <c r="AC82" s="165" t="e">
        <f t="shared" ca="1" si="36"/>
        <v>#N/A</v>
      </c>
      <c r="AD82" s="165" t="e">
        <f t="shared" ca="1" si="37"/>
        <v>#VALUE!</v>
      </c>
      <c r="AE82" s="165" t="str">
        <f t="shared" si="40"/>
        <v/>
      </c>
      <c r="AF82" s="165" t="e">
        <f t="shared" ca="1" si="41"/>
        <v>#N/A</v>
      </c>
    </row>
    <row r="83" spans="1:32" ht="15" customHeight="1">
      <c r="B83" s="171" t="b">
        <f>IF(TRIM(Length_5_R2!A15)="",FALSE,TRUE)</f>
        <v>0</v>
      </c>
      <c r="C83" s="165" t="str">
        <f>IF($B83=FALSE,"",VALUE(Length_5_R2!A15))</f>
        <v/>
      </c>
      <c r="D83" s="165" t="str">
        <f>IF($B83=FALSE,"",Length_5_R2!B15)</f>
        <v/>
      </c>
      <c r="E83" s="171" t="str">
        <f>IF(B83=FALSE,"",Length_5_R2!M15)</f>
        <v/>
      </c>
      <c r="F83" s="171" t="str">
        <f>IF(B83=FALSE,"",Length_5_R2!N15)</f>
        <v/>
      </c>
      <c r="G83" s="171" t="str">
        <f>IF(B83=FALSE,"",Length_5_R2!O15)</f>
        <v/>
      </c>
      <c r="H83" s="171" t="str">
        <f>IF(B83=FALSE,"",Length_5_R2!P15)</f>
        <v/>
      </c>
      <c r="I83" s="171" t="str">
        <f>IF(B83=FALSE,"",Length_5_R2!Q15)</f>
        <v/>
      </c>
      <c r="J83" s="165" t="str">
        <f t="shared" si="25"/>
        <v/>
      </c>
      <c r="K83" s="175" t="str">
        <f t="shared" si="26"/>
        <v/>
      </c>
      <c r="L83" s="176" t="str">
        <f>IF(B83=FALSE,"",Length_5_R2!D38)</f>
        <v/>
      </c>
      <c r="M83" s="177" t="str">
        <f>IF(B83=FALSE,"",Calcu!J83*I$66)</f>
        <v/>
      </c>
      <c r="N83" s="178" t="str">
        <f t="shared" si="27"/>
        <v/>
      </c>
      <c r="O83" s="178" t="str">
        <f>IF(B83=FALSE,"",Length_5_R2!K38)</f>
        <v/>
      </c>
      <c r="P83" s="178" t="str">
        <f t="shared" si="28"/>
        <v/>
      </c>
      <c r="Q83" s="165" t="str">
        <f t="shared" si="29"/>
        <v/>
      </c>
      <c r="R83" s="165" t="str">
        <f t="shared" si="30"/>
        <v/>
      </c>
      <c r="S83" s="232" t="str">
        <f t="shared" si="31"/>
        <v/>
      </c>
      <c r="T83" s="179" t="str">
        <f t="shared" si="32"/>
        <v/>
      </c>
      <c r="U83" s="180" t="str">
        <f t="shared" si="33"/>
        <v/>
      </c>
      <c r="V83" s="165" t="str">
        <f t="shared" si="38"/>
        <v/>
      </c>
      <c r="W83" s="165" t="str">
        <f t="shared" si="39"/>
        <v/>
      </c>
      <c r="X83" s="122"/>
      <c r="Y83" s="165">
        <f>IF(Length_5_R2!J15&lt;0,ROUNDUP(Length_5_R2!J15*I$66,$L$109),ROUNDDOWN(Length_5_R2!J15*I$66,$L$109))</f>
        <v>0</v>
      </c>
      <c r="Z83" s="165">
        <f>IF(Length_5_R2!K15&lt;0,ROUNDDOWN(Length_5_R2!K15*I$66,$L$109),ROUNDUP(Length_5_R2!K15*I$66,$L$109))</f>
        <v>0</v>
      </c>
      <c r="AA83" s="165" t="e">
        <f t="shared" ca="1" si="34"/>
        <v>#N/A</v>
      </c>
      <c r="AB83" s="168" t="e">
        <f t="shared" ca="1" si="35"/>
        <v>#N/A</v>
      </c>
      <c r="AC83" s="165" t="e">
        <f t="shared" ca="1" si="36"/>
        <v>#N/A</v>
      </c>
      <c r="AD83" s="165" t="e">
        <f t="shared" ca="1" si="37"/>
        <v>#VALUE!</v>
      </c>
      <c r="AE83" s="165" t="str">
        <f t="shared" si="40"/>
        <v/>
      </c>
      <c r="AF83" s="165" t="e">
        <f t="shared" ca="1" si="41"/>
        <v>#N/A</v>
      </c>
    </row>
    <row r="84" spans="1:32" ht="15" customHeight="1">
      <c r="B84" s="171" t="b">
        <f>IF(TRIM(Length_5_R2!A16)="",FALSE,TRUE)</f>
        <v>0</v>
      </c>
      <c r="C84" s="165" t="str">
        <f>IF($B84=FALSE,"",VALUE(Length_5_R2!A16))</f>
        <v/>
      </c>
      <c r="D84" s="165" t="str">
        <f>IF($B84=FALSE,"",Length_5_R2!B16)</f>
        <v/>
      </c>
      <c r="E84" s="171" t="str">
        <f>IF(B84=FALSE,"",Length_5_R2!M16)</f>
        <v/>
      </c>
      <c r="F84" s="171" t="str">
        <f>IF(B84=FALSE,"",Length_5_R2!N16)</f>
        <v/>
      </c>
      <c r="G84" s="171" t="str">
        <f>IF(B84=FALSE,"",Length_5_R2!O16)</f>
        <v/>
      </c>
      <c r="H84" s="171" t="str">
        <f>IF(B84=FALSE,"",Length_5_R2!P16)</f>
        <v/>
      </c>
      <c r="I84" s="171" t="str">
        <f>IF(B84=FALSE,"",Length_5_R2!Q16)</f>
        <v/>
      </c>
      <c r="J84" s="165" t="str">
        <f t="shared" si="25"/>
        <v/>
      </c>
      <c r="K84" s="175" t="str">
        <f t="shared" si="26"/>
        <v/>
      </c>
      <c r="L84" s="176" t="str">
        <f>IF(B84=FALSE,"",Length_5_R2!D39)</f>
        <v/>
      </c>
      <c r="M84" s="177" t="str">
        <f>IF(B84=FALSE,"",Calcu!J84*I$66)</f>
        <v/>
      </c>
      <c r="N84" s="178" t="str">
        <f t="shared" si="27"/>
        <v/>
      </c>
      <c r="O84" s="178" t="str">
        <f>IF(B84=FALSE,"",Length_5_R2!K39)</f>
        <v/>
      </c>
      <c r="P84" s="178" t="str">
        <f t="shared" si="28"/>
        <v/>
      </c>
      <c r="Q84" s="165" t="str">
        <f t="shared" si="29"/>
        <v/>
      </c>
      <c r="R84" s="165" t="str">
        <f t="shared" si="30"/>
        <v/>
      </c>
      <c r="S84" s="232" t="str">
        <f t="shared" si="31"/>
        <v/>
      </c>
      <c r="T84" s="179" t="str">
        <f t="shared" si="32"/>
        <v/>
      </c>
      <c r="U84" s="180" t="str">
        <f t="shared" si="33"/>
        <v/>
      </c>
      <c r="V84" s="165" t="str">
        <f t="shared" si="38"/>
        <v/>
      </c>
      <c r="W84" s="165" t="str">
        <f t="shared" si="39"/>
        <v/>
      </c>
      <c r="X84" s="122"/>
      <c r="Y84" s="165">
        <f>IF(Length_5_R2!J16&lt;0,ROUNDUP(Length_5_R2!J16*I$66,$L$109),ROUNDDOWN(Length_5_R2!J16*I$66,$L$109))</f>
        <v>0</v>
      </c>
      <c r="Z84" s="165">
        <f>IF(Length_5_R2!K16&lt;0,ROUNDDOWN(Length_5_R2!K16*I$66,$L$109),ROUNDUP(Length_5_R2!K16*I$66,$L$109))</f>
        <v>0</v>
      </c>
      <c r="AA84" s="165" t="e">
        <f t="shared" ca="1" si="34"/>
        <v>#N/A</v>
      </c>
      <c r="AB84" s="168" t="e">
        <f t="shared" ca="1" si="35"/>
        <v>#N/A</v>
      </c>
      <c r="AC84" s="165" t="e">
        <f t="shared" ca="1" si="36"/>
        <v>#N/A</v>
      </c>
      <c r="AD84" s="165" t="e">
        <f t="shared" ca="1" si="37"/>
        <v>#VALUE!</v>
      </c>
      <c r="AE84" s="165" t="str">
        <f t="shared" si="40"/>
        <v/>
      </c>
      <c r="AF84" s="165" t="e">
        <f t="shared" ca="1" si="41"/>
        <v>#N/A</v>
      </c>
    </row>
    <row r="85" spans="1:32" ht="15" customHeight="1">
      <c r="B85" s="171" t="b">
        <f>IF(TRIM(Length_5_R2!A17)="",FALSE,TRUE)</f>
        <v>0</v>
      </c>
      <c r="C85" s="165" t="str">
        <f>IF($B85=FALSE,"",VALUE(Length_5_R2!A17))</f>
        <v/>
      </c>
      <c r="D85" s="165" t="str">
        <f>IF($B85=FALSE,"",Length_5_R2!B17)</f>
        <v/>
      </c>
      <c r="E85" s="171" t="str">
        <f>IF(B85=FALSE,"",Length_5_R2!M17)</f>
        <v/>
      </c>
      <c r="F85" s="171" t="str">
        <f>IF(B85=FALSE,"",Length_5_R2!N17)</f>
        <v/>
      </c>
      <c r="G85" s="171" t="str">
        <f>IF(B85=FALSE,"",Length_5_R2!O17)</f>
        <v/>
      </c>
      <c r="H85" s="171" t="str">
        <f>IF(B85=FALSE,"",Length_5_R2!P17)</f>
        <v/>
      </c>
      <c r="I85" s="171" t="str">
        <f>IF(B85=FALSE,"",Length_5_R2!Q17)</f>
        <v/>
      </c>
      <c r="J85" s="165" t="str">
        <f t="shared" si="25"/>
        <v/>
      </c>
      <c r="K85" s="175" t="str">
        <f t="shared" si="26"/>
        <v/>
      </c>
      <c r="L85" s="176" t="str">
        <f>IF(B85=FALSE,"",Length_5_R2!D40)</f>
        <v/>
      </c>
      <c r="M85" s="177" t="str">
        <f>IF(B85=FALSE,"",Calcu!J85*I$66)</f>
        <v/>
      </c>
      <c r="N85" s="178" t="str">
        <f t="shared" si="27"/>
        <v/>
      </c>
      <c r="O85" s="178" t="str">
        <f>IF(B85=FALSE,"",Length_5_R2!K40)</f>
        <v/>
      </c>
      <c r="P85" s="178" t="str">
        <f t="shared" si="28"/>
        <v/>
      </c>
      <c r="Q85" s="165" t="str">
        <f t="shared" si="29"/>
        <v/>
      </c>
      <c r="R85" s="165" t="str">
        <f t="shared" si="30"/>
        <v/>
      </c>
      <c r="S85" s="232" t="str">
        <f t="shared" si="31"/>
        <v/>
      </c>
      <c r="T85" s="179" t="str">
        <f t="shared" si="32"/>
        <v/>
      </c>
      <c r="U85" s="180" t="str">
        <f t="shared" si="33"/>
        <v/>
      </c>
      <c r="V85" s="165" t="str">
        <f t="shared" si="38"/>
        <v/>
      </c>
      <c r="W85" s="165" t="str">
        <f t="shared" si="39"/>
        <v/>
      </c>
      <c r="X85" s="122"/>
      <c r="Y85" s="165">
        <f>IF(Length_5_R2!J17&lt;0,ROUNDUP(Length_5_R2!J17*I$66,$L$109),ROUNDDOWN(Length_5_R2!J17*I$66,$L$109))</f>
        <v>0</v>
      </c>
      <c r="Z85" s="165">
        <f>IF(Length_5_R2!K17&lt;0,ROUNDDOWN(Length_5_R2!K17*I$66,$L$109),ROUNDUP(Length_5_R2!K17*I$66,$L$109))</f>
        <v>0</v>
      </c>
      <c r="AA85" s="165" t="e">
        <f t="shared" ca="1" si="34"/>
        <v>#N/A</v>
      </c>
      <c r="AB85" s="168" t="e">
        <f t="shared" ca="1" si="35"/>
        <v>#N/A</v>
      </c>
      <c r="AC85" s="165" t="e">
        <f t="shared" ca="1" si="36"/>
        <v>#N/A</v>
      </c>
      <c r="AD85" s="165" t="e">
        <f t="shared" ca="1" si="37"/>
        <v>#VALUE!</v>
      </c>
      <c r="AE85" s="165" t="str">
        <f t="shared" si="40"/>
        <v/>
      </c>
      <c r="AF85" s="165" t="e">
        <f t="shared" ca="1" si="41"/>
        <v>#N/A</v>
      </c>
    </row>
    <row r="86" spans="1:32" ht="15" customHeight="1">
      <c r="B86" s="171" t="b">
        <f>IF(TRIM(Length_5_R2!A18)="",FALSE,TRUE)</f>
        <v>0</v>
      </c>
      <c r="C86" s="165" t="str">
        <f>IF($B86=FALSE,"",VALUE(Length_5_R2!A18))</f>
        <v/>
      </c>
      <c r="D86" s="165" t="str">
        <f>IF($B86=FALSE,"",Length_5_R2!B18)</f>
        <v/>
      </c>
      <c r="E86" s="171" t="str">
        <f>IF(B86=FALSE,"",Length_5_R2!M18)</f>
        <v/>
      </c>
      <c r="F86" s="171" t="str">
        <f>IF(B86=FALSE,"",Length_5_R2!N18)</f>
        <v/>
      </c>
      <c r="G86" s="171" t="str">
        <f>IF(B86=FALSE,"",Length_5_R2!O18)</f>
        <v/>
      </c>
      <c r="H86" s="171" t="str">
        <f>IF(B86=FALSE,"",Length_5_R2!P18)</f>
        <v/>
      </c>
      <c r="I86" s="171" t="str">
        <f>IF(B86=FALSE,"",Length_5_R2!Q18)</f>
        <v/>
      </c>
      <c r="J86" s="165" t="str">
        <f t="shared" si="25"/>
        <v/>
      </c>
      <c r="K86" s="175" t="str">
        <f t="shared" si="26"/>
        <v/>
      </c>
      <c r="L86" s="176" t="str">
        <f>IF(B86=FALSE,"",Length_5_R2!D41)</f>
        <v/>
      </c>
      <c r="M86" s="177" t="str">
        <f>IF(B86=FALSE,"",Calcu!J86*I$66)</f>
        <v/>
      </c>
      <c r="N86" s="178" t="str">
        <f t="shared" si="27"/>
        <v/>
      </c>
      <c r="O86" s="178" t="str">
        <f>IF(B86=FALSE,"",Length_5_R2!K41)</f>
        <v/>
      </c>
      <c r="P86" s="178" t="str">
        <f t="shared" si="28"/>
        <v/>
      </c>
      <c r="Q86" s="165" t="str">
        <f t="shared" si="29"/>
        <v/>
      </c>
      <c r="R86" s="165" t="str">
        <f t="shared" si="30"/>
        <v/>
      </c>
      <c r="S86" s="232" t="str">
        <f t="shared" si="31"/>
        <v/>
      </c>
      <c r="T86" s="179" t="str">
        <f t="shared" si="32"/>
        <v/>
      </c>
      <c r="U86" s="180" t="str">
        <f t="shared" si="33"/>
        <v/>
      </c>
      <c r="V86" s="165" t="str">
        <f t="shared" si="38"/>
        <v/>
      </c>
      <c r="W86" s="165" t="str">
        <f t="shared" si="39"/>
        <v/>
      </c>
      <c r="X86" s="122"/>
      <c r="Y86" s="165">
        <f>IF(Length_5_R2!J18&lt;0,ROUNDUP(Length_5_R2!J18*I$66,$L$109),ROUNDDOWN(Length_5_R2!J18*I$66,$L$109))</f>
        <v>0</v>
      </c>
      <c r="Z86" s="165">
        <f>IF(Length_5_R2!K18&lt;0,ROUNDDOWN(Length_5_R2!K18*I$66,$L$109),ROUNDUP(Length_5_R2!K18*I$66,$L$109))</f>
        <v>0</v>
      </c>
      <c r="AA86" s="165" t="e">
        <f t="shared" ca="1" si="34"/>
        <v>#N/A</v>
      </c>
      <c r="AB86" s="168" t="e">
        <f t="shared" ca="1" si="35"/>
        <v>#N/A</v>
      </c>
      <c r="AC86" s="165" t="e">
        <f t="shared" ca="1" si="36"/>
        <v>#N/A</v>
      </c>
      <c r="AD86" s="165" t="e">
        <f t="shared" ca="1" si="37"/>
        <v>#VALUE!</v>
      </c>
      <c r="AE86" s="165" t="str">
        <f t="shared" si="40"/>
        <v/>
      </c>
      <c r="AF86" s="165" t="e">
        <f t="shared" ca="1" si="41"/>
        <v>#N/A</v>
      </c>
    </row>
    <row r="87" spans="1:32" ht="15" customHeight="1">
      <c r="B87" s="171" t="b">
        <f>IF(TRIM(Length_5_R2!A19)="",FALSE,TRUE)</f>
        <v>0</v>
      </c>
      <c r="C87" s="165" t="str">
        <f>IF($B87=FALSE,"",VALUE(Length_5_R2!A19))</f>
        <v/>
      </c>
      <c r="D87" s="165" t="str">
        <f>IF($B87=FALSE,"",Length_5_R2!B19)</f>
        <v/>
      </c>
      <c r="E87" s="171" t="str">
        <f>IF(B87=FALSE,"",Length_5_R2!M19)</f>
        <v/>
      </c>
      <c r="F87" s="171" t="str">
        <f>IF(B87=FALSE,"",Length_5_R2!N19)</f>
        <v/>
      </c>
      <c r="G87" s="171" t="str">
        <f>IF(B87=FALSE,"",Length_5_R2!O19)</f>
        <v/>
      </c>
      <c r="H87" s="171" t="str">
        <f>IF(B87=FALSE,"",Length_5_R2!P19)</f>
        <v/>
      </c>
      <c r="I87" s="171" t="str">
        <f>IF(B87=FALSE,"",Length_5_R2!Q19)</f>
        <v/>
      </c>
      <c r="J87" s="165" t="str">
        <f t="shared" si="25"/>
        <v/>
      </c>
      <c r="K87" s="175" t="str">
        <f t="shared" si="26"/>
        <v/>
      </c>
      <c r="L87" s="176" t="str">
        <f>IF(B87=FALSE,"",Length_5_R2!D42)</f>
        <v/>
      </c>
      <c r="M87" s="177" t="str">
        <f>IF(B87=FALSE,"",Calcu!J87*I$66)</f>
        <v/>
      </c>
      <c r="N87" s="178" t="str">
        <f t="shared" si="27"/>
        <v/>
      </c>
      <c r="O87" s="178" t="str">
        <f>IF(B87=FALSE,"",Length_5_R2!K42)</f>
        <v/>
      </c>
      <c r="P87" s="178" t="str">
        <f t="shared" si="28"/>
        <v/>
      </c>
      <c r="Q87" s="165" t="str">
        <f t="shared" si="29"/>
        <v/>
      </c>
      <c r="R87" s="165" t="str">
        <f t="shared" si="30"/>
        <v/>
      </c>
      <c r="S87" s="232" t="str">
        <f t="shared" si="31"/>
        <v/>
      </c>
      <c r="T87" s="179" t="str">
        <f t="shared" si="32"/>
        <v/>
      </c>
      <c r="U87" s="180" t="str">
        <f t="shared" si="33"/>
        <v/>
      </c>
      <c r="V87" s="165" t="str">
        <f t="shared" si="38"/>
        <v/>
      </c>
      <c r="W87" s="165" t="str">
        <f t="shared" si="39"/>
        <v/>
      </c>
      <c r="X87" s="122"/>
      <c r="Y87" s="165">
        <f>IF(Length_5_R2!J19&lt;0,ROUNDUP(Length_5_R2!J19*I$66,$L$109),ROUNDDOWN(Length_5_R2!J19*I$66,$L$109))</f>
        <v>0</v>
      </c>
      <c r="Z87" s="165">
        <f>IF(Length_5_R2!K19&lt;0,ROUNDDOWN(Length_5_R2!K19*I$66,$L$109),ROUNDUP(Length_5_R2!K19*I$66,$L$109))</f>
        <v>0</v>
      </c>
      <c r="AA87" s="165" t="e">
        <f t="shared" ca="1" si="34"/>
        <v>#N/A</v>
      </c>
      <c r="AB87" s="168" t="e">
        <f t="shared" ca="1" si="35"/>
        <v>#N/A</v>
      </c>
      <c r="AC87" s="165" t="e">
        <f t="shared" ca="1" si="36"/>
        <v>#N/A</v>
      </c>
      <c r="AD87" s="165" t="e">
        <f t="shared" ca="1" si="37"/>
        <v>#VALUE!</v>
      </c>
      <c r="AE87" s="165" t="str">
        <f t="shared" si="40"/>
        <v/>
      </c>
      <c r="AF87" s="165" t="e">
        <f t="shared" ca="1" si="41"/>
        <v>#N/A</v>
      </c>
    </row>
    <row r="88" spans="1:32" ht="15" customHeight="1">
      <c r="B88" s="171" t="b">
        <f>IF(TRIM(Length_5_R2!A20)="",FALSE,TRUE)</f>
        <v>0</v>
      </c>
      <c r="C88" s="165" t="str">
        <f>IF($B88=FALSE,"",VALUE(Length_5_R2!A20))</f>
        <v/>
      </c>
      <c r="D88" s="165" t="str">
        <f>IF($B88=FALSE,"",Length_5_R2!B20)</f>
        <v/>
      </c>
      <c r="E88" s="171" t="str">
        <f>IF(B88=FALSE,"",Length_5_R2!M20)</f>
        <v/>
      </c>
      <c r="F88" s="171" t="str">
        <f>IF(B88=FALSE,"",Length_5_R2!N20)</f>
        <v/>
      </c>
      <c r="G88" s="171" t="str">
        <f>IF(B88=FALSE,"",Length_5_R2!O20)</f>
        <v/>
      </c>
      <c r="H88" s="171" t="str">
        <f>IF(B88=FALSE,"",Length_5_R2!P20)</f>
        <v/>
      </c>
      <c r="I88" s="171" t="str">
        <f>IF(B88=FALSE,"",Length_5_R2!Q20)</f>
        <v/>
      </c>
      <c r="J88" s="165" t="str">
        <f t="shared" si="25"/>
        <v/>
      </c>
      <c r="K88" s="175" t="str">
        <f t="shared" si="26"/>
        <v/>
      </c>
      <c r="L88" s="176" t="str">
        <f>IF(B88=FALSE,"",Length_5_R2!D43)</f>
        <v/>
      </c>
      <c r="M88" s="177" t="str">
        <f>IF(B88=FALSE,"",Calcu!J88*I$66)</f>
        <v/>
      </c>
      <c r="N88" s="178" t="str">
        <f t="shared" si="27"/>
        <v/>
      </c>
      <c r="O88" s="178" t="str">
        <f>IF(B88=FALSE,"",Length_5_R2!K43)</f>
        <v/>
      </c>
      <c r="P88" s="178" t="str">
        <f t="shared" si="28"/>
        <v/>
      </c>
      <c r="Q88" s="165" t="str">
        <f t="shared" si="29"/>
        <v/>
      </c>
      <c r="R88" s="165" t="str">
        <f t="shared" si="30"/>
        <v/>
      </c>
      <c r="S88" s="232" t="str">
        <f t="shared" si="31"/>
        <v/>
      </c>
      <c r="T88" s="179" t="str">
        <f t="shared" si="32"/>
        <v/>
      </c>
      <c r="U88" s="180" t="str">
        <f t="shared" si="33"/>
        <v/>
      </c>
      <c r="V88" s="165" t="str">
        <f t="shared" si="38"/>
        <v/>
      </c>
      <c r="W88" s="165" t="str">
        <f t="shared" si="39"/>
        <v/>
      </c>
      <c r="X88" s="122"/>
      <c r="Y88" s="165">
        <f>IF(Length_5_R2!J20&lt;0,ROUNDUP(Length_5_R2!J20*I$66,$L$109),ROUNDDOWN(Length_5_R2!J20*I$66,$L$109))</f>
        <v>0</v>
      </c>
      <c r="Z88" s="165">
        <f>IF(Length_5_R2!K20&lt;0,ROUNDDOWN(Length_5_R2!K20*I$66,$L$109),ROUNDUP(Length_5_R2!K20*I$66,$L$109))</f>
        <v>0</v>
      </c>
      <c r="AA88" s="165" t="e">
        <f t="shared" ca="1" si="34"/>
        <v>#N/A</v>
      </c>
      <c r="AB88" s="168" t="e">
        <f t="shared" ca="1" si="35"/>
        <v>#N/A</v>
      </c>
      <c r="AC88" s="165" t="e">
        <f t="shared" ca="1" si="36"/>
        <v>#N/A</v>
      </c>
      <c r="AD88" s="165" t="e">
        <f t="shared" ca="1" si="37"/>
        <v>#VALUE!</v>
      </c>
      <c r="AE88" s="165" t="str">
        <f t="shared" si="40"/>
        <v/>
      </c>
      <c r="AF88" s="165" t="e">
        <f t="shared" ca="1" si="41"/>
        <v>#N/A</v>
      </c>
    </row>
    <row r="89" spans="1:32" ht="15" customHeight="1">
      <c r="B89" s="171" t="b">
        <f>IF(TRIM(Length_5_R2!A21)="",FALSE,TRUE)</f>
        <v>0</v>
      </c>
      <c r="C89" s="165" t="str">
        <f>IF($B89=FALSE,"",VALUE(Length_5_R2!A21))</f>
        <v/>
      </c>
      <c r="D89" s="165" t="str">
        <f>IF($B89=FALSE,"",Length_5_R2!B21)</f>
        <v/>
      </c>
      <c r="E89" s="171" t="str">
        <f>IF(B89=FALSE,"",Length_5_R2!M21)</f>
        <v/>
      </c>
      <c r="F89" s="171" t="str">
        <f>IF(B89=FALSE,"",Length_5_R2!N21)</f>
        <v/>
      </c>
      <c r="G89" s="171" t="str">
        <f>IF(B89=FALSE,"",Length_5_R2!O21)</f>
        <v/>
      </c>
      <c r="H89" s="171" t="str">
        <f>IF(B89=FALSE,"",Length_5_R2!P21)</f>
        <v/>
      </c>
      <c r="I89" s="171" t="str">
        <f>IF(B89=FALSE,"",Length_5_R2!Q21)</f>
        <v/>
      </c>
      <c r="J89" s="165" t="str">
        <f t="shared" si="25"/>
        <v/>
      </c>
      <c r="K89" s="175" t="str">
        <f t="shared" si="26"/>
        <v/>
      </c>
      <c r="L89" s="176" t="str">
        <f>IF(B89=FALSE,"",Length_5_R2!D44)</f>
        <v/>
      </c>
      <c r="M89" s="177" t="str">
        <f>IF(B89=FALSE,"",Calcu!J89*I$66)</f>
        <v/>
      </c>
      <c r="N89" s="178" t="str">
        <f t="shared" si="27"/>
        <v/>
      </c>
      <c r="O89" s="178" t="str">
        <f>IF(B89=FALSE,"",Length_5_R2!K44)</f>
        <v/>
      </c>
      <c r="P89" s="178" t="str">
        <f t="shared" si="28"/>
        <v/>
      </c>
      <c r="Q89" s="165" t="str">
        <f t="shared" si="29"/>
        <v/>
      </c>
      <c r="R89" s="165" t="str">
        <f t="shared" si="30"/>
        <v/>
      </c>
      <c r="S89" s="232" t="str">
        <f t="shared" si="31"/>
        <v/>
      </c>
      <c r="T89" s="179" t="str">
        <f t="shared" si="32"/>
        <v/>
      </c>
      <c r="U89" s="180" t="str">
        <f t="shared" si="33"/>
        <v/>
      </c>
      <c r="V89" s="165" t="str">
        <f t="shared" si="38"/>
        <v/>
      </c>
      <c r="W89" s="165" t="str">
        <f t="shared" si="39"/>
        <v/>
      </c>
      <c r="X89" s="122"/>
      <c r="Y89" s="165">
        <f>IF(Length_5_R2!J21&lt;0,ROUNDUP(Length_5_R2!J21*I$66,$L$109),ROUNDDOWN(Length_5_R2!J21*I$66,$L$109))</f>
        <v>0</v>
      </c>
      <c r="Z89" s="165">
        <f>IF(Length_5_R2!K21&lt;0,ROUNDDOWN(Length_5_R2!K21*I$66,$L$109),ROUNDUP(Length_5_R2!K21*I$66,$L$109))</f>
        <v>0</v>
      </c>
      <c r="AA89" s="165" t="e">
        <f t="shared" ca="1" si="34"/>
        <v>#N/A</v>
      </c>
      <c r="AB89" s="168" t="e">
        <f t="shared" ca="1" si="35"/>
        <v>#N/A</v>
      </c>
      <c r="AC89" s="165" t="e">
        <f t="shared" ca="1" si="36"/>
        <v>#N/A</v>
      </c>
      <c r="AD89" s="165" t="e">
        <f t="shared" ca="1" si="37"/>
        <v>#VALUE!</v>
      </c>
      <c r="AE89" s="165" t="str">
        <f t="shared" si="40"/>
        <v/>
      </c>
      <c r="AF89" s="165" t="e">
        <f t="shared" ca="1" si="41"/>
        <v>#N/A</v>
      </c>
    </row>
    <row r="90" spans="1:32" ht="15" customHeight="1">
      <c r="B90" s="171" t="b">
        <f>IF(TRIM(Length_5_R2!A22)="",FALSE,TRUE)</f>
        <v>0</v>
      </c>
      <c r="C90" s="165" t="str">
        <f>IF($B90=FALSE,"",VALUE(Length_5_R2!A22))</f>
        <v/>
      </c>
      <c r="D90" s="165" t="str">
        <f>IF($B90=FALSE,"",Length_5_R2!B22)</f>
        <v/>
      </c>
      <c r="E90" s="171" t="str">
        <f>IF(B90=FALSE,"",Length_5_R2!M22)</f>
        <v/>
      </c>
      <c r="F90" s="171" t="str">
        <f>IF(B90=FALSE,"",Length_5_R2!N22)</f>
        <v/>
      </c>
      <c r="G90" s="171" t="str">
        <f>IF(B90=FALSE,"",Length_5_R2!O22)</f>
        <v/>
      </c>
      <c r="H90" s="171" t="str">
        <f>IF(B90=FALSE,"",Length_5_R2!P22)</f>
        <v/>
      </c>
      <c r="I90" s="171" t="str">
        <f>IF(B90=FALSE,"",Length_5_R2!Q22)</f>
        <v/>
      </c>
      <c r="J90" s="165" t="str">
        <f t="shared" si="25"/>
        <v/>
      </c>
      <c r="K90" s="175" t="str">
        <f t="shared" si="26"/>
        <v/>
      </c>
      <c r="L90" s="176" t="str">
        <f>IF(B90=FALSE,"",Length_5_R2!D45)</f>
        <v/>
      </c>
      <c r="M90" s="177" t="str">
        <f>IF(B90=FALSE,"",Calcu!J90*I$66)</f>
        <v/>
      </c>
      <c r="N90" s="178" t="str">
        <f t="shared" si="27"/>
        <v/>
      </c>
      <c r="O90" s="178" t="str">
        <f>IF(B90=FALSE,"",Length_5_R2!K45)</f>
        <v/>
      </c>
      <c r="P90" s="178" t="str">
        <f t="shared" si="28"/>
        <v/>
      </c>
      <c r="Q90" s="165" t="str">
        <f t="shared" si="29"/>
        <v/>
      </c>
      <c r="R90" s="165" t="str">
        <f t="shared" si="30"/>
        <v/>
      </c>
      <c r="S90" s="232" t="str">
        <f t="shared" si="31"/>
        <v/>
      </c>
      <c r="T90" s="179" t="str">
        <f t="shared" si="32"/>
        <v/>
      </c>
      <c r="U90" s="180" t="str">
        <f t="shared" si="33"/>
        <v/>
      </c>
      <c r="V90" s="165" t="str">
        <f t="shared" si="38"/>
        <v/>
      </c>
      <c r="W90" s="165" t="str">
        <f t="shared" si="39"/>
        <v/>
      </c>
      <c r="X90" s="122"/>
      <c r="Y90" s="165">
        <f>IF(Length_5_R2!J22&lt;0,ROUNDUP(Length_5_R2!J22*I$66,$L$109),ROUNDDOWN(Length_5_R2!J22*I$66,$L$109))</f>
        <v>0</v>
      </c>
      <c r="Z90" s="165">
        <f>IF(Length_5_R2!K22&lt;0,ROUNDDOWN(Length_5_R2!K22*I$66,$L$109),ROUNDUP(Length_5_R2!K22*I$66,$L$109))</f>
        <v>0</v>
      </c>
      <c r="AA90" s="165" t="e">
        <f t="shared" ca="1" si="34"/>
        <v>#N/A</v>
      </c>
      <c r="AB90" s="168" t="e">
        <f t="shared" ca="1" si="35"/>
        <v>#N/A</v>
      </c>
      <c r="AC90" s="165" t="e">
        <f t="shared" ca="1" si="36"/>
        <v>#N/A</v>
      </c>
      <c r="AD90" s="165" t="e">
        <f t="shared" ca="1" si="37"/>
        <v>#VALUE!</v>
      </c>
      <c r="AE90" s="165" t="str">
        <f t="shared" si="40"/>
        <v/>
      </c>
      <c r="AF90" s="165" t="e">
        <f t="shared" ca="1" si="41"/>
        <v>#N/A</v>
      </c>
    </row>
    <row r="91" spans="1:32" ht="15" customHeight="1">
      <c r="B91" s="171" t="b">
        <f>IF(TRIM(Length_5_R2!A23)="",FALSE,TRUE)</f>
        <v>0</v>
      </c>
      <c r="C91" s="165" t="str">
        <f>IF($B91=FALSE,"",VALUE(Length_5_R2!A23))</f>
        <v/>
      </c>
      <c r="D91" s="165" t="str">
        <f>IF($B91=FALSE,"",Length_5_R2!B23)</f>
        <v/>
      </c>
      <c r="E91" s="171" t="str">
        <f>IF(B91=FALSE,"",Length_5_R2!M23)</f>
        <v/>
      </c>
      <c r="F91" s="171" t="str">
        <f>IF(B91=FALSE,"",Length_5_R2!N23)</f>
        <v/>
      </c>
      <c r="G91" s="171" t="str">
        <f>IF(B91=FALSE,"",Length_5_R2!O23)</f>
        <v/>
      </c>
      <c r="H91" s="171" t="str">
        <f>IF(B91=FALSE,"",Length_5_R2!P23)</f>
        <v/>
      </c>
      <c r="I91" s="171" t="str">
        <f>IF(B91=FALSE,"",Length_5_R2!Q23)</f>
        <v/>
      </c>
      <c r="J91" s="165" t="str">
        <f t="shared" si="25"/>
        <v/>
      </c>
      <c r="K91" s="175" t="str">
        <f t="shared" si="26"/>
        <v/>
      </c>
      <c r="L91" s="176" t="str">
        <f>IF(B91=FALSE,"",Length_5_R2!D46)</f>
        <v/>
      </c>
      <c r="M91" s="177" t="str">
        <f>IF(B91=FALSE,"",Calcu!J91*I$66)</f>
        <v/>
      </c>
      <c r="N91" s="178" t="str">
        <f t="shared" si="27"/>
        <v/>
      </c>
      <c r="O91" s="178" t="str">
        <f>IF(B91=FALSE,"",Length_5_R2!K46)</f>
        <v/>
      </c>
      <c r="P91" s="178" t="str">
        <f t="shared" si="28"/>
        <v/>
      </c>
      <c r="Q91" s="165" t="str">
        <f t="shared" si="29"/>
        <v/>
      </c>
      <c r="R91" s="165" t="str">
        <f t="shared" si="30"/>
        <v/>
      </c>
      <c r="S91" s="232" t="str">
        <f t="shared" si="31"/>
        <v/>
      </c>
      <c r="T91" s="179" t="str">
        <f t="shared" si="32"/>
        <v/>
      </c>
      <c r="U91" s="180" t="str">
        <f t="shared" si="33"/>
        <v/>
      </c>
      <c r="V91" s="165" t="str">
        <f t="shared" si="38"/>
        <v/>
      </c>
      <c r="W91" s="165" t="str">
        <f t="shared" si="39"/>
        <v/>
      </c>
      <c r="X91" s="122"/>
      <c r="Y91" s="165">
        <f>IF(Length_5_R2!J23&lt;0,ROUNDUP(Length_5_R2!J23*I$66,$L$109),ROUNDDOWN(Length_5_R2!J23*I$66,$L$109))</f>
        <v>0</v>
      </c>
      <c r="Z91" s="165">
        <f>IF(Length_5_R2!K23&lt;0,ROUNDDOWN(Length_5_R2!K23*I$66,$L$109),ROUNDUP(Length_5_R2!K23*I$66,$L$109))</f>
        <v>0</v>
      </c>
      <c r="AA91" s="165" t="e">
        <f t="shared" ca="1" si="34"/>
        <v>#N/A</v>
      </c>
      <c r="AB91" s="168" t="e">
        <f t="shared" ca="1" si="35"/>
        <v>#N/A</v>
      </c>
      <c r="AC91" s="165" t="e">
        <f t="shared" ca="1" si="36"/>
        <v>#N/A</v>
      </c>
      <c r="AD91" s="165" t="e">
        <f t="shared" ca="1" si="37"/>
        <v>#VALUE!</v>
      </c>
      <c r="AE91" s="165" t="str">
        <f t="shared" si="40"/>
        <v/>
      </c>
      <c r="AF91" s="165" t="e">
        <f t="shared" ca="1" si="41"/>
        <v>#N/A</v>
      </c>
    </row>
    <row r="92" spans="1:32" ht="15" customHeight="1">
      <c r="N92" s="118"/>
      <c r="O92" s="118"/>
      <c r="P92" s="118"/>
      <c r="Q92" s="118"/>
      <c r="R92" s="118"/>
      <c r="S92" s="118"/>
      <c r="T92" s="118"/>
      <c r="Y92" s="118"/>
    </row>
    <row r="93" spans="1:32" ht="15" customHeight="1">
      <c r="A93" s="116" t="s">
        <v>246</v>
      </c>
      <c r="C93" s="117"/>
      <c r="D93" s="117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122"/>
      <c r="AB93" s="122"/>
    </row>
    <row r="94" spans="1:32" ht="15" customHeight="1">
      <c r="A94" s="116"/>
      <c r="B94" s="683"/>
      <c r="C94" s="683" t="s">
        <v>147</v>
      </c>
      <c r="D94" s="694" t="s">
        <v>148</v>
      </c>
      <c r="E94" s="683" t="s">
        <v>149</v>
      </c>
      <c r="F94" s="683" t="s">
        <v>60</v>
      </c>
      <c r="G94" s="666">
        <v>1</v>
      </c>
      <c r="H94" s="668"/>
      <c r="I94" s="668"/>
      <c r="J94" s="668"/>
      <c r="K94" s="668"/>
      <c r="L94" s="668"/>
      <c r="M94" s="667"/>
      <c r="N94" s="245">
        <v>2</v>
      </c>
      <c r="O94" s="666">
        <v>3</v>
      </c>
      <c r="P94" s="668"/>
      <c r="Q94" s="668"/>
      <c r="R94" s="667"/>
      <c r="S94" s="666">
        <v>4</v>
      </c>
      <c r="T94" s="668"/>
      <c r="U94" s="667"/>
      <c r="V94" s="245">
        <v>5</v>
      </c>
      <c r="W94" s="683" t="s">
        <v>151</v>
      </c>
      <c r="X94" s="683" t="s">
        <v>152</v>
      </c>
      <c r="Y94" s="666" t="s">
        <v>1264</v>
      </c>
      <c r="Z94" s="667"/>
      <c r="AA94" s="122"/>
      <c r="AB94" s="122"/>
      <c r="AC94" s="122"/>
    </row>
    <row r="95" spans="1:32" ht="15" customHeight="1">
      <c r="A95" s="116"/>
      <c r="B95" s="688"/>
      <c r="C95" s="688"/>
      <c r="D95" s="695"/>
      <c r="E95" s="688"/>
      <c r="F95" s="688"/>
      <c r="G95" s="279" t="s">
        <v>491</v>
      </c>
      <c r="H95" s="279" t="s">
        <v>285</v>
      </c>
      <c r="I95" s="245" t="s">
        <v>286</v>
      </c>
      <c r="J95" s="245" t="s">
        <v>287</v>
      </c>
      <c r="K95" s="666" t="s">
        <v>151</v>
      </c>
      <c r="L95" s="668"/>
      <c r="M95" s="667"/>
      <c r="N95" s="245" t="s">
        <v>157</v>
      </c>
      <c r="O95" s="666" t="s">
        <v>156</v>
      </c>
      <c r="P95" s="667"/>
      <c r="Q95" s="666" t="s">
        <v>158</v>
      </c>
      <c r="R95" s="667"/>
      <c r="S95" s="666" t="s">
        <v>159</v>
      </c>
      <c r="T95" s="668"/>
      <c r="U95" s="667"/>
      <c r="V95" s="245" t="s">
        <v>160</v>
      </c>
      <c r="W95" s="688"/>
      <c r="X95" s="684"/>
      <c r="Y95" s="392" t="s">
        <v>189</v>
      </c>
      <c r="Z95" s="392" t="s">
        <v>1265</v>
      </c>
      <c r="AA95" s="122"/>
      <c r="AB95" s="122"/>
      <c r="AC95" s="122"/>
    </row>
    <row r="96" spans="1:32" ht="15" customHeight="1">
      <c r="B96" s="245" t="s">
        <v>163</v>
      </c>
      <c r="C96" s="181" t="s">
        <v>164</v>
      </c>
      <c r="D96" s="182" t="s">
        <v>165</v>
      </c>
      <c r="E96" s="243" t="e">
        <f ca="1">OFFSET(L$71,MATCH(K$66,T$72:T$91,0),0)</f>
        <v>#N/A</v>
      </c>
      <c r="F96" s="183" t="s">
        <v>166</v>
      </c>
      <c r="G96" s="165" t="e">
        <f ca="1">OFFSET(Length_5_R2!F26,MATCH(E66,C72:C91,0),0)</f>
        <v>#N/A</v>
      </c>
      <c r="H96" s="215" t="e">
        <f ca="1">OFFSET(Length_5_R2!G26,MATCH(E66,C72:C91,0),0)</f>
        <v>#N/A</v>
      </c>
      <c r="I96" s="165" t="e">
        <f ca="1">OFFSET(Length_5_R2!J26,MATCH(E66,C72:C91,0),0)</f>
        <v>#N/A</v>
      </c>
      <c r="J96" s="165" t="e">
        <f ca="1">OFFSET(Length_5_R2!I26,MATCH(E66,C72:C91,0),0)</f>
        <v>#N/A</v>
      </c>
      <c r="K96" s="188" t="e">
        <f ca="1">G96/J96</f>
        <v>#N/A</v>
      </c>
      <c r="L96" s="177" t="e">
        <f ca="1">IF(I96="L=m",H96/1000,H96)/J96</f>
        <v>#N/A</v>
      </c>
      <c r="M96" s="167" t="s">
        <v>140</v>
      </c>
      <c r="N96" s="184" t="s">
        <v>168</v>
      </c>
      <c r="O96" s="165"/>
      <c r="P96" s="165"/>
      <c r="Q96" s="177">
        <v>1</v>
      </c>
      <c r="R96" s="165"/>
      <c r="S96" s="185" t="e">
        <f ca="1">ABS(K96*Q96)</f>
        <v>#N/A</v>
      </c>
      <c r="T96" s="165" t="e">
        <f ca="1">ABS(L96*Q96)</f>
        <v>#N/A</v>
      </c>
      <c r="U96" s="167" t="s">
        <v>140</v>
      </c>
      <c r="V96" s="165" t="s">
        <v>169</v>
      </c>
      <c r="W96" s="193" t="e">
        <f ca="1">SQRT(SUMSQ(S96,T96*K$66))</f>
        <v>#N/A</v>
      </c>
      <c r="X96" s="189">
        <f t="shared" ref="X96:X104" si="42">IF(V96="∞",0,W96^4/V96)</f>
        <v>0</v>
      </c>
      <c r="Y96" s="185" t="str">
        <f t="shared" ref="Y96:Y104" si="43">IF(OR(N96="직사각형",N96="삼각형"),W96,"")</f>
        <v/>
      </c>
      <c r="Z96" s="185" t="e">
        <f t="shared" ref="Z96:Z104" ca="1" si="44">IF(OR(N96="직사각형",N96="삼각형"),"",W96)</f>
        <v>#N/A</v>
      </c>
      <c r="AA96" s="122"/>
      <c r="AB96" s="122"/>
      <c r="AC96" s="122"/>
    </row>
    <row r="97" spans="2:29" ht="15" customHeight="1">
      <c r="B97" s="245" t="s">
        <v>171</v>
      </c>
      <c r="C97" s="181" t="s">
        <v>172</v>
      </c>
      <c r="D97" s="182" t="s">
        <v>175</v>
      </c>
      <c r="E97" s="243" t="e">
        <f ca="1">OFFSET(M$71,MATCH(K$66,T$72:T$91,0),0)</f>
        <v>#N/A</v>
      </c>
      <c r="F97" s="183" t="s">
        <v>166</v>
      </c>
      <c r="G97" s="165"/>
      <c r="H97" s="167">
        <f>IF(MAX(K72:K91)=0,O66*1000,MAX(K72:K91)*1000)</f>
        <v>0</v>
      </c>
      <c r="I97" s="165">
        <f>IF(MAX(K72:K91)=0,2,1)</f>
        <v>2</v>
      </c>
      <c r="J97" s="186">
        <v>5</v>
      </c>
      <c r="K97" s="193">
        <f>H97/(IF(I97="",1,I97)*SQRT(J97))</f>
        <v>0</v>
      </c>
      <c r="L97" s="193"/>
      <c r="M97" s="167" t="s">
        <v>140</v>
      </c>
      <c r="N97" s="184" t="s">
        <v>247</v>
      </c>
      <c r="O97" s="165"/>
      <c r="P97" s="165"/>
      <c r="Q97" s="177">
        <v>-1</v>
      </c>
      <c r="R97" s="165"/>
      <c r="S97" s="185">
        <f t="shared" ref="S97:S104" si="45">ABS(K97*Q97)</f>
        <v>0</v>
      </c>
      <c r="T97" s="165">
        <f t="shared" ref="T97:T104" si="46">ABS(L97*Q97)</f>
        <v>0</v>
      </c>
      <c r="U97" s="167" t="s">
        <v>140</v>
      </c>
      <c r="V97" s="165">
        <v>4</v>
      </c>
      <c r="W97" s="193">
        <f t="shared" ref="W97:W104" si="47">SQRT(SUMSQ(S97,T97*K$66))</f>
        <v>0</v>
      </c>
      <c r="X97" s="189">
        <f t="shared" si="42"/>
        <v>0</v>
      </c>
      <c r="Y97" s="185" t="str">
        <f t="shared" si="43"/>
        <v/>
      </c>
      <c r="Z97" s="185">
        <f t="shared" si="44"/>
        <v>0</v>
      </c>
      <c r="AA97" s="122"/>
      <c r="AB97" s="122"/>
      <c r="AC97" s="122"/>
    </row>
    <row r="98" spans="2:29" ht="15" customHeight="1">
      <c r="B98" s="245" t="s">
        <v>249</v>
      </c>
      <c r="C98" s="181" t="s">
        <v>250</v>
      </c>
      <c r="D98" s="182" t="s">
        <v>110</v>
      </c>
      <c r="E98" s="178" t="e">
        <f ca="1">OFFSET(P$71,MATCH(K$66,T$72:T$91,0),0)</f>
        <v>#N/A</v>
      </c>
      <c r="F98" s="183" t="s">
        <v>176</v>
      </c>
      <c r="G98" s="178"/>
      <c r="H98" s="178">
        <f>1*10^-6</f>
        <v>9.9999999999999995E-7</v>
      </c>
      <c r="I98" s="166"/>
      <c r="J98" s="186">
        <v>3</v>
      </c>
      <c r="K98" s="284"/>
      <c r="L98" s="284">
        <f>SQRT((H98/SQRT(J98)/2)^2+(H98/SQRT(J98)/2)^2)</f>
        <v>4.0824829046386305E-7</v>
      </c>
      <c r="M98" s="183" t="s">
        <v>176</v>
      </c>
      <c r="N98" s="184" t="s">
        <v>186</v>
      </c>
      <c r="O98" s="167">
        <f>H99</f>
        <v>0.2</v>
      </c>
      <c r="P98" s="165" t="s">
        <v>177</v>
      </c>
      <c r="Q98" s="177">
        <f>-O98*1000</f>
        <v>-200</v>
      </c>
      <c r="R98" s="165" t="s">
        <v>178</v>
      </c>
      <c r="S98" s="185">
        <f t="shared" si="45"/>
        <v>0</v>
      </c>
      <c r="T98" s="165">
        <f t="shared" si="46"/>
        <v>8.1649658092772609E-5</v>
      </c>
      <c r="U98" s="167" t="s">
        <v>140</v>
      </c>
      <c r="V98" s="165">
        <v>100</v>
      </c>
      <c r="W98" s="193">
        <f t="shared" si="47"/>
        <v>0</v>
      </c>
      <c r="X98" s="189">
        <f t="shared" si="42"/>
        <v>0</v>
      </c>
      <c r="Y98" s="185">
        <f t="shared" si="43"/>
        <v>0</v>
      </c>
      <c r="Z98" s="185" t="str">
        <f t="shared" si="44"/>
        <v/>
      </c>
      <c r="AA98" s="122"/>
      <c r="AB98" s="122"/>
      <c r="AC98" s="122"/>
    </row>
    <row r="99" spans="2:29" ht="15" customHeight="1">
      <c r="B99" s="245" t="s">
        <v>252</v>
      </c>
      <c r="C99" s="181" t="s">
        <v>180</v>
      </c>
      <c r="D99" s="182" t="s">
        <v>112</v>
      </c>
      <c r="E99" s="167" t="str">
        <f>Q72</f>
        <v/>
      </c>
      <c r="F99" s="183" t="s">
        <v>181</v>
      </c>
      <c r="G99" s="166"/>
      <c r="H99" s="167">
        <f>IF(기본정보!H12=1,0.4,0.2)</f>
        <v>0.2</v>
      </c>
      <c r="I99" s="166"/>
      <c r="J99" s="186">
        <v>3</v>
      </c>
      <c r="K99" s="193"/>
      <c r="L99" s="193">
        <f>H99/(IF(I99="",1,I99)*SQRT(J99))</f>
        <v>0.11547005383792516</v>
      </c>
      <c r="M99" s="183" t="s">
        <v>181</v>
      </c>
      <c r="N99" s="184" t="s">
        <v>189</v>
      </c>
      <c r="O99" s="178" t="e">
        <f ca="1">E98</f>
        <v>#N/A</v>
      </c>
      <c r="P99" s="165" t="s">
        <v>177</v>
      </c>
      <c r="Q99" s="177" t="e">
        <f ca="1">-O99*1000</f>
        <v>#N/A</v>
      </c>
      <c r="R99" s="165" t="s">
        <v>182</v>
      </c>
      <c r="S99" s="185" t="e">
        <f t="shared" ca="1" si="45"/>
        <v>#N/A</v>
      </c>
      <c r="T99" s="165" t="e">
        <f t="shared" ca="1" si="46"/>
        <v>#N/A</v>
      </c>
      <c r="U99" s="167" t="s">
        <v>140</v>
      </c>
      <c r="V99" s="165">
        <v>12</v>
      </c>
      <c r="W99" s="193" t="e">
        <f t="shared" ca="1" si="47"/>
        <v>#N/A</v>
      </c>
      <c r="X99" s="189" t="e">
        <f t="shared" ca="1" si="42"/>
        <v>#N/A</v>
      </c>
      <c r="Y99" s="185" t="e">
        <f t="shared" ca="1" si="43"/>
        <v>#N/A</v>
      </c>
      <c r="Z99" s="185" t="str">
        <f t="shared" si="44"/>
        <v/>
      </c>
      <c r="AA99" s="122"/>
      <c r="AB99" s="122"/>
      <c r="AC99" s="122"/>
    </row>
    <row r="100" spans="2:29" ht="15" customHeight="1">
      <c r="B100" s="245" t="s">
        <v>183</v>
      </c>
      <c r="C100" s="181" t="s">
        <v>184</v>
      </c>
      <c r="D100" s="182" t="s">
        <v>111</v>
      </c>
      <c r="E100" s="187" t="e">
        <f ca="1">OFFSET(R$71,MATCH(K$66,T$72:T$91,0),0)</f>
        <v>#N/A</v>
      </c>
      <c r="F100" s="183" t="s">
        <v>176</v>
      </c>
      <c r="G100" s="178"/>
      <c r="H100" s="178">
        <f>1*10^-6</f>
        <v>9.9999999999999995E-7</v>
      </c>
      <c r="I100" s="166"/>
      <c r="J100" s="186">
        <v>3</v>
      </c>
      <c r="K100" s="284"/>
      <c r="L100" s="284">
        <f>SQRT((H100/SQRT(J100))^2+(H100/SQRT(J100))^2)</f>
        <v>8.1649658092772609E-7</v>
      </c>
      <c r="M100" s="183" t="s">
        <v>176</v>
      </c>
      <c r="N100" s="184" t="s">
        <v>186</v>
      </c>
      <c r="O100" s="167">
        <f>E101</f>
        <v>0.1</v>
      </c>
      <c r="P100" s="165" t="s">
        <v>177</v>
      </c>
      <c r="Q100" s="177">
        <f>-O100*1000</f>
        <v>-100</v>
      </c>
      <c r="R100" s="165" t="s">
        <v>178</v>
      </c>
      <c r="S100" s="185">
        <f t="shared" si="45"/>
        <v>0</v>
      </c>
      <c r="T100" s="165">
        <f t="shared" si="46"/>
        <v>8.1649658092772609E-5</v>
      </c>
      <c r="U100" s="167" t="s">
        <v>140</v>
      </c>
      <c r="V100" s="165">
        <v>100</v>
      </c>
      <c r="W100" s="193">
        <f t="shared" si="47"/>
        <v>0</v>
      </c>
      <c r="X100" s="189">
        <f t="shared" si="42"/>
        <v>0</v>
      </c>
      <c r="Y100" s="185">
        <f t="shared" si="43"/>
        <v>0</v>
      </c>
      <c r="Z100" s="185" t="str">
        <f t="shared" si="44"/>
        <v/>
      </c>
      <c r="AA100" s="122"/>
      <c r="AB100" s="122"/>
      <c r="AC100" s="122"/>
    </row>
    <row r="101" spans="2:29" ht="15" customHeight="1">
      <c r="B101" s="245" t="s">
        <v>188</v>
      </c>
      <c r="C101" s="181" t="s">
        <v>113</v>
      </c>
      <c r="D101" s="182" t="s">
        <v>114</v>
      </c>
      <c r="E101" s="167">
        <f>MAX(S72,0.1)</f>
        <v>0.1</v>
      </c>
      <c r="F101" s="183" t="s">
        <v>181</v>
      </c>
      <c r="G101" s="166"/>
      <c r="H101" s="167">
        <f>IF(기본정보!H12=1,3,1)</f>
        <v>1</v>
      </c>
      <c r="I101" s="166"/>
      <c r="J101" s="186">
        <v>3</v>
      </c>
      <c r="K101" s="193"/>
      <c r="L101" s="193">
        <f>H101/(IF(I101="",1,I101)*SQRT(J101))</f>
        <v>0.57735026918962584</v>
      </c>
      <c r="M101" s="183" t="s">
        <v>181</v>
      </c>
      <c r="N101" s="184" t="s">
        <v>189</v>
      </c>
      <c r="O101" s="187" t="e">
        <f ca="1">E100</f>
        <v>#N/A</v>
      </c>
      <c r="P101" s="165" t="s">
        <v>177</v>
      </c>
      <c r="Q101" s="177" t="e">
        <f ca="1">-O101*1000</f>
        <v>#N/A</v>
      </c>
      <c r="R101" s="165" t="s">
        <v>182</v>
      </c>
      <c r="S101" s="185" t="e">
        <f t="shared" ca="1" si="45"/>
        <v>#N/A</v>
      </c>
      <c r="T101" s="165" t="e">
        <f t="shared" ca="1" si="46"/>
        <v>#N/A</v>
      </c>
      <c r="U101" s="167" t="s">
        <v>140</v>
      </c>
      <c r="V101" s="165">
        <v>12</v>
      </c>
      <c r="W101" s="193" t="e">
        <f t="shared" ca="1" si="47"/>
        <v>#N/A</v>
      </c>
      <c r="X101" s="189" t="e">
        <f t="shared" ca="1" si="42"/>
        <v>#N/A</v>
      </c>
      <c r="Y101" s="185" t="e">
        <f t="shared" ca="1" si="43"/>
        <v>#N/A</v>
      </c>
      <c r="Z101" s="185" t="str">
        <f t="shared" si="44"/>
        <v/>
      </c>
      <c r="AA101" s="122"/>
      <c r="AB101" s="122"/>
      <c r="AC101" s="122"/>
    </row>
    <row r="102" spans="2:29" ht="15" customHeight="1">
      <c r="B102" s="277" t="s">
        <v>191</v>
      </c>
      <c r="C102" s="181" t="s">
        <v>76</v>
      </c>
      <c r="D102" s="182" t="s">
        <v>1276</v>
      </c>
      <c r="E102" s="165">
        <v>0</v>
      </c>
      <c r="F102" s="183" t="s">
        <v>166</v>
      </c>
      <c r="G102" s="222"/>
      <c r="H102" s="165">
        <f>O66*1000</f>
        <v>0</v>
      </c>
      <c r="I102" s="165">
        <v>2</v>
      </c>
      <c r="J102" s="186">
        <v>3</v>
      </c>
      <c r="K102" s="193">
        <f t="shared" ref="K102:K104" si="48">H102/(IF(I102="",1,I102)*SQRT(J102))</f>
        <v>0</v>
      </c>
      <c r="L102" s="193"/>
      <c r="M102" s="167" t="s">
        <v>140</v>
      </c>
      <c r="N102" s="184" t="s">
        <v>189</v>
      </c>
      <c r="O102" s="165"/>
      <c r="P102" s="165"/>
      <c r="Q102" s="177">
        <v>1</v>
      </c>
      <c r="R102" s="165"/>
      <c r="S102" s="185">
        <f t="shared" si="45"/>
        <v>0</v>
      </c>
      <c r="T102" s="165">
        <f t="shared" si="46"/>
        <v>0</v>
      </c>
      <c r="U102" s="167" t="s">
        <v>140</v>
      </c>
      <c r="V102" s="165" t="s">
        <v>169</v>
      </c>
      <c r="W102" s="193">
        <f t="shared" si="47"/>
        <v>0</v>
      </c>
      <c r="X102" s="189">
        <f t="shared" si="42"/>
        <v>0</v>
      </c>
      <c r="Y102" s="185">
        <f t="shared" si="43"/>
        <v>0</v>
      </c>
      <c r="Z102" s="185" t="str">
        <f t="shared" si="44"/>
        <v/>
      </c>
      <c r="AA102" s="122"/>
      <c r="AB102" s="122"/>
      <c r="AC102" s="122"/>
    </row>
    <row r="103" spans="2:29" ht="15" customHeight="1">
      <c r="B103" s="277" t="s">
        <v>488</v>
      </c>
      <c r="C103" s="181" t="s">
        <v>484</v>
      </c>
      <c r="D103" s="182" t="s">
        <v>1277</v>
      </c>
      <c r="E103" s="165">
        <v>0</v>
      </c>
      <c r="F103" s="183" t="s">
        <v>166</v>
      </c>
      <c r="G103" s="278"/>
      <c r="H103" s="165">
        <v>1</v>
      </c>
      <c r="I103" s="165">
        <v>2</v>
      </c>
      <c r="J103" s="186">
        <v>3</v>
      </c>
      <c r="K103" s="193">
        <f t="shared" si="48"/>
        <v>0.28867513459481292</v>
      </c>
      <c r="L103" s="193"/>
      <c r="M103" s="167" t="s">
        <v>167</v>
      </c>
      <c r="N103" s="184" t="s">
        <v>189</v>
      </c>
      <c r="O103" s="165"/>
      <c r="P103" s="165"/>
      <c r="Q103" s="177">
        <v>1</v>
      </c>
      <c r="R103" s="165"/>
      <c r="S103" s="185">
        <f t="shared" si="45"/>
        <v>0.28867513459481292</v>
      </c>
      <c r="T103" s="165">
        <f t="shared" si="46"/>
        <v>0</v>
      </c>
      <c r="U103" s="167" t="s">
        <v>167</v>
      </c>
      <c r="V103" s="165">
        <v>12</v>
      </c>
      <c r="W103" s="193">
        <f t="shared" si="47"/>
        <v>0.28867513459481292</v>
      </c>
      <c r="X103" s="189">
        <f t="shared" si="42"/>
        <v>5.78703703703704E-4</v>
      </c>
      <c r="Y103" s="185">
        <f t="shared" si="43"/>
        <v>0.28867513459481292</v>
      </c>
      <c r="Z103" s="185" t="str">
        <f t="shared" si="44"/>
        <v/>
      </c>
      <c r="AA103" s="122"/>
      <c r="AB103" s="122"/>
      <c r="AC103" s="122"/>
    </row>
    <row r="104" spans="2:29" ht="15" customHeight="1">
      <c r="B104" s="245" t="s">
        <v>489</v>
      </c>
      <c r="C104" s="181" t="s">
        <v>485</v>
      </c>
      <c r="D104" s="182" t="s">
        <v>486</v>
      </c>
      <c r="E104" s="165">
        <v>0</v>
      </c>
      <c r="F104" s="183" t="s">
        <v>166</v>
      </c>
      <c r="G104" s="278">
        <v>0.1</v>
      </c>
      <c r="H104" s="185">
        <f>(1-COS(ATAN(G104/100)))*K66*1000</f>
        <v>0</v>
      </c>
      <c r="I104" s="166"/>
      <c r="J104" s="186">
        <v>3</v>
      </c>
      <c r="K104" s="193">
        <f t="shared" si="48"/>
        <v>0</v>
      </c>
      <c r="L104" s="193"/>
      <c r="M104" s="167" t="s">
        <v>167</v>
      </c>
      <c r="N104" s="184" t="s">
        <v>189</v>
      </c>
      <c r="O104" s="165"/>
      <c r="P104" s="165"/>
      <c r="Q104" s="177">
        <v>1</v>
      </c>
      <c r="R104" s="165"/>
      <c r="S104" s="185">
        <f t="shared" si="45"/>
        <v>0</v>
      </c>
      <c r="T104" s="165">
        <f t="shared" si="46"/>
        <v>0</v>
      </c>
      <c r="U104" s="167" t="s">
        <v>167</v>
      </c>
      <c r="V104" s="165" t="s">
        <v>258</v>
      </c>
      <c r="W104" s="193">
        <f t="shared" si="47"/>
        <v>0</v>
      </c>
      <c r="X104" s="189">
        <f t="shared" si="42"/>
        <v>0</v>
      </c>
      <c r="Y104" s="185">
        <f t="shared" si="43"/>
        <v>0</v>
      </c>
      <c r="Z104" s="185" t="str">
        <f t="shared" si="44"/>
        <v/>
      </c>
      <c r="AA104" s="122"/>
      <c r="AB104" s="122"/>
      <c r="AC104" s="122"/>
    </row>
    <row r="105" spans="2:29" ht="15" customHeight="1">
      <c r="B105" s="245" t="s">
        <v>490</v>
      </c>
      <c r="C105" s="181" t="s">
        <v>193</v>
      </c>
      <c r="D105" s="182" t="s">
        <v>261</v>
      </c>
      <c r="E105" s="243" t="e">
        <f ca="1">E96-E97-(E98*E99+E100*E101)*K66</f>
        <v>#N/A</v>
      </c>
      <c r="F105" s="183" t="s">
        <v>166</v>
      </c>
      <c r="G105" s="216"/>
      <c r="H105" s="217"/>
      <c r="I105" s="216"/>
      <c r="J105" s="216"/>
      <c r="K105" s="216"/>
      <c r="L105" s="216"/>
      <c r="M105" s="216"/>
      <c r="N105" s="216"/>
      <c r="O105" s="216"/>
      <c r="P105" s="216"/>
      <c r="Q105" s="216"/>
      <c r="R105" s="218"/>
      <c r="S105" s="188" t="e">
        <f ca="1">SQRT(SUMSQ(S96:S104))</f>
        <v>#N/A</v>
      </c>
      <c r="T105" s="188" t="e">
        <f ca="1">SQRT(SUMSQ(T96:T104))</f>
        <v>#N/A</v>
      </c>
      <c r="U105" s="167" t="s">
        <v>140</v>
      </c>
      <c r="V105" s="179" t="e">
        <f ca="1">IF(X105=0,"∞",ROUNDDOWN(W105^4/X105,0))</f>
        <v>#N/A</v>
      </c>
      <c r="W105" s="219" t="e">
        <f ca="1">SQRT(SUMSQ(W96:W104))</f>
        <v>#N/A</v>
      </c>
      <c r="X105" s="394" t="e">
        <f ca="1">SUM(X96:X104)</f>
        <v>#N/A</v>
      </c>
      <c r="Y105" s="219" t="e">
        <f ca="1">SQRT(SUMSQ(Y96:Y104))</f>
        <v>#N/A</v>
      </c>
      <c r="Z105" s="219" t="e">
        <f ca="1">SQRT(SUMSQ(Z96:Z104))</f>
        <v>#N/A</v>
      </c>
      <c r="AA105" s="122"/>
      <c r="AB105" s="122"/>
      <c r="AC105" s="122"/>
    </row>
    <row r="106" spans="2:29" ht="15" customHeight="1">
      <c r="L106" s="122"/>
      <c r="U106" s="122"/>
      <c r="V106" s="122"/>
      <c r="W106" s="122"/>
      <c r="X106" s="122"/>
      <c r="Y106" s="122"/>
      <c r="AC106" s="122"/>
    </row>
    <row r="107" spans="2:29" ht="15" customHeight="1">
      <c r="B107" s="247"/>
      <c r="C107" s="666" t="s">
        <v>194</v>
      </c>
      <c r="D107" s="668"/>
      <c r="E107" s="668"/>
      <c r="F107" s="668"/>
      <c r="G107" s="667"/>
      <c r="H107" s="331" t="s">
        <v>195</v>
      </c>
      <c r="I107" s="331" t="s">
        <v>144</v>
      </c>
      <c r="J107" s="666" t="s">
        <v>1292</v>
      </c>
      <c r="K107" s="668"/>
      <c r="L107" s="668"/>
      <c r="M107" s="667"/>
      <c r="N107" s="398" t="s">
        <v>1293</v>
      </c>
      <c r="O107" s="666" t="s">
        <v>436</v>
      </c>
      <c r="P107" s="668"/>
      <c r="Q107" s="668"/>
      <c r="R107" s="683" t="s">
        <v>1294</v>
      </c>
      <c r="S107" s="666" t="s">
        <v>1295</v>
      </c>
      <c r="T107" s="668"/>
      <c r="U107" s="667"/>
      <c r="W107" s="122"/>
    </row>
    <row r="108" spans="2:29" ht="15" customHeight="1">
      <c r="B108" s="247"/>
      <c r="C108" s="247">
        <v>1</v>
      </c>
      <c r="D108" s="247">
        <v>2</v>
      </c>
      <c r="E108" s="247" t="s">
        <v>239</v>
      </c>
      <c r="F108" s="247" t="s">
        <v>60</v>
      </c>
      <c r="G108" s="247" t="s">
        <v>268</v>
      </c>
      <c r="H108" s="332" t="s">
        <v>173</v>
      </c>
      <c r="I108" s="332" t="s">
        <v>773</v>
      </c>
      <c r="J108" s="398" t="s">
        <v>383</v>
      </c>
      <c r="K108" s="398" t="s">
        <v>1296</v>
      </c>
      <c r="L108" s="398" t="s">
        <v>1297</v>
      </c>
      <c r="M108" s="398" t="s">
        <v>433</v>
      </c>
      <c r="N108" s="399"/>
      <c r="O108" s="398" t="s">
        <v>383</v>
      </c>
      <c r="P108" s="398" t="s">
        <v>269</v>
      </c>
      <c r="Q108" s="398" t="s">
        <v>445</v>
      </c>
      <c r="R108" s="688"/>
      <c r="S108" s="397" t="s">
        <v>1298</v>
      </c>
      <c r="T108" s="703" t="s">
        <v>1299</v>
      </c>
      <c r="U108" s="704"/>
      <c r="W108" s="122"/>
    </row>
    <row r="109" spans="2:29" ht="15" customHeight="1">
      <c r="B109" s="247" t="s">
        <v>194</v>
      </c>
      <c r="C109" s="124" t="e">
        <f ca="1">S105*E120</f>
        <v>#N/A</v>
      </c>
      <c r="D109" s="124" t="e">
        <f ca="1">T105*E120</f>
        <v>#N/A</v>
      </c>
      <c r="E109" s="124">
        <f>K66</f>
        <v>0</v>
      </c>
      <c r="F109" s="126" t="str">
        <f>U105</f>
        <v>μm</v>
      </c>
      <c r="G109" s="131" t="e">
        <f ca="1">SQRT(SUMSQ(C109,D109*E109))/1000</f>
        <v>#N/A</v>
      </c>
      <c r="H109" s="130" t="e">
        <f ca="1">MAX(G109:G110)</f>
        <v>#N/A</v>
      </c>
      <c r="I109" s="155">
        <f>O66</f>
        <v>0</v>
      </c>
      <c r="J109" s="123" t="e">
        <f ca="1">MAX(IF(H109&lt;0.00001,6,IF(H109&lt;0.0001,5,IF(H109&lt;0.001,4,IF(H109&lt;0.01,3,IF(H109&lt;0.1,2,IF(H109&lt;1,1,IF(H109&lt;10,0,IF(H109&lt;100,-1,-2)))))))),0)+K110</f>
        <v>#N/A</v>
      </c>
      <c r="K109" s="123" t="e">
        <f ca="1">MAX(IF(H110&lt;0.00001,6,IF(H110&lt;0.0001,5,IF(H110&lt;0.001,4,IF(H110&lt;0.01,3,IF(H110&lt;0.1,2,IF(H110&lt;1,1,IF(H110&lt;10,0,IF(H110&lt;100,-1,-2)))))))),0)+1</f>
        <v>#N/A</v>
      </c>
      <c r="L109" s="165">
        <f>IFERROR(LEN(I109)-FIND(".",I109),0)</f>
        <v>0</v>
      </c>
      <c r="M109" s="189" t="e">
        <f ca="1">IF(Q110,IF(M110,MIN(J109,L109),J109),L109)</f>
        <v>#N/A</v>
      </c>
      <c r="N109" s="155" t="e">
        <f ca="1">ABS((H109-ROUND(H109,M109))/H109*100)</f>
        <v>#N/A</v>
      </c>
      <c r="O109" s="165" t="e">
        <f ca="1">OFFSET(P113,MATCH(M109,O114:O123,0),0)</f>
        <v>#N/A</v>
      </c>
      <c r="P109" s="165" t="e">
        <f ca="1">OFFSET(P113,MATCH(M109,O114:O123,0),0)</f>
        <v>#N/A</v>
      </c>
      <c r="Q109" s="165" t="str">
        <f ca="1">OFFSET(P113,MATCH(L109,O114:O123,0),0)</f>
        <v>0</v>
      </c>
      <c r="R109" s="127">
        <f ca="1">IFERROR(IF(G109=H109,0,1),0)</f>
        <v>0</v>
      </c>
      <c r="S109" s="132" t="e">
        <f ca="1">TEXT(IF(N109&gt;5,ROUNDUP(H109,M109),ROUND(H109,M109)),O109)</f>
        <v>#N/A</v>
      </c>
      <c r="T109" s="401" t="e">
        <f ca="1">ROUND(H110,K109)</f>
        <v>#N/A</v>
      </c>
      <c r="U109" s="132" t="e">
        <f ca="1">ROUNDUP(IF(G109=H109,D109,D110),3)</f>
        <v>#N/A</v>
      </c>
      <c r="W109" s="122"/>
    </row>
    <row r="110" spans="2:29" ht="15" customHeight="1">
      <c r="B110" s="247" t="s">
        <v>63</v>
      </c>
      <c r="C110" s="125" t="e">
        <f ca="1">$P$66</f>
        <v>#N/A</v>
      </c>
      <c r="D110" s="126" t="e">
        <f ca="1">$Q$66</f>
        <v>#N/A</v>
      </c>
      <c r="E110" s="126">
        <f>K66</f>
        <v>0</v>
      </c>
      <c r="F110" s="126" t="e">
        <f ca="1">$R$66</f>
        <v>#N/A</v>
      </c>
      <c r="G110" s="131" t="e">
        <f ca="1">SQRT(SUMSQ(C110,D110*E110))/1000</f>
        <v>#N/A</v>
      </c>
      <c r="H110" s="130" t="e">
        <f ca="1">IF(H109=G109,C109,C110)</f>
        <v>#N/A</v>
      </c>
      <c r="J110" s="388" t="s">
        <v>1259</v>
      </c>
      <c r="K110" s="165">
        <f>IF(O110=TRUE,1,기본정보!$A$47)</f>
        <v>1</v>
      </c>
      <c r="L110" s="388" t="s">
        <v>1260</v>
      </c>
      <c r="M110" s="165" t="b">
        <f>IF(O110=TRUE,FALSE,기본정보!$A$52)</f>
        <v>0</v>
      </c>
      <c r="N110" s="388" t="s">
        <v>1261</v>
      </c>
      <c r="O110" s="165" t="b">
        <f>기본정보!$A$46=0</f>
        <v>1</v>
      </c>
      <c r="P110" s="398" t="s">
        <v>1291</v>
      </c>
      <c r="Q110" s="400" t="b">
        <f>TYPE('교정결과-HY'!$A$1)=2</f>
        <v>1</v>
      </c>
      <c r="R110" s="119"/>
      <c r="T110" s="132" t="e">
        <f ca="1">TEXT(T109,OFFSET(P113,MATCH(K109,O114:O123,0),0))</f>
        <v>#N/A</v>
      </c>
      <c r="U110" s="132" t="e">
        <f ca="1">TEXT(U109,OFFSET(P113,MATCH(3,O114:O123,0),0))</f>
        <v>#N/A</v>
      </c>
      <c r="W110" s="122"/>
    </row>
    <row r="111" spans="2:29" ht="15" customHeight="1">
      <c r="B111" s="120"/>
      <c r="C111" s="120"/>
      <c r="D111" s="120"/>
      <c r="Q111" s="119"/>
      <c r="R111" s="119"/>
      <c r="S111" s="119"/>
      <c r="T111" s="119"/>
      <c r="U111" s="119"/>
      <c r="V111" s="122"/>
    </row>
    <row r="112" spans="2:29" ht="15" customHeight="1">
      <c r="B112" s="128" t="s">
        <v>264</v>
      </c>
      <c r="C112" s="120"/>
      <c r="D112" s="120"/>
      <c r="F112" s="119"/>
      <c r="I112" s="181" t="s">
        <v>53</v>
      </c>
      <c r="J112" s="181" t="s">
        <v>153</v>
      </c>
      <c r="O112" s="242" t="s">
        <v>154</v>
      </c>
      <c r="P112" s="242" t="s">
        <v>155</v>
      </c>
      <c r="R112" s="694" t="s">
        <v>329</v>
      </c>
      <c r="S112" s="660" t="s">
        <v>325</v>
      </c>
      <c r="T112" s="661"/>
      <c r="U112" s="661"/>
      <c r="V112" s="661"/>
      <c r="W112" s="661"/>
      <c r="X112" s="661"/>
      <c r="Y112" s="661"/>
      <c r="Z112" s="662"/>
    </row>
    <row r="113" spans="1:26" ht="15" customHeight="1">
      <c r="B113" s="660" t="s">
        <v>1266</v>
      </c>
      <c r="C113" s="662"/>
      <c r="D113" s="683" t="s">
        <v>1271</v>
      </c>
      <c r="E113" s="392" t="s">
        <v>189</v>
      </c>
      <c r="F113" s="392" t="s">
        <v>290</v>
      </c>
      <c r="G113" s="392" t="s">
        <v>1272</v>
      </c>
      <c r="I113" s="181"/>
      <c r="J113" s="181">
        <v>95.45</v>
      </c>
      <c r="O113" s="246" t="s">
        <v>161</v>
      </c>
      <c r="P113" s="246" t="s">
        <v>162</v>
      </c>
      <c r="R113" s="705"/>
      <c r="S113" s="257" t="s">
        <v>326</v>
      </c>
      <c r="T113" s="257" t="s">
        <v>327</v>
      </c>
      <c r="U113" s="257" t="s">
        <v>328</v>
      </c>
      <c r="V113" s="660" t="s">
        <v>324</v>
      </c>
      <c r="W113" s="661"/>
      <c r="X113" s="661"/>
      <c r="Y113" s="661"/>
      <c r="Z113" s="662"/>
    </row>
    <row r="114" spans="1:26" ht="15" customHeight="1">
      <c r="B114" s="393" t="s">
        <v>1267</v>
      </c>
      <c r="C114" s="395" t="s">
        <v>1268</v>
      </c>
      <c r="D114" s="688"/>
      <c r="E114" s="391" t="e">
        <f ca="1">Y105</f>
        <v>#N/A</v>
      </c>
      <c r="F114" s="391" t="e">
        <f ca="1">Z105</f>
        <v>#N/A</v>
      </c>
      <c r="G114" s="233" t="e">
        <f ca="1">F114/E114</f>
        <v>#N/A</v>
      </c>
      <c r="I114" s="165">
        <v>1</v>
      </c>
      <c r="J114" s="165">
        <v>13.97</v>
      </c>
      <c r="O114" s="190">
        <v>0</v>
      </c>
      <c r="P114" s="191" t="s">
        <v>170</v>
      </c>
      <c r="Q114" s="119"/>
      <c r="R114" s="123">
        <f>K4</f>
        <v>0</v>
      </c>
      <c r="S114" s="123" t="e">
        <f ca="1">T47</f>
        <v>#N/A</v>
      </c>
      <c r="T114" s="123" t="e">
        <f ca="1">U47</f>
        <v>#N/A</v>
      </c>
      <c r="U114" s="123" t="str">
        <f ca="1">IFERROR(SQRT(SUMSQ(S114,T114*MAX(R114:R115))),"")</f>
        <v/>
      </c>
      <c r="V114" s="257" t="s">
        <v>330</v>
      </c>
      <c r="W114" s="257" t="s">
        <v>157</v>
      </c>
      <c r="X114" s="257" t="s">
        <v>321</v>
      </c>
      <c r="Y114" s="257" t="s">
        <v>322</v>
      </c>
      <c r="Z114" s="257" t="s">
        <v>323</v>
      </c>
    </row>
    <row r="115" spans="1:26" ht="15" customHeight="1">
      <c r="B115" s="165">
        <v>1</v>
      </c>
      <c r="C115" s="185">
        <f ca="1">IFERROR(LARGE(Y96:Y104,B115),0)</f>
        <v>0</v>
      </c>
      <c r="D115" s="245" t="s">
        <v>288</v>
      </c>
      <c r="E115" s="696">
        <f ca="1">SQRT(SUMSQ(C117:C123,D115:D116))</f>
        <v>0</v>
      </c>
      <c r="F115" s="697"/>
      <c r="G115" s="692" t="e">
        <f ca="1">E115/SQRT(SUMSQ(E116,F116))</f>
        <v>#DIV/0!</v>
      </c>
      <c r="I115" s="165">
        <v>2</v>
      </c>
      <c r="J115" s="165">
        <v>4.53</v>
      </c>
      <c r="O115" s="190">
        <v>1</v>
      </c>
      <c r="P115" s="191" t="s">
        <v>248</v>
      </c>
      <c r="Q115" s="119"/>
      <c r="R115" s="123">
        <f>K66</f>
        <v>0</v>
      </c>
      <c r="S115" s="123" t="e">
        <f ca="1">T109</f>
        <v>#N/A</v>
      </c>
      <c r="T115" s="123" t="e">
        <f ca="1">U109</f>
        <v>#N/A</v>
      </c>
      <c r="U115" s="123" t="str">
        <f ca="1">IFERROR(SQRT(SUMSQ(S115,T115*MAX(R114:R115))),"")</f>
        <v/>
      </c>
      <c r="V115" s="123">
        <f ca="1">MAX(U114:U115)</f>
        <v>0</v>
      </c>
      <c r="W115" s="253" t="e">
        <f ca="1">IF(V115=U114,E57,E119)</f>
        <v>#N/A</v>
      </c>
      <c r="X115" s="253" t="e">
        <f ca="1">IF(V115=U114,E58,E120)</f>
        <v>#N/A</v>
      </c>
      <c r="Y115" s="253" t="e">
        <f ca="1">IF(V115=U114,T48,T110)</f>
        <v>#N/A</v>
      </c>
      <c r="Z115" s="253" t="e">
        <f ca="1">IF(V115=U114,U48,U110)</f>
        <v>#N/A</v>
      </c>
    </row>
    <row r="116" spans="1:26" ht="15" customHeight="1">
      <c r="B116" s="165">
        <v>2</v>
      </c>
      <c r="C116" s="185">
        <f ca="1">IFERROR(LARGE(Y96:Y104,B116),0)</f>
        <v>0</v>
      </c>
      <c r="D116" s="245" t="s">
        <v>196</v>
      </c>
      <c r="E116" s="243">
        <f ca="1">C115</f>
        <v>0</v>
      </c>
      <c r="F116" s="243">
        <f ca="1">C116</f>
        <v>0</v>
      </c>
      <c r="G116" s="693"/>
      <c r="I116" s="165">
        <v>3</v>
      </c>
      <c r="J116" s="165">
        <v>3.31</v>
      </c>
      <c r="O116" s="190">
        <v>2</v>
      </c>
      <c r="P116" s="191" t="s">
        <v>179</v>
      </c>
      <c r="Q116" s="119"/>
      <c r="R116" s="119"/>
      <c r="S116" s="119"/>
      <c r="T116" s="119"/>
      <c r="U116" s="119"/>
      <c r="V116" s="122"/>
    </row>
    <row r="117" spans="1:26" ht="15" customHeight="1">
      <c r="B117" s="165">
        <v>3</v>
      </c>
      <c r="C117" s="185">
        <f ca="1">IFERROR(LARGE(Y96:Y104,B117),0)</f>
        <v>0</v>
      </c>
      <c r="D117" s="683" t="s">
        <v>265</v>
      </c>
      <c r="E117" s="164" t="s">
        <v>271</v>
      </c>
      <c r="F117" s="164" t="s">
        <v>272</v>
      </c>
      <c r="G117" s="164" t="s">
        <v>273</v>
      </c>
      <c r="I117" s="165">
        <v>4</v>
      </c>
      <c r="J117" s="165">
        <v>2.87</v>
      </c>
      <c r="O117" s="190">
        <v>3</v>
      </c>
      <c r="P117" s="191" t="s">
        <v>256</v>
      </c>
      <c r="Q117" s="119"/>
      <c r="R117" s="119"/>
      <c r="S117" s="119"/>
      <c r="T117" s="119"/>
      <c r="U117" s="119"/>
      <c r="V117" s="122"/>
    </row>
    <row r="118" spans="1:26" ht="15" customHeight="1">
      <c r="B118" s="165">
        <v>4</v>
      </c>
      <c r="C118" s="185">
        <f ca="1">IFERROR(LARGE(Y96:Y104,B118),0)</f>
        <v>0</v>
      </c>
      <c r="D118" s="688"/>
      <c r="E118" s="165">
        <f ca="1">OFFSET(H95,MATCH(E116,Y96:Y104,0),0)/IF(OFFSET(I95,MATCH(E116,Y96:Y104,0),0)="",1,OFFSET(I95,MATCH(E116,Y96:Y104,0),0))</f>
        <v>9.9999999999999995E-7</v>
      </c>
      <c r="F118" s="165">
        <f ca="1">OFFSET(H95,MATCH(F116,Y96:Y104,0),0)/IF(OFFSET(I95,MATCH(F116,Y96:Y104,0),0)="",1,OFFSET(I95,MATCH(F116,Y96:Y104,0),0))</f>
        <v>9.9999999999999995E-7</v>
      </c>
      <c r="G118" s="243">
        <f ca="1">ABS(E118-F118)/(E118+F118)</f>
        <v>0</v>
      </c>
      <c r="I118" s="165">
        <v>5</v>
      </c>
      <c r="J118" s="165">
        <v>2.65</v>
      </c>
      <c r="O118" s="190">
        <v>4</v>
      </c>
      <c r="P118" s="191" t="s">
        <v>257</v>
      </c>
      <c r="Q118" s="119"/>
      <c r="R118" s="119"/>
      <c r="S118" s="119"/>
      <c r="T118" s="119"/>
      <c r="U118" s="119"/>
      <c r="V118" s="122"/>
    </row>
    <row r="119" spans="1:26" ht="15" customHeight="1">
      <c r="B119" s="165">
        <v>5</v>
      </c>
      <c r="C119" s="185">
        <f ca="1">IFERROR(LARGE(Y96:Y104,B119),0)</f>
        <v>0</v>
      </c>
      <c r="D119" s="245" t="s">
        <v>157</v>
      </c>
      <c r="E119" s="154" t="e">
        <f ca="1">IF(AND(G114&lt;0.3,G115&lt;0.3),"사다리꼴","정규")</f>
        <v>#N/A</v>
      </c>
      <c r="F119" s="119"/>
      <c r="I119" s="165">
        <v>6</v>
      </c>
      <c r="J119" s="165">
        <v>2.52</v>
      </c>
      <c r="O119" s="190">
        <v>5</v>
      </c>
      <c r="P119" s="191" t="s">
        <v>190</v>
      </c>
      <c r="Q119" s="119"/>
      <c r="R119" s="119"/>
      <c r="S119" s="119"/>
      <c r="T119" s="119"/>
      <c r="U119" s="119"/>
      <c r="V119" s="122"/>
    </row>
    <row r="120" spans="1:26" ht="15" customHeight="1">
      <c r="B120" s="165">
        <v>6</v>
      </c>
      <c r="C120" s="185">
        <f ca="1">IFERROR(LARGE(Y96:Y104,B120),0)</f>
        <v>0</v>
      </c>
      <c r="D120" s="245" t="s">
        <v>198</v>
      </c>
      <c r="E120" s="165" t="e">
        <f ca="1">IF(E119="정규",IF(OR(V105="∞",V105&gt;=10),2,OFFSET(J113,MATCH(V105,I114:I123,0),0)),ROUND((1-SQRT((1-0.95)*(1-G118^2)))/SQRT((1+G118^2)/6),2))</f>
        <v>#N/A</v>
      </c>
      <c r="F120" s="119"/>
      <c r="I120" s="165">
        <v>7</v>
      </c>
      <c r="J120" s="165">
        <v>2.4300000000000002</v>
      </c>
      <c r="O120" s="190">
        <v>6</v>
      </c>
      <c r="P120" s="191" t="s">
        <v>259</v>
      </c>
      <c r="Q120" s="119"/>
      <c r="R120" s="119"/>
      <c r="S120" s="119"/>
      <c r="T120" s="119"/>
    </row>
    <row r="121" spans="1:26" ht="15" customHeight="1">
      <c r="B121" s="165">
        <v>7</v>
      </c>
      <c r="C121" s="185">
        <f ca="1">IFERROR(LARGE(Y96:Y104,B121),0)</f>
        <v>0</v>
      </c>
      <c r="E121" s="121"/>
      <c r="F121" s="119"/>
      <c r="I121" s="165">
        <v>8</v>
      </c>
      <c r="J121" s="165">
        <v>2.37</v>
      </c>
      <c r="O121" s="190">
        <v>7</v>
      </c>
      <c r="P121" s="191" t="s">
        <v>260</v>
      </c>
      <c r="Q121" s="119"/>
      <c r="R121" s="119"/>
      <c r="S121" s="119"/>
      <c r="T121" s="119"/>
    </row>
    <row r="122" spans="1:26" ht="15" customHeight="1">
      <c r="B122" s="165">
        <v>8</v>
      </c>
      <c r="C122" s="185">
        <f ca="1">IFERROR(LARGE(Y96:Y104,B122),0)</f>
        <v>0</v>
      </c>
      <c r="E122" s="121"/>
      <c r="I122" s="165">
        <v>9</v>
      </c>
      <c r="J122" s="165">
        <v>2.3199999999999998</v>
      </c>
      <c r="O122" s="190">
        <v>8</v>
      </c>
      <c r="P122" s="191" t="s">
        <v>262</v>
      </c>
      <c r="Q122" s="119"/>
      <c r="R122" s="119"/>
      <c r="S122" s="119"/>
      <c r="T122" s="119"/>
    </row>
    <row r="123" spans="1:26" ht="15" customHeight="1">
      <c r="B123" s="165">
        <v>9</v>
      </c>
      <c r="C123" s="185">
        <f ca="1">IFERROR(LARGE(Y96:Y104,B123),0)</f>
        <v>0</v>
      </c>
      <c r="E123" s="121"/>
      <c r="I123" s="165" t="s">
        <v>54</v>
      </c>
      <c r="J123" s="165">
        <v>2</v>
      </c>
      <c r="O123" s="190">
        <v>9</v>
      </c>
      <c r="P123" s="191" t="s">
        <v>263</v>
      </c>
      <c r="Q123" s="119"/>
      <c r="R123" s="119"/>
      <c r="S123" s="119"/>
      <c r="T123" s="119"/>
    </row>
    <row r="124" spans="1:26" ht="18" customHeight="1">
      <c r="B124" s="120"/>
      <c r="C124" s="120"/>
      <c r="E124" s="121"/>
      <c r="Q124" s="119"/>
      <c r="R124" s="119"/>
      <c r="S124" s="119"/>
      <c r="T124" s="119"/>
      <c r="U124" s="119"/>
    </row>
    <row r="125" spans="1:26" ht="18" customHeight="1">
      <c r="A125" s="241" t="s">
        <v>657</v>
      </c>
    </row>
    <row r="126" spans="1:26" ht="15" customHeight="1">
      <c r="A126" s="116" t="s">
        <v>658</v>
      </c>
      <c r="B126" s="117"/>
      <c r="C126" s="117"/>
      <c r="D126" s="117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</row>
    <row r="127" spans="1:26" ht="13.5">
      <c r="B127" s="328" t="s">
        <v>659</v>
      </c>
      <c r="C127" s="328" t="s">
        <v>660</v>
      </c>
      <c r="D127" s="328" t="s">
        <v>661</v>
      </c>
      <c r="E127" s="328" t="s">
        <v>662</v>
      </c>
      <c r="F127" s="328" t="s">
        <v>663</v>
      </c>
      <c r="G127" s="328" t="s">
        <v>664</v>
      </c>
      <c r="H127" s="328" t="s">
        <v>665</v>
      </c>
      <c r="I127" s="328" t="s">
        <v>666</v>
      </c>
      <c r="J127" s="328" t="s">
        <v>667</v>
      </c>
      <c r="K127" s="118"/>
      <c r="L127" s="118"/>
      <c r="N127" s="118"/>
      <c r="O127" s="118"/>
      <c r="P127" s="119"/>
      <c r="Q127" s="119"/>
      <c r="R127" s="119"/>
      <c r="S127" s="119"/>
      <c r="T127" s="119"/>
      <c r="U127" s="119"/>
    </row>
    <row r="128" spans="1:26" ht="15" customHeight="1">
      <c r="B128" s="165" t="e">
        <f>C128</f>
        <v>#DIV/0!</v>
      </c>
      <c r="C128" s="165" t="e">
        <f>AVERAGE(기본정보!B12:B13)</f>
        <v>#DIV/0!</v>
      </c>
      <c r="D128" s="165">
        <f>MIN(S134:S153)</f>
        <v>0</v>
      </c>
      <c r="E128" s="165">
        <f>MAX(S134:S153)</f>
        <v>0</v>
      </c>
      <c r="F128" s="165" t="e">
        <f ca="1">OFFSET(S$133,MATCH(E128,S$134:S$153,0),0)</f>
        <v>#N/A</v>
      </c>
      <c r="G128" s="165">
        <f>Magnification_1!K4</f>
        <v>0</v>
      </c>
      <c r="H128" s="165">
        <f>Magnification_1!L4</f>
        <v>0</v>
      </c>
      <c r="I128" s="165">
        <f>Magnification_1!M4</f>
        <v>0</v>
      </c>
      <c r="J128" s="165" t="e">
        <f ca="1">OFFSET(Magnification_1!G3,MATCH($E128,$S134:$S153,0),0)</f>
        <v>#N/A</v>
      </c>
      <c r="N128" s="118"/>
      <c r="O128" s="118"/>
      <c r="P128" s="119"/>
      <c r="Q128" s="119"/>
      <c r="R128" s="119"/>
      <c r="S128" s="119"/>
      <c r="T128" s="119"/>
      <c r="U128" s="119"/>
    </row>
    <row r="129" spans="1:33" ht="15" customHeight="1">
      <c r="B129" s="117"/>
      <c r="C129" s="117"/>
      <c r="D129" s="117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</row>
    <row r="130" spans="1:33" ht="15" customHeight="1">
      <c r="A130" s="116" t="s">
        <v>668</v>
      </c>
      <c r="E130" s="121"/>
      <c r="F130" s="121"/>
      <c r="G130" s="117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19"/>
      <c r="U130" s="119"/>
      <c r="Y130" s="129" t="s">
        <v>669</v>
      </c>
    </row>
    <row r="131" spans="1:33" ht="15" customHeight="1">
      <c r="B131" s="700" t="s">
        <v>670</v>
      </c>
      <c r="C131" s="694" t="s">
        <v>671</v>
      </c>
      <c r="D131" s="694" t="s">
        <v>672</v>
      </c>
      <c r="E131" s="694" t="s">
        <v>673</v>
      </c>
      <c r="F131" s="694" t="s">
        <v>672</v>
      </c>
      <c r="G131" s="694" t="s">
        <v>674</v>
      </c>
      <c r="H131" s="694" t="s">
        <v>672</v>
      </c>
      <c r="I131" s="660" t="s">
        <v>675</v>
      </c>
      <c r="J131" s="661"/>
      <c r="K131" s="661"/>
      <c r="L131" s="661"/>
      <c r="M131" s="661"/>
      <c r="N131" s="662"/>
      <c r="O131" s="698" t="s">
        <v>676</v>
      </c>
      <c r="P131" s="328" t="s">
        <v>677</v>
      </c>
      <c r="Q131" s="328" t="s">
        <v>678</v>
      </c>
      <c r="R131" s="328" t="s">
        <v>674</v>
      </c>
      <c r="S131" s="328" t="s">
        <v>673</v>
      </c>
      <c r="T131" s="328" t="s">
        <v>679</v>
      </c>
      <c r="U131" s="666" t="s">
        <v>680</v>
      </c>
      <c r="V131" s="668"/>
      <c r="W131" s="667"/>
      <c r="X131" s="122"/>
      <c r="Y131" s="685" t="s">
        <v>681</v>
      </c>
      <c r="Z131" s="686"/>
      <c r="AA131" s="663" t="s">
        <v>682</v>
      </c>
      <c r="AB131" s="664"/>
      <c r="AC131" s="664"/>
      <c r="AD131" s="664"/>
      <c r="AE131" s="664"/>
      <c r="AF131" s="664"/>
      <c r="AG131" s="664"/>
    </row>
    <row r="132" spans="1:33" ht="15" customHeight="1">
      <c r="B132" s="700"/>
      <c r="C132" s="701"/>
      <c r="D132" s="701"/>
      <c r="E132" s="701"/>
      <c r="F132" s="701"/>
      <c r="G132" s="701"/>
      <c r="H132" s="701"/>
      <c r="I132" s="174" t="s">
        <v>683</v>
      </c>
      <c r="J132" s="330" t="s">
        <v>684</v>
      </c>
      <c r="K132" s="174" t="s">
        <v>107</v>
      </c>
      <c r="L132" s="330" t="s">
        <v>108</v>
      </c>
      <c r="M132" s="174" t="s">
        <v>109</v>
      </c>
      <c r="N132" s="330" t="s">
        <v>685</v>
      </c>
      <c r="O132" s="699"/>
      <c r="P132" s="328" t="s">
        <v>686</v>
      </c>
      <c r="Q132" s="328" t="s">
        <v>687</v>
      </c>
      <c r="R132" s="328" t="s">
        <v>688</v>
      </c>
      <c r="S132" s="328" t="s">
        <v>689</v>
      </c>
      <c r="T132" s="328" t="s">
        <v>690</v>
      </c>
      <c r="U132" s="666" t="s">
        <v>679</v>
      </c>
      <c r="V132" s="667"/>
      <c r="W132" s="328" t="s">
        <v>691</v>
      </c>
      <c r="X132" s="122"/>
      <c r="Y132" s="205" t="s">
        <v>693</v>
      </c>
      <c r="Z132" s="205" t="s">
        <v>694</v>
      </c>
      <c r="AA132" s="328" t="s">
        <v>695</v>
      </c>
      <c r="AB132" s="660" t="s">
        <v>696</v>
      </c>
      <c r="AC132" s="662"/>
      <c r="AD132" s="328" t="s">
        <v>691</v>
      </c>
      <c r="AE132" s="204" t="s">
        <v>681</v>
      </c>
      <c r="AF132" s="204" t="s">
        <v>697</v>
      </c>
      <c r="AG132" s="204" t="s">
        <v>692</v>
      </c>
    </row>
    <row r="133" spans="1:33" ht="15" customHeight="1">
      <c r="B133" s="700"/>
      <c r="C133" s="695"/>
      <c r="D133" s="695"/>
      <c r="E133" s="695"/>
      <c r="F133" s="695"/>
      <c r="G133" s="695"/>
      <c r="H133" s="695"/>
      <c r="I133" s="330">
        <f>I128</f>
        <v>0</v>
      </c>
      <c r="J133" s="330">
        <f>I133</f>
        <v>0</v>
      </c>
      <c r="K133" s="330">
        <f>J133</f>
        <v>0</v>
      </c>
      <c r="L133" s="330">
        <f>K133</f>
        <v>0</v>
      </c>
      <c r="M133" s="330">
        <f>L133</f>
        <v>0</v>
      </c>
      <c r="N133" s="330">
        <f>M133</f>
        <v>0</v>
      </c>
      <c r="O133" s="328" t="s">
        <v>698</v>
      </c>
      <c r="P133" s="328" t="s">
        <v>698</v>
      </c>
      <c r="Q133" s="328" t="s">
        <v>698</v>
      </c>
      <c r="R133" s="328" t="s">
        <v>698</v>
      </c>
      <c r="S133" s="328" t="s">
        <v>699</v>
      </c>
      <c r="T133" s="328" t="s">
        <v>700</v>
      </c>
      <c r="U133" s="328" t="s">
        <v>701</v>
      </c>
      <c r="V133" s="328" t="str">
        <f>S133</f>
        <v>배</v>
      </c>
      <c r="W133" s="328" t="str">
        <f>V133</f>
        <v>배</v>
      </c>
      <c r="X133" s="122"/>
      <c r="Y133" s="205" t="str">
        <f>W133</f>
        <v>배</v>
      </c>
      <c r="Z133" s="205" t="str">
        <f>W133</f>
        <v>배</v>
      </c>
      <c r="AA133" s="328" t="s">
        <v>702</v>
      </c>
      <c r="AB133" s="328" t="str">
        <f>U133</f>
        <v>%</v>
      </c>
      <c r="AC133" s="328" t="str">
        <f>V133</f>
        <v>배</v>
      </c>
      <c r="AD133" s="328" t="str">
        <f>AA133</f>
        <v>배</v>
      </c>
      <c r="AE133" s="204" t="str">
        <f>AD133</f>
        <v>배</v>
      </c>
      <c r="AF133" s="221">
        <f>IF(TYPE(MATCH("FAIL",AF134:AF153,0))=16,0,1)</f>
        <v>0</v>
      </c>
      <c r="AG133" s="204" t="str">
        <f>AE133</f>
        <v>배</v>
      </c>
    </row>
    <row r="134" spans="1:33" ht="15" customHeight="1">
      <c r="B134" s="171" t="b">
        <f>IF(TRIM(Magnification_1!A4)="",FALSE,TRUE)</f>
        <v>0</v>
      </c>
      <c r="C134" s="165" t="str">
        <f>IF($B134=FALSE,"",Magnification_1!A4)</f>
        <v/>
      </c>
      <c r="D134" s="165" t="str">
        <f>IF($B134=FALSE,"",Magnification_1!B4)</f>
        <v/>
      </c>
      <c r="E134" s="165" t="str">
        <f>IF($B134=FALSE,"",Magnification_1!C4)</f>
        <v/>
      </c>
      <c r="F134" s="165" t="str">
        <f>IF($B134=FALSE,"",Magnification_1!D4)</f>
        <v/>
      </c>
      <c r="G134" s="165" t="str">
        <f>IF($B134=FALSE,"",Magnification_1!E4)</f>
        <v/>
      </c>
      <c r="H134" s="165" t="str">
        <f>IF($B134=FALSE,"",Magnification_1!F4)</f>
        <v/>
      </c>
      <c r="I134" s="165" t="str">
        <f>IF($B134=FALSE,"",Magnification_1!Q4)</f>
        <v/>
      </c>
      <c r="J134" s="165" t="str">
        <f>IF($B134=FALSE,"",Magnification_1!R4)</f>
        <v/>
      </c>
      <c r="K134" s="165" t="str">
        <f>IF($B134=FALSE,"",Magnification_1!S4)</f>
        <v/>
      </c>
      <c r="L134" s="165" t="str">
        <f>IF($B134=FALSE,"",Magnification_1!T4)</f>
        <v/>
      </c>
      <c r="M134" s="165" t="str">
        <f>IF($B134=FALSE,"",Magnification_1!U4)</f>
        <v/>
      </c>
      <c r="N134" s="165" t="str">
        <f t="shared" ref="N134:N153" si="49">IF($B134=FALSE,"",AVERAGE(I134:M134))</f>
        <v/>
      </c>
      <c r="O134" s="175" t="str">
        <f t="shared" ref="O134:O153" si="50">IF($B134=FALSE,"",STDEV(I134:M134))</f>
        <v/>
      </c>
      <c r="P134" s="176" t="str">
        <f>IF($B134=FALSE,"",Magnification_1!D27)</f>
        <v/>
      </c>
      <c r="Q134" s="177" t="str">
        <f t="shared" ref="Q134:Q153" si="51">IF($B134=FALSE,"",N134)</f>
        <v/>
      </c>
      <c r="R134" s="179" t="str">
        <f t="shared" ref="R134:R153" si="52">IF($B134=FALSE,"",G134)</f>
        <v/>
      </c>
      <c r="S134" s="232" t="str">
        <f t="shared" ref="S134:S153" si="53">IF($B134=FALSE,"",E134)</f>
        <v/>
      </c>
      <c r="T134" s="180" t="str">
        <f t="shared" ref="T134:T153" si="54">IF($B134=FALSE,"",(Q134/(P134*S134)-1)*100)</f>
        <v/>
      </c>
      <c r="U134" s="165" t="str">
        <f t="shared" ref="U134:U153" si="55">IF($B134=FALSE,"",ROUND(T134,$J$166))</f>
        <v/>
      </c>
      <c r="V134" s="165" t="str">
        <f t="shared" ref="V134:V153" si="56">IF($B134=FALSE,"",ROUND(E134*T134%,L$166))</f>
        <v/>
      </c>
      <c r="W134" s="165" t="str">
        <f t="shared" ref="W134:W153" si="57">IF($B134=FALSE,"",ROUND(E134+E134*T134%,L$166))</f>
        <v/>
      </c>
      <c r="X134" s="122"/>
      <c r="Y134" s="165" t="str">
        <f>IF($B134=FALSE,"",ROUND(S134+(Magnification_1!N4-R134)/R134*S134,L$166))</f>
        <v/>
      </c>
      <c r="Z134" s="165" t="str">
        <f>IF($B134=FALSE,"",ROUND(S134+(Magnification_1!O4-R134)/R134*S134,L$166))</f>
        <v/>
      </c>
      <c r="AA134" s="165" t="str">
        <f t="shared" ref="AA134:AA153" si="58">E134&amp;F134</f>
        <v/>
      </c>
      <c r="AB134" s="168" t="e">
        <f t="shared" ref="AB134:AB153" ca="1" si="59">TEXT(U134,$O$166)</f>
        <v>#N/A</v>
      </c>
      <c r="AC134" s="168" t="str">
        <f t="shared" ref="AC134:AC153" ca="1" si="60">TEXT(V134,$P$166)</f>
        <v/>
      </c>
      <c r="AD134" s="165" t="str">
        <f t="shared" ref="AD134:AD153" ca="1" si="61">TEXT(W134,$P$166)</f>
        <v/>
      </c>
      <c r="AE134" s="165" t="str">
        <f t="shared" ref="AE134:AE153" si="62">IF($B134=FALSE,"","± "&amp;TEXT(Z134-S134,P$166))</f>
        <v/>
      </c>
      <c r="AF134" s="165" t="str">
        <f t="shared" ref="AF134:AF153" si="63">IF($B134=FALSE,"",IF(AND(Y134&lt;=W134,W134&lt;=Z134),"PASS","FAIL"))</f>
        <v/>
      </c>
      <c r="AG134" s="165" t="e">
        <f ca="1">TEXT(ROUND(S134*S$166%,L$166),P$166)</f>
        <v>#VALUE!</v>
      </c>
    </row>
    <row r="135" spans="1:33" ht="15" customHeight="1">
      <c r="B135" s="171" t="b">
        <f>IF(TRIM(Magnification_1!A5)="",FALSE,TRUE)</f>
        <v>0</v>
      </c>
      <c r="C135" s="165" t="str">
        <f>IF($B135=FALSE,"",Magnification_1!A5)</f>
        <v/>
      </c>
      <c r="D135" s="165" t="str">
        <f>IF($B135=FALSE,"",Magnification_1!B5)</f>
        <v/>
      </c>
      <c r="E135" s="165" t="str">
        <f>IF($B135=FALSE,"",Magnification_1!C5)</f>
        <v/>
      </c>
      <c r="F135" s="165" t="str">
        <f>IF($B135=FALSE,"",Magnification_1!D5)</f>
        <v/>
      </c>
      <c r="G135" s="165" t="str">
        <f>IF($B135=FALSE,"",Magnification_1!E5)</f>
        <v/>
      </c>
      <c r="H135" s="165" t="str">
        <f>IF($B135=FALSE,"",Magnification_1!F5)</f>
        <v/>
      </c>
      <c r="I135" s="165" t="str">
        <f>IF($B135=FALSE,"",Magnification_1!Q5)</f>
        <v/>
      </c>
      <c r="J135" s="165" t="str">
        <f>IF($B135=FALSE,"",Magnification_1!R5)</f>
        <v/>
      </c>
      <c r="K135" s="165" t="str">
        <f>IF($B135=FALSE,"",Magnification_1!S5)</f>
        <v/>
      </c>
      <c r="L135" s="165" t="str">
        <f>IF($B135=FALSE,"",Magnification_1!T5)</f>
        <v/>
      </c>
      <c r="M135" s="165" t="str">
        <f>IF($B135=FALSE,"",Magnification_1!U5)</f>
        <v/>
      </c>
      <c r="N135" s="165" t="str">
        <f t="shared" si="49"/>
        <v/>
      </c>
      <c r="O135" s="175" t="str">
        <f t="shared" si="50"/>
        <v/>
      </c>
      <c r="P135" s="176" t="str">
        <f>IF($B135=FALSE,"",Magnification_1!D28)</f>
        <v/>
      </c>
      <c r="Q135" s="177" t="str">
        <f t="shared" si="51"/>
        <v/>
      </c>
      <c r="R135" s="179" t="str">
        <f t="shared" si="52"/>
        <v/>
      </c>
      <c r="S135" s="232" t="str">
        <f t="shared" si="53"/>
        <v/>
      </c>
      <c r="T135" s="180" t="str">
        <f t="shared" si="54"/>
        <v/>
      </c>
      <c r="U135" s="165" t="str">
        <f t="shared" si="55"/>
        <v/>
      </c>
      <c r="V135" s="165" t="str">
        <f t="shared" si="56"/>
        <v/>
      </c>
      <c r="W135" s="165" t="str">
        <f t="shared" si="57"/>
        <v/>
      </c>
      <c r="X135" s="122"/>
      <c r="Y135" s="165" t="str">
        <f>IF($B135=FALSE,"",ROUND(S135+(Magnification_1!N5-R135)/R135*S135,L$166))</f>
        <v/>
      </c>
      <c r="Z135" s="165" t="str">
        <f>IF($B135=FALSE,"",ROUND(S135+(Magnification_1!O5-R135)/R135*S135,L$166))</f>
        <v/>
      </c>
      <c r="AA135" s="165" t="str">
        <f t="shared" si="58"/>
        <v/>
      </c>
      <c r="AB135" s="168" t="e">
        <f t="shared" ca="1" si="59"/>
        <v>#N/A</v>
      </c>
      <c r="AC135" s="168" t="str">
        <f t="shared" ca="1" si="60"/>
        <v/>
      </c>
      <c r="AD135" s="165" t="str">
        <f t="shared" ca="1" si="61"/>
        <v/>
      </c>
      <c r="AE135" s="165" t="str">
        <f t="shared" si="62"/>
        <v/>
      </c>
      <c r="AF135" s="165" t="str">
        <f t="shared" si="63"/>
        <v/>
      </c>
      <c r="AG135" s="165" t="e">
        <f t="shared" ref="AG135:AG153" ca="1" si="64">TEXT(ROUND(S135*S$166%,L$166),P$166)</f>
        <v>#VALUE!</v>
      </c>
    </row>
    <row r="136" spans="1:33" ht="15" customHeight="1">
      <c r="B136" s="171" t="b">
        <f>IF(TRIM(Magnification_1!A6)="",FALSE,TRUE)</f>
        <v>0</v>
      </c>
      <c r="C136" s="165" t="str">
        <f>IF($B136=FALSE,"",Magnification_1!A6)</f>
        <v/>
      </c>
      <c r="D136" s="165" t="str">
        <f>IF($B136=FALSE,"",Magnification_1!B6)</f>
        <v/>
      </c>
      <c r="E136" s="165" t="str">
        <f>IF($B136=FALSE,"",Magnification_1!C6)</f>
        <v/>
      </c>
      <c r="F136" s="165" t="str">
        <f>IF($B136=FALSE,"",Magnification_1!D6)</f>
        <v/>
      </c>
      <c r="G136" s="165" t="str">
        <f>IF($B136=FALSE,"",Magnification_1!E6)</f>
        <v/>
      </c>
      <c r="H136" s="165" t="str">
        <f>IF($B136=FALSE,"",Magnification_1!F6)</f>
        <v/>
      </c>
      <c r="I136" s="165" t="str">
        <f>IF($B136=FALSE,"",Magnification_1!Q6)</f>
        <v/>
      </c>
      <c r="J136" s="165" t="str">
        <f>IF($B136=FALSE,"",Magnification_1!R6)</f>
        <v/>
      </c>
      <c r="K136" s="165" t="str">
        <f>IF($B136=FALSE,"",Magnification_1!S6)</f>
        <v/>
      </c>
      <c r="L136" s="165" t="str">
        <f>IF($B136=FALSE,"",Magnification_1!T6)</f>
        <v/>
      </c>
      <c r="M136" s="165" t="str">
        <f>IF($B136=FALSE,"",Magnification_1!U6)</f>
        <v/>
      </c>
      <c r="N136" s="165" t="str">
        <f t="shared" si="49"/>
        <v/>
      </c>
      <c r="O136" s="175" t="str">
        <f t="shared" si="50"/>
        <v/>
      </c>
      <c r="P136" s="176" t="str">
        <f>IF($B136=FALSE,"",Magnification_1!D29)</f>
        <v/>
      </c>
      <c r="Q136" s="177" t="str">
        <f t="shared" si="51"/>
        <v/>
      </c>
      <c r="R136" s="179" t="str">
        <f t="shared" si="52"/>
        <v/>
      </c>
      <c r="S136" s="232" t="str">
        <f t="shared" si="53"/>
        <v/>
      </c>
      <c r="T136" s="180" t="str">
        <f t="shared" si="54"/>
        <v/>
      </c>
      <c r="U136" s="165" t="str">
        <f t="shared" si="55"/>
        <v/>
      </c>
      <c r="V136" s="165" t="str">
        <f t="shared" si="56"/>
        <v/>
      </c>
      <c r="W136" s="165" t="str">
        <f t="shared" si="57"/>
        <v/>
      </c>
      <c r="X136" s="122"/>
      <c r="Y136" s="165" t="str">
        <f>IF($B136=FALSE,"",ROUND(S136+(Magnification_1!N6-R136)/R136*S136,L$166))</f>
        <v/>
      </c>
      <c r="Z136" s="165" t="str">
        <f>IF($B136=FALSE,"",ROUND(S136+(Magnification_1!O6-R136)/R136*S136,L$166))</f>
        <v/>
      </c>
      <c r="AA136" s="165" t="str">
        <f t="shared" si="58"/>
        <v/>
      </c>
      <c r="AB136" s="168" t="e">
        <f t="shared" ca="1" si="59"/>
        <v>#N/A</v>
      </c>
      <c r="AC136" s="168" t="str">
        <f t="shared" ca="1" si="60"/>
        <v/>
      </c>
      <c r="AD136" s="165" t="str">
        <f t="shared" ca="1" si="61"/>
        <v/>
      </c>
      <c r="AE136" s="165" t="str">
        <f t="shared" si="62"/>
        <v/>
      </c>
      <c r="AF136" s="165" t="str">
        <f t="shared" si="63"/>
        <v/>
      </c>
      <c r="AG136" s="165" t="e">
        <f t="shared" ca="1" si="64"/>
        <v>#VALUE!</v>
      </c>
    </row>
    <row r="137" spans="1:33" ht="15" customHeight="1">
      <c r="B137" s="171" t="b">
        <f>IF(TRIM(Magnification_1!A7)="",FALSE,TRUE)</f>
        <v>0</v>
      </c>
      <c r="C137" s="165" t="str">
        <f>IF($B137=FALSE,"",Magnification_1!A7)</f>
        <v/>
      </c>
      <c r="D137" s="165" t="str">
        <f>IF($B137=FALSE,"",Magnification_1!B7)</f>
        <v/>
      </c>
      <c r="E137" s="165" t="str">
        <f>IF($B137=FALSE,"",Magnification_1!C7)</f>
        <v/>
      </c>
      <c r="F137" s="165" t="str">
        <f>IF($B137=FALSE,"",Magnification_1!D7)</f>
        <v/>
      </c>
      <c r="G137" s="165" t="str">
        <f>IF($B137=FALSE,"",Magnification_1!E7)</f>
        <v/>
      </c>
      <c r="H137" s="165" t="str">
        <f>IF($B137=FALSE,"",Magnification_1!F7)</f>
        <v/>
      </c>
      <c r="I137" s="165" t="str">
        <f>IF($B137=FALSE,"",Magnification_1!Q7)</f>
        <v/>
      </c>
      <c r="J137" s="165" t="str">
        <f>IF($B137=FALSE,"",Magnification_1!R7)</f>
        <v/>
      </c>
      <c r="K137" s="165" t="str">
        <f>IF($B137=FALSE,"",Magnification_1!S7)</f>
        <v/>
      </c>
      <c r="L137" s="165" t="str">
        <f>IF($B137=FALSE,"",Magnification_1!T7)</f>
        <v/>
      </c>
      <c r="M137" s="165" t="str">
        <f>IF($B137=FALSE,"",Magnification_1!U7)</f>
        <v/>
      </c>
      <c r="N137" s="165" t="str">
        <f t="shared" si="49"/>
        <v/>
      </c>
      <c r="O137" s="175" t="str">
        <f t="shared" si="50"/>
        <v/>
      </c>
      <c r="P137" s="176" t="str">
        <f>IF($B137=FALSE,"",Magnification_1!D30)</f>
        <v/>
      </c>
      <c r="Q137" s="177" t="str">
        <f t="shared" si="51"/>
        <v/>
      </c>
      <c r="R137" s="179" t="str">
        <f t="shared" si="52"/>
        <v/>
      </c>
      <c r="S137" s="232" t="str">
        <f t="shared" si="53"/>
        <v/>
      </c>
      <c r="T137" s="180" t="str">
        <f t="shared" si="54"/>
        <v/>
      </c>
      <c r="U137" s="165" t="str">
        <f t="shared" si="55"/>
        <v/>
      </c>
      <c r="V137" s="165" t="str">
        <f t="shared" si="56"/>
        <v/>
      </c>
      <c r="W137" s="165" t="str">
        <f t="shared" si="57"/>
        <v/>
      </c>
      <c r="X137" s="122"/>
      <c r="Y137" s="165" t="str">
        <f>IF($B137=FALSE,"",ROUND(S137+(Magnification_1!N7-R137)/R137*S137,L$166))</f>
        <v/>
      </c>
      <c r="Z137" s="165" t="str">
        <f>IF($B137=FALSE,"",ROUND(S137+(Magnification_1!O7-R137)/R137*S137,L$166))</f>
        <v/>
      </c>
      <c r="AA137" s="165" t="str">
        <f t="shared" si="58"/>
        <v/>
      </c>
      <c r="AB137" s="168" t="e">
        <f t="shared" ca="1" si="59"/>
        <v>#N/A</v>
      </c>
      <c r="AC137" s="168" t="str">
        <f t="shared" ca="1" si="60"/>
        <v/>
      </c>
      <c r="AD137" s="165" t="str">
        <f t="shared" ca="1" si="61"/>
        <v/>
      </c>
      <c r="AE137" s="165" t="str">
        <f t="shared" si="62"/>
        <v/>
      </c>
      <c r="AF137" s="165" t="str">
        <f t="shared" si="63"/>
        <v/>
      </c>
      <c r="AG137" s="165" t="e">
        <f t="shared" ca="1" si="64"/>
        <v>#VALUE!</v>
      </c>
    </row>
    <row r="138" spans="1:33" ht="15" customHeight="1">
      <c r="B138" s="171" t="b">
        <f>IF(TRIM(Magnification_1!A8)="",FALSE,TRUE)</f>
        <v>0</v>
      </c>
      <c r="C138" s="165" t="str">
        <f>IF($B138=FALSE,"",Magnification_1!A8)</f>
        <v/>
      </c>
      <c r="D138" s="165" t="str">
        <f>IF($B138=FALSE,"",Magnification_1!B8)</f>
        <v/>
      </c>
      <c r="E138" s="165" t="str">
        <f>IF($B138=FALSE,"",Magnification_1!C8)</f>
        <v/>
      </c>
      <c r="F138" s="165" t="str">
        <f>IF($B138=FALSE,"",Magnification_1!D8)</f>
        <v/>
      </c>
      <c r="G138" s="165" t="str">
        <f>IF($B138=FALSE,"",Magnification_1!E8)</f>
        <v/>
      </c>
      <c r="H138" s="165" t="str">
        <f>IF($B138=FALSE,"",Magnification_1!F8)</f>
        <v/>
      </c>
      <c r="I138" s="165" t="str">
        <f>IF($B138=FALSE,"",Magnification_1!Q8)</f>
        <v/>
      </c>
      <c r="J138" s="165" t="str">
        <f>IF($B138=FALSE,"",Magnification_1!R8)</f>
        <v/>
      </c>
      <c r="K138" s="165" t="str">
        <f>IF($B138=FALSE,"",Magnification_1!S8)</f>
        <v/>
      </c>
      <c r="L138" s="165" t="str">
        <f>IF($B138=FALSE,"",Magnification_1!T8)</f>
        <v/>
      </c>
      <c r="M138" s="165" t="str">
        <f>IF($B138=FALSE,"",Magnification_1!U8)</f>
        <v/>
      </c>
      <c r="N138" s="165" t="str">
        <f t="shared" si="49"/>
        <v/>
      </c>
      <c r="O138" s="175" t="str">
        <f t="shared" si="50"/>
        <v/>
      </c>
      <c r="P138" s="176" t="str">
        <f>IF($B138=FALSE,"",Magnification_1!D31)</f>
        <v/>
      </c>
      <c r="Q138" s="177" t="str">
        <f t="shared" si="51"/>
        <v/>
      </c>
      <c r="R138" s="179" t="str">
        <f t="shared" si="52"/>
        <v/>
      </c>
      <c r="S138" s="232" t="str">
        <f t="shared" si="53"/>
        <v/>
      </c>
      <c r="T138" s="180" t="str">
        <f t="shared" si="54"/>
        <v/>
      </c>
      <c r="U138" s="165" t="str">
        <f t="shared" si="55"/>
        <v/>
      </c>
      <c r="V138" s="165" t="str">
        <f t="shared" si="56"/>
        <v/>
      </c>
      <c r="W138" s="165" t="str">
        <f t="shared" si="57"/>
        <v/>
      </c>
      <c r="X138" s="122"/>
      <c r="Y138" s="165" t="str">
        <f>IF($B138=FALSE,"",ROUND(S138+(Magnification_1!N8-R138)/R138*S138,L$166))</f>
        <v/>
      </c>
      <c r="Z138" s="165" t="str">
        <f>IF($B138=FALSE,"",ROUND(S138+(Magnification_1!O8-R138)/R138*S138,L$166))</f>
        <v/>
      </c>
      <c r="AA138" s="165" t="str">
        <f t="shared" si="58"/>
        <v/>
      </c>
      <c r="AB138" s="168" t="e">
        <f t="shared" ca="1" si="59"/>
        <v>#N/A</v>
      </c>
      <c r="AC138" s="168" t="str">
        <f t="shared" ca="1" si="60"/>
        <v/>
      </c>
      <c r="AD138" s="165" t="str">
        <f t="shared" ca="1" si="61"/>
        <v/>
      </c>
      <c r="AE138" s="165" t="str">
        <f t="shared" si="62"/>
        <v/>
      </c>
      <c r="AF138" s="165" t="str">
        <f t="shared" si="63"/>
        <v/>
      </c>
      <c r="AG138" s="165" t="e">
        <f t="shared" ca="1" si="64"/>
        <v>#VALUE!</v>
      </c>
    </row>
    <row r="139" spans="1:33" ht="15" customHeight="1">
      <c r="B139" s="171" t="b">
        <f>IF(TRIM(Magnification_1!A9)="",FALSE,TRUE)</f>
        <v>0</v>
      </c>
      <c r="C139" s="165" t="str">
        <f>IF($B139=FALSE,"",Magnification_1!A9)</f>
        <v/>
      </c>
      <c r="D139" s="165" t="str">
        <f>IF($B139=FALSE,"",Magnification_1!B9)</f>
        <v/>
      </c>
      <c r="E139" s="165" t="str">
        <f>IF($B139=FALSE,"",Magnification_1!C9)</f>
        <v/>
      </c>
      <c r="F139" s="165" t="str">
        <f>IF($B139=FALSE,"",Magnification_1!D9)</f>
        <v/>
      </c>
      <c r="G139" s="165" t="str">
        <f>IF($B139=FALSE,"",Magnification_1!E9)</f>
        <v/>
      </c>
      <c r="H139" s="165" t="str">
        <f>IF($B139=FALSE,"",Magnification_1!F9)</f>
        <v/>
      </c>
      <c r="I139" s="165" t="str">
        <f>IF($B139=FALSE,"",Magnification_1!Q9)</f>
        <v/>
      </c>
      <c r="J139" s="165" t="str">
        <f>IF($B139=FALSE,"",Magnification_1!R9)</f>
        <v/>
      </c>
      <c r="K139" s="165" t="str">
        <f>IF($B139=FALSE,"",Magnification_1!S9)</f>
        <v/>
      </c>
      <c r="L139" s="165" t="str">
        <f>IF($B139=FALSE,"",Magnification_1!T9)</f>
        <v/>
      </c>
      <c r="M139" s="165" t="str">
        <f>IF($B139=FALSE,"",Magnification_1!U9)</f>
        <v/>
      </c>
      <c r="N139" s="165" t="str">
        <f t="shared" si="49"/>
        <v/>
      </c>
      <c r="O139" s="175" t="str">
        <f t="shared" si="50"/>
        <v/>
      </c>
      <c r="P139" s="176" t="str">
        <f>IF($B139=FALSE,"",Magnification_1!D32)</f>
        <v/>
      </c>
      <c r="Q139" s="177" t="str">
        <f t="shared" si="51"/>
        <v/>
      </c>
      <c r="R139" s="179" t="str">
        <f t="shared" si="52"/>
        <v/>
      </c>
      <c r="S139" s="232" t="str">
        <f t="shared" si="53"/>
        <v/>
      </c>
      <c r="T139" s="180" t="str">
        <f t="shared" si="54"/>
        <v/>
      </c>
      <c r="U139" s="165" t="str">
        <f t="shared" si="55"/>
        <v/>
      </c>
      <c r="V139" s="165" t="str">
        <f t="shared" si="56"/>
        <v/>
      </c>
      <c r="W139" s="165" t="str">
        <f t="shared" si="57"/>
        <v/>
      </c>
      <c r="X139" s="122"/>
      <c r="Y139" s="165" t="str">
        <f>IF($B139=FALSE,"",ROUND(S139+(Magnification_1!N9-R139)/R139*S139,L$166))</f>
        <v/>
      </c>
      <c r="Z139" s="165" t="str">
        <f>IF($B139=FALSE,"",ROUND(S139+(Magnification_1!O9-R139)/R139*S139,L$166))</f>
        <v/>
      </c>
      <c r="AA139" s="165" t="str">
        <f t="shared" si="58"/>
        <v/>
      </c>
      <c r="AB139" s="168" t="e">
        <f t="shared" ca="1" si="59"/>
        <v>#N/A</v>
      </c>
      <c r="AC139" s="168" t="str">
        <f t="shared" ca="1" si="60"/>
        <v/>
      </c>
      <c r="AD139" s="165" t="str">
        <f t="shared" ca="1" si="61"/>
        <v/>
      </c>
      <c r="AE139" s="165" t="str">
        <f t="shared" si="62"/>
        <v/>
      </c>
      <c r="AF139" s="165" t="str">
        <f t="shared" si="63"/>
        <v/>
      </c>
      <c r="AG139" s="165" t="e">
        <f t="shared" ca="1" si="64"/>
        <v>#VALUE!</v>
      </c>
    </row>
    <row r="140" spans="1:33" ht="15" customHeight="1">
      <c r="B140" s="171" t="b">
        <f>IF(TRIM(Magnification_1!A10)="",FALSE,TRUE)</f>
        <v>0</v>
      </c>
      <c r="C140" s="165" t="str">
        <f>IF($B140=FALSE,"",Magnification_1!A10)</f>
        <v/>
      </c>
      <c r="D140" s="165" t="str">
        <f>IF($B140=FALSE,"",Magnification_1!B10)</f>
        <v/>
      </c>
      <c r="E140" s="165" t="str">
        <f>IF($B140=FALSE,"",Magnification_1!C10)</f>
        <v/>
      </c>
      <c r="F140" s="165" t="str">
        <f>IF($B140=FALSE,"",Magnification_1!D10)</f>
        <v/>
      </c>
      <c r="G140" s="165" t="str">
        <f>IF($B140=FALSE,"",Magnification_1!E10)</f>
        <v/>
      </c>
      <c r="H140" s="165" t="str">
        <f>IF($B140=FALSE,"",Magnification_1!F10)</f>
        <v/>
      </c>
      <c r="I140" s="165" t="str">
        <f>IF($B140=FALSE,"",Magnification_1!Q10)</f>
        <v/>
      </c>
      <c r="J140" s="165" t="str">
        <f>IF($B140=FALSE,"",Magnification_1!R10)</f>
        <v/>
      </c>
      <c r="K140" s="165" t="str">
        <f>IF($B140=FALSE,"",Magnification_1!S10)</f>
        <v/>
      </c>
      <c r="L140" s="165" t="str">
        <f>IF($B140=FALSE,"",Magnification_1!T10)</f>
        <v/>
      </c>
      <c r="M140" s="165" t="str">
        <f>IF($B140=FALSE,"",Magnification_1!U10)</f>
        <v/>
      </c>
      <c r="N140" s="165" t="str">
        <f t="shared" si="49"/>
        <v/>
      </c>
      <c r="O140" s="175" t="str">
        <f t="shared" si="50"/>
        <v/>
      </c>
      <c r="P140" s="176" t="str">
        <f>IF($B140=FALSE,"",Magnification_1!D33)</f>
        <v/>
      </c>
      <c r="Q140" s="177" t="str">
        <f t="shared" si="51"/>
        <v/>
      </c>
      <c r="R140" s="179" t="str">
        <f t="shared" si="52"/>
        <v/>
      </c>
      <c r="S140" s="232" t="str">
        <f t="shared" si="53"/>
        <v/>
      </c>
      <c r="T140" s="180" t="str">
        <f t="shared" si="54"/>
        <v/>
      </c>
      <c r="U140" s="165" t="str">
        <f t="shared" si="55"/>
        <v/>
      </c>
      <c r="V140" s="165" t="str">
        <f t="shared" si="56"/>
        <v/>
      </c>
      <c r="W140" s="165" t="str">
        <f t="shared" si="57"/>
        <v/>
      </c>
      <c r="X140" s="122"/>
      <c r="Y140" s="165" t="str">
        <f>IF($B140=FALSE,"",ROUND(S140+(Magnification_1!N10-R140)/R140*S140,L$166))</f>
        <v/>
      </c>
      <c r="Z140" s="165" t="str">
        <f>IF($B140=FALSE,"",ROUND(S140+(Magnification_1!O10-R140)/R140*S140,L$166))</f>
        <v/>
      </c>
      <c r="AA140" s="165" t="str">
        <f t="shared" si="58"/>
        <v/>
      </c>
      <c r="AB140" s="168" t="e">
        <f t="shared" ca="1" si="59"/>
        <v>#N/A</v>
      </c>
      <c r="AC140" s="168" t="str">
        <f t="shared" ca="1" si="60"/>
        <v/>
      </c>
      <c r="AD140" s="165" t="str">
        <f t="shared" ca="1" si="61"/>
        <v/>
      </c>
      <c r="AE140" s="165" t="str">
        <f t="shared" si="62"/>
        <v/>
      </c>
      <c r="AF140" s="165" t="str">
        <f t="shared" si="63"/>
        <v/>
      </c>
      <c r="AG140" s="165" t="e">
        <f t="shared" ca="1" si="64"/>
        <v>#VALUE!</v>
      </c>
    </row>
    <row r="141" spans="1:33" ht="15" customHeight="1">
      <c r="B141" s="171" t="b">
        <f>IF(TRIM(Magnification_1!A11)="",FALSE,TRUE)</f>
        <v>0</v>
      </c>
      <c r="C141" s="165" t="str">
        <f>IF($B141=FALSE,"",Magnification_1!A11)</f>
        <v/>
      </c>
      <c r="D141" s="165" t="str">
        <f>IF($B141=FALSE,"",Magnification_1!B11)</f>
        <v/>
      </c>
      <c r="E141" s="165" t="str">
        <f>IF($B141=FALSE,"",Magnification_1!C11)</f>
        <v/>
      </c>
      <c r="F141" s="165" t="str">
        <f>IF($B141=FALSE,"",Magnification_1!D11)</f>
        <v/>
      </c>
      <c r="G141" s="165" t="str">
        <f>IF($B141=FALSE,"",Magnification_1!E11)</f>
        <v/>
      </c>
      <c r="H141" s="165" t="str">
        <f>IF($B141=FALSE,"",Magnification_1!F11)</f>
        <v/>
      </c>
      <c r="I141" s="165" t="str">
        <f>IF($B141=FALSE,"",Magnification_1!Q11)</f>
        <v/>
      </c>
      <c r="J141" s="165" t="str">
        <f>IF($B141=FALSE,"",Magnification_1!R11)</f>
        <v/>
      </c>
      <c r="K141" s="165" t="str">
        <f>IF($B141=FALSE,"",Magnification_1!S11)</f>
        <v/>
      </c>
      <c r="L141" s="165" t="str">
        <f>IF($B141=FALSE,"",Magnification_1!T11)</f>
        <v/>
      </c>
      <c r="M141" s="165" t="str">
        <f>IF($B141=FALSE,"",Magnification_1!U11)</f>
        <v/>
      </c>
      <c r="N141" s="165" t="str">
        <f t="shared" si="49"/>
        <v/>
      </c>
      <c r="O141" s="175" t="str">
        <f t="shared" si="50"/>
        <v/>
      </c>
      <c r="P141" s="176" t="str">
        <f>IF($B141=FALSE,"",Magnification_1!D34)</f>
        <v/>
      </c>
      <c r="Q141" s="177" t="str">
        <f t="shared" si="51"/>
        <v/>
      </c>
      <c r="R141" s="179" t="str">
        <f t="shared" si="52"/>
        <v/>
      </c>
      <c r="S141" s="232" t="str">
        <f t="shared" si="53"/>
        <v/>
      </c>
      <c r="T141" s="180" t="str">
        <f t="shared" si="54"/>
        <v/>
      </c>
      <c r="U141" s="165" t="str">
        <f t="shared" si="55"/>
        <v/>
      </c>
      <c r="V141" s="165" t="str">
        <f t="shared" si="56"/>
        <v/>
      </c>
      <c r="W141" s="165" t="str">
        <f t="shared" si="57"/>
        <v/>
      </c>
      <c r="X141" s="122"/>
      <c r="Y141" s="165" t="str">
        <f>IF($B141=FALSE,"",ROUND(S141+(Magnification_1!N11-R141)/R141*S141,L$166))</f>
        <v/>
      </c>
      <c r="Z141" s="165" t="str">
        <f>IF($B141=FALSE,"",ROUND(S141+(Magnification_1!O11-R141)/R141*S141,L$166))</f>
        <v/>
      </c>
      <c r="AA141" s="165" t="str">
        <f t="shared" si="58"/>
        <v/>
      </c>
      <c r="AB141" s="168" t="e">
        <f t="shared" ca="1" si="59"/>
        <v>#N/A</v>
      </c>
      <c r="AC141" s="168" t="str">
        <f t="shared" ca="1" si="60"/>
        <v/>
      </c>
      <c r="AD141" s="165" t="str">
        <f t="shared" ca="1" si="61"/>
        <v/>
      </c>
      <c r="AE141" s="165" t="str">
        <f t="shared" si="62"/>
        <v/>
      </c>
      <c r="AF141" s="165" t="str">
        <f t="shared" si="63"/>
        <v/>
      </c>
      <c r="AG141" s="165" t="e">
        <f t="shared" ca="1" si="64"/>
        <v>#VALUE!</v>
      </c>
    </row>
    <row r="142" spans="1:33" ht="15" customHeight="1">
      <c r="B142" s="171" t="b">
        <f>IF(TRIM(Magnification_1!A12)="",FALSE,TRUE)</f>
        <v>0</v>
      </c>
      <c r="C142" s="165" t="str">
        <f>IF($B142=FALSE,"",Magnification_1!A12)</f>
        <v/>
      </c>
      <c r="D142" s="165" t="str">
        <f>IF($B142=FALSE,"",Magnification_1!B12)</f>
        <v/>
      </c>
      <c r="E142" s="165" t="str">
        <f>IF($B142=FALSE,"",Magnification_1!C12)</f>
        <v/>
      </c>
      <c r="F142" s="165" t="str">
        <f>IF($B142=FALSE,"",Magnification_1!D12)</f>
        <v/>
      </c>
      <c r="G142" s="165" t="str">
        <f>IF($B142=FALSE,"",Magnification_1!E12)</f>
        <v/>
      </c>
      <c r="H142" s="165" t="str">
        <f>IF($B142=FALSE,"",Magnification_1!F12)</f>
        <v/>
      </c>
      <c r="I142" s="165" t="str">
        <f>IF($B142=FALSE,"",Magnification_1!Q12)</f>
        <v/>
      </c>
      <c r="J142" s="165" t="str">
        <f>IF($B142=FALSE,"",Magnification_1!R12)</f>
        <v/>
      </c>
      <c r="K142" s="165" t="str">
        <f>IF($B142=FALSE,"",Magnification_1!S12)</f>
        <v/>
      </c>
      <c r="L142" s="165" t="str">
        <f>IF($B142=FALSE,"",Magnification_1!T12)</f>
        <v/>
      </c>
      <c r="M142" s="165" t="str">
        <f>IF($B142=FALSE,"",Magnification_1!U12)</f>
        <v/>
      </c>
      <c r="N142" s="165" t="str">
        <f t="shared" si="49"/>
        <v/>
      </c>
      <c r="O142" s="175" t="str">
        <f t="shared" si="50"/>
        <v/>
      </c>
      <c r="P142" s="176" t="str">
        <f>IF($B142=FALSE,"",Magnification_1!D35)</f>
        <v/>
      </c>
      <c r="Q142" s="177" t="str">
        <f t="shared" si="51"/>
        <v/>
      </c>
      <c r="R142" s="179" t="str">
        <f t="shared" si="52"/>
        <v/>
      </c>
      <c r="S142" s="232" t="str">
        <f t="shared" si="53"/>
        <v/>
      </c>
      <c r="T142" s="180" t="str">
        <f t="shared" si="54"/>
        <v/>
      </c>
      <c r="U142" s="165" t="str">
        <f t="shared" si="55"/>
        <v/>
      </c>
      <c r="V142" s="165" t="str">
        <f t="shared" si="56"/>
        <v/>
      </c>
      <c r="W142" s="165" t="str">
        <f t="shared" si="57"/>
        <v/>
      </c>
      <c r="X142" s="122"/>
      <c r="Y142" s="165" t="str">
        <f>IF($B142=FALSE,"",ROUND(S142+(Magnification_1!N12-R142)/R142*S142,L$166))</f>
        <v/>
      </c>
      <c r="Z142" s="165" t="str">
        <f>IF($B142=FALSE,"",ROUND(S142+(Magnification_1!O12-R142)/R142*S142,L$166))</f>
        <v/>
      </c>
      <c r="AA142" s="165" t="str">
        <f t="shared" si="58"/>
        <v/>
      </c>
      <c r="AB142" s="168" t="e">
        <f t="shared" ca="1" si="59"/>
        <v>#N/A</v>
      </c>
      <c r="AC142" s="168" t="str">
        <f t="shared" ca="1" si="60"/>
        <v/>
      </c>
      <c r="AD142" s="165" t="str">
        <f t="shared" ca="1" si="61"/>
        <v/>
      </c>
      <c r="AE142" s="165" t="str">
        <f t="shared" si="62"/>
        <v/>
      </c>
      <c r="AF142" s="165" t="str">
        <f t="shared" si="63"/>
        <v/>
      </c>
      <c r="AG142" s="165" t="e">
        <f t="shared" ca="1" si="64"/>
        <v>#VALUE!</v>
      </c>
    </row>
    <row r="143" spans="1:33" ht="15" customHeight="1">
      <c r="B143" s="171" t="b">
        <f>IF(TRIM(Magnification_1!A13)="",FALSE,TRUE)</f>
        <v>0</v>
      </c>
      <c r="C143" s="165" t="str">
        <f>IF($B143=FALSE,"",Magnification_1!A13)</f>
        <v/>
      </c>
      <c r="D143" s="165" t="str">
        <f>IF($B143=FALSE,"",Magnification_1!B13)</f>
        <v/>
      </c>
      <c r="E143" s="165" t="str">
        <f>IF($B143=FALSE,"",Magnification_1!C13)</f>
        <v/>
      </c>
      <c r="F143" s="165" t="str">
        <f>IF($B143=FALSE,"",Magnification_1!D13)</f>
        <v/>
      </c>
      <c r="G143" s="165" t="str">
        <f>IF($B143=FALSE,"",Magnification_1!E13)</f>
        <v/>
      </c>
      <c r="H143" s="165" t="str">
        <f>IF($B143=FALSE,"",Magnification_1!F13)</f>
        <v/>
      </c>
      <c r="I143" s="165" t="str">
        <f>IF($B143=FALSE,"",Magnification_1!Q13)</f>
        <v/>
      </c>
      <c r="J143" s="165" t="str">
        <f>IF($B143=FALSE,"",Magnification_1!R13)</f>
        <v/>
      </c>
      <c r="K143" s="165" t="str">
        <f>IF($B143=FALSE,"",Magnification_1!S13)</f>
        <v/>
      </c>
      <c r="L143" s="165" t="str">
        <f>IF($B143=FALSE,"",Magnification_1!T13)</f>
        <v/>
      </c>
      <c r="M143" s="165" t="str">
        <f>IF($B143=FALSE,"",Magnification_1!U13)</f>
        <v/>
      </c>
      <c r="N143" s="165" t="str">
        <f t="shared" si="49"/>
        <v/>
      </c>
      <c r="O143" s="175" t="str">
        <f t="shared" si="50"/>
        <v/>
      </c>
      <c r="P143" s="176" t="str">
        <f>IF($B143=FALSE,"",Magnification_1!D36)</f>
        <v/>
      </c>
      <c r="Q143" s="177" t="str">
        <f t="shared" si="51"/>
        <v/>
      </c>
      <c r="R143" s="179" t="str">
        <f t="shared" si="52"/>
        <v/>
      </c>
      <c r="S143" s="232" t="str">
        <f t="shared" si="53"/>
        <v/>
      </c>
      <c r="T143" s="180" t="str">
        <f t="shared" si="54"/>
        <v/>
      </c>
      <c r="U143" s="165" t="str">
        <f t="shared" si="55"/>
        <v/>
      </c>
      <c r="V143" s="165" t="str">
        <f t="shared" si="56"/>
        <v/>
      </c>
      <c r="W143" s="165" t="str">
        <f t="shared" si="57"/>
        <v/>
      </c>
      <c r="X143" s="122"/>
      <c r="Y143" s="165" t="str">
        <f>IF($B143=FALSE,"",ROUND(S143+(Magnification_1!N13-R143)/R143*S143,L$166))</f>
        <v/>
      </c>
      <c r="Z143" s="165" t="str">
        <f>IF($B143=FALSE,"",ROUND(S143+(Magnification_1!O13-R143)/R143*S143,L$166))</f>
        <v/>
      </c>
      <c r="AA143" s="165" t="str">
        <f t="shared" si="58"/>
        <v/>
      </c>
      <c r="AB143" s="168" t="e">
        <f t="shared" ca="1" si="59"/>
        <v>#N/A</v>
      </c>
      <c r="AC143" s="168" t="str">
        <f t="shared" ca="1" si="60"/>
        <v/>
      </c>
      <c r="AD143" s="165" t="str">
        <f t="shared" ca="1" si="61"/>
        <v/>
      </c>
      <c r="AE143" s="165" t="str">
        <f t="shared" si="62"/>
        <v/>
      </c>
      <c r="AF143" s="165" t="str">
        <f t="shared" si="63"/>
        <v/>
      </c>
      <c r="AG143" s="165" t="e">
        <f t="shared" ca="1" si="64"/>
        <v>#VALUE!</v>
      </c>
    </row>
    <row r="144" spans="1:33" ht="15" customHeight="1">
      <c r="B144" s="171" t="b">
        <f>IF(TRIM(Magnification_1!A14)="",FALSE,TRUE)</f>
        <v>0</v>
      </c>
      <c r="C144" s="165" t="str">
        <f>IF($B144=FALSE,"",Magnification_1!A14)</f>
        <v/>
      </c>
      <c r="D144" s="165" t="str">
        <f>IF($B144=FALSE,"",Magnification_1!B14)</f>
        <v/>
      </c>
      <c r="E144" s="165" t="str">
        <f>IF($B144=FALSE,"",Magnification_1!C14)</f>
        <v/>
      </c>
      <c r="F144" s="165" t="str">
        <f>IF($B144=FALSE,"",Magnification_1!D14)</f>
        <v/>
      </c>
      <c r="G144" s="165" t="str">
        <f>IF($B144=FALSE,"",Magnification_1!E14)</f>
        <v/>
      </c>
      <c r="H144" s="165" t="str">
        <f>IF($B144=FALSE,"",Magnification_1!F14)</f>
        <v/>
      </c>
      <c r="I144" s="165" t="str">
        <f>IF($B144=FALSE,"",Magnification_1!Q14)</f>
        <v/>
      </c>
      <c r="J144" s="165" t="str">
        <f>IF($B144=FALSE,"",Magnification_1!R14)</f>
        <v/>
      </c>
      <c r="K144" s="165" t="str">
        <f>IF($B144=FALSE,"",Magnification_1!S14)</f>
        <v/>
      </c>
      <c r="L144" s="165" t="str">
        <f>IF($B144=FALSE,"",Magnification_1!T14)</f>
        <v/>
      </c>
      <c r="M144" s="165" t="str">
        <f>IF($B144=FALSE,"",Magnification_1!U14)</f>
        <v/>
      </c>
      <c r="N144" s="165" t="str">
        <f t="shared" si="49"/>
        <v/>
      </c>
      <c r="O144" s="175" t="str">
        <f t="shared" si="50"/>
        <v/>
      </c>
      <c r="P144" s="176" t="str">
        <f>IF($B144=FALSE,"",Magnification_1!D37)</f>
        <v/>
      </c>
      <c r="Q144" s="177" t="str">
        <f t="shared" si="51"/>
        <v/>
      </c>
      <c r="R144" s="179" t="str">
        <f t="shared" si="52"/>
        <v/>
      </c>
      <c r="S144" s="232" t="str">
        <f t="shared" si="53"/>
        <v/>
      </c>
      <c r="T144" s="180" t="str">
        <f t="shared" si="54"/>
        <v/>
      </c>
      <c r="U144" s="165" t="str">
        <f t="shared" si="55"/>
        <v/>
      </c>
      <c r="V144" s="165" t="str">
        <f t="shared" si="56"/>
        <v/>
      </c>
      <c r="W144" s="165" t="str">
        <f t="shared" si="57"/>
        <v/>
      </c>
      <c r="X144" s="122"/>
      <c r="Y144" s="165" t="str">
        <f>IF($B144=FALSE,"",ROUND(S144+(Magnification_1!N14-R144)/R144*S144,L$166))</f>
        <v/>
      </c>
      <c r="Z144" s="165" t="str">
        <f>IF($B144=FALSE,"",ROUND(S144+(Magnification_1!O14-R144)/R144*S144,L$166))</f>
        <v/>
      </c>
      <c r="AA144" s="165" t="str">
        <f t="shared" si="58"/>
        <v/>
      </c>
      <c r="AB144" s="168" t="e">
        <f t="shared" ca="1" si="59"/>
        <v>#N/A</v>
      </c>
      <c r="AC144" s="168" t="str">
        <f t="shared" ca="1" si="60"/>
        <v/>
      </c>
      <c r="AD144" s="165" t="str">
        <f t="shared" ca="1" si="61"/>
        <v/>
      </c>
      <c r="AE144" s="165" t="str">
        <f t="shared" si="62"/>
        <v/>
      </c>
      <c r="AF144" s="165" t="str">
        <f t="shared" si="63"/>
        <v/>
      </c>
      <c r="AG144" s="165" t="e">
        <f t="shared" ca="1" si="64"/>
        <v>#VALUE!</v>
      </c>
    </row>
    <row r="145" spans="1:33" ht="15" customHeight="1">
      <c r="B145" s="171" t="b">
        <f>IF(TRIM(Magnification_1!A15)="",FALSE,TRUE)</f>
        <v>0</v>
      </c>
      <c r="C145" s="165" t="str">
        <f>IF($B145=FALSE,"",Magnification_1!A15)</f>
        <v/>
      </c>
      <c r="D145" s="165" t="str">
        <f>IF($B145=FALSE,"",Magnification_1!B15)</f>
        <v/>
      </c>
      <c r="E145" s="165" t="str">
        <f>IF($B145=FALSE,"",Magnification_1!C15)</f>
        <v/>
      </c>
      <c r="F145" s="165" t="str">
        <f>IF($B145=FALSE,"",Magnification_1!D15)</f>
        <v/>
      </c>
      <c r="G145" s="165" t="str">
        <f>IF($B145=FALSE,"",Magnification_1!E15)</f>
        <v/>
      </c>
      <c r="H145" s="165" t="str">
        <f>IF($B145=FALSE,"",Magnification_1!F15)</f>
        <v/>
      </c>
      <c r="I145" s="165" t="str">
        <f>IF($B145=FALSE,"",Magnification_1!Q15)</f>
        <v/>
      </c>
      <c r="J145" s="165" t="str">
        <f>IF($B145=FALSE,"",Magnification_1!R15)</f>
        <v/>
      </c>
      <c r="K145" s="165" t="str">
        <f>IF($B145=FALSE,"",Magnification_1!S15)</f>
        <v/>
      </c>
      <c r="L145" s="165" t="str">
        <f>IF($B145=FALSE,"",Magnification_1!T15)</f>
        <v/>
      </c>
      <c r="M145" s="165" t="str">
        <f>IF($B145=FALSE,"",Magnification_1!U15)</f>
        <v/>
      </c>
      <c r="N145" s="165" t="str">
        <f t="shared" si="49"/>
        <v/>
      </c>
      <c r="O145" s="175" t="str">
        <f t="shared" si="50"/>
        <v/>
      </c>
      <c r="P145" s="176" t="str">
        <f>IF($B145=FALSE,"",Magnification_1!D38)</f>
        <v/>
      </c>
      <c r="Q145" s="177" t="str">
        <f t="shared" si="51"/>
        <v/>
      </c>
      <c r="R145" s="179" t="str">
        <f t="shared" si="52"/>
        <v/>
      </c>
      <c r="S145" s="232" t="str">
        <f t="shared" si="53"/>
        <v/>
      </c>
      <c r="T145" s="180" t="str">
        <f t="shared" si="54"/>
        <v/>
      </c>
      <c r="U145" s="165" t="str">
        <f t="shared" si="55"/>
        <v/>
      </c>
      <c r="V145" s="165" t="str">
        <f t="shared" si="56"/>
        <v/>
      </c>
      <c r="W145" s="165" t="str">
        <f t="shared" si="57"/>
        <v/>
      </c>
      <c r="X145" s="122"/>
      <c r="Y145" s="165" t="str">
        <f>IF($B145=FALSE,"",ROUND(S145+(Magnification_1!N15-R145)/R145*S145,L$166))</f>
        <v/>
      </c>
      <c r="Z145" s="165" t="str">
        <f>IF($B145=FALSE,"",ROUND(S145+(Magnification_1!O15-R145)/R145*S145,L$166))</f>
        <v/>
      </c>
      <c r="AA145" s="165" t="str">
        <f t="shared" si="58"/>
        <v/>
      </c>
      <c r="AB145" s="168" t="e">
        <f t="shared" ca="1" si="59"/>
        <v>#N/A</v>
      </c>
      <c r="AC145" s="168" t="str">
        <f t="shared" ca="1" si="60"/>
        <v/>
      </c>
      <c r="AD145" s="165" t="str">
        <f t="shared" ca="1" si="61"/>
        <v/>
      </c>
      <c r="AE145" s="165" t="str">
        <f t="shared" si="62"/>
        <v/>
      </c>
      <c r="AF145" s="165" t="str">
        <f t="shared" si="63"/>
        <v/>
      </c>
      <c r="AG145" s="165" t="e">
        <f t="shared" ca="1" si="64"/>
        <v>#VALUE!</v>
      </c>
    </row>
    <row r="146" spans="1:33" ht="15" customHeight="1">
      <c r="B146" s="171" t="b">
        <f>IF(TRIM(Magnification_1!A16)="",FALSE,TRUE)</f>
        <v>0</v>
      </c>
      <c r="C146" s="165" t="str">
        <f>IF($B146=FALSE,"",Magnification_1!A16)</f>
        <v/>
      </c>
      <c r="D146" s="165" t="str">
        <f>IF($B146=FALSE,"",Magnification_1!B16)</f>
        <v/>
      </c>
      <c r="E146" s="165" t="str">
        <f>IF($B146=FALSE,"",Magnification_1!C16)</f>
        <v/>
      </c>
      <c r="F146" s="165" t="str">
        <f>IF($B146=FALSE,"",Magnification_1!D16)</f>
        <v/>
      </c>
      <c r="G146" s="165" t="str">
        <f>IF($B146=FALSE,"",Magnification_1!E16)</f>
        <v/>
      </c>
      <c r="H146" s="165" t="str">
        <f>IF($B146=FALSE,"",Magnification_1!F16)</f>
        <v/>
      </c>
      <c r="I146" s="165" t="str">
        <f>IF($B146=FALSE,"",Magnification_1!Q16)</f>
        <v/>
      </c>
      <c r="J146" s="165" t="str">
        <f>IF($B146=FALSE,"",Magnification_1!R16)</f>
        <v/>
      </c>
      <c r="K146" s="165" t="str">
        <f>IF($B146=FALSE,"",Magnification_1!S16)</f>
        <v/>
      </c>
      <c r="L146" s="165" t="str">
        <f>IF($B146=FALSE,"",Magnification_1!T16)</f>
        <v/>
      </c>
      <c r="M146" s="165" t="str">
        <f>IF($B146=FALSE,"",Magnification_1!U16)</f>
        <v/>
      </c>
      <c r="N146" s="165" t="str">
        <f t="shared" si="49"/>
        <v/>
      </c>
      <c r="O146" s="175" t="str">
        <f t="shared" si="50"/>
        <v/>
      </c>
      <c r="P146" s="176" t="str">
        <f>IF($B146=FALSE,"",Magnification_1!D39)</f>
        <v/>
      </c>
      <c r="Q146" s="177" t="str">
        <f t="shared" si="51"/>
        <v/>
      </c>
      <c r="R146" s="179" t="str">
        <f t="shared" si="52"/>
        <v/>
      </c>
      <c r="S146" s="232" t="str">
        <f t="shared" si="53"/>
        <v/>
      </c>
      <c r="T146" s="180" t="str">
        <f t="shared" si="54"/>
        <v/>
      </c>
      <c r="U146" s="165" t="str">
        <f t="shared" si="55"/>
        <v/>
      </c>
      <c r="V146" s="165" t="str">
        <f t="shared" si="56"/>
        <v/>
      </c>
      <c r="W146" s="165" t="str">
        <f t="shared" si="57"/>
        <v/>
      </c>
      <c r="X146" s="122"/>
      <c r="Y146" s="165" t="str">
        <f>IF($B146=FALSE,"",ROUND(S146+(Magnification_1!N16-R146)/R146*S146,L$166))</f>
        <v/>
      </c>
      <c r="Z146" s="165" t="str">
        <f>IF($B146=FALSE,"",ROUND(S146+(Magnification_1!O16-R146)/R146*S146,L$166))</f>
        <v/>
      </c>
      <c r="AA146" s="165" t="str">
        <f t="shared" si="58"/>
        <v/>
      </c>
      <c r="AB146" s="168" t="e">
        <f t="shared" ca="1" si="59"/>
        <v>#N/A</v>
      </c>
      <c r="AC146" s="168" t="str">
        <f t="shared" ca="1" si="60"/>
        <v/>
      </c>
      <c r="AD146" s="165" t="str">
        <f t="shared" ca="1" si="61"/>
        <v/>
      </c>
      <c r="AE146" s="165" t="str">
        <f t="shared" si="62"/>
        <v/>
      </c>
      <c r="AF146" s="165" t="str">
        <f t="shared" si="63"/>
        <v/>
      </c>
      <c r="AG146" s="165" t="e">
        <f t="shared" ca="1" si="64"/>
        <v>#VALUE!</v>
      </c>
    </row>
    <row r="147" spans="1:33" ht="15" customHeight="1">
      <c r="B147" s="171" t="b">
        <f>IF(TRIM(Magnification_1!A17)="",FALSE,TRUE)</f>
        <v>0</v>
      </c>
      <c r="C147" s="165" t="str">
        <f>IF($B147=FALSE,"",Magnification_1!A17)</f>
        <v/>
      </c>
      <c r="D147" s="165" t="str">
        <f>IF($B147=FALSE,"",Magnification_1!B17)</f>
        <v/>
      </c>
      <c r="E147" s="165" t="str">
        <f>IF($B147=FALSE,"",Magnification_1!C17)</f>
        <v/>
      </c>
      <c r="F147" s="165" t="str">
        <f>IF($B147=FALSE,"",Magnification_1!D17)</f>
        <v/>
      </c>
      <c r="G147" s="165" t="str">
        <f>IF($B147=FALSE,"",Magnification_1!E17)</f>
        <v/>
      </c>
      <c r="H147" s="165" t="str">
        <f>IF($B147=FALSE,"",Magnification_1!F17)</f>
        <v/>
      </c>
      <c r="I147" s="165" t="str">
        <f>IF($B147=FALSE,"",Magnification_1!Q17)</f>
        <v/>
      </c>
      <c r="J147" s="165" t="str">
        <f>IF($B147=FALSE,"",Magnification_1!R17)</f>
        <v/>
      </c>
      <c r="K147" s="165" t="str">
        <f>IF($B147=FALSE,"",Magnification_1!S17)</f>
        <v/>
      </c>
      <c r="L147" s="165" t="str">
        <f>IF($B147=FALSE,"",Magnification_1!T17)</f>
        <v/>
      </c>
      <c r="M147" s="165" t="str">
        <f>IF($B147=FALSE,"",Magnification_1!U17)</f>
        <v/>
      </c>
      <c r="N147" s="165" t="str">
        <f t="shared" si="49"/>
        <v/>
      </c>
      <c r="O147" s="175" t="str">
        <f t="shared" si="50"/>
        <v/>
      </c>
      <c r="P147" s="176" t="str">
        <f>IF($B147=FALSE,"",Magnification_1!D40)</f>
        <v/>
      </c>
      <c r="Q147" s="177" t="str">
        <f t="shared" si="51"/>
        <v/>
      </c>
      <c r="R147" s="179" t="str">
        <f t="shared" si="52"/>
        <v/>
      </c>
      <c r="S147" s="232" t="str">
        <f t="shared" si="53"/>
        <v/>
      </c>
      <c r="T147" s="180" t="str">
        <f t="shared" si="54"/>
        <v/>
      </c>
      <c r="U147" s="165" t="str">
        <f t="shared" si="55"/>
        <v/>
      </c>
      <c r="V147" s="165" t="str">
        <f t="shared" si="56"/>
        <v/>
      </c>
      <c r="W147" s="165" t="str">
        <f t="shared" si="57"/>
        <v/>
      </c>
      <c r="X147" s="122"/>
      <c r="Y147" s="165" t="str">
        <f>IF($B147=FALSE,"",ROUND(S147+(Magnification_1!N17-R147)/R147*S147,L$166))</f>
        <v/>
      </c>
      <c r="Z147" s="165" t="str">
        <f>IF($B147=FALSE,"",ROUND(S147+(Magnification_1!O17-R147)/R147*S147,L$166))</f>
        <v/>
      </c>
      <c r="AA147" s="165" t="str">
        <f t="shared" si="58"/>
        <v/>
      </c>
      <c r="AB147" s="168" t="e">
        <f t="shared" ca="1" si="59"/>
        <v>#N/A</v>
      </c>
      <c r="AC147" s="168" t="str">
        <f t="shared" ca="1" si="60"/>
        <v/>
      </c>
      <c r="AD147" s="165" t="str">
        <f t="shared" ca="1" si="61"/>
        <v/>
      </c>
      <c r="AE147" s="165" t="str">
        <f t="shared" si="62"/>
        <v/>
      </c>
      <c r="AF147" s="165" t="str">
        <f t="shared" si="63"/>
        <v/>
      </c>
      <c r="AG147" s="165" t="e">
        <f t="shared" ca="1" si="64"/>
        <v>#VALUE!</v>
      </c>
    </row>
    <row r="148" spans="1:33" ht="15" customHeight="1">
      <c r="B148" s="171" t="b">
        <f>IF(TRIM(Magnification_1!A18)="",FALSE,TRUE)</f>
        <v>0</v>
      </c>
      <c r="C148" s="165" t="str">
        <f>IF($B148=FALSE,"",Magnification_1!A18)</f>
        <v/>
      </c>
      <c r="D148" s="165" t="str">
        <f>IF($B148=FALSE,"",Magnification_1!B18)</f>
        <v/>
      </c>
      <c r="E148" s="165" t="str">
        <f>IF($B148=FALSE,"",Magnification_1!C18)</f>
        <v/>
      </c>
      <c r="F148" s="165" t="str">
        <f>IF($B148=FALSE,"",Magnification_1!D18)</f>
        <v/>
      </c>
      <c r="G148" s="165" t="str">
        <f>IF($B148=FALSE,"",Magnification_1!E18)</f>
        <v/>
      </c>
      <c r="H148" s="165" t="str">
        <f>IF($B148=FALSE,"",Magnification_1!F18)</f>
        <v/>
      </c>
      <c r="I148" s="165" t="str">
        <f>IF($B148=FALSE,"",Magnification_1!Q18)</f>
        <v/>
      </c>
      <c r="J148" s="165" t="str">
        <f>IF($B148=FALSE,"",Magnification_1!R18)</f>
        <v/>
      </c>
      <c r="K148" s="165" t="str">
        <f>IF($B148=FALSE,"",Magnification_1!S18)</f>
        <v/>
      </c>
      <c r="L148" s="165" t="str">
        <f>IF($B148=FALSE,"",Magnification_1!T18)</f>
        <v/>
      </c>
      <c r="M148" s="165" t="str">
        <f>IF($B148=FALSE,"",Magnification_1!U18)</f>
        <v/>
      </c>
      <c r="N148" s="165" t="str">
        <f t="shared" si="49"/>
        <v/>
      </c>
      <c r="O148" s="175" t="str">
        <f t="shared" si="50"/>
        <v/>
      </c>
      <c r="P148" s="176" t="str">
        <f>IF($B148=FALSE,"",Magnification_1!D41)</f>
        <v/>
      </c>
      <c r="Q148" s="177" t="str">
        <f t="shared" si="51"/>
        <v/>
      </c>
      <c r="R148" s="179" t="str">
        <f t="shared" si="52"/>
        <v/>
      </c>
      <c r="S148" s="232" t="str">
        <f t="shared" si="53"/>
        <v/>
      </c>
      <c r="T148" s="180" t="str">
        <f t="shared" si="54"/>
        <v/>
      </c>
      <c r="U148" s="165" t="str">
        <f t="shared" si="55"/>
        <v/>
      </c>
      <c r="V148" s="165" t="str">
        <f t="shared" si="56"/>
        <v/>
      </c>
      <c r="W148" s="165" t="str">
        <f t="shared" si="57"/>
        <v/>
      </c>
      <c r="X148" s="122"/>
      <c r="Y148" s="165" t="str">
        <f>IF($B148=FALSE,"",ROUND(S148+(Magnification_1!N18-R148)/R148*S148,L$166))</f>
        <v/>
      </c>
      <c r="Z148" s="165" t="str">
        <f>IF($B148=FALSE,"",ROUND(S148+(Magnification_1!O18-R148)/R148*S148,L$166))</f>
        <v/>
      </c>
      <c r="AA148" s="165" t="str">
        <f t="shared" si="58"/>
        <v/>
      </c>
      <c r="AB148" s="168" t="e">
        <f t="shared" ca="1" si="59"/>
        <v>#N/A</v>
      </c>
      <c r="AC148" s="168" t="str">
        <f t="shared" ca="1" si="60"/>
        <v/>
      </c>
      <c r="AD148" s="165" t="str">
        <f t="shared" ca="1" si="61"/>
        <v/>
      </c>
      <c r="AE148" s="165" t="str">
        <f t="shared" si="62"/>
        <v/>
      </c>
      <c r="AF148" s="165" t="str">
        <f t="shared" si="63"/>
        <v/>
      </c>
      <c r="AG148" s="165" t="e">
        <f t="shared" ca="1" si="64"/>
        <v>#VALUE!</v>
      </c>
    </row>
    <row r="149" spans="1:33" ht="15" customHeight="1">
      <c r="B149" s="171" t="b">
        <f>IF(TRIM(Magnification_1!A19)="",FALSE,TRUE)</f>
        <v>0</v>
      </c>
      <c r="C149" s="165" t="str">
        <f>IF($B149=FALSE,"",Magnification_1!A19)</f>
        <v/>
      </c>
      <c r="D149" s="165" t="str">
        <f>IF($B149=FALSE,"",Magnification_1!B19)</f>
        <v/>
      </c>
      <c r="E149" s="165" t="str">
        <f>IF($B149=FALSE,"",Magnification_1!C19)</f>
        <v/>
      </c>
      <c r="F149" s="165" t="str">
        <f>IF($B149=FALSE,"",Magnification_1!D19)</f>
        <v/>
      </c>
      <c r="G149" s="165" t="str">
        <f>IF($B149=FALSE,"",Magnification_1!E19)</f>
        <v/>
      </c>
      <c r="H149" s="165" t="str">
        <f>IF($B149=FALSE,"",Magnification_1!F19)</f>
        <v/>
      </c>
      <c r="I149" s="165" t="str">
        <f>IF($B149=FALSE,"",Magnification_1!Q19)</f>
        <v/>
      </c>
      <c r="J149" s="165" t="str">
        <f>IF($B149=FALSE,"",Magnification_1!R19)</f>
        <v/>
      </c>
      <c r="K149" s="165" t="str">
        <f>IF($B149=FALSE,"",Magnification_1!S19)</f>
        <v/>
      </c>
      <c r="L149" s="165" t="str">
        <f>IF($B149=FALSE,"",Magnification_1!T19)</f>
        <v/>
      </c>
      <c r="M149" s="165" t="str">
        <f>IF($B149=FALSE,"",Magnification_1!U19)</f>
        <v/>
      </c>
      <c r="N149" s="165" t="str">
        <f t="shared" si="49"/>
        <v/>
      </c>
      <c r="O149" s="175" t="str">
        <f t="shared" si="50"/>
        <v/>
      </c>
      <c r="P149" s="176" t="str">
        <f>IF($B149=FALSE,"",Magnification_1!D42)</f>
        <v/>
      </c>
      <c r="Q149" s="177" t="str">
        <f t="shared" si="51"/>
        <v/>
      </c>
      <c r="R149" s="179" t="str">
        <f t="shared" si="52"/>
        <v/>
      </c>
      <c r="S149" s="232" t="str">
        <f t="shared" si="53"/>
        <v/>
      </c>
      <c r="T149" s="180" t="str">
        <f t="shared" si="54"/>
        <v/>
      </c>
      <c r="U149" s="165" t="str">
        <f t="shared" si="55"/>
        <v/>
      </c>
      <c r="V149" s="165" t="str">
        <f t="shared" si="56"/>
        <v/>
      </c>
      <c r="W149" s="165" t="str">
        <f t="shared" si="57"/>
        <v/>
      </c>
      <c r="X149" s="122"/>
      <c r="Y149" s="165" t="str">
        <f>IF($B149=FALSE,"",ROUND(S149+(Magnification_1!N19-R149)/R149*S149,L$166))</f>
        <v/>
      </c>
      <c r="Z149" s="165" t="str">
        <f>IF($B149=FALSE,"",ROUND(S149+(Magnification_1!O19-R149)/R149*S149,L$166))</f>
        <v/>
      </c>
      <c r="AA149" s="165" t="str">
        <f t="shared" si="58"/>
        <v/>
      </c>
      <c r="AB149" s="168" t="e">
        <f t="shared" ca="1" si="59"/>
        <v>#N/A</v>
      </c>
      <c r="AC149" s="168" t="str">
        <f t="shared" ca="1" si="60"/>
        <v/>
      </c>
      <c r="AD149" s="165" t="str">
        <f t="shared" ca="1" si="61"/>
        <v/>
      </c>
      <c r="AE149" s="165" t="str">
        <f t="shared" si="62"/>
        <v/>
      </c>
      <c r="AF149" s="165" t="str">
        <f t="shared" si="63"/>
        <v/>
      </c>
      <c r="AG149" s="165" t="e">
        <f t="shared" ca="1" si="64"/>
        <v>#VALUE!</v>
      </c>
    </row>
    <row r="150" spans="1:33" ht="15" customHeight="1">
      <c r="B150" s="171" t="b">
        <f>IF(TRIM(Magnification_1!A20)="",FALSE,TRUE)</f>
        <v>0</v>
      </c>
      <c r="C150" s="165" t="str">
        <f>IF($B150=FALSE,"",Magnification_1!A20)</f>
        <v/>
      </c>
      <c r="D150" s="165" t="str">
        <f>IF($B150=FALSE,"",Magnification_1!B20)</f>
        <v/>
      </c>
      <c r="E150" s="165" t="str">
        <f>IF($B150=FALSE,"",Magnification_1!C20)</f>
        <v/>
      </c>
      <c r="F150" s="165" t="str">
        <f>IF($B150=FALSE,"",Magnification_1!D20)</f>
        <v/>
      </c>
      <c r="G150" s="165" t="str">
        <f>IF($B150=FALSE,"",Magnification_1!E20)</f>
        <v/>
      </c>
      <c r="H150" s="165" t="str">
        <f>IF($B150=FALSE,"",Magnification_1!F20)</f>
        <v/>
      </c>
      <c r="I150" s="165" t="str">
        <f>IF($B150=FALSE,"",Magnification_1!Q20)</f>
        <v/>
      </c>
      <c r="J150" s="165" t="str">
        <f>IF($B150=FALSE,"",Magnification_1!R20)</f>
        <v/>
      </c>
      <c r="K150" s="165" t="str">
        <f>IF($B150=FALSE,"",Magnification_1!S20)</f>
        <v/>
      </c>
      <c r="L150" s="165" t="str">
        <f>IF($B150=FALSE,"",Magnification_1!T20)</f>
        <v/>
      </c>
      <c r="M150" s="165" t="str">
        <f>IF($B150=FALSE,"",Magnification_1!U20)</f>
        <v/>
      </c>
      <c r="N150" s="165" t="str">
        <f t="shared" si="49"/>
        <v/>
      </c>
      <c r="O150" s="175" t="str">
        <f t="shared" si="50"/>
        <v/>
      </c>
      <c r="P150" s="176" t="str">
        <f>IF($B150=FALSE,"",Magnification_1!D43)</f>
        <v/>
      </c>
      <c r="Q150" s="177" t="str">
        <f t="shared" si="51"/>
        <v/>
      </c>
      <c r="R150" s="179" t="str">
        <f t="shared" si="52"/>
        <v/>
      </c>
      <c r="S150" s="232" t="str">
        <f t="shared" si="53"/>
        <v/>
      </c>
      <c r="T150" s="180" t="str">
        <f t="shared" si="54"/>
        <v/>
      </c>
      <c r="U150" s="165" t="str">
        <f t="shared" si="55"/>
        <v/>
      </c>
      <c r="V150" s="165" t="str">
        <f t="shared" si="56"/>
        <v/>
      </c>
      <c r="W150" s="165" t="str">
        <f t="shared" si="57"/>
        <v/>
      </c>
      <c r="X150" s="122"/>
      <c r="Y150" s="165" t="str">
        <f>IF($B150=FALSE,"",ROUND(S150+(Magnification_1!N20-R150)/R150*S150,L$166))</f>
        <v/>
      </c>
      <c r="Z150" s="165" t="str">
        <f>IF($B150=FALSE,"",ROUND(S150+(Magnification_1!O20-R150)/R150*S150,L$166))</f>
        <v/>
      </c>
      <c r="AA150" s="165" t="str">
        <f t="shared" si="58"/>
        <v/>
      </c>
      <c r="AB150" s="168" t="e">
        <f t="shared" ca="1" si="59"/>
        <v>#N/A</v>
      </c>
      <c r="AC150" s="168" t="str">
        <f t="shared" ca="1" si="60"/>
        <v/>
      </c>
      <c r="AD150" s="165" t="str">
        <f t="shared" ca="1" si="61"/>
        <v/>
      </c>
      <c r="AE150" s="165" t="str">
        <f t="shared" si="62"/>
        <v/>
      </c>
      <c r="AF150" s="165" t="str">
        <f t="shared" si="63"/>
        <v/>
      </c>
      <c r="AG150" s="165" t="e">
        <f t="shared" ca="1" si="64"/>
        <v>#VALUE!</v>
      </c>
    </row>
    <row r="151" spans="1:33" ht="15" customHeight="1">
      <c r="B151" s="171" t="b">
        <f>IF(TRIM(Magnification_1!A21)="",FALSE,TRUE)</f>
        <v>0</v>
      </c>
      <c r="C151" s="165" t="str">
        <f>IF($B151=FALSE,"",Magnification_1!A21)</f>
        <v/>
      </c>
      <c r="D151" s="165" t="str">
        <f>IF($B151=FALSE,"",Magnification_1!B21)</f>
        <v/>
      </c>
      <c r="E151" s="165" t="str">
        <f>IF($B151=FALSE,"",Magnification_1!C21)</f>
        <v/>
      </c>
      <c r="F151" s="165" t="str">
        <f>IF($B151=FALSE,"",Magnification_1!D21)</f>
        <v/>
      </c>
      <c r="G151" s="165" t="str">
        <f>IF($B151=FALSE,"",Magnification_1!E21)</f>
        <v/>
      </c>
      <c r="H151" s="165" t="str">
        <f>IF($B151=FALSE,"",Magnification_1!F21)</f>
        <v/>
      </c>
      <c r="I151" s="165" t="str">
        <f>IF($B151=FALSE,"",Magnification_1!Q21)</f>
        <v/>
      </c>
      <c r="J151" s="165" t="str">
        <f>IF($B151=FALSE,"",Magnification_1!R21)</f>
        <v/>
      </c>
      <c r="K151" s="165" t="str">
        <f>IF($B151=FALSE,"",Magnification_1!S21)</f>
        <v/>
      </c>
      <c r="L151" s="165" t="str">
        <f>IF($B151=FALSE,"",Magnification_1!T21)</f>
        <v/>
      </c>
      <c r="M151" s="165" t="str">
        <f>IF($B151=FALSE,"",Magnification_1!U21)</f>
        <v/>
      </c>
      <c r="N151" s="165" t="str">
        <f t="shared" si="49"/>
        <v/>
      </c>
      <c r="O151" s="175" t="str">
        <f t="shared" si="50"/>
        <v/>
      </c>
      <c r="P151" s="176" t="str">
        <f>IF($B151=FALSE,"",Magnification_1!D44)</f>
        <v/>
      </c>
      <c r="Q151" s="177" t="str">
        <f t="shared" si="51"/>
        <v/>
      </c>
      <c r="R151" s="179" t="str">
        <f t="shared" si="52"/>
        <v/>
      </c>
      <c r="S151" s="232" t="str">
        <f t="shared" si="53"/>
        <v/>
      </c>
      <c r="T151" s="180" t="str">
        <f t="shared" si="54"/>
        <v/>
      </c>
      <c r="U151" s="165" t="str">
        <f t="shared" si="55"/>
        <v/>
      </c>
      <c r="V151" s="165" t="str">
        <f t="shared" si="56"/>
        <v/>
      </c>
      <c r="W151" s="165" t="str">
        <f t="shared" si="57"/>
        <v/>
      </c>
      <c r="X151" s="122"/>
      <c r="Y151" s="165" t="str">
        <f>IF($B151=FALSE,"",ROUND(S151+(Magnification_1!N21-R151)/R151*S151,L$166))</f>
        <v/>
      </c>
      <c r="Z151" s="165" t="str">
        <f>IF($B151=FALSE,"",ROUND(S151+(Magnification_1!O21-R151)/R151*S151,L$166))</f>
        <v/>
      </c>
      <c r="AA151" s="165" t="str">
        <f t="shared" si="58"/>
        <v/>
      </c>
      <c r="AB151" s="168" t="e">
        <f t="shared" ca="1" si="59"/>
        <v>#N/A</v>
      </c>
      <c r="AC151" s="168" t="str">
        <f t="shared" ca="1" si="60"/>
        <v/>
      </c>
      <c r="AD151" s="165" t="str">
        <f t="shared" ca="1" si="61"/>
        <v/>
      </c>
      <c r="AE151" s="165" t="str">
        <f t="shared" si="62"/>
        <v/>
      </c>
      <c r="AF151" s="165" t="str">
        <f t="shared" si="63"/>
        <v/>
      </c>
      <c r="AG151" s="165" t="e">
        <f t="shared" ca="1" si="64"/>
        <v>#VALUE!</v>
      </c>
    </row>
    <row r="152" spans="1:33" ht="15" customHeight="1">
      <c r="B152" s="171" t="b">
        <f>IF(TRIM(Magnification_1!A22)="",FALSE,TRUE)</f>
        <v>0</v>
      </c>
      <c r="C152" s="165" t="str">
        <f>IF($B152=FALSE,"",Magnification_1!A22)</f>
        <v/>
      </c>
      <c r="D152" s="165" t="str">
        <f>IF($B152=FALSE,"",Magnification_1!B22)</f>
        <v/>
      </c>
      <c r="E152" s="165" t="str">
        <f>IF($B152=FALSE,"",Magnification_1!C22)</f>
        <v/>
      </c>
      <c r="F152" s="165" t="str">
        <f>IF($B152=FALSE,"",Magnification_1!D22)</f>
        <v/>
      </c>
      <c r="G152" s="165" t="str">
        <f>IF($B152=FALSE,"",Magnification_1!E22)</f>
        <v/>
      </c>
      <c r="H152" s="165" t="str">
        <f>IF($B152=FALSE,"",Magnification_1!F22)</f>
        <v/>
      </c>
      <c r="I152" s="165" t="str">
        <f>IF($B152=FALSE,"",Magnification_1!Q22)</f>
        <v/>
      </c>
      <c r="J152" s="165" t="str">
        <f>IF($B152=FALSE,"",Magnification_1!R22)</f>
        <v/>
      </c>
      <c r="K152" s="165" t="str">
        <f>IF($B152=FALSE,"",Magnification_1!S22)</f>
        <v/>
      </c>
      <c r="L152" s="165" t="str">
        <f>IF($B152=FALSE,"",Magnification_1!T22)</f>
        <v/>
      </c>
      <c r="M152" s="165" t="str">
        <f>IF($B152=FALSE,"",Magnification_1!U22)</f>
        <v/>
      </c>
      <c r="N152" s="165" t="str">
        <f t="shared" si="49"/>
        <v/>
      </c>
      <c r="O152" s="175" t="str">
        <f t="shared" si="50"/>
        <v/>
      </c>
      <c r="P152" s="176" t="str">
        <f>IF($B152=FALSE,"",Magnification_1!D45)</f>
        <v/>
      </c>
      <c r="Q152" s="177" t="str">
        <f t="shared" si="51"/>
        <v/>
      </c>
      <c r="R152" s="179" t="str">
        <f t="shared" si="52"/>
        <v/>
      </c>
      <c r="S152" s="232" t="str">
        <f t="shared" si="53"/>
        <v/>
      </c>
      <c r="T152" s="180" t="str">
        <f t="shared" si="54"/>
        <v/>
      </c>
      <c r="U152" s="165" t="str">
        <f t="shared" si="55"/>
        <v/>
      </c>
      <c r="V152" s="165" t="str">
        <f t="shared" si="56"/>
        <v/>
      </c>
      <c r="W152" s="165" t="str">
        <f t="shared" si="57"/>
        <v/>
      </c>
      <c r="X152" s="122"/>
      <c r="Y152" s="165" t="str">
        <f>IF($B152=FALSE,"",ROUND(S152+(Magnification_1!N22-R152)/R152*S152,L$166))</f>
        <v/>
      </c>
      <c r="Z152" s="165" t="str">
        <f>IF($B152=FALSE,"",ROUND(S152+(Magnification_1!O22-R152)/R152*S152,L$166))</f>
        <v/>
      </c>
      <c r="AA152" s="165" t="str">
        <f t="shared" si="58"/>
        <v/>
      </c>
      <c r="AB152" s="168" t="e">
        <f t="shared" ca="1" si="59"/>
        <v>#N/A</v>
      </c>
      <c r="AC152" s="168" t="str">
        <f t="shared" ca="1" si="60"/>
        <v/>
      </c>
      <c r="AD152" s="165" t="str">
        <f t="shared" ca="1" si="61"/>
        <v/>
      </c>
      <c r="AE152" s="165" t="str">
        <f t="shared" si="62"/>
        <v/>
      </c>
      <c r="AF152" s="165" t="str">
        <f t="shared" si="63"/>
        <v/>
      </c>
      <c r="AG152" s="165" t="e">
        <f t="shared" ca="1" si="64"/>
        <v>#VALUE!</v>
      </c>
    </row>
    <row r="153" spans="1:33" ht="15" customHeight="1">
      <c r="B153" s="171" t="b">
        <f>IF(TRIM(Magnification_1!A23)="",FALSE,TRUE)</f>
        <v>0</v>
      </c>
      <c r="C153" s="165" t="str">
        <f>IF($B153=FALSE,"",Magnification_1!A23)</f>
        <v/>
      </c>
      <c r="D153" s="165" t="str">
        <f>IF($B153=FALSE,"",Magnification_1!B23)</f>
        <v/>
      </c>
      <c r="E153" s="165" t="str">
        <f>IF($B153=FALSE,"",Magnification_1!C23)</f>
        <v/>
      </c>
      <c r="F153" s="165" t="str">
        <f>IF($B153=FALSE,"",Magnification_1!D23)</f>
        <v/>
      </c>
      <c r="G153" s="165" t="str">
        <f>IF($B153=FALSE,"",Magnification_1!E23)</f>
        <v/>
      </c>
      <c r="H153" s="165" t="str">
        <f>IF($B153=FALSE,"",Magnification_1!F23)</f>
        <v/>
      </c>
      <c r="I153" s="165" t="str">
        <f>IF($B153=FALSE,"",Magnification_1!Q23)</f>
        <v/>
      </c>
      <c r="J153" s="165" t="str">
        <f>IF($B153=FALSE,"",Magnification_1!R23)</f>
        <v/>
      </c>
      <c r="K153" s="165" t="str">
        <f>IF($B153=FALSE,"",Magnification_1!S23)</f>
        <v/>
      </c>
      <c r="L153" s="165" t="str">
        <f>IF($B153=FALSE,"",Magnification_1!T23)</f>
        <v/>
      </c>
      <c r="M153" s="165" t="str">
        <f>IF($B153=FALSE,"",Magnification_1!U23)</f>
        <v/>
      </c>
      <c r="N153" s="165" t="str">
        <f t="shared" si="49"/>
        <v/>
      </c>
      <c r="O153" s="175" t="str">
        <f t="shared" si="50"/>
        <v/>
      </c>
      <c r="P153" s="176" t="str">
        <f>IF($B153=FALSE,"",Magnification_1!D46)</f>
        <v/>
      </c>
      <c r="Q153" s="177" t="str">
        <f t="shared" si="51"/>
        <v/>
      </c>
      <c r="R153" s="179" t="str">
        <f t="shared" si="52"/>
        <v/>
      </c>
      <c r="S153" s="232" t="str">
        <f t="shared" si="53"/>
        <v/>
      </c>
      <c r="T153" s="180" t="str">
        <f t="shared" si="54"/>
        <v/>
      </c>
      <c r="U153" s="165" t="str">
        <f t="shared" si="55"/>
        <v/>
      </c>
      <c r="V153" s="165" t="str">
        <f t="shared" si="56"/>
        <v/>
      </c>
      <c r="W153" s="165" t="str">
        <f t="shared" si="57"/>
        <v/>
      </c>
      <c r="X153" s="122"/>
      <c r="Y153" s="165" t="str">
        <f>IF($B153=FALSE,"",ROUND(S153+(Magnification_1!N23-R153)/R153*S153,L$166))</f>
        <v/>
      </c>
      <c r="Z153" s="165" t="str">
        <f>IF($B153=FALSE,"",ROUND(S153+(Magnification_1!O23-R153)/R153*S153,L$166))</f>
        <v/>
      </c>
      <c r="AA153" s="165" t="str">
        <f t="shared" si="58"/>
        <v/>
      </c>
      <c r="AB153" s="168" t="e">
        <f t="shared" ca="1" si="59"/>
        <v>#N/A</v>
      </c>
      <c r="AC153" s="168" t="str">
        <f t="shared" ca="1" si="60"/>
        <v/>
      </c>
      <c r="AD153" s="165" t="str">
        <f t="shared" ca="1" si="61"/>
        <v/>
      </c>
      <c r="AE153" s="165" t="str">
        <f t="shared" si="62"/>
        <v/>
      </c>
      <c r="AF153" s="165" t="str">
        <f t="shared" si="63"/>
        <v/>
      </c>
      <c r="AG153" s="165" t="e">
        <f t="shared" ca="1" si="64"/>
        <v>#VALUE!</v>
      </c>
    </row>
    <row r="154" spans="1:33" ht="15" customHeight="1">
      <c r="N154" s="118"/>
      <c r="O154" s="118"/>
      <c r="P154" s="118"/>
      <c r="Q154" s="118"/>
      <c r="R154" s="118"/>
      <c r="S154" s="118"/>
      <c r="T154" s="118"/>
      <c r="Y154" s="118"/>
    </row>
    <row r="155" spans="1:33" ht="15" customHeight="1">
      <c r="A155" s="116" t="s">
        <v>703</v>
      </c>
      <c r="C155" s="117"/>
      <c r="D155" s="117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A155" s="122"/>
      <c r="AB155" s="122"/>
    </row>
    <row r="156" spans="1:33" ht="15" customHeight="1">
      <c r="A156" s="116"/>
      <c r="B156" s="683"/>
      <c r="C156" s="683" t="s">
        <v>704</v>
      </c>
      <c r="D156" s="694" t="s">
        <v>705</v>
      </c>
      <c r="E156" s="683" t="s">
        <v>706</v>
      </c>
      <c r="F156" s="683" t="s">
        <v>707</v>
      </c>
      <c r="G156" s="666">
        <v>1</v>
      </c>
      <c r="H156" s="668"/>
      <c r="I156" s="668"/>
      <c r="J156" s="668"/>
      <c r="K156" s="668"/>
      <c r="L156" s="667"/>
      <c r="M156" s="328">
        <v>2</v>
      </c>
      <c r="N156" s="666">
        <v>3</v>
      </c>
      <c r="O156" s="668"/>
      <c r="P156" s="668"/>
      <c r="Q156" s="667"/>
      <c r="R156" s="325">
        <v>4</v>
      </c>
      <c r="S156" s="328">
        <v>5</v>
      </c>
      <c r="T156" s="683" t="s">
        <v>710</v>
      </c>
      <c r="U156" s="683" t="s">
        <v>711</v>
      </c>
      <c r="V156" s="328" t="s">
        <v>708</v>
      </c>
      <c r="W156" s="328" t="s">
        <v>709</v>
      </c>
      <c r="X156" s="122"/>
      <c r="Y156" s="122"/>
      <c r="Z156" s="122"/>
    </row>
    <row r="157" spans="1:33" ht="15" customHeight="1">
      <c r="A157" s="116"/>
      <c r="B157" s="688"/>
      <c r="C157" s="688"/>
      <c r="D157" s="695"/>
      <c r="E157" s="688"/>
      <c r="F157" s="688"/>
      <c r="G157" s="325" t="s">
        <v>704</v>
      </c>
      <c r="H157" s="325" t="s">
        <v>712</v>
      </c>
      <c r="I157" s="328" t="s">
        <v>713</v>
      </c>
      <c r="J157" s="328" t="s">
        <v>714</v>
      </c>
      <c r="K157" s="666" t="s">
        <v>715</v>
      </c>
      <c r="L157" s="667"/>
      <c r="M157" s="328" t="s">
        <v>716</v>
      </c>
      <c r="N157" s="666" t="s">
        <v>717</v>
      </c>
      <c r="O157" s="667"/>
      <c r="P157" s="666" t="s">
        <v>718</v>
      </c>
      <c r="Q157" s="667"/>
      <c r="R157" s="325" t="s">
        <v>719</v>
      </c>
      <c r="S157" s="328" t="s">
        <v>720</v>
      </c>
      <c r="T157" s="687"/>
      <c r="U157" s="684"/>
      <c r="V157" s="328" t="s">
        <v>716</v>
      </c>
      <c r="W157" s="328" t="s">
        <v>721</v>
      </c>
      <c r="X157" s="122"/>
      <c r="Y157" s="122"/>
      <c r="Z157" s="122"/>
    </row>
    <row r="158" spans="1:33" ht="15" customHeight="1">
      <c r="B158" s="328" t="s">
        <v>722</v>
      </c>
      <c r="C158" s="181" t="s">
        <v>723</v>
      </c>
      <c r="D158" s="182" t="s">
        <v>724</v>
      </c>
      <c r="E158" s="165" t="e">
        <f ca="1">OFFSET(P$133,MATCH(E128,S$134:S$153,0),0)</f>
        <v>#N/A</v>
      </c>
      <c r="F158" s="183" t="s">
        <v>725</v>
      </c>
      <c r="G158" s="165" t="e">
        <f ca="1">OFFSET(Magnification_1!F26,MATCH(E128,S134:S153,0),0)</f>
        <v>#N/A</v>
      </c>
      <c r="H158" s="165" t="e">
        <f ca="1">OFFSET(Magnification_1!G26,MATCH(E128,S134:S153,0),0)</f>
        <v>#N/A</v>
      </c>
      <c r="I158" s="165" t="e">
        <f ca="1">OFFSET(Magnification_1!J26,MATCH(E128,S134:S153,0),0)</f>
        <v>#N/A</v>
      </c>
      <c r="J158" s="165" t="e">
        <f ca="1">OFFSET(Magnification_1!I26,MATCH(E128,S134:S153,0),0)</f>
        <v>#N/A</v>
      </c>
      <c r="K158" s="262" t="e">
        <f ca="1">SQRT(SUMSQ(G158,H158*E128/IF(I158="L=m",1000,1)))/J158/1000</f>
        <v>#N/A</v>
      </c>
      <c r="L158" s="167" t="s">
        <v>725</v>
      </c>
      <c r="M158" s="184" t="s">
        <v>726</v>
      </c>
      <c r="N158" s="165" t="e">
        <f ca="1">E159</f>
        <v>#N/A</v>
      </c>
      <c r="O158" s="165" t="e">
        <f ca="1">E158</f>
        <v>#N/A</v>
      </c>
      <c r="P158" s="262" t="e">
        <f ca="1">(-N158/(O158^2*O159))</f>
        <v>#N/A</v>
      </c>
      <c r="Q158" s="165" t="s">
        <v>727</v>
      </c>
      <c r="R158" s="280" t="e">
        <f ca="1">ABS(K158*P158)</f>
        <v>#N/A</v>
      </c>
      <c r="S158" s="165" t="s">
        <v>728</v>
      </c>
      <c r="T158" s="282" t="e">
        <f ca="1">R158</f>
        <v>#N/A</v>
      </c>
      <c r="U158" s="189">
        <f>IF(S158="∞",0,T158^4/S158)</f>
        <v>0</v>
      </c>
      <c r="V158" s="281" t="str">
        <f>IF(OR(M158="직사각형",M158="삼각형"),T158,"")</f>
        <v/>
      </c>
      <c r="W158" s="281" t="e">
        <f ca="1">IF(OR(M158="직사각형",M158="삼각형"),"",T158)</f>
        <v>#N/A</v>
      </c>
      <c r="X158" s="122"/>
      <c r="Y158" s="122"/>
      <c r="Z158" s="122"/>
    </row>
    <row r="159" spans="1:33" ht="15" customHeight="1">
      <c r="B159" s="328" t="s">
        <v>729</v>
      </c>
      <c r="C159" s="181" t="s">
        <v>730</v>
      </c>
      <c r="D159" s="182" t="s">
        <v>731</v>
      </c>
      <c r="E159" s="165" t="e">
        <f ca="1">OFFSET(Q$133,MATCH(E128,S$134:S$153,0),0)</f>
        <v>#N/A</v>
      </c>
      <c r="F159" s="183" t="s">
        <v>732</v>
      </c>
      <c r="G159" s="165"/>
      <c r="H159" s="265">
        <f>IF(MAX(O134:O153)=0,H160,MAX(O134:O153))</f>
        <v>0</v>
      </c>
      <c r="I159" s="166"/>
      <c r="J159" s="186">
        <v>5</v>
      </c>
      <c r="K159" s="262">
        <f t="shared" ref="K159:K161" si="65">H159/(IF(I159="",1,I159)*SQRT(J159))</f>
        <v>0</v>
      </c>
      <c r="L159" s="167" t="s">
        <v>732</v>
      </c>
      <c r="M159" s="184" t="s">
        <v>733</v>
      </c>
      <c r="N159" s="165" t="e">
        <f ca="1">O158</f>
        <v>#N/A</v>
      </c>
      <c r="O159" s="165" t="e">
        <f ca="1">F128</f>
        <v>#N/A</v>
      </c>
      <c r="P159" s="262" t="e">
        <f ca="1">1/(N159*O159)</f>
        <v>#N/A</v>
      </c>
      <c r="Q159" s="165" t="s">
        <v>727</v>
      </c>
      <c r="R159" s="280" t="e">
        <f ca="1">ABS(K159*P159)</f>
        <v>#N/A</v>
      </c>
      <c r="S159" s="165">
        <v>4</v>
      </c>
      <c r="T159" s="282" t="e">
        <f ca="1">R159</f>
        <v>#N/A</v>
      </c>
      <c r="U159" s="189" t="e">
        <f ca="1">IF(S159="∞",0,T159^4/S159)</f>
        <v>#N/A</v>
      </c>
      <c r="V159" s="281" t="str">
        <f>IF(OR(M159="직사각형",M159="삼각형"),T159,"")</f>
        <v/>
      </c>
      <c r="W159" s="281" t="e">
        <f ca="1">IF(OR(M159="직사각형",M159="삼각형"),"",T159)</f>
        <v>#N/A</v>
      </c>
      <c r="X159" s="122"/>
      <c r="Y159" s="122"/>
      <c r="Z159" s="122"/>
    </row>
    <row r="160" spans="1:33" ht="15" customHeight="1">
      <c r="B160" s="328" t="s">
        <v>734</v>
      </c>
      <c r="C160" s="181" t="s">
        <v>735</v>
      </c>
      <c r="D160" s="182" t="s">
        <v>1274</v>
      </c>
      <c r="E160" s="165">
        <v>0</v>
      </c>
      <c r="F160" s="183" t="s">
        <v>732</v>
      </c>
      <c r="G160" s="222"/>
      <c r="H160" s="165">
        <f>G128</f>
        <v>0</v>
      </c>
      <c r="I160" s="165">
        <v>2</v>
      </c>
      <c r="J160" s="186">
        <v>3</v>
      </c>
      <c r="K160" s="262">
        <f t="shared" si="65"/>
        <v>0</v>
      </c>
      <c r="L160" s="167" t="s">
        <v>698</v>
      </c>
      <c r="M160" s="184" t="s">
        <v>736</v>
      </c>
      <c r="N160" s="165" t="e">
        <f ca="1">N159</f>
        <v>#N/A</v>
      </c>
      <c r="O160" s="165" t="e">
        <f ca="1">O159</f>
        <v>#N/A</v>
      </c>
      <c r="P160" s="262" t="e">
        <f ca="1">1/(N160*O160)</f>
        <v>#N/A</v>
      </c>
      <c r="Q160" s="165" t="s">
        <v>737</v>
      </c>
      <c r="R160" s="280" t="e">
        <f ca="1">ABS(K160*P160)</f>
        <v>#N/A</v>
      </c>
      <c r="S160" s="165" t="s">
        <v>258</v>
      </c>
      <c r="T160" s="282" t="e">
        <f ca="1">R160</f>
        <v>#N/A</v>
      </c>
      <c r="U160" s="189">
        <f>IF(S160="∞",0,T160^4/S160)</f>
        <v>0</v>
      </c>
      <c r="V160" s="281" t="e">
        <f ca="1">IF(OR(M160="직사각형",M160="삼각형"),T160,"")</f>
        <v>#N/A</v>
      </c>
      <c r="W160" s="281" t="str">
        <f>IF(OR(M160="직사각형",M160="삼각형"),"",T160)</f>
        <v/>
      </c>
      <c r="X160" s="122"/>
      <c r="Y160" s="122"/>
      <c r="Z160" s="122"/>
    </row>
    <row r="161" spans="2:29" ht="15" customHeight="1">
      <c r="B161" s="328" t="s">
        <v>738</v>
      </c>
      <c r="C161" s="181" t="s">
        <v>739</v>
      </c>
      <c r="D161" s="182" t="s">
        <v>1278</v>
      </c>
      <c r="E161" s="165">
        <v>0</v>
      </c>
      <c r="F161" s="183" t="s">
        <v>732</v>
      </c>
      <c r="G161" s="165">
        <v>20</v>
      </c>
      <c r="H161" s="165" t="e">
        <f ca="1">G161*G161/(G161*F128)/1000</f>
        <v>#N/A</v>
      </c>
      <c r="I161" s="165">
        <v>2</v>
      </c>
      <c r="J161" s="186">
        <v>3</v>
      </c>
      <c r="K161" s="262" t="e">
        <f t="shared" ca="1" si="65"/>
        <v>#N/A</v>
      </c>
      <c r="L161" s="167" t="s">
        <v>698</v>
      </c>
      <c r="M161" s="184" t="s">
        <v>708</v>
      </c>
      <c r="N161" s="165" t="e">
        <f ca="1">N160</f>
        <v>#N/A</v>
      </c>
      <c r="O161" s="165" t="e">
        <f ca="1">O160</f>
        <v>#N/A</v>
      </c>
      <c r="P161" s="262" t="e">
        <f ca="1">1/(N161*O161)</f>
        <v>#N/A</v>
      </c>
      <c r="Q161" s="165" t="s">
        <v>737</v>
      </c>
      <c r="R161" s="280" t="e">
        <f ca="1">ABS(K161*P161)</f>
        <v>#N/A</v>
      </c>
      <c r="S161" s="165">
        <v>12</v>
      </c>
      <c r="T161" s="282" t="e">
        <f ca="1">R161</f>
        <v>#N/A</v>
      </c>
      <c r="U161" s="189" t="e">
        <f ca="1">IF(S161="∞",0,T161^4/S161)</f>
        <v>#N/A</v>
      </c>
      <c r="V161" s="281" t="e">
        <f ca="1">IF(OR(M161="직사각형",M161="삼각형"),T161,"")</f>
        <v>#N/A</v>
      </c>
      <c r="W161" s="281" t="str">
        <f>IF(OR(M161="직사각형",M161="삼각형"),"",T161)</f>
        <v/>
      </c>
      <c r="X161" s="122"/>
      <c r="Y161" s="122"/>
      <c r="Z161" s="122"/>
    </row>
    <row r="162" spans="2:29" ht="15" customHeight="1">
      <c r="B162" s="328" t="s">
        <v>740</v>
      </c>
      <c r="C162" s="181" t="s">
        <v>741</v>
      </c>
      <c r="D162" s="182" t="s">
        <v>690</v>
      </c>
      <c r="E162" s="329" t="e">
        <f ca="1">OFFSET(T$133,MATCH(E128,S$134:S$153,0),0)</f>
        <v>#N/A</v>
      </c>
      <c r="F162" s="183" t="s">
        <v>742</v>
      </c>
      <c r="G162" s="216"/>
      <c r="H162" s="217"/>
      <c r="I162" s="216"/>
      <c r="J162" s="216"/>
      <c r="K162" s="216"/>
      <c r="L162" s="216"/>
      <c r="M162" s="216"/>
      <c r="N162" s="216"/>
      <c r="O162" s="216"/>
      <c r="P162" s="216"/>
      <c r="Q162" s="218"/>
      <c r="R162" s="283" t="e">
        <f ca="1">SQRT(SUMSQ(R158:R161))</f>
        <v>#N/A</v>
      </c>
      <c r="S162" s="179" t="e">
        <f ca="1">IF(SUM(U158:U161)=0,"∞",ROUNDDOWN(T162^4/SUM(U158:U161),0))</f>
        <v>#N/A</v>
      </c>
      <c r="T162" s="284" t="e">
        <f ca="1">R162</f>
        <v>#N/A</v>
      </c>
      <c r="U162" s="394" t="e">
        <f ca="1">SUM(U158:U161)</f>
        <v>#N/A</v>
      </c>
      <c r="V162" s="284" t="e">
        <f ca="1">SQRT(SUMSQ(V158:V161))</f>
        <v>#N/A</v>
      </c>
      <c r="W162" s="284" t="e">
        <f ca="1">SQRT(SUMSQ(W158:W161))</f>
        <v>#N/A</v>
      </c>
      <c r="X162" s="122"/>
      <c r="Y162" s="122"/>
      <c r="Z162" s="122"/>
    </row>
    <row r="163" spans="2:29" ht="15" customHeight="1">
      <c r="L163" s="122"/>
      <c r="U163" s="122"/>
      <c r="V163" s="122"/>
      <c r="W163" s="122"/>
      <c r="X163" s="122"/>
      <c r="Y163" s="122"/>
      <c r="AC163" s="122"/>
    </row>
    <row r="164" spans="2:29" ht="15" customHeight="1">
      <c r="B164" s="694"/>
      <c r="C164" s="666" t="s">
        <v>746</v>
      </c>
      <c r="D164" s="668"/>
      <c r="E164" s="668"/>
      <c r="F164" s="668"/>
      <c r="G164" s="667"/>
      <c r="H164" s="683" t="s">
        <v>747</v>
      </c>
      <c r="I164" s="683" t="s">
        <v>748</v>
      </c>
      <c r="J164" s="666" t="s">
        <v>749</v>
      </c>
      <c r="K164" s="668"/>
      <c r="L164" s="668"/>
      <c r="M164" s="667"/>
      <c r="N164" s="683" t="s">
        <v>750</v>
      </c>
      <c r="O164" s="666" t="s">
        <v>751</v>
      </c>
      <c r="P164" s="668"/>
      <c r="Q164" s="668"/>
      <c r="R164" s="683" t="s">
        <v>1269</v>
      </c>
      <c r="S164" s="666" t="s">
        <v>1270</v>
      </c>
      <c r="T164" s="667"/>
      <c r="U164" s="119"/>
    </row>
    <row r="165" spans="2:29" ht="15" customHeight="1">
      <c r="B165" s="695"/>
      <c r="C165" s="393">
        <v>1</v>
      </c>
      <c r="D165" s="393">
        <v>2</v>
      </c>
      <c r="E165" s="393" t="s">
        <v>239</v>
      </c>
      <c r="F165" s="393" t="s">
        <v>103</v>
      </c>
      <c r="G165" s="393" t="s">
        <v>1273</v>
      </c>
      <c r="H165" s="688"/>
      <c r="I165" s="706"/>
      <c r="J165" s="328" t="s">
        <v>692</v>
      </c>
      <c r="K165" s="328" t="s">
        <v>664</v>
      </c>
      <c r="L165" s="328" t="s">
        <v>753</v>
      </c>
      <c r="M165" s="393"/>
      <c r="N165" s="688"/>
      <c r="O165" s="328" t="s">
        <v>774</v>
      </c>
      <c r="P165" s="335" t="s">
        <v>775</v>
      </c>
      <c r="Q165" s="328" t="s">
        <v>754</v>
      </c>
      <c r="R165" s="688"/>
      <c r="S165" s="398" t="s">
        <v>1301</v>
      </c>
      <c r="T165" s="398" t="s">
        <v>1300</v>
      </c>
      <c r="U165" s="119"/>
    </row>
    <row r="166" spans="2:29" ht="15" customHeight="1">
      <c r="B166" s="330" t="s">
        <v>746</v>
      </c>
      <c r="C166" s="285" t="e">
        <f ca="1">R162*E177</f>
        <v>#N/A</v>
      </c>
      <c r="D166" s="285"/>
      <c r="E166" s="285"/>
      <c r="F166" s="285"/>
      <c r="G166" s="312" t="e">
        <f ca="1">C166*100</f>
        <v>#N/A</v>
      </c>
      <c r="H166" s="286" t="e">
        <f ca="1">MAX(G166:G167)</f>
        <v>#N/A</v>
      </c>
      <c r="I166" s="123">
        <f>G128</f>
        <v>0</v>
      </c>
      <c r="J166" s="123" t="e">
        <f ca="1">MAX(IF(H166&lt;0.00001,6,IF(H166&lt;0.0001,5,IF(H166&lt;0.001,4,IF(H166&lt;0.01,3,IF(H166&lt;0.1,2,IF(H166&lt;1,1,IF(H166&lt;10,0,IF(H166&lt;100,-1,-2)))))))),0)+1</f>
        <v>#N/A</v>
      </c>
      <c r="K166" s="123">
        <f>MAX(IF(I166&lt;0.00001,6,IF(I166&lt;0.0001,5,IF(I166&lt;0.001,4,IF(I166&lt;0.01,3,IF(I166&lt;0.1,2,IF(I166&lt;1,1,IF(I166&lt;10,0,IF(I166&lt;100,-1,-2)))))))),0)</f>
        <v>6</v>
      </c>
      <c r="L166" s="333">
        <v>3</v>
      </c>
      <c r="M166" s="155"/>
      <c r="N166" s="155" t="e">
        <f ca="1">ABS((H166-ROUND(H166,J166))/H166*100)</f>
        <v>#N/A</v>
      </c>
      <c r="O166" s="165" t="e">
        <f ca="1">OFFSET(P170,MATCH(J166,O171:O180,0),0)</f>
        <v>#N/A</v>
      </c>
      <c r="P166" s="165" t="str">
        <f ca="1">OFFSET(P170,MATCH(L166,O171:O180,0),0)</f>
        <v>0.000</v>
      </c>
      <c r="Q166" s="165" t="str">
        <f ca="1">OFFSET(P170,MATCH(K166,O171:O180,0),0)</f>
        <v>0.000 000</v>
      </c>
      <c r="R166" s="127">
        <f ca="1">IFERROR(IF(G166=H166,0,1),0)</f>
        <v>0</v>
      </c>
      <c r="S166" s="132" t="e">
        <f ca="1">IF(N166&gt;5,ROUNDUP(H166,J166),ROUND(H166,J166))</f>
        <v>#N/A</v>
      </c>
      <c r="T166" s="132" t="e">
        <f ca="1">TEXT(S166,O166)</f>
        <v>#N/A</v>
      </c>
      <c r="U166" s="119"/>
    </row>
    <row r="167" spans="2:29" ht="15" customHeight="1">
      <c r="B167" s="330" t="s">
        <v>63</v>
      </c>
      <c r="C167" s="287" t="e">
        <f ca="1">$J$128</f>
        <v>#N/A</v>
      </c>
      <c r="D167" s="287"/>
      <c r="E167" s="287"/>
      <c r="F167" s="287"/>
      <c r="G167" s="312" t="e">
        <f ca="1">C167*100</f>
        <v>#N/A</v>
      </c>
      <c r="J167" s="389" t="s">
        <v>1259</v>
      </c>
      <c r="K167" s="390">
        <f>IF(O167=TRUE,1,기본정보!$A$47)</f>
        <v>1</v>
      </c>
      <c r="L167" s="389" t="s">
        <v>1260</v>
      </c>
      <c r="M167" s="390" t="b">
        <f>IF(O167=TRUE,FALSE,기본정보!$A$52)</f>
        <v>0</v>
      </c>
      <c r="N167" s="389" t="s">
        <v>1261</v>
      </c>
      <c r="O167" s="390" t="b">
        <f>기본정보!$A$46=0</f>
        <v>1</v>
      </c>
      <c r="P167" s="119"/>
      <c r="Q167" s="119"/>
      <c r="R167" s="119"/>
      <c r="S167" s="119"/>
      <c r="T167" s="119"/>
      <c r="U167" s="119"/>
    </row>
    <row r="168" spans="2:29" ht="15" customHeight="1">
      <c r="B168" s="120"/>
      <c r="C168" s="120"/>
      <c r="D168" s="120"/>
      <c r="Q168" s="119"/>
      <c r="R168" s="119"/>
      <c r="S168" s="119"/>
      <c r="T168" s="119"/>
      <c r="U168" s="119"/>
      <c r="V168" s="122"/>
    </row>
    <row r="169" spans="2:29" ht="15" customHeight="1">
      <c r="B169" s="128" t="s">
        <v>743</v>
      </c>
      <c r="C169" s="120"/>
      <c r="D169" s="120"/>
      <c r="I169" s="181" t="s">
        <v>53</v>
      </c>
      <c r="J169" s="181" t="s">
        <v>758</v>
      </c>
      <c r="M169" s="119"/>
      <c r="N169" s="119"/>
      <c r="O169" s="326" t="s">
        <v>759</v>
      </c>
      <c r="P169" s="326" t="s">
        <v>760</v>
      </c>
      <c r="Q169" s="119"/>
      <c r="R169" s="122"/>
      <c r="S169" s="119"/>
      <c r="T169" s="119"/>
      <c r="U169" s="119"/>
    </row>
    <row r="170" spans="2:29" ht="15" customHeight="1">
      <c r="B170" s="660" t="s">
        <v>1266</v>
      </c>
      <c r="C170" s="662"/>
      <c r="D170" s="683" t="s">
        <v>1271</v>
      </c>
      <c r="E170" s="392" t="s">
        <v>189</v>
      </c>
      <c r="F170" s="392" t="s">
        <v>290</v>
      </c>
      <c r="G170" s="392" t="s">
        <v>1272</v>
      </c>
      <c r="I170" s="181"/>
      <c r="J170" s="181">
        <v>95.45</v>
      </c>
      <c r="M170" s="119"/>
      <c r="N170" s="119"/>
      <c r="O170" s="327" t="s">
        <v>761</v>
      </c>
      <c r="P170" s="327" t="s">
        <v>762</v>
      </c>
      <c r="Q170" s="119"/>
      <c r="R170" s="122"/>
      <c r="S170" s="119"/>
      <c r="T170" s="119"/>
      <c r="U170" s="119"/>
    </row>
    <row r="171" spans="2:29" ht="15" customHeight="1">
      <c r="B171" s="393" t="s">
        <v>1267</v>
      </c>
      <c r="C171" s="395" t="s">
        <v>1268</v>
      </c>
      <c r="D171" s="688"/>
      <c r="E171" s="391" t="e">
        <f ca="1">V162</f>
        <v>#N/A</v>
      </c>
      <c r="F171" s="391" t="e">
        <f ca="1">W162</f>
        <v>#N/A</v>
      </c>
      <c r="G171" s="233" t="e">
        <f ca="1">F171/E171</f>
        <v>#N/A</v>
      </c>
      <c r="I171" s="165">
        <v>1</v>
      </c>
      <c r="J171" s="165">
        <v>13.97</v>
      </c>
      <c r="M171" s="119"/>
      <c r="N171" s="119"/>
      <c r="O171" s="190">
        <v>0</v>
      </c>
      <c r="P171" s="191" t="s">
        <v>763</v>
      </c>
      <c r="Q171" s="119"/>
      <c r="R171" s="122"/>
      <c r="S171" s="119"/>
      <c r="T171" s="119"/>
      <c r="U171" s="119"/>
    </row>
    <row r="172" spans="2:29" ht="15" customHeight="1">
      <c r="B172" s="165">
        <v>1</v>
      </c>
      <c r="C172" s="185">
        <f ca="1">IFERROR(LARGE(V158:V161,B172),0)</f>
        <v>0</v>
      </c>
      <c r="D172" s="328" t="s">
        <v>745</v>
      </c>
      <c r="E172" s="691">
        <f ca="1">SQRT(SUMSQ(C174:C179,D172:D173))</f>
        <v>0</v>
      </c>
      <c r="F172" s="691"/>
      <c r="G172" s="692" t="e">
        <f ca="1">E172/SQRT(SUMSQ(E173,F173))</f>
        <v>#DIV/0!</v>
      </c>
      <c r="H172" s="119"/>
      <c r="I172" s="165">
        <v>2</v>
      </c>
      <c r="J172" s="165">
        <v>4.53</v>
      </c>
      <c r="O172" s="190">
        <v>1</v>
      </c>
      <c r="P172" s="191" t="s">
        <v>764</v>
      </c>
      <c r="Q172" s="119"/>
      <c r="R172" s="119"/>
      <c r="S172" s="119"/>
      <c r="T172" s="119"/>
      <c r="U172" s="119"/>
      <c r="V172" s="122"/>
    </row>
    <row r="173" spans="2:29" ht="15" customHeight="1">
      <c r="B173" s="165">
        <v>2</v>
      </c>
      <c r="C173" s="185">
        <f ca="1">IFERROR(LARGE(V158:V161,B173),0)</f>
        <v>0</v>
      </c>
      <c r="D173" s="328" t="s">
        <v>752</v>
      </c>
      <c r="E173" s="329">
        <f ca="1">C172</f>
        <v>0</v>
      </c>
      <c r="F173" s="329">
        <f ca="1">C173</f>
        <v>0</v>
      </c>
      <c r="G173" s="693"/>
      <c r="H173" s="119"/>
      <c r="I173" s="165">
        <v>3</v>
      </c>
      <c r="J173" s="165">
        <v>3.31</v>
      </c>
      <c r="O173" s="190">
        <v>2</v>
      </c>
      <c r="P173" s="191" t="s">
        <v>765</v>
      </c>
      <c r="Q173" s="119"/>
      <c r="R173" s="119"/>
      <c r="S173" s="119"/>
      <c r="T173" s="119"/>
      <c r="U173" s="119"/>
      <c r="V173" s="122"/>
    </row>
    <row r="174" spans="2:29" ht="15" customHeight="1">
      <c r="B174" s="165">
        <v>3</v>
      </c>
      <c r="C174" s="185">
        <f ca="1">IFERROR(LARGE(V158:V161,B174),0)</f>
        <v>0</v>
      </c>
      <c r="D174" s="683" t="s">
        <v>744</v>
      </c>
      <c r="E174" s="164" t="s">
        <v>755</v>
      </c>
      <c r="F174" s="164" t="s">
        <v>756</v>
      </c>
      <c r="G174" s="164" t="s">
        <v>757</v>
      </c>
      <c r="H174" s="119"/>
      <c r="I174" s="165">
        <v>4</v>
      </c>
      <c r="J174" s="165">
        <v>2.87</v>
      </c>
      <c r="O174" s="190">
        <v>3</v>
      </c>
      <c r="P174" s="191" t="s">
        <v>766</v>
      </c>
      <c r="Q174" s="119"/>
      <c r="R174" s="119"/>
      <c r="S174" s="119"/>
      <c r="T174" s="119"/>
      <c r="U174" s="119"/>
      <c r="V174" s="122"/>
    </row>
    <row r="175" spans="2:29" ht="15" customHeight="1">
      <c r="B175" s="165">
        <v>4</v>
      </c>
      <c r="C175" s="185">
        <f ca="1">IFERROR(LARGE(V158:V161,B175),0)</f>
        <v>0</v>
      </c>
      <c r="D175" s="688"/>
      <c r="E175" s="165" t="e">
        <f ca="1">OFFSET(H157,MATCH(E173,V158:V161,0),0)/IF(OFFSET(I157,MATCH(E173,V158:V161,0),0)="",1,OFFSET(I157,MATCH(E173,V158:V161,0),0))</f>
        <v>#N/A</v>
      </c>
      <c r="F175" s="165" t="e">
        <f ca="1">OFFSET(H157,MATCH(F173,V158:V161,0),0)/IF(OFFSET(I157,MATCH(F173,V158:V161,0),0)="",1,OFFSET(I157,MATCH(F173,V158:V161,0),0))</f>
        <v>#N/A</v>
      </c>
      <c r="G175" s="329" t="e">
        <f ca="1">ABS(E175-F175)/(E175+F175)</f>
        <v>#N/A</v>
      </c>
      <c r="H175" s="119"/>
      <c r="I175" s="165">
        <v>5</v>
      </c>
      <c r="J175" s="165">
        <v>2.65</v>
      </c>
      <c r="O175" s="190">
        <v>4</v>
      </c>
      <c r="P175" s="191" t="s">
        <v>767</v>
      </c>
      <c r="Q175" s="119"/>
      <c r="R175" s="119"/>
      <c r="S175" s="119"/>
      <c r="T175" s="119"/>
      <c r="U175" s="119"/>
      <c r="V175" s="122"/>
    </row>
    <row r="176" spans="2:29" ht="15" customHeight="1">
      <c r="B176" s="165"/>
      <c r="C176" s="185"/>
      <c r="D176" s="328" t="s">
        <v>716</v>
      </c>
      <c r="E176" s="154" t="e">
        <f ca="1">IF(AND(G171&lt;0.3,G172&lt;0.3),"사다리꼴","정규")</f>
        <v>#N/A</v>
      </c>
      <c r="H176" s="119"/>
      <c r="I176" s="165">
        <v>6</v>
      </c>
      <c r="J176" s="165">
        <v>2.52</v>
      </c>
      <c r="O176" s="190">
        <v>5</v>
      </c>
      <c r="P176" s="191" t="s">
        <v>768</v>
      </c>
      <c r="Q176" s="119"/>
      <c r="R176" s="119"/>
      <c r="S176" s="119"/>
      <c r="T176" s="119"/>
      <c r="U176" s="119"/>
      <c r="V176" s="122"/>
    </row>
    <row r="177" spans="1:61" ht="15" customHeight="1">
      <c r="B177" s="165"/>
      <c r="C177" s="185"/>
      <c r="D177" s="328" t="s">
        <v>198</v>
      </c>
      <c r="E177" s="165" t="e">
        <f ca="1">IF(E176="정규",IF(OR(S162="∞",S162&gt;=10),2,OFFSET(J170,MATCH(S162,I171:I180,0),0)),ROUND((1-SQRT((1-0.95)*(1-G175^2)))/SQRT((1+G175^2)/6),2))</f>
        <v>#N/A</v>
      </c>
      <c r="H177" s="119"/>
      <c r="I177" s="165">
        <v>7</v>
      </c>
      <c r="J177" s="165">
        <v>2.4300000000000002</v>
      </c>
      <c r="O177" s="190">
        <v>6</v>
      </c>
      <c r="P177" s="191" t="s">
        <v>769</v>
      </c>
      <c r="Q177" s="119"/>
      <c r="R177" s="119"/>
      <c r="S177" s="119"/>
      <c r="T177" s="119"/>
      <c r="U177" s="119"/>
      <c r="V177" s="122"/>
    </row>
    <row r="178" spans="1:61" ht="15" customHeight="1">
      <c r="B178" s="165"/>
      <c r="C178" s="185"/>
      <c r="E178" s="121"/>
      <c r="H178" s="119"/>
      <c r="I178" s="165">
        <v>8</v>
      </c>
      <c r="J178" s="165">
        <v>2.37</v>
      </c>
      <c r="O178" s="190">
        <v>7</v>
      </c>
      <c r="P178" s="191" t="s">
        <v>770</v>
      </c>
      <c r="Q178" s="119"/>
      <c r="R178" s="119"/>
      <c r="S178" s="119"/>
      <c r="T178" s="119"/>
      <c r="U178" s="119"/>
      <c r="V178" s="122"/>
    </row>
    <row r="179" spans="1:61" ht="15" customHeight="1">
      <c r="B179" s="165"/>
      <c r="C179" s="185"/>
      <c r="E179" s="121"/>
      <c r="I179" s="165">
        <v>9</v>
      </c>
      <c r="J179" s="165">
        <v>2.3199999999999998</v>
      </c>
      <c r="O179" s="190">
        <v>8</v>
      </c>
      <c r="P179" s="191" t="s">
        <v>771</v>
      </c>
      <c r="Q179" s="119"/>
      <c r="R179" s="119"/>
      <c r="S179" s="119"/>
      <c r="T179" s="119"/>
      <c r="U179" s="119"/>
      <c r="V179" s="122"/>
    </row>
    <row r="180" spans="1:61" ht="15" customHeight="1">
      <c r="B180" s="120"/>
      <c r="C180" s="120"/>
      <c r="E180" s="121"/>
      <c r="I180" s="165" t="s">
        <v>54</v>
      </c>
      <c r="J180" s="165">
        <v>2</v>
      </c>
      <c r="O180" s="190">
        <v>9</v>
      </c>
      <c r="P180" s="191" t="s">
        <v>772</v>
      </c>
      <c r="Q180" s="119"/>
      <c r="R180" s="119"/>
      <c r="S180" s="119"/>
      <c r="T180" s="119"/>
      <c r="U180" s="119"/>
      <c r="V180" s="122"/>
    </row>
    <row r="181" spans="1:61" ht="15" customHeight="1">
      <c r="B181" s="120"/>
      <c r="C181" s="120"/>
      <c r="D181" s="120"/>
      <c r="Q181" s="119"/>
      <c r="R181" s="119"/>
      <c r="S181" s="119"/>
      <c r="T181" s="119"/>
      <c r="U181" s="119"/>
      <c r="V181" s="122"/>
    </row>
    <row r="182" spans="1:61" ht="18" customHeight="1">
      <c r="A182" s="241" t="s">
        <v>336</v>
      </c>
    </row>
    <row r="183" spans="1:61" ht="15" customHeight="1">
      <c r="A183" s="116" t="s">
        <v>365</v>
      </c>
      <c r="B183" s="117"/>
      <c r="C183" s="117"/>
      <c r="D183" s="117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</row>
    <row r="184" spans="1:61" ht="13.5">
      <c r="B184" s="268" t="s">
        <v>143</v>
      </c>
      <c r="C184" s="268" t="s">
        <v>366</v>
      </c>
      <c r="D184" s="268" t="s">
        <v>204</v>
      </c>
      <c r="E184" s="268" t="s">
        <v>367</v>
      </c>
      <c r="F184" s="268" t="s">
        <v>206</v>
      </c>
      <c r="G184" s="406" t="s">
        <v>1302</v>
      </c>
      <c r="H184" s="268" t="s">
        <v>368</v>
      </c>
      <c r="I184" s="268" t="s">
        <v>369</v>
      </c>
      <c r="J184" s="268" t="s">
        <v>370</v>
      </c>
      <c r="K184" s="268" t="s">
        <v>371</v>
      </c>
      <c r="L184" s="268" t="s">
        <v>372</v>
      </c>
      <c r="M184" s="268" t="s">
        <v>355</v>
      </c>
      <c r="N184" s="268" t="s">
        <v>373</v>
      </c>
      <c r="O184" s="268" t="s">
        <v>374</v>
      </c>
      <c r="P184" s="268" t="s">
        <v>146</v>
      </c>
      <c r="Q184" s="268" t="s">
        <v>375</v>
      </c>
      <c r="R184" s="118"/>
      <c r="S184" s="118"/>
      <c r="T184" s="119"/>
      <c r="U184" s="119"/>
    </row>
    <row r="185" spans="1:61" ht="15" customHeight="1">
      <c r="B185" s="165" t="e">
        <f>C185</f>
        <v>#DIV/0!</v>
      </c>
      <c r="C185" s="165" t="e">
        <f>AVERAGE(기본정보!B12:B13)</f>
        <v>#DIV/0!</v>
      </c>
      <c r="D185" s="165">
        <f>MIN(C191:C210)</f>
        <v>0</v>
      </c>
      <c r="E185" s="165">
        <f>MAX(C191:C210)</f>
        <v>0</v>
      </c>
      <c r="F185" s="165">
        <f>Angle_3!G4</f>
        <v>0</v>
      </c>
      <c r="G185" s="165" t="str">
        <f ca="1">TEXT(F185,OFFSET(P228,MATCH(IFERROR(LEN(F185)-FIND(".",F185),0),O229:O238,0),0))&amp;I185</f>
        <v>00</v>
      </c>
      <c r="H185" s="165">
        <f>Angle_3!H4</f>
        <v>0</v>
      </c>
      <c r="I185" s="165">
        <f>Angle_3!I4</f>
        <v>0</v>
      </c>
      <c r="J185" s="165">
        <f>IF(I185="˚",1,IF(I185="´",60,3600))</f>
        <v>3600</v>
      </c>
      <c r="K185" s="165">
        <f>MIN(U191:U210)</f>
        <v>0</v>
      </c>
      <c r="L185" s="165">
        <f>MAX(U191:U210)</f>
        <v>0</v>
      </c>
      <c r="M185" s="265">
        <f>F185/J185</f>
        <v>0</v>
      </c>
      <c r="N185" s="265">
        <f>H185/J185</f>
        <v>0</v>
      </c>
      <c r="O185" s="165" t="e">
        <f ca="1">OFFSET(Angle_3!C3,MATCH($L185,$U191:$U210,0),0)</f>
        <v>#N/A</v>
      </c>
      <c r="P185" s="165" t="e">
        <f ca="1">OFFSET(Angle_3!D3,MATCH($L185,$U191:$U210,0),0)</f>
        <v>#N/A</v>
      </c>
      <c r="Q185" s="165" t="e">
        <f ca="1">OFFSET(Angle_3!E3,MATCH($L185,$U191:$U210,0),0)</f>
        <v>#N/A</v>
      </c>
      <c r="T185" s="119"/>
      <c r="U185" s="119"/>
    </row>
    <row r="186" spans="1:61" ht="15" customHeight="1">
      <c r="B186" s="117"/>
      <c r="C186" s="117"/>
      <c r="D186" s="117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</row>
    <row r="187" spans="1:61" ht="15" customHeight="1">
      <c r="A187" s="116" t="s">
        <v>214</v>
      </c>
      <c r="C187" s="117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AB187" s="129" t="s">
        <v>376</v>
      </c>
    </row>
    <row r="188" spans="1:61" ht="15" customHeight="1">
      <c r="B188" s="700" t="s">
        <v>377</v>
      </c>
      <c r="C188" s="694" t="s">
        <v>90</v>
      </c>
      <c r="D188" s="694" t="s">
        <v>103</v>
      </c>
      <c r="E188" s="660" t="s">
        <v>348</v>
      </c>
      <c r="F188" s="661"/>
      <c r="G188" s="661"/>
      <c r="H188" s="661"/>
      <c r="I188" s="662"/>
      <c r="J188" s="660" t="s">
        <v>349</v>
      </c>
      <c r="K188" s="661"/>
      <c r="L188" s="661"/>
      <c r="M188" s="661"/>
      <c r="N188" s="661"/>
      <c r="O188" s="662"/>
      <c r="P188" s="698" t="s">
        <v>218</v>
      </c>
      <c r="Q188" s="666" t="s">
        <v>350</v>
      </c>
      <c r="R188" s="667"/>
      <c r="S188" s="268" t="s">
        <v>219</v>
      </c>
      <c r="T188" s="268" t="s">
        <v>362</v>
      </c>
      <c r="U188" s="268" t="s">
        <v>90</v>
      </c>
      <c r="V188" s="663" t="s">
        <v>378</v>
      </c>
      <c r="W188" s="665"/>
      <c r="X188" s="666" t="s">
        <v>225</v>
      </c>
      <c r="Y188" s="668"/>
      <c r="Z188" s="667"/>
      <c r="AA188" s="122"/>
      <c r="AB188" s="685" t="s">
        <v>226</v>
      </c>
      <c r="AC188" s="686"/>
      <c r="AD188" s="663" t="s">
        <v>227</v>
      </c>
      <c r="AE188" s="664"/>
      <c r="AF188" s="664"/>
      <c r="AG188" s="664"/>
      <c r="AH188" s="664"/>
      <c r="AI188" s="664"/>
      <c r="AJ188" s="664"/>
    </row>
    <row r="189" spans="1:61" ht="15" customHeight="1">
      <c r="B189" s="700"/>
      <c r="C189" s="701"/>
      <c r="D189" s="701"/>
      <c r="E189" s="174" t="s">
        <v>228</v>
      </c>
      <c r="F189" s="273" t="s">
        <v>229</v>
      </c>
      <c r="G189" s="174" t="s">
        <v>107</v>
      </c>
      <c r="H189" s="273" t="s">
        <v>108</v>
      </c>
      <c r="I189" s="174" t="s">
        <v>109</v>
      </c>
      <c r="J189" s="174" t="s">
        <v>228</v>
      </c>
      <c r="K189" s="273" t="s">
        <v>229</v>
      </c>
      <c r="L189" s="174" t="s">
        <v>107</v>
      </c>
      <c r="M189" s="273" t="s">
        <v>108</v>
      </c>
      <c r="N189" s="174" t="s">
        <v>109</v>
      </c>
      <c r="O189" s="273" t="s">
        <v>230</v>
      </c>
      <c r="P189" s="699"/>
      <c r="Q189" s="272" t="s">
        <v>351</v>
      </c>
      <c r="R189" s="272" t="s">
        <v>352</v>
      </c>
      <c r="S189" s="268" t="s">
        <v>379</v>
      </c>
      <c r="T189" s="268" t="s">
        <v>353</v>
      </c>
      <c r="U189" s="268" t="s">
        <v>354</v>
      </c>
      <c r="V189" s="666" t="s">
        <v>380</v>
      </c>
      <c r="W189" s="667"/>
      <c r="X189" s="666" t="s">
        <v>381</v>
      </c>
      <c r="Y189" s="667"/>
      <c r="Z189" s="268" t="s">
        <v>382</v>
      </c>
      <c r="AA189" s="122"/>
      <c r="AB189" s="205" t="s">
        <v>384</v>
      </c>
      <c r="AC189" s="205" t="s">
        <v>243</v>
      </c>
      <c r="AD189" s="268" t="s">
        <v>385</v>
      </c>
      <c r="AE189" s="660" t="s">
        <v>381</v>
      </c>
      <c r="AF189" s="662"/>
      <c r="AG189" s="268" t="s">
        <v>352</v>
      </c>
      <c r="AH189" s="204" t="s">
        <v>226</v>
      </c>
      <c r="AI189" s="204" t="s">
        <v>245</v>
      </c>
      <c r="AJ189" s="204" t="s">
        <v>197</v>
      </c>
      <c r="AL189" s="660" t="s">
        <v>778</v>
      </c>
      <c r="AM189" s="661"/>
      <c r="AN189" s="661"/>
      <c r="AO189" s="661"/>
      <c r="AP189" s="661"/>
      <c r="AQ189" s="662"/>
      <c r="AR189" s="660" t="s">
        <v>779</v>
      </c>
      <c r="AS189" s="661"/>
      <c r="AT189" s="661"/>
      <c r="AU189" s="661"/>
      <c r="AV189" s="661"/>
      <c r="AW189" s="662"/>
      <c r="AX189" s="660" t="s">
        <v>785</v>
      </c>
      <c r="AY189" s="661"/>
      <c r="AZ189" s="661"/>
      <c r="BA189" s="661"/>
      <c r="BB189" s="661"/>
      <c r="BC189" s="662"/>
      <c r="BD189" s="660" t="s">
        <v>780</v>
      </c>
      <c r="BE189" s="661"/>
      <c r="BF189" s="661"/>
      <c r="BG189" s="661"/>
      <c r="BH189" s="661"/>
      <c r="BI189" s="662"/>
    </row>
    <row r="190" spans="1:61" ht="15" customHeight="1">
      <c r="B190" s="700"/>
      <c r="C190" s="695"/>
      <c r="D190" s="695"/>
      <c r="E190" s="273">
        <f>I185</f>
        <v>0</v>
      </c>
      <c r="F190" s="273">
        <f>E190</f>
        <v>0</v>
      </c>
      <c r="G190" s="273">
        <f>F190</f>
        <v>0</v>
      </c>
      <c r="H190" s="273">
        <f>G190</f>
        <v>0</v>
      </c>
      <c r="I190" s="273">
        <f>H190</f>
        <v>0</v>
      </c>
      <c r="J190" s="273" t="s">
        <v>386</v>
      </c>
      <c r="K190" s="273" t="str">
        <f t="shared" ref="K190:P190" si="66">J190</f>
        <v>˚</v>
      </c>
      <c r="L190" s="273" t="str">
        <f t="shared" si="66"/>
        <v>˚</v>
      </c>
      <c r="M190" s="273" t="str">
        <f t="shared" si="66"/>
        <v>˚</v>
      </c>
      <c r="N190" s="273" t="str">
        <f t="shared" si="66"/>
        <v>˚</v>
      </c>
      <c r="O190" s="273" t="str">
        <f t="shared" si="66"/>
        <v>˚</v>
      </c>
      <c r="P190" s="273" t="str">
        <f t="shared" si="66"/>
        <v>˚</v>
      </c>
      <c r="Q190" s="268" t="s">
        <v>166</v>
      </c>
      <c r="R190" s="268" t="s">
        <v>166</v>
      </c>
      <c r="S190" s="273" t="str">
        <f>P190</f>
        <v>˚</v>
      </c>
      <c r="T190" s="268" t="str">
        <f>S190</f>
        <v>˚</v>
      </c>
      <c r="U190" s="268" t="str">
        <f>T190</f>
        <v>˚</v>
      </c>
      <c r="V190" s="268" t="str">
        <f>U190</f>
        <v>˚</v>
      </c>
      <c r="W190" s="268" t="s">
        <v>387</v>
      </c>
      <c r="X190" s="268" t="str">
        <f>V190</f>
        <v>˚</v>
      </c>
      <c r="Y190" s="268" t="str">
        <f>W190</f>
        <v>´</v>
      </c>
      <c r="Z190" s="268" t="str">
        <f>V190</f>
        <v>˚</v>
      </c>
      <c r="AA190" s="122"/>
      <c r="AB190" s="410">
        <f>Angle_3!L4</f>
        <v>0</v>
      </c>
      <c r="AC190" s="410">
        <f>AB190</f>
        <v>0</v>
      </c>
      <c r="AD190" s="409" t="str">
        <f>U190</f>
        <v>˚</v>
      </c>
      <c r="AE190" s="409" t="str">
        <f>X190</f>
        <v>˚</v>
      </c>
      <c r="AF190" s="409" t="str">
        <f>Y190</f>
        <v>´</v>
      </c>
      <c r="AG190" s="409" t="str">
        <f>Z190</f>
        <v>˚</v>
      </c>
      <c r="AH190" s="409" t="str">
        <f>AG190</f>
        <v>˚</v>
      </c>
      <c r="AI190" s="221">
        <f>IF(TYPE(MATCH("FAIL",AI191:AI210,0))=16,0,1)</f>
        <v>0</v>
      </c>
      <c r="AJ190" s="409" t="str">
        <f>AG190</f>
        <v>˚</v>
      </c>
      <c r="AL190" s="336" t="s">
        <v>786</v>
      </c>
      <c r="AM190" s="336" t="s">
        <v>787</v>
      </c>
      <c r="AN190" s="336" t="s">
        <v>107</v>
      </c>
      <c r="AO190" s="336" t="s">
        <v>108</v>
      </c>
      <c r="AP190" s="336" t="s">
        <v>109</v>
      </c>
      <c r="AQ190" s="336" t="s">
        <v>788</v>
      </c>
      <c r="AR190" s="336" t="s">
        <v>786</v>
      </c>
      <c r="AS190" s="336" t="s">
        <v>787</v>
      </c>
      <c r="AT190" s="336" t="s">
        <v>107</v>
      </c>
      <c r="AU190" s="336" t="s">
        <v>108</v>
      </c>
      <c r="AV190" s="336" t="s">
        <v>109</v>
      </c>
      <c r="AW190" s="336" t="s">
        <v>783</v>
      </c>
      <c r="AX190" s="336" t="s">
        <v>784</v>
      </c>
      <c r="AY190" s="336" t="s">
        <v>789</v>
      </c>
      <c r="AZ190" s="336" t="s">
        <v>107</v>
      </c>
      <c r="BA190" s="336" t="s">
        <v>108</v>
      </c>
      <c r="BB190" s="336" t="s">
        <v>109</v>
      </c>
      <c r="BC190" s="336" t="s">
        <v>783</v>
      </c>
      <c r="BD190" s="336" t="s">
        <v>784</v>
      </c>
      <c r="BE190" s="336" t="s">
        <v>789</v>
      </c>
      <c r="BF190" s="336" t="s">
        <v>107</v>
      </c>
      <c r="BG190" s="336" t="s">
        <v>108</v>
      </c>
      <c r="BH190" s="336" t="s">
        <v>109</v>
      </c>
      <c r="BI190" s="336" t="s">
        <v>783</v>
      </c>
    </row>
    <row r="191" spans="1:61" ht="15" customHeight="1">
      <c r="B191" s="171" t="b">
        <f>IF(TRIM(Angle_3!A4)="",FALSE,TRUE)</f>
        <v>0</v>
      </c>
      <c r="C191" s="165" t="str">
        <f>IF($B191=FALSE,"",VALUE(Angle_3!A4))</f>
        <v/>
      </c>
      <c r="D191" s="165" t="str">
        <f>IF($B191=FALSE,"",Angle_3!B4)</f>
        <v/>
      </c>
      <c r="E191" s="171" t="str">
        <f>IF(B191=FALSE,"",Angle_3!M4)</f>
        <v/>
      </c>
      <c r="F191" s="171" t="str">
        <f>IF(B191=FALSE,"",Angle_3!N4)</f>
        <v/>
      </c>
      <c r="G191" s="171" t="str">
        <f>IF(B191=FALSE,"",Angle_3!O4)</f>
        <v/>
      </c>
      <c r="H191" s="171" t="str">
        <f>IF(B191=FALSE,"",Angle_3!P4)</f>
        <v/>
      </c>
      <c r="I191" s="171" t="str">
        <f>IF(B191=FALSE,"",Angle_3!Q4)</f>
        <v/>
      </c>
      <c r="J191" s="260" t="str">
        <f t="shared" ref="J191:J210" si="67">IF($B191=FALSE,"",$C191+E191/$J$185)</f>
        <v/>
      </c>
      <c r="K191" s="260" t="str">
        <f t="shared" ref="K191:K210" si="68">IF($B191=FALSE,"",$C191+F191/$J$185)</f>
        <v/>
      </c>
      <c r="L191" s="260" t="str">
        <f t="shared" ref="L191:L210" si="69">IF($B191=FALSE,"",$C191+G191/$J$185)</f>
        <v/>
      </c>
      <c r="M191" s="260" t="str">
        <f t="shared" ref="M191:M210" si="70">IF($B191=FALSE,"",$C191+H191/$J$185)</f>
        <v/>
      </c>
      <c r="N191" s="260" t="str">
        <f t="shared" ref="N191:N210" si="71">IF($B191=FALSE,"",$C191+I191/$J$185)</f>
        <v/>
      </c>
      <c r="O191" s="260" t="str">
        <f>IF($B191=FALSE,"",AVERAGE(J191:N191))</f>
        <v/>
      </c>
      <c r="P191" s="175" t="str">
        <f t="shared" ref="P191:P210" si="72">IF(B191=FALSE,"",STDEV(J191:N191))</f>
        <v/>
      </c>
      <c r="Q191" s="165" t="str">
        <f>IF(B191=FALSE,"",Angle_3!B27)</f>
        <v/>
      </c>
      <c r="R191" s="165" t="str">
        <f>IF(B191=FALSE,"",Angle_3!D27)</f>
        <v/>
      </c>
      <c r="S191" s="261" t="str">
        <f t="shared" ref="S191:S210" si="73">IF(B191=FALSE,"",90+DEGREES(ATAN(R191/Q191)))</f>
        <v/>
      </c>
      <c r="T191" s="262" t="str">
        <f>IF(B191=FALSE,"",Calcu!O191)</f>
        <v/>
      </c>
      <c r="U191" s="179" t="str">
        <f t="shared" ref="U191:U210" si="74">IF(B191=FALSE,"",C191/IF(D191="˚",1,IF(D191="´",60,3600)))</f>
        <v/>
      </c>
      <c r="V191" s="263" t="str">
        <f t="shared" ref="V191:V210" si="75">IF(B191=FALSE,"",S191+90*(U191/90-1)-T191)</f>
        <v/>
      </c>
      <c r="W191" s="264" t="str">
        <f t="shared" ref="W191:W210" si="76">IF(B191=FALSE,"",V191*60)</f>
        <v/>
      </c>
      <c r="X191" s="165" t="str">
        <f t="shared" ref="X191:X210" si="77">IF(B191=FALSE,"",ROUND(V191,$J$224))</f>
        <v/>
      </c>
      <c r="Y191" s="165" t="str">
        <f t="shared" ref="Y191:Y210" si="78">IF(B191=FALSE,"",ROUND(W191,$K$224))</f>
        <v/>
      </c>
      <c r="Z191" s="165" t="str">
        <f t="shared" ref="Z191:Z210" si="79">IF(B191=FALSE,"",ROUND(U191+V191,J$224))</f>
        <v/>
      </c>
      <c r="AA191" s="122"/>
      <c r="AB191" s="165" t="e">
        <f ca="1">IF(Angle_3!J4&lt;0,ROUNDUP(Angle_3!J4,J$224),ROUNDDOWN(Angle_3!J4,J$224))</f>
        <v>#N/A</v>
      </c>
      <c r="AC191" s="165" t="e">
        <f ca="1">IF(Angle_3!K4&lt;0,ROUNDDOWN(Angle_3!K4,J$224),ROUNDUP(Angle_3!K4,J$224))</f>
        <v>#N/A</v>
      </c>
      <c r="AD191" s="165" t="str">
        <f t="shared" ref="AD191:AD210" si="80">TEXT(U191,IF(U191&gt;=1000,"# ##0","0"))</f>
        <v/>
      </c>
      <c r="AE191" s="168" t="e">
        <f t="shared" ref="AE191:AE210" ca="1" si="81">TEXT(X191,$O$224)</f>
        <v>#N/A</v>
      </c>
      <c r="AF191" s="168" t="e">
        <f t="shared" ref="AF191:AF210" ca="1" si="82">TEXT(Y191,$P$224)</f>
        <v>#N/A</v>
      </c>
      <c r="AG191" s="165" t="e">
        <f t="shared" ref="AG191:AG210" ca="1" si="83">TEXT(Z191,IF(Z191&gt;=1000,"# ##","")&amp;$O$224)</f>
        <v>#N/A</v>
      </c>
      <c r="AH191" s="165" t="e">
        <f ca="1">"± "&amp;TEXT(AC191/IF(AC$190="˚",1,IF(AC$190="´",60,3600)),O$224)</f>
        <v>#N/A</v>
      </c>
      <c r="AI191" s="165" t="str">
        <f>IF(B191=FALSE,"",IF(AND(AB191&lt;=X191,X191&lt;=AC191),"PASS","FAIL"))</f>
        <v/>
      </c>
      <c r="AJ191" s="165" t="e">
        <f t="shared" ref="AJ191:AJ209" ca="1" si="84">TEXT(S$224,O$224)</f>
        <v>#N/A</v>
      </c>
      <c r="AL191" s="165" t="str">
        <f t="shared" ref="AL191:AL210" si="85">IF($B191=FALSE,"",TRUNC(J191))</f>
        <v/>
      </c>
      <c r="AM191" s="165" t="str">
        <f t="shared" ref="AM191:AM210" si="86">IF($B191=FALSE,"",TRUNC(K191))</f>
        <v/>
      </c>
      <c r="AN191" s="165" t="str">
        <f t="shared" ref="AN191:AN210" si="87">IF($B191=FALSE,"",TRUNC(L191))</f>
        <v/>
      </c>
      <c r="AO191" s="165" t="str">
        <f t="shared" ref="AO191:AO210" si="88">IF($B191=FALSE,"",TRUNC(M191))</f>
        <v/>
      </c>
      <c r="AP191" s="165" t="str">
        <f t="shared" ref="AP191:AP210" si="89">IF($B191=FALSE,"",TRUNC(N191))</f>
        <v/>
      </c>
      <c r="AQ191" s="165" t="str">
        <f t="shared" ref="AQ191:AQ210" si="90">IF($B191=FALSE,"",TRUNC(O191))</f>
        <v/>
      </c>
      <c r="AR191" s="165" t="str">
        <f t="shared" ref="AR191:AR210" si="91">IF($B191=FALSE,"",TRUNC((J191-AL191)*60))</f>
        <v/>
      </c>
      <c r="AS191" s="165" t="str">
        <f t="shared" ref="AS191:AS210" si="92">IF($B191=FALSE,"",TRUNC((K191-AM191)*60))</f>
        <v/>
      </c>
      <c r="AT191" s="165" t="str">
        <f t="shared" ref="AT191:AT210" si="93">IF($B191=FALSE,"",TRUNC((L191-AN191)*60))</f>
        <v/>
      </c>
      <c r="AU191" s="165" t="str">
        <f t="shared" ref="AU191:AU210" si="94">IF($B191=FALSE,"",TRUNC((M191-AO191)*60))</f>
        <v/>
      </c>
      <c r="AV191" s="165" t="str">
        <f t="shared" ref="AV191:AV210" si="95">IF($B191=FALSE,"",TRUNC((N191-AP191)*60))</f>
        <v/>
      </c>
      <c r="AW191" s="165" t="str">
        <f t="shared" ref="AW191:AW210" si="96">IF($B191=FALSE,"",TRUNC((O191-AQ191)*60))</f>
        <v/>
      </c>
      <c r="AX191" s="165" t="str">
        <f t="shared" ref="AX191:AX210" si="97">IF($B191=FALSE,"",ROUND(((J191-AL191)*60-AR191)*60,0))</f>
        <v/>
      </c>
      <c r="AY191" s="165" t="str">
        <f t="shared" ref="AY191:AY210" si="98">IF($B191=FALSE,"",ROUND(((K191-AM191)*60-AS191)*60,0))</f>
        <v/>
      </c>
      <c r="AZ191" s="165" t="str">
        <f t="shared" ref="AZ191:AZ210" si="99">IF($B191=FALSE,"",ROUND(((L191-AN191)*60-AT191)*60,0))</f>
        <v/>
      </c>
      <c r="BA191" s="165" t="str">
        <f t="shared" ref="BA191:BA210" si="100">IF($B191=FALSE,"",ROUND(((M191-AO191)*60-AU191)*60,0))</f>
        <v/>
      </c>
      <c r="BB191" s="165" t="str">
        <f t="shared" ref="BB191:BB210" si="101">IF($B191=FALSE,"",ROUND(((N191-AP191)*60-AV191)*60,0))</f>
        <v/>
      </c>
      <c r="BC191" s="165" t="str">
        <f t="shared" ref="BC191:BC210" si="102">IF($B191=FALSE,"",ROUND(((O191-AQ191)*60-AW191)*60,0))</f>
        <v/>
      </c>
      <c r="BD191" s="165" t="str">
        <f>IF($B191=FALSE,"",CONCATENATE(AL191,"˚ ",TEXT(IF(AX191=60,AR191+1,AR191),"00"),"´"))</f>
        <v/>
      </c>
      <c r="BE191" s="165" t="str">
        <f t="shared" ref="BE191:BH210" si="103">IF($B191=FALSE,"",CONCATENATE(AM191,"˚ ",TEXT(IF(AY191=60,AS191+1,AS191),"00"),"´"))</f>
        <v/>
      </c>
      <c r="BF191" s="165" t="str">
        <f t="shared" si="103"/>
        <v/>
      </c>
      <c r="BG191" s="165" t="str">
        <f t="shared" si="103"/>
        <v/>
      </c>
      <c r="BH191" s="165" t="str">
        <f t="shared" si="103"/>
        <v/>
      </c>
      <c r="BI191" s="165" t="str">
        <f t="shared" ref="BI191:BI210" si="104">IF($B191=FALSE,"",CONCATENATE(AQ191,"˚ ",TEXT(IF(BC191=60,AW191+1,AW191),"00"),"´ ",TEXT(IF(BC191=60,0,BC191),"00"),"˝"))</f>
        <v/>
      </c>
    </row>
    <row r="192" spans="1:61" ht="15" customHeight="1">
      <c r="B192" s="171" t="b">
        <f>IF(TRIM(Angle_3!A5)="",FALSE,TRUE)</f>
        <v>0</v>
      </c>
      <c r="C192" s="165" t="str">
        <f>IF($B192=FALSE,"",VALUE(Angle_3!A5))</f>
        <v/>
      </c>
      <c r="D192" s="165" t="str">
        <f>IF($B192=FALSE,"",Angle_3!B5)</f>
        <v/>
      </c>
      <c r="E192" s="171" t="str">
        <f>IF(B192=FALSE,"",Angle_3!M5)</f>
        <v/>
      </c>
      <c r="F192" s="171" t="str">
        <f>IF(B192=FALSE,"",Angle_3!N5)</f>
        <v/>
      </c>
      <c r="G192" s="171" t="str">
        <f>IF(B192=FALSE,"",Angle_3!O5)</f>
        <v/>
      </c>
      <c r="H192" s="171" t="str">
        <f>IF(B192=FALSE,"",Angle_3!P5)</f>
        <v/>
      </c>
      <c r="I192" s="171" t="str">
        <f>IF(B192=FALSE,"",Angle_3!Q5)</f>
        <v/>
      </c>
      <c r="J192" s="260" t="str">
        <f t="shared" si="67"/>
        <v/>
      </c>
      <c r="K192" s="260" t="str">
        <f t="shared" si="68"/>
        <v/>
      </c>
      <c r="L192" s="260" t="str">
        <f t="shared" si="69"/>
        <v/>
      </c>
      <c r="M192" s="260" t="str">
        <f t="shared" si="70"/>
        <v/>
      </c>
      <c r="N192" s="260" t="str">
        <f t="shared" si="71"/>
        <v/>
      </c>
      <c r="O192" s="260" t="str">
        <f t="shared" ref="O192:O210" si="105">IF($B192=FALSE,"",AVERAGE(J192:N192))</f>
        <v/>
      </c>
      <c r="P192" s="175" t="str">
        <f t="shared" si="72"/>
        <v/>
      </c>
      <c r="Q192" s="165" t="str">
        <f>IF(B192=FALSE,"",Angle_3!B28)</f>
        <v/>
      </c>
      <c r="R192" s="165" t="str">
        <f>IF(B192=FALSE,"",Angle_3!D28)</f>
        <v/>
      </c>
      <c r="S192" s="261" t="str">
        <f t="shared" si="73"/>
        <v/>
      </c>
      <c r="T192" s="262" t="str">
        <f>IF(B192=FALSE,"",Calcu!O192)</f>
        <v/>
      </c>
      <c r="U192" s="179" t="str">
        <f t="shared" si="74"/>
        <v/>
      </c>
      <c r="V192" s="263" t="str">
        <f t="shared" si="75"/>
        <v/>
      </c>
      <c r="W192" s="264" t="str">
        <f t="shared" si="76"/>
        <v/>
      </c>
      <c r="X192" s="165" t="str">
        <f t="shared" si="77"/>
        <v/>
      </c>
      <c r="Y192" s="165" t="str">
        <f t="shared" si="78"/>
        <v/>
      </c>
      <c r="Z192" s="165" t="str">
        <f t="shared" si="79"/>
        <v/>
      </c>
      <c r="AA192" s="122"/>
      <c r="AB192" s="165" t="e">
        <f ca="1">IF(Angle_3!J5&lt;0,ROUNDUP(Angle_3!J5,J$224),ROUNDDOWN(Angle_3!J5,J$224))</f>
        <v>#N/A</v>
      </c>
      <c r="AC192" s="165" t="e">
        <f ca="1">IF(Angle_3!K5&lt;0,ROUNDDOWN(Angle_3!K5,J$224),ROUNDUP(Angle_3!K5,J$224))</f>
        <v>#N/A</v>
      </c>
      <c r="AD192" s="165" t="str">
        <f t="shared" si="80"/>
        <v/>
      </c>
      <c r="AE192" s="168" t="e">
        <f t="shared" ca="1" si="81"/>
        <v>#N/A</v>
      </c>
      <c r="AF192" s="168" t="e">
        <f t="shared" ca="1" si="82"/>
        <v>#N/A</v>
      </c>
      <c r="AG192" s="165" t="e">
        <f t="shared" ca="1" si="83"/>
        <v>#N/A</v>
      </c>
      <c r="AH192" s="165" t="e">
        <f t="shared" ref="AH192:AH210" ca="1" si="106">"± "&amp;TEXT(AC192/IF(AC$190="˚",1,IF(AC$190="´",60,3600)),O$224)</f>
        <v>#N/A</v>
      </c>
      <c r="AI192" s="165" t="str">
        <f t="shared" ref="AI192:AI210" si="107">IF(B192=FALSE,"",IF(AND(AB192&lt;=X192,X192&lt;=AC192),"PASS","FAIL"))</f>
        <v/>
      </c>
      <c r="AJ192" s="165" t="e">
        <f t="shared" ca="1" si="84"/>
        <v>#N/A</v>
      </c>
      <c r="AL192" s="165" t="str">
        <f t="shared" si="85"/>
        <v/>
      </c>
      <c r="AM192" s="165" t="str">
        <f t="shared" si="86"/>
        <v/>
      </c>
      <c r="AN192" s="165" t="str">
        <f t="shared" si="87"/>
        <v/>
      </c>
      <c r="AO192" s="165" t="str">
        <f t="shared" si="88"/>
        <v/>
      </c>
      <c r="AP192" s="165" t="str">
        <f t="shared" si="89"/>
        <v/>
      </c>
      <c r="AQ192" s="165" t="str">
        <f t="shared" si="90"/>
        <v/>
      </c>
      <c r="AR192" s="165" t="str">
        <f t="shared" si="91"/>
        <v/>
      </c>
      <c r="AS192" s="165" t="str">
        <f t="shared" si="92"/>
        <v/>
      </c>
      <c r="AT192" s="165" t="str">
        <f t="shared" si="93"/>
        <v/>
      </c>
      <c r="AU192" s="165" t="str">
        <f t="shared" si="94"/>
        <v/>
      </c>
      <c r="AV192" s="165" t="str">
        <f t="shared" si="95"/>
        <v/>
      </c>
      <c r="AW192" s="165" t="str">
        <f t="shared" si="96"/>
        <v/>
      </c>
      <c r="AX192" s="165" t="str">
        <f t="shared" si="97"/>
        <v/>
      </c>
      <c r="AY192" s="165" t="str">
        <f t="shared" si="98"/>
        <v/>
      </c>
      <c r="AZ192" s="165" t="str">
        <f t="shared" si="99"/>
        <v/>
      </c>
      <c r="BA192" s="165" t="str">
        <f t="shared" si="100"/>
        <v/>
      </c>
      <c r="BB192" s="165" t="str">
        <f t="shared" si="101"/>
        <v/>
      </c>
      <c r="BC192" s="165" t="str">
        <f t="shared" si="102"/>
        <v/>
      </c>
      <c r="BD192" s="165" t="str">
        <f t="shared" ref="BD192:BD210" si="108">IF($B192=FALSE,"",CONCATENATE(AL192,"˚ ",TEXT(IF(AX192=60,AR192+1,AR192),"00"),"´"))</f>
        <v/>
      </c>
      <c r="BE192" s="165" t="str">
        <f t="shared" si="103"/>
        <v/>
      </c>
      <c r="BF192" s="165" t="str">
        <f t="shared" si="103"/>
        <v/>
      </c>
      <c r="BG192" s="165" t="str">
        <f t="shared" si="103"/>
        <v/>
      </c>
      <c r="BH192" s="165" t="str">
        <f t="shared" si="103"/>
        <v/>
      </c>
      <c r="BI192" s="165" t="str">
        <f t="shared" si="104"/>
        <v/>
      </c>
    </row>
    <row r="193" spans="2:61" ht="15" customHeight="1">
      <c r="B193" s="171" t="b">
        <f>IF(TRIM(Angle_3!A6)="",FALSE,TRUE)</f>
        <v>0</v>
      </c>
      <c r="C193" s="165" t="str">
        <f>IF($B193=FALSE,"",VALUE(Angle_3!A6))</f>
        <v/>
      </c>
      <c r="D193" s="165" t="str">
        <f>IF($B193=FALSE,"",Angle_3!B6)</f>
        <v/>
      </c>
      <c r="E193" s="171" t="str">
        <f>IF(B193=FALSE,"",Angle_3!M6)</f>
        <v/>
      </c>
      <c r="F193" s="171" t="str">
        <f>IF(B193=FALSE,"",Angle_3!N6)</f>
        <v/>
      </c>
      <c r="G193" s="171" t="str">
        <f>IF(B193=FALSE,"",Angle_3!O6)</f>
        <v/>
      </c>
      <c r="H193" s="171" t="str">
        <f>IF(B193=FALSE,"",Angle_3!P6)</f>
        <v/>
      </c>
      <c r="I193" s="171" t="str">
        <f>IF(B193=FALSE,"",Angle_3!Q6)</f>
        <v/>
      </c>
      <c r="J193" s="260" t="str">
        <f t="shared" si="67"/>
        <v/>
      </c>
      <c r="K193" s="260" t="str">
        <f t="shared" si="68"/>
        <v/>
      </c>
      <c r="L193" s="260" t="str">
        <f t="shared" si="69"/>
        <v/>
      </c>
      <c r="M193" s="260" t="str">
        <f t="shared" si="70"/>
        <v/>
      </c>
      <c r="N193" s="260" t="str">
        <f t="shared" si="71"/>
        <v/>
      </c>
      <c r="O193" s="260" t="str">
        <f t="shared" si="105"/>
        <v/>
      </c>
      <c r="P193" s="175" t="str">
        <f t="shared" si="72"/>
        <v/>
      </c>
      <c r="Q193" s="165" t="str">
        <f>IF(B193=FALSE,"",Angle_3!B29)</f>
        <v/>
      </c>
      <c r="R193" s="165" t="str">
        <f>IF(B193=FALSE,"",Angle_3!D29)</f>
        <v/>
      </c>
      <c r="S193" s="261" t="str">
        <f t="shared" si="73"/>
        <v/>
      </c>
      <c r="T193" s="262" t="str">
        <f>IF(B193=FALSE,"",Calcu!O193)</f>
        <v/>
      </c>
      <c r="U193" s="179" t="str">
        <f t="shared" si="74"/>
        <v/>
      </c>
      <c r="V193" s="263" t="str">
        <f t="shared" si="75"/>
        <v/>
      </c>
      <c r="W193" s="264" t="str">
        <f t="shared" si="76"/>
        <v/>
      </c>
      <c r="X193" s="165" t="str">
        <f t="shared" si="77"/>
        <v/>
      </c>
      <c r="Y193" s="165" t="str">
        <f t="shared" si="78"/>
        <v/>
      </c>
      <c r="Z193" s="165" t="str">
        <f t="shared" si="79"/>
        <v/>
      </c>
      <c r="AA193" s="122"/>
      <c r="AB193" s="165" t="e">
        <f ca="1">IF(Angle_3!J6&lt;0,ROUNDUP(Angle_3!J6,J$224),ROUNDDOWN(Angle_3!J6,J$224))</f>
        <v>#N/A</v>
      </c>
      <c r="AC193" s="165" t="e">
        <f ca="1">IF(Angle_3!K6&lt;0,ROUNDDOWN(Angle_3!K6,J$224),ROUNDUP(Angle_3!K6,J$224))</f>
        <v>#N/A</v>
      </c>
      <c r="AD193" s="165" t="str">
        <f t="shared" si="80"/>
        <v/>
      </c>
      <c r="AE193" s="168" t="e">
        <f t="shared" ca="1" si="81"/>
        <v>#N/A</v>
      </c>
      <c r="AF193" s="168" t="e">
        <f t="shared" ca="1" si="82"/>
        <v>#N/A</v>
      </c>
      <c r="AG193" s="165" t="e">
        <f t="shared" ca="1" si="83"/>
        <v>#N/A</v>
      </c>
      <c r="AH193" s="165" t="e">
        <f t="shared" ca="1" si="106"/>
        <v>#N/A</v>
      </c>
      <c r="AI193" s="165" t="str">
        <f t="shared" si="107"/>
        <v/>
      </c>
      <c r="AJ193" s="165" t="e">
        <f t="shared" ca="1" si="84"/>
        <v>#N/A</v>
      </c>
      <c r="AL193" s="165" t="str">
        <f t="shared" si="85"/>
        <v/>
      </c>
      <c r="AM193" s="165" t="str">
        <f t="shared" si="86"/>
        <v/>
      </c>
      <c r="AN193" s="165" t="str">
        <f t="shared" si="87"/>
        <v/>
      </c>
      <c r="AO193" s="165" t="str">
        <f t="shared" si="88"/>
        <v/>
      </c>
      <c r="AP193" s="165" t="str">
        <f t="shared" si="89"/>
        <v/>
      </c>
      <c r="AQ193" s="165" t="str">
        <f t="shared" si="90"/>
        <v/>
      </c>
      <c r="AR193" s="165" t="str">
        <f t="shared" si="91"/>
        <v/>
      </c>
      <c r="AS193" s="165" t="str">
        <f t="shared" si="92"/>
        <v/>
      </c>
      <c r="AT193" s="165" t="str">
        <f t="shared" si="93"/>
        <v/>
      </c>
      <c r="AU193" s="165" t="str">
        <f t="shared" si="94"/>
        <v/>
      </c>
      <c r="AV193" s="165" t="str">
        <f t="shared" si="95"/>
        <v/>
      </c>
      <c r="AW193" s="165" t="str">
        <f t="shared" si="96"/>
        <v/>
      </c>
      <c r="AX193" s="165" t="str">
        <f t="shared" si="97"/>
        <v/>
      </c>
      <c r="AY193" s="165" t="str">
        <f t="shared" si="98"/>
        <v/>
      </c>
      <c r="AZ193" s="165" t="str">
        <f t="shared" si="99"/>
        <v/>
      </c>
      <c r="BA193" s="165" t="str">
        <f t="shared" si="100"/>
        <v/>
      </c>
      <c r="BB193" s="165" t="str">
        <f t="shared" si="101"/>
        <v/>
      </c>
      <c r="BC193" s="165" t="str">
        <f t="shared" si="102"/>
        <v/>
      </c>
      <c r="BD193" s="165" t="str">
        <f t="shared" si="108"/>
        <v/>
      </c>
      <c r="BE193" s="165" t="str">
        <f t="shared" si="103"/>
        <v/>
      </c>
      <c r="BF193" s="165" t="str">
        <f t="shared" si="103"/>
        <v/>
      </c>
      <c r="BG193" s="165" t="str">
        <f t="shared" si="103"/>
        <v/>
      </c>
      <c r="BH193" s="165" t="str">
        <f t="shared" si="103"/>
        <v/>
      </c>
      <c r="BI193" s="165" t="str">
        <f t="shared" si="104"/>
        <v/>
      </c>
    </row>
    <row r="194" spans="2:61" ht="15" customHeight="1">
      <c r="B194" s="171" t="b">
        <f>IF(TRIM(Angle_3!A7)="",FALSE,TRUE)</f>
        <v>0</v>
      </c>
      <c r="C194" s="165" t="str">
        <f>IF($B194=FALSE,"",VALUE(Angle_3!A7))</f>
        <v/>
      </c>
      <c r="D194" s="165" t="str">
        <f>IF($B194=FALSE,"",Angle_3!B7)</f>
        <v/>
      </c>
      <c r="E194" s="171" t="str">
        <f>IF(B194=FALSE,"",Angle_3!M7)</f>
        <v/>
      </c>
      <c r="F194" s="171" t="str">
        <f>IF(B194=FALSE,"",Angle_3!N7)</f>
        <v/>
      </c>
      <c r="G194" s="171" t="str">
        <f>IF(B194=FALSE,"",Angle_3!O7)</f>
        <v/>
      </c>
      <c r="H194" s="171" t="str">
        <f>IF(B194=FALSE,"",Angle_3!P7)</f>
        <v/>
      </c>
      <c r="I194" s="171" t="str">
        <f>IF(B194=FALSE,"",Angle_3!Q7)</f>
        <v/>
      </c>
      <c r="J194" s="260" t="str">
        <f t="shared" si="67"/>
        <v/>
      </c>
      <c r="K194" s="260" t="str">
        <f t="shared" si="68"/>
        <v/>
      </c>
      <c r="L194" s="260" t="str">
        <f t="shared" si="69"/>
        <v/>
      </c>
      <c r="M194" s="260" t="str">
        <f t="shared" si="70"/>
        <v/>
      </c>
      <c r="N194" s="260" t="str">
        <f t="shared" si="71"/>
        <v/>
      </c>
      <c r="O194" s="260" t="str">
        <f t="shared" si="105"/>
        <v/>
      </c>
      <c r="P194" s="175" t="str">
        <f t="shared" si="72"/>
        <v/>
      </c>
      <c r="Q194" s="165" t="str">
        <f>IF(B194=FALSE,"",Angle_3!B30)</f>
        <v/>
      </c>
      <c r="R194" s="165" t="str">
        <f>IF(B194=FALSE,"",Angle_3!D30)</f>
        <v/>
      </c>
      <c r="S194" s="261" t="str">
        <f t="shared" si="73"/>
        <v/>
      </c>
      <c r="T194" s="262" t="str">
        <f>IF(B194=FALSE,"",Calcu!O194)</f>
        <v/>
      </c>
      <c r="U194" s="179" t="str">
        <f t="shared" si="74"/>
        <v/>
      </c>
      <c r="V194" s="263" t="str">
        <f t="shared" si="75"/>
        <v/>
      </c>
      <c r="W194" s="264" t="str">
        <f t="shared" si="76"/>
        <v/>
      </c>
      <c r="X194" s="165" t="str">
        <f t="shared" si="77"/>
        <v/>
      </c>
      <c r="Y194" s="165" t="str">
        <f t="shared" si="78"/>
        <v/>
      </c>
      <c r="Z194" s="165" t="str">
        <f t="shared" si="79"/>
        <v/>
      </c>
      <c r="AA194" s="122"/>
      <c r="AB194" s="165" t="e">
        <f ca="1">IF(Angle_3!J7&lt;0,ROUNDUP(Angle_3!J7,J$224),ROUNDDOWN(Angle_3!J7,J$224))</f>
        <v>#N/A</v>
      </c>
      <c r="AC194" s="165" t="e">
        <f ca="1">IF(Angle_3!K7&lt;0,ROUNDDOWN(Angle_3!K7,J$224),ROUNDUP(Angle_3!K7,J$224))</f>
        <v>#N/A</v>
      </c>
      <c r="AD194" s="165" t="str">
        <f t="shared" si="80"/>
        <v/>
      </c>
      <c r="AE194" s="168" t="e">
        <f t="shared" ca="1" si="81"/>
        <v>#N/A</v>
      </c>
      <c r="AF194" s="168" t="e">
        <f t="shared" ca="1" si="82"/>
        <v>#N/A</v>
      </c>
      <c r="AG194" s="165" t="e">
        <f t="shared" ca="1" si="83"/>
        <v>#N/A</v>
      </c>
      <c r="AH194" s="165" t="e">
        <f t="shared" ca="1" si="106"/>
        <v>#N/A</v>
      </c>
      <c r="AI194" s="165" t="str">
        <f t="shared" si="107"/>
        <v/>
      </c>
      <c r="AJ194" s="165" t="e">
        <f t="shared" ca="1" si="84"/>
        <v>#N/A</v>
      </c>
      <c r="AL194" s="165" t="str">
        <f t="shared" si="85"/>
        <v/>
      </c>
      <c r="AM194" s="165" t="str">
        <f t="shared" si="86"/>
        <v/>
      </c>
      <c r="AN194" s="165" t="str">
        <f t="shared" si="87"/>
        <v/>
      </c>
      <c r="AO194" s="165" t="str">
        <f t="shared" si="88"/>
        <v/>
      </c>
      <c r="AP194" s="165" t="str">
        <f t="shared" si="89"/>
        <v/>
      </c>
      <c r="AQ194" s="165" t="str">
        <f t="shared" si="90"/>
        <v/>
      </c>
      <c r="AR194" s="165" t="str">
        <f t="shared" si="91"/>
        <v/>
      </c>
      <c r="AS194" s="165" t="str">
        <f t="shared" si="92"/>
        <v/>
      </c>
      <c r="AT194" s="165" t="str">
        <f t="shared" si="93"/>
        <v/>
      </c>
      <c r="AU194" s="165" t="str">
        <f t="shared" si="94"/>
        <v/>
      </c>
      <c r="AV194" s="165" t="str">
        <f t="shared" si="95"/>
        <v/>
      </c>
      <c r="AW194" s="165" t="str">
        <f t="shared" si="96"/>
        <v/>
      </c>
      <c r="AX194" s="165" t="str">
        <f t="shared" si="97"/>
        <v/>
      </c>
      <c r="AY194" s="165" t="str">
        <f t="shared" si="98"/>
        <v/>
      </c>
      <c r="AZ194" s="165" t="str">
        <f t="shared" si="99"/>
        <v/>
      </c>
      <c r="BA194" s="165" t="str">
        <f t="shared" si="100"/>
        <v/>
      </c>
      <c r="BB194" s="165" t="str">
        <f t="shared" si="101"/>
        <v/>
      </c>
      <c r="BC194" s="165" t="str">
        <f t="shared" si="102"/>
        <v/>
      </c>
      <c r="BD194" s="165" t="str">
        <f t="shared" si="108"/>
        <v/>
      </c>
      <c r="BE194" s="165" t="str">
        <f t="shared" si="103"/>
        <v/>
      </c>
      <c r="BF194" s="165" t="str">
        <f t="shared" si="103"/>
        <v/>
      </c>
      <c r="BG194" s="165" t="str">
        <f t="shared" si="103"/>
        <v/>
      </c>
      <c r="BH194" s="165" t="str">
        <f t="shared" si="103"/>
        <v/>
      </c>
      <c r="BI194" s="165" t="str">
        <f t="shared" si="104"/>
        <v/>
      </c>
    </row>
    <row r="195" spans="2:61" ht="15" customHeight="1">
      <c r="B195" s="171" t="b">
        <f>IF(TRIM(Angle_3!A8)="",FALSE,TRUE)</f>
        <v>0</v>
      </c>
      <c r="C195" s="165" t="str">
        <f>IF($B195=FALSE,"",VALUE(Angle_3!A8))</f>
        <v/>
      </c>
      <c r="D195" s="165" t="str">
        <f>IF($B195=FALSE,"",Angle_3!B8)</f>
        <v/>
      </c>
      <c r="E195" s="171" t="str">
        <f>IF(B195=FALSE,"",Angle_3!M8)</f>
        <v/>
      </c>
      <c r="F195" s="171" t="str">
        <f>IF(B195=FALSE,"",Angle_3!N8)</f>
        <v/>
      </c>
      <c r="G195" s="171" t="str">
        <f>IF(B195=FALSE,"",Angle_3!O8)</f>
        <v/>
      </c>
      <c r="H195" s="171" t="str">
        <f>IF(B195=FALSE,"",Angle_3!P8)</f>
        <v/>
      </c>
      <c r="I195" s="171" t="str">
        <f>IF(B195=FALSE,"",Angle_3!Q8)</f>
        <v/>
      </c>
      <c r="J195" s="260" t="str">
        <f t="shared" si="67"/>
        <v/>
      </c>
      <c r="K195" s="260" t="str">
        <f t="shared" si="68"/>
        <v/>
      </c>
      <c r="L195" s="260" t="str">
        <f t="shared" si="69"/>
        <v/>
      </c>
      <c r="M195" s="260" t="str">
        <f t="shared" si="70"/>
        <v/>
      </c>
      <c r="N195" s="260" t="str">
        <f t="shared" si="71"/>
        <v/>
      </c>
      <c r="O195" s="260" t="str">
        <f t="shared" si="105"/>
        <v/>
      </c>
      <c r="P195" s="175" t="str">
        <f t="shared" si="72"/>
        <v/>
      </c>
      <c r="Q195" s="165" t="str">
        <f>IF(B195=FALSE,"",Angle_3!B31)</f>
        <v/>
      </c>
      <c r="R195" s="165" t="str">
        <f>IF(B195=FALSE,"",Angle_3!D31)</f>
        <v/>
      </c>
      <c r="S195" s="261" t="str">
        <f t="shared" si="73"/>
        <v/>
      </c>
      <c r="T195" s="262" t="str">
        <f>IF(B195=FALSE,"",Calcu!O195)</f>
        <v/>
      </c>
      <c r="U195" s="179" t="str">
        <f t="shared" si="74"/>
        <v/>
      </c>
      <c r="V195" s="263" t="str">
        <f t="shared" si="75"/>
        <v/>
      </c>
      <c r="W195" s="264" t="str">
        <f t="shared" si="76"/>
        <v/>
      </c>
      <c r="X195" s="165" t="str">
        <f t="shared" si="77"/>
        <v/>
      </c>
      <c r="Y195" s="165" t="str">
        <f t="shared" si="78"/>
        <v/>
      </c>
      <c r="Z195" s="165" t="str">
        <f t="shared" si="79"/>
        <v/>
      </c>
      <c r="AA195" s="122"/>
      <c r="AB195" s="165" t="e">
        <f ca="1">IF(Angle_3!J8&lt;0,ROUNDUP(Angle_3!J8,J$224),ROUNDDOWN(Angle_3!J8,J$224))</f>
        <v>#N/A</v>
      </c>
      <c r="AC195" s="165" t="e">
        <f ca="1">IF(Angle_3!K8&lt;0,ROUNDDOWN(Angle_3!K8,J$224),ROUNDUP(Angle_3!K8,J$224))</f>
        <v>#N/A</v>
      </c>
      <c r="AD195" s="165" t="str">
        <f t="shared" si="80"/>
        <v/>
      </c>
      <c r="AE195" s="168" t="e">
        <f t="shared" ca="1" si="81"/>
        <v>#N/A</v>
      </c>
      <c r="AF195" s="168" t="e">
        <f t="shared" ca="1" si="82"/>
        <v>#N/A</v>
      </c>
      <c r="AG195" s="165" t="e">
        <f t="shared" ca="1" si="83"/>
        <v>#N/A</v>
      </c>
      <c r="AH195" s="165" t="e">
        <f t="shared" ca="1" si="106"/>
        <v>#N/A</v>
      </c>
      <c r="AI195" s="165" t="str">
        <f t="shared" si="107"/>
        <v/>
      </c>
      <c r="AJ195" s="165" t="e">
        <f t="shared" ca="1" si="84"/>
        <v>#N/A</v>
      </c>
      <c r="AL195" s="165" t="str">
        <f t="shared" si="85"/>
        <v/>
      </c>
      <c r="AM195" s="165" t="str">
        <f t="shared" si="86"/>
        <v/>
      </c>
      <c r="AN195" s="165" t="str">
        <f t="shared" si="87"/>
        <v/>
      </c>
      <c r="AO195" s="165" t="str">
        <f t="shared" si="88"/>
        <v/>
      </c>
      <c r="AP195" s="165" t="str">
        <f t="shared" si="89"/>
        <v/>
      </c>
      <c r="AQ195" s="165" t="str">
        <f t="shared" si="90"/>
        <v/>
      </c>
      <c r="AR195" s="165" t="str">
        <f t="shared" si="91"/>
        <v/>
      </c>
      <c r="AS195" s="165" t="str">
        <f t="shared" si="92"/>
        <v/>
      </c>
      <c r="AT195" s="165" t="str">
        <f t="shared" si="93"/>
        <v/>
      </c>
      <c r="AU195" s="165" t="str">
        <f t="shared" si="94"/>
        <v/>
      </c>
      <c r="AV195" s="165" t="str">
        <f t="shared" si="95"/>
        <v/>
      </c>
      <c r="AW195" s="165" t="str">
        <f t="shared" si="96"/>
        <v/>
      </c>
      <c r="AX195" s="165" t="str">
        <f t="shared" si="97"/>
        <v/>
      </c>
      <c r="AY195" s="165" t="str">
        <f t="shared" si="98"/>
        <v/>
      </c>
      <c r="AZ195" s="165" t="str">
        <f t="shared" si="99"/>
        <v/>
      </c>
      <c r="BA195" s="165" t="str">
        <f t="shared" si="100"/>
        <v/>
      </c>
      <c r="BB195" s="165" t="str">
        <f t="shared" si="101"/>
        <v/>
      </c>
      <c r="BC195" s="165" t="str">
        <f t="shared" si="102"/>
        <v/>
      </c>
      <c r="BD195" s="165" t="str">
        <f t="shared" si="108"/>
        <v/>
      </c>
      <c r="BE195" s="165" t="str">
        <f t="shared" si="103"/>
        <v/>
      </c>
      <c r="BF195" s="165" t="str">
        <f t="shared" si="103"/>
        <v/>
      </c>
      <c r="BG195" s="165" t="str">
        <f t="shared" si="103"/>
        <v/>
      </c>
      <c r="BH195" s="165" t="str">
        <f t="shared" si="103"/>
        <v/>
      </c>
      <c r="BI195" s="165" t="str">
        <f t="shared" si="104"/>
        <v/>
      </c>
    </row>
    <row r="196" spans="2:61" ht="15" customHeight="1">
      <c r="B196" s="171" t="b">
        <f>IF(TRIM(Angle_3!A9)="",FALSE,TRUE)</f>
        <v>0</v>
      </c>
      <c r="C196" s="165" t="str">
        <f>IF($B196=FALSE,"",VALUE(Angle_3!A9))</f>
        <v/>
      </c>
      <c r="D196" s="165" t="str">
        <f>IF($B196=FALSE,"",Angle_3!B9)</f>
        <v/>
      </c>
      <c r="E196" s="171" t="str">
        <f>IF(B196=FALSE,"",Angle_3!M9)</f>
        <v/>
      </c>
      <c r="F196" s="171" t="str">
        <f>IF(B196=FALSE,"",Angle_3!N9)</f>
        <v/>
      </c>
      <c r="G196" s="171" t="str">
        <f>IF(B196=FALSE,"",Angle_3!O9)</f>
        <v/>
      </c>
      <c r="H196" s="171" t="str">
        <f>IF(B196=FALSE,"",Angle_3!P9)</f>
        <v/>
      </c>
      <c r="I196" s="171" t="str">
        <f>IF(B196=FALSE,"",Angle_3!Q9)</f>
        <v/>
      </c>
      <c r="J196" s="260" t="str">
        <f t="shared" si="67"/>
        <v/>
      </c>
      <c r="K196" s="260" t="str">
        <f t="shared" si="68"/>
        <v/>
      </c>
      <c r="L196" s="260" t="str">
        <f t="shared" si="69"/>
        <v/>
      </c>
      <c r="M196" s="260" t="str">
        <f t="shared" si="70"/>
        <v/>
      </c>
      <c r="N196" s="260" t="str">
        <f t="shared" si="71"/>
        <v/>
      </c>
      <c r="O196" s="260" t="str">
        <f t="shared" si="105"/>
        <v/>
      </c>
      <c r="P196" s="175" t="str">
        <f t="shared" si="72"/>
        <v/>
      </c>
      <c r="Q196" s="165" t="str">
        <f>IF(B196=FALSE,"",Angle_3!B32)</f>
        <v/>
      </c>
      <c r="R196" s="165" t="str">
        <f>IF(B196=FALSE,"",Angle_3!D32)</f>
        <v/>
      </c>
      <c r="S196" s="261" t="str">
        <f t="shared" si="73"/>
        <v/>
      </c>
      <c r="T196" s="262" t="str">
        <f>IF(B196=FALSE,"",Calcu!O196)</f>
        <v/>
      </c>
      <c r="U196" s="179" t="str">
        <f t="shared" si="74"/>
        <v/>
      </c>
      <c r="V196" s="263" t="str">
        <f t="shared" si="75"/>
        <v/>
      </c>
      <c r="W196" s="264" t="str">
        <f t="shared" si="76"/>
        <v/>
      </c>
      <c r="X196" s="165" t="str">
        <f t="shared" si="77"/>
        <v/>
      </c>
      <c r="Y196" s="165" t="str">
        <f t="shared" si="78"/>
        <v/>
      </c>
      <c r="Z196" s="165" t="str">
        <f t="shared" si="79"/>
        <v/>
      </c>
      <c r="AA196" s="122"/>
      <c r="AB196" s="165" t="e">
        <f ca="1">IF(Angle_3!J9&lt;0,ROUNDUP(Angle_3!J9,J$224),ROUNDDOWN(Angle_3!J9,J$224))</f>
        <v>#N/A</v>
      </c>
      <c r="AC196" s="165" t="e">
        <f ca="1">IF(Angle_3!K9&lt;0,ROUNDDOWN(Angle_3!K9,J$224),ROUNDUP(Angle_3!K9,J$224))</f>
        <v>#N/A</v>
      </c>
      <c r="AD196" s="165" t="str">
        <f t="shared" si="80"/>
        <v/>
      </c>
      <c r="AE196" s="168" t="e">
        <f t="shared" ca="1" si="81"/>
        <v>#N/A</v>
      </c>
      <c r="AF196" s="168" t="e">
        <f t="shared" ca="1" si="82"/>
        <v>#N/A</v>
      </c>
      <c r="AG196" s="165" t="e">
        <f t="shared" ca="1" si="83"/>
        <v>#N/A</v>
      </c>
      <c r="AH196" s="165" t="e">
        <f t="shared" ca="1" si="106"/>
        <v>#N/A</v>
      </c>
      <c r="AI196" s="165" t="str">
        <f t="shared" si="107"/>
        <v/>
      </c>
      <c r="AJ196" s="165" t="e">
        <f t="shared" ca="1" si="84"/>
        <v>#N/A</v>
      </c>
      <c r="AL196" s="165" t="str">
        <f t="shared" si="85"/>
        <v/>
      </c>
      <c r="AM196" s="165" t="str">
        <f t="shared" si="86"/>
        <v/>
      </c>
      <c r="AN196" s="165" t="str">
        <f t="shared" si="87"/>
        <v/>
      </c>
      <c r="AO196" s="165" t="str">
        <f t="shared" si="88"/>
        <v/>
      </c>
      <c r="AP196" s="165" t="str">
        <f t="shared" si="89"/>
        <v/>
      </c>
      <c r="AQ196" s="165" t="str">
        <f t="shared" si="90"/>
        <v/>
      </c>
      <c r="AR196" s="165" t="str">
        <f t="shared" si="91"/>
        <v/>
      </c>
      <c r="AS196" s="165" t="str">
        <f t="shared" si="92"/>
        <v/>
      </c>
      <c r="AT196" s="165" t="str">
        <f t="shared" si="93"/>
        <v/>
      </c>
      <c r="AU196" s="165" t="str">
        <f t="shared" si="94"/>
        <v/>
      </c>
      <c r="AV196" s="165" t="str">
        <f t="shared" si="95"/>
        <v/>
      </c>
      <c r="AW196" s="165" t="str">
        <f t="shared" si="96"/>
        <v/>
      </c>
      <c r="AX196" s="165" t="str">
        <f t="shared" si="97"/>
        <v/>
      </c>
      <c r="AY196" s="165" t="str">
        <f t="shared" si="98"/>
        <v/>
      </c>
      <c r="AZ196" s="165" t="str">
        <f t="shared" si="99"/>
        <v/>
      </c>
      <c r="BA196" s="165" t="str">
        <f t="shared" si="100"/>
        <v/>
      </c>
      <c r="BB196" s="165" t="str">
        <f t="shared" si="101"/>
        <v/>
      </c>
      <c r="BC196" s="165" t="str">
        <f t="shared" si="102"/>
        <v/>
      </c>
      <c r="BD196" s="165" t="str">
        <f t="shared" si="108"/>
        <v/>
      </c>
      <c r="BE196" s="165" t="str">
        <f t="shared" si="103"/>
        <v/>
      </c>
      <c r="BF196" s="165" t="str">
        <f t="shared" si="103"/>
        <v/>
      </c>
      <c r="BG196" s="165" t="str">
        <f t="shared" si="103"/>
        <v/>
      </c>
      <c r="BH196" s="165" t="str">
        <f t="shared" si="103"/>
        <v/>
      </c>
      <c r="BI196" s="165" t="str">
        <f t="shared" si="104"/>
        <v/>
      </c>
    </row>
    <row r="197" spans="2:61" ht="15" customHeight="1">
      <c r="B197" s="171" t="b">
        <f>IF(TRIM(Angle_3!A10)="",FALSE,TRUE)</f>
        <v>0</v>
      </c>
      <c r="C197" s="165" t="str">
        <f>IF($B197=FALSE,"",VALUE(Angle_3!A10))</f>
        <v/>
      </c>
      <c r="D197" s="165" t="str">
        <f>IF($B197=FALSE,"",Angle_3!B10)</f>
        <v/>
      </c>
      <c r="E197" s="171" t="str">
        <f>IF(B197=FALSE,"",Angle_3!M10)</f>
        <v/>
      </c>
      <c r="F197" s="171" t="str">
        <f>IF(B197=FALSE,"",Angle_3!N10)</f>
        <v/>
      </c>
      <c r="G197" s="171" t="str">
        <f>IF(B197=FALSE,"",Angle_3!O10)</f>
        <v/>
      </c>
      <c r="H197" s="171" t="str">
        <f>IF(B197=FALSE,"",Angle_3!P10)</f>
        <v/>
      </c>
      <c r="I197" s="171" t="str">
        <f>IF(B197=FALSE,"",Angle_3!Q10)</f>
        <v/>
      </c>
      <c r="J197" s="260" t="str">
        <f t="shared" si="67"/>
        <v/>
      </c>
      <c r="K197" s="260" t="str">
        <f t="shared" si="68"/>
        <v/>
      </c>
      <c r="L197" s="260" t="str">
        <f t="shared" si="69"/>
        <v/>
      </c>
      <c r="M197" s="260" t="str">
        <f t="shared" si="70"/>
        <v/>
      </c>
      <c r="N197" s="260" t="str">
        <f t="shared" si="71"/>
        <v/>
      </c>
      <c r="O197" s="260" t="str">
        <f t="shared" si="105"/>
        <v/>
      </c>
      <c r="P197" s="175" t="str">
        <f t="shared" si="72"/>
        <v/>
      </c>
      <c r="Q197" s="165" t="str">
        <f>IF(B197=FALSE,"",Angle_3!B33)</f>
        <v/>
      </c>
      <c r="R197" s="165" t="str">
        <f>IF(B197=FALSE,"",Angle_3!D33)</f>
        <v/>
      </c>
      <c r="S197" s="261" t="str">
        <f t="shared" si="73"/>
        <v/>
      </c>
      <c r="T197" s="262" t="str">
        <f>IF(B197=FALSE,"",Calcu!O197)</f>
        <v/>
      </c>
      <c r="U197" s="179" t="str">
        <f t="shared" si="74"/>
        <v/>
      </c>
      <c r="V197" s="263" t="str">
        <f t="shared" si="75"/>
        <v/>
      </c>
      <c r="W197" s="264" t="str">
        <f t="shared" si="76"/>
        <v/>
      </c>
      <c r="X197" s="165" t="str">
        <f t="shared" si="77"/>
        <v/>
      </c>
      <c r="Y197" s="165" t="str">
        <f t="shared" si="78"/>
        <v/>
      </c>
      <c r="Z197" s="165" t="str">
        <f t="shared" si="79"/>
        <v/>
      </c>
      <c r="AA197" s="122"/>
      <c r="AB197" s="165" t="e">
        <f ca="1">IF(Angle_3!J10&lt;0,ROUNDUP(Angle_3!J10,J$224),ROUNDDOWN(Angle_3!J10,J$224))</f>
        <v>#N/A</v>
      </c>
      <c r="AC197" s="165" t="e">
        <f ca="1">IF(Angle_3!K10&lt;0,ROUNDDOWN(Angle_3!K10,J$224),ROUNDUP(Angle_3!K10,J$224))</f>
        <v>#N/A</v>
      </c>
      <c r="AD197" s="165" t="str">
        <f t="shared" si="80"/>
        <v/>
      </c>
      <c r="AE197" s="168" t="e">
        <f t="shared" ca="1" si="81"/>
        <v>#N/A</v>
      </c>
      <c r="AF197" s="168" t="e">
        <f t="shared" ca="1" si="82"/>
        <v>#N/A</v>
      </c>
      <c r="AG197" s="165" t="e">
        <f t="shared" ca="1" si="83"/>
        <v>#N/A</v>
      </c>
      <c r="AH197" s="165" t="e">
        <f t="shared" ca="1" si="106"/>
        <v>#N/A</v>
      </c>
      <c r="AI197" s="165" t="str">
        <f t="shared" si="107"/>
        <v/>
      </c>
      <c r="AJ197" s="165" t="e">
        <f t="shared" ca="1" si="84"/>
        <v>#N/A</v>
      </c>
      <c r="AL197" s="165" t="str">
        <f t="shared" si="85"/>
        <v/>
      </c>
      <c r="AM197" s="165" t="str">
        <f t="shared" si="86"/>
        <v/>
      </c>
      <c r="AN197" s="165" t="str">
        <f t="shared" si="87"/>
        <v/>
      </c>
      <c r="AO197" s="165" t="str">
        <f t="shared" si="88"/>
        <v/>
      </c>
      <c r="AP197" s="165" t="str">
        <f t="shared" si="89"/>
        <v/>
      </c>
      <c r="AQ197" s="165" t="str">
        <f t="shared" si="90"/>
        <v/>
      </c>
      <c r="AR197" s="165" t="str">
        <f t="shared" si="91"/>
        <v/>
      </c>
      <c r="AS197" s="165" t="str">
        <f t="shared" si="92"/>
        <v/>
      </c>
      <c r="AT197" s="165" t="str">
        <f t="shared" si="93"/>
        <v/>
      </c>
      <c r="AU197" s="165" t="str">
        <f t="shared" si="94"/>
        <v/>
      </c>
      <c r="AV197" s="165" t="str">
        <f t="shared" si="95"/>
        <v/>
      </c>
      <c r="AW197" s="165" t="str">
        <f t="shared" si="96"/>
        <v/>
      </c>
      <c r="AX197" s="165" t="str">
        <f t="shared" si="97"/>
        <v/>
      </c>
      <c r="AY197" s="165" t="str">
        <f t="shared" si="98"/>
        <v/>
      </c>
      <c r="AZ197" s="165" t="str">
        <f t="shared" si="99"/>
        <v/>
      </c>
      <c r="BA197" s="165" t="str">
        <f t="shared" si="100"/>
        <v/>
      </c>
      <c r="BB197" s="165" t="str">
        <f t="shared" si="101"/>
        <v/>
      </c>
      <c r="BC197" s="165" t="str">
        <f t="shared" si="102"/>
        <v/>
      </c>
      <c r="BD197" s="165" t="str">
        <f t="shared" si="108"/>
        <v/>
      </c>
      <c r="BE197" s="165" t="str">
        <f t="shared" si="103"/>
        <v/>
      </c>
      <c r="BF197" s="165" t="str">
        <f t="shared" si="103"/>
        <v/>
      </c>
      <c r="BG197" s="165" t="str">
        <f t="shared" si="103"/>
        <v/>
      </c>
      <c r="BH197" s="165" t="str">
        <f t="shared" si="103"/>
        <v/>
      </c>
      <c r="BI197" s="165" t="str">
        <f t="shared" si="104"/>
        <v/>
      </c>
    </row>
    <row r="198" spans="2:61" ht="15" customHeight="1">
      <c r="B198" s="171" t="b">
        <f>IF(TRIM(Angle_3!A11)="",FALSE,TRUE)</f>
        <v>0</v>
      </c>
      <c r="C198" s="165" t="str">
        <f>IF($B198=FALSE,"",VALUE(Angle_3!A11))</f>
        <v/>
      </c>
      <c r="D198" s="165" t="str">
        <f>IF($B198=FALSE,"",Angle_3!B11)</f>
        <v/>
      </c>
      <c r="E198" s="171" t="str">
        <f>IF(B198=FALSE,"",Angle_3!M11)</f>
        <v/>
      </c>
      <c r="F198" s="171" t="str">
        <f>IF(B198=FALSE,"",Angle_3!N11)</f>
        <v/>
      </c>
      <c r="G198" s="171" t="str">
        <f>IF(B198=FALSE,"",Angle_3!O11)</f>
        <v/>
      </c>
      <c r="H198" s="171" t="str">
        <f>IF(B198=FALSE,"",Angle_3!P11)</f>
        <v/>
      </c>
      <c r="I198" s="171" t="str">
        <f>IF(B198=FALSE,"",Angle_3!Q11)</f>
        <v/>
      </c>
      <c r="J198" s="260" t="str">
        <f t="shared" si="67"/>
        <v/>
      </c>
      <c r="K198" s="260" t="str">
        <f t="shared" si="68"/>
        <v/>
      </c>
      <c r="L198" s="260" t="str">
        <f t="shared" si="69"/>
        <v/>
      </c>
      <c r="M198" s="260" t="str">
        <f t="shared" si="70"/>
        <v/>
      </c>
      <c r="N198" s="260" t="str">
        <f t="shared" si="71"/>
        <v/>
      </c>
      <c r="O198" s="260" t="str">
        <f t="shared" si="105"/>
        <v/>
      </c>
      <c r="P198" s="175" t="str">
        <f t="shared" si="72"/>
        <v/>
      </c>
      <c r="Q198" s="165" t="str">
        <f>IF(B198=FALSE,"",Angle_3!B34)</f>
        <v/>
      </c>
      <c r="R198" s="165" t="str">
        <f>IF(B198=FALSE,"",Angle_3!D34)</f>
        <v/>
      </c>
      <c r="S198" s="261" t="str">
        <f t="shared" si="73"/>
        <v/>
      </c>
      <c r="T198" s="262" t="str">
        <f>IF(B198=FALSE,"",Calcu!O198)</f>
        <v/>
      </c>
      <c r="U198" s="179" t="str">
        <f t="shared" si="74"/>
        <v/>
      </c>
      <c r="V198" s="263" t="str">
        <f t="shared" si="75"/>
        <v/>
      </c>
      <c r="W198" s="264" t="str">
        <f t="shared" si="76"/>
        <v/>
      </c>
      <c r="X198" s="165" t="str">
        <f t="shared" si="77"/>
        <v/>
      </c>
      <c r="Y198" s="165" t="str">
        <f t="shared" si="78"/>
        <v/>
      </c>
      <c r="Z198" s="165" t="str">
        <f t="shared" si="79"/>
        <v/>
      </c>
      <c r="AA198" s="122"/>
      <c r="AB198" s="165" t="e">
        <f ca="1">IF(Angle_3!J11&lt;0,ROUNDUP(Angle_3!J11,J$224),ROUNDDOWN(Angle_3!J11,J$224))</f>
        <v>#N/A</v>
      </c>
      <c r="AC198" s="165" t="e">
        <f ca="1">IF(Angle_3!K11&lt;0,ROUNDDOWN(Angle_3!K11,J$224),ROUNDUP(Angle_3!K11,J$224))</f>
        <v>#N/A</v>
      </c>
      <c r="AD198" s="165" t="str">
        <f t="shared" si="80"/>
        <v/>
      </c>
      <c r="AE198" s="168" t="e">
        <f t="shared" ca="1" si="81"/>
        <v>#N/A</v>
      </c>
      <c r="AF198" s="168" t="e">
        <f t="shared" ca="1" si="82"/>
        <v>#N/A</v>
      </c>
      <c r="AG198" s="165" t="e">
        <f t="shared" ca="1" si="83"/>
        <v>#N/A</v>
      </c>
      <c r="AH198" s="165" t="e">
        <f t="shared" ca="1" si="106"/>
        <v>#N/A</v>
      </c>
      <c r="AI198" s="165" t="str">
        <f t="shared" si="107"/>
        <v/>
      </c>
      <c r="AJ198" s="165" t="e">
        <f t="shared" ca="1" si="84"/>
        <v>#N/A</v>
      </c>
      <c r="AL198" s="165" t="str">
        <f t="shared" si="85"/>
        <v/>
      </c>
      <c r="AM198" s="165" t="str">
        <f t="shared" si="86"/>
        <v/>
      </c>
      <c r="AN198" s="165" t="str">
        <f t="shared" si="87"/>
        <v/>
      </c>
      <c r="AO198" s="165" t="str">
        <f t="shared" si="88"/>
        <v/>
      </c>
      <c r="AP198" s="165" t="str">
        <f t="shared" si="89"/>
        <v/>
      </c>
      <c r="AQ198" s="165" t="str">
        <f t="shared" si="90"/>
        <v/>
      </c>
      <c r="AR198" s="165" t="str">
        <f t="shared" si="91"/>
        <v/>
      </c>
      <c r="AS198" s="165" t="str">
        <f t="shared" si="92"/>
        <v/>
      </c>
      <c r="AT198" s="165" t="str">
        <f t="shared" si="93"/>
        <v/>
      </c>
      <c r="AU198" s="165" t="str">
        <f t="shared" si="94"/>
        <v/>
      </c>
      <c r="AV198" s="165" t="str">
        <f t="shared" si="95"/>
        <v/>
      </c>
      <c r="AW198" s="165" t="str">
        <f t="shared" si="96"/>
        <v/>
      </c>
      <c r="AX198" s="165" t="str">
        <f t="shared" si="97"/>
        <v/>
      </c>
      <c r="AY198" s="165" t="str">
        <f t="shared" si="98"/>
        <v/>
      </c>
      <c r="AZ198" s="165" t="str">
        <f t="shared" si="99"/>
        <v/>
      </c>
      <c r="BA198" s="165" t="str">
        <f t="shared" si="100"/>
        <v/>
      </c>
      <c r="BB198" s="165" t="str">
        <f t="shared" si="101"/>
        <v/>
      </c>
      <c r="BC198" s="165" t="str">
        <f t="shared" si="102"/>
        <v/>
      </c>
      <c r="BD198" s="165" t="str">
        <f t="shared" si="108"/>
        <v/>
      </c>
      <c r="BE198" s="165" t="str">
        <f t="shared" si="103"/>
        <v/>
      </c>
      <c r="BF198" s="165" t="str">
        <f t="shared" si="103"/>
        <v/>
      </c>
      <c r="BG198" s="165" t="str">
        <f t="shared" si="103"/>
        <v/>
      </c>
      <c r="BH198" s="165" t="str">
        <f t="shared" si="103"/>
        <v/>
      </c>
      <c r="BI198" s="165" t="str">
        <f t="shared" si="104"/>
        <v/>
      </c>
    </row>
    <row r="199" spans="2:61" ht="15" customHeight="1">
      <c r="B199" s="171" t="b">
        <f>IF(TRIM(Angle_3!A12)="",FALSE,TRUE)</f>
        <v>0</v>
      </c>
      <c r="C199" s="165" t="str">
        <f>IF($B199=FALSE,"",VALUE(Angle_3!A12))</f>
        <v/>
      </c>
      <c r="D199" s="165" t="str">
        <f>IF($B199=FALSE,"",Angle_3!B12)</f>
        <v/>
      </c>
      <c r="E199" s="171" t="str">
        <f>IF(B199=FALSE,"",Angle_3!M12)</f>
        <v/>
      </c>
      <c r="F199" s="171" t="str">
        <f>IF(B199=FALSE,"",Angle_3!N12)</f>
        <v/>
      </c>
      <c r="G199" s="171" t="str">
        <f>IF(B199=FALSE,"",Angle_3!O12)</f>
        <v/>
      </c>
      <c r="H199" s="171" t="str">
        <f>IF(B199=FALSE,"",Angle_3!P12)</f>
        <v/>
      </c>
      <c r="I199" s="171" t="str">
        <f>IF(B199=FALSE,"",Angle_3!Q12)</f>
        <v/>
      </c>
      <c r="J199" s="260" t="str">
        <f t="shared" si="67"/>
        <v/>
      </c>
      <c r="K199" s="260" t="str">
        <f t="shared" si="68"/>
        <v/>
      </c>
      <c r="L199" s="260" t="str">
        <f t="shared" si="69"/>
        <v/>
      </c>
      <c r="M199" s="260" t="str">
        <f t="shared" si="70"/>
        <v/>
      </c>
      <c r="N199" s="260" t="str">
        <f t="shared" si="71"/>
        <v/>
      </c>
      <c r="O199" s="260" t="str">
        <f t="shared" si="105"/>
        <v/>
      </c>
      <c r="P199" s="175" t="str">
        <f t="shared" si="72"/>
        <v/>
      </c>
      <c r="Q199" s="165" t="str">
        <f>IF(B199=FALSE,"",Angle_3!B35)</f>
        <v/>
      </c>
      <c r="R199" s="165" t="str">
        <f>IF(B199=FALSE,"",Angle_3!D35)</f>
        <v/>
      </c>
      <c r="S199" s="261" t="str">
        <f t="shared" si="73"/>
        <v/>
      </c>
      <c r="T199" s="262" t="str">
        <f>IF(B199=FALSE,"",Calcu!O199)</f>
        <v/>
      </c>
      <c r="U199" s="179" t="str">
        <f t="shared" si="74"/>
        <v/>
      </c>
      <c r="V199" s="263" t="str">
        <f t="shared" si="75"/>
        <v/>
      </c>
      <c r="W199" s="264" t="str">
        <f t="shared" si="76"/>
        <v/>
      </c>
      <c r="X199" s="165" t="str">
        <f t="shared" si="77"/>
        <v/>
      </c>
      <c r="Y199" s="165" t="str">
        <f t="shared" si="78"/>
        <v/>
      </c>
      <c r="Z199" s="165" t="str">
        <f t="shared" si="79"/>
        <v/>
      </c>
      <c r="AA199" s="122"/>
      <c r="AB199" s="165" t="e">
        <f ca="1">IF(Angle_3!J12&lt;0,ROUNDUP(Angle_3!J12,J$224),ROUNDDOWN(Angle_3!J12,J$224))</f>
        <v>#N/A</v>
      </c>
      <c r="AC199" s="165" t="e">
        <f ca="1">IF(Angle_3!K12&lt;0,ROUNDDOWN(Angle_3!K12,J$224),ROUNDUP(Angle_3!K12,J$224))</f>
        <v>#N/A</v>
      </c>
      <c r="AD199" s="165" t="str">
        <f t="shared" si="80"/>
        <v/>
      </c>
      <c r="AE199" s="168" t="e">
        <f t="shared" ca="1" si="81"/>
        <v>#N/A</v>
      </c>
      <c r="AF199" s="168" t="e">
        <f t="shared" ca="1" si="82"/>
        <v>#N/A</v>
      </c>
      <c r="AG199" s="165" t="e">
        <f t="shared" ca="1" si="83"/>
        <v>#N/A</v>
      </c>
      <c r="AH199" s="165" t="e">
        <f t="shared" ca="1" si="106"/>
        <v>#N/A</v>
      </c>
      <c r="AI199" s="165" t="str">
        <f t="shared" si="107"/>
        <v/>
      </c>
      <c r="AJ199" s="165" t="e">
        <f t="shared" ca="1" si="84"/>
        <v>#N/A</v>
      </c>
      <c r="AL199" s="165" t="str">
        <f t="shared" si="85"/>
        <v/>
      </c>
      <c r="AM199" s="165" t="str">
        <f t="shared" si="86"/>
        <v/>
      </c>
      <c r="AN199" s="165" t="str">
        <f t="shared" si="87"/>
        <v/>
      </c>
      <c r="AO199" s="165" t="str">
        <f t="shared" si="88"/>
        <v/>
      </c>
      <c r="AP199" s="165" t="str">
        <f t="shared" si="89"/>
        <v/>
      </c>
      <c r="AQ199" s="165" t="str">
        <f t="shared" si="90"/>
        <v/>
      </c>
      <c r="AR199" s="165" t="str">
        <f t="shared" si="91"/>
        <v/>
      </c>
      <c r="AS199" s="165" t="str">
        <f t="shared" si="92"/>
        <v/>
      </c>
      <c r="AT199" s="165" t="str">
        <f t="shared" si="93"/>
        <v/>
      </c>
      <c r="AU199" s="165" t="str">
        <f t="shared" si="94"/>
        <v/>
      </c>
      <c r="AV199" s="165" t="str">
        <f t="shared" si="95"/>
        <v/>
      </c>
      <c r="AW199" s="165" t="str">
        <f t="shared" si="96"/>
        <v/>
      </c>
      <c r="AX199" s="165" t="str">
        <f t="shared" si="97"/>
        <v/>
      </c>
      <c r="AY199" s="165" t="str">
        <f t="shared" si="98"/>
        <v/>
      </c>
      <c r="AZ199" s="165" t="str">
        <f t="shared" si="99"/>
        <v/>
      </c>
      <c r="BA199" s="165" t="str">
        <f t="shared" si="100"/>
        <v/>
      </c>
      <c r="BB199" s="165" t="str">
        <f t="shared" si="101"/>
        <v/>
      </c>
      <c r="BC199" s="165" t="str">
        <f t="shared" si="102"/>
        <v/>
      </c>
      <c r="BD199" s="165" t="str">
        <f t="shared" si="108"/>
        <v/>
      </c>
      <c r="BE199" s="165" t="str">
        <f t="shared" si="103"/>
        <v/>
      </c>
      <c r="BF199" s="165" t="str">
        <f t="shared" si="103"/>
        <v/>
      </c>
      <c r="BG199" s="165" t="str">
        <f t="shared" si="103"/>
        <v/>
      </c>
      <c r="BH199" s="165" t="str">
        <f t="shared" si="103"/>
        <v/>
      </c>
      <c r="BI199" s="165" t="str">
        <f t="shared" si="104"/>
        <v/>
      </c>
    </row>
    <row r="200" spans="2:61" ht="15" customHeight="1">
      <c r="B200" s="171" t="b">
        <f>IF(TRIM(Angle_3!A13)="",FALSE,TRUE)</f>
        <v>0</v>
      </c>
      <c r="C200" s="165" t="str">
        <f>IF($B200=FALSE,"",VALUE(Angle_3!A13))</f>
        <v/>
      </c>
      <c r="D200" s="165" t="str">
        <f>IF($B200=FALSE,"",Angle_3!B13)</f>
        <v/>
      </c>
      <c r="E200" s="171" t="str">
        <f>IF(B200=FALSE,"",Angle_3!M13)</f>
        <v/>
      </c>
      <c r="F200" s="171" t="str">
        <f>IF(B200=FALSE,"",Angle_3!N13)</f>
        <v/>
      </c>
      <c r="G200" s="171" t="str">
        <f>IF(B200=FALSE,"",Angle_3!O13)</f>
        <v/>
      </c>
      <c r="H200" s="171" t="str">
        <f>IF(B200=FALSE,"",Angle_3!P13)</f>
        <v/>
      </c>
      <c r="I200" s="171" t="str">
        <f>IF(B200=FALSE,"",Angle_3!Q13)</f>
        <v/>
      </c>
      <c r="J200" s="260" t="str">
        <f t="shared" si="67"/>
        <v/>
      </c>
      <c r="K200" s="260" t="str">
        <f t="shared" si="68"/>
        <v/>
      </c>
      <c r="L200" s="260" t="str">
        <f t="shared" si="69"/>
        <v/>
      </c>
      <c r="M200" s="260" t="str">
        <f t="shared" si="70"/>
        <v/>
      </c>
      <c r="N200" s="260" t="str">
        <f t="shared" si="71"/>
        <v/>
      </c>
      <c r="O200" s="260" t="str">
        <f t="shared" si="105"/>
        <v/>
      </c>
      <c r="P200" s="175" t="str">
        <f t="shared" si="72"/>
        <v/>
      </c>
      <c r="Q200" s="165" t="str">
        <f>IF(B200=FALSE,"",Angle_3!B36)</f>
        <v/>
      </c>
      <c r="R200" s="165" t="str">
        <f>IF(B200=FALSE,"",Angle_3!D36)</f>
        <v/>
      </c>
      <c r="S200" s="261" t="str">
        <f t="shared" si="73"/>
        <v/>
      </c>
      <c r="T200" s="262" t="str">
        <f>IF(B200=FALSE,"",Calcu!O200)</f>
        <v/>
      </c>
      <c r="U200" s="179" t="str">
        <f t="shared" si="74"/>
        <v/>
      </c>
      <c r="V200" s="263" t="str">
        <f t="shared" si="75"/>
        <v/>
      </c>
      <c r="W200" s="264" t="str">
        <f t="shared" si="76"/>
        <v/>
      </c>
      <c r="X200" s="165" t="str">
        <f t="shared" si="77"/>
        <v/>
      </c>
      <c r="Y200" s="165" t="str">
        <f t="shared" si="78"/>
        <v/>
      </c>
      <c r="Z200" s="165" t="str">
        <f t="shared" si="79"/>
        <v/>
      </c>
      <c r="AA200" s="122"/>
      <c r="AB200" s="165" t="e">
        <f ca="1">IF(Angle_3!J13&lt;0,ROUNDUP(Angle_3!J13,J$224),ROUNDDOWN(Angle_3!J13,J$224))</f>
        <v>#N/A</v>
      </c>
      <c r="AC200" s="165" t="e">
        <f ca="1">IF(Angle_3!K13&lt;0,ROUNDDOWN(Angle_3!K13,J$224),ROUNDUP(Angle_3!K13,J$224))</f>
        <v>#N/A</v>
      </c>
      <c r="AD200" s="165" t="str">
        <f t="shared" si="80"/>
        <v/>
      </c>
      <c r="AE200" s="168" t="e">
        <f t="shared" ca="1" si="81"/>
        <v>#N/A</v>
      </c>
      <c r="AF200" s="168" t="e">
        <f t="shared" ca="1" si="82"/>
        <v>#N/A</v>
      </c>
      <c r="AG200" s="165" t="e">
        <f t="shared" ca="1" si="83"/>
        <v>#N/A</v>
      </c>
      <c r="AH200" s="165" t="e">
        <f t="shared" ca="1" si="106"/>
        <v>#N/A</v>
      </c>
      <c r="AI200" s="165" t="str">
        <f t="shared" si="107"/>
        <v/>
      </c>
      <c r="AJ200" s="165" t="e">
        <f t="shared" ca="1" si="84"/>
        <v>#N/A</v>
      </c>
      <c r="AL200" s="165" t="str">
        <f t="shared" si="85"/>
        <v/>
      </c>
      <c r="AM200" s="165" t="str">
        <f t="shared" si="86"/>
        <v/>
      </c>
      <c r="AN200" s="165" t="str">
        <f t="shared" si="87"/>
        <v/>
      </c>
      <c r="AO200" s="165" t="str">
        <f t="shared" si="88"/>
        <v/>
      </c>
      <c r="AP200" s="165" t="str">
        <f t="shared" si="89"/>
        <v/>
      </c>
      <c r="AQ200" s="165" t="str">
        <f t="shared" si="90"/>
        <v/>
      </c>
      <c r="AR200" s="165" t="str">
        <f t="shared" si="91"/>
        <v/>
      </c>
      <c r="AS200" s="165" t="str">
        <f t="shared" si="92"/>
        <v/>
      </c>
      <c r="AT200" s="165" t="str">
        <f t="shared" si="93"/>
        <v/>
      </c>
      <c r="AU200" s="165" t="str">
        <f t="shared" si="94"/>
        <v/>
      </c>
      <c r="AV200" s="165" t="str">
        <f t="shared" si="95"/>
        <v/>
      </c>
      <c r="AW200" s="165" t="str">
        <f t="shared" si="96"/>
        <v/>
      </c>
      <c r="AX200" s="165" t="str">
        <f t="shared" si="97"/>
        <v/>
      </c>
      <c r="AY200" s="165" t="str">
        <f t="shared" si="98"/>
        <v/>
      </c>
      <c r="AZ200" s="165" t="str">
        <f t="shared" si="99"/>
        <v/>
      </c>
      <c r="BA200" s="165" t="str">
        <f t="shared" si="100"/>
        <v/>
      </c>
      <c r="BB200" s="165" t="str">
        <f t="shared" si="101"/>
        <v/>
      </c>
      <c r="BC200" s="165" t="str">
        <f t="shared" si="102"/>
        <v/>
      </c>
      <c r="BD200" s="165" t="str">
        <f t="shared" si="108"/>
        <v/>
      </c>
      <c r="BE200" s="165" t="str">
        <f t="shared" si="103"/>
        <v/>
      </c>
      <c r="BF200" s="165" t="str">
        <f t="shared" si="103"/>
        <v/>
      </c>
      <c r="BG200" s="165" t="str">
        <f t="shared" si="103"/>
        <v/>
      </c>
      <c r="BH200" s="165" t="str">
        <f t="shared" si="103"/>
        <v/>
      </c>
      <c r="BI200" s="165" t="str">
        <f t="shared" si="104"/>
        <v/>
      </c>
    </row>
    <row r="201" spans="2:61" ht="15" customHeight="1">
      <c r="B201" s="171" t="b">
        <f>IF(TRIM(Angle_3!A14)="",FALSE,TRUE)</f>
        <v>0</v>
      </c>
      <c r="C201" s="165" t="str">
        <f>IF($B201=FALSE,"",VALUE(Angle_3!A14))</f>
        <v/>
      </c>
      <c r="D201" s="165" t="str">
        <f>IF($B201=FALSE,"",Angle_3!B14)</f>
        <v/>
      </c>
      <c r="E201" s="171" t="str">
        <f>IF(B201=FALSE,"",Angle_3!M14)</f>
        <v/>
      </c>
      <c r="F201" s="171" t="str">
        <f>IF(B201=FALSE,"",Angle_3!N14)</f>
        <v/>
      </c>
      <c r="G201" s="171" t="str">
        <f>IF(B201=FALSE,"",Angle_3!O14)</f>
        <v/>
      </c>
      <c r="H201" s="171" t="str">
        <f>IF(B201=FALSE,"",Angle_3!P14)</f>
        <v/>
      </c>
      <c r="I201" s="171" t="str">
        <f>IF(B201=FALSE,"",Angle_3!Q14)</f>
        <v/>
      </c>
      <c r="J201" s="260" t="str">
        <f t="shared" si="67"/>
        <v/>
      </c>
      <c r="K201" s="260" t="str">
        <f t="shared" si="68"/>
        <v/>
      </c>
      <c r="L201" s="260" t="str">
        <f t="shared" si="69"/>
        <v/>
      </c>
      <c r="M201" s="260" t="str">
        <f t="shared" si="70"/>
        <v/>
      </c>
      <c r="N201" s="260" t="str">
        <f t="shared" si="71"/>
        <v/>
      </c>
      <c r="O201" s="260" t="str">
        <f t="shared" si="105"/>
        <v/>
      </c>
      <c r="P201" s="175" t="str">
        <f t="shared" si="72"/>
        <v/>
      </c>
      <c r="Q201" s="165" t="str">
        <f>IF(B201=FALSE,"",Angle_3!B37)</f>
        <v/>
      </c>
      <c r="R201" s="165" t="str">
        <f>IF(B201=FALSE,"",Angle_3!D37)</f>
        <v/>
      </c>
      <c r="S201" s="261" t="str">
        <f t="shared" si="73"/>
        <v/>
      </c>
      <c r="T201" s="262" t="str">
        <f>IF(B201=FALSE,"",Calcu!O201)</f>
        <v/>
      </c>
      <c r="U201" s="179" t="str">
        <f t="shared" si="74"/>
        <v/>
      </c>
      <c r="V201" s="263" t="str">
        <f t="shared" si="75"/>
        <v/>
      </c>
      <c r="W201" s="264" t="str">
        <f t="shared" si="76"/>
        <v/>
      </c>
      <c r="X201" s="165" t="str">
        <f t="shared" si="77"/>
        <v/>
      </c>
      <c r="Y201" s="165" t="str">
        <f t="shared" si="78"/>
        <v/>
      </c>
      <c r="Z201" s="165" t="str">
        <f t="shared" si="79"/>
        <v/>
      </c>
      <c r="AA201" s="122"/>
      <c r="AB201" s="165" t="e">
        <f ca="1">IF(Angle_3!J14&lt;0,ROUNDUP(Angle_3!J14,J$224),ROUNDDOWN(Angle_3!J14,J$224))</f>
        <v>#N/A</v>
      </c>
      <c r="AC201" s="165" t="e">
        <f ca="1">IF(Angle_3!K14&lt;0,ROUNDDOWN(Angle_3!K14,J$224),ROUNDUP(Angle_3!K14,J$224))</f>
        <v>#N/A</v>
      </c>
      <c r="AD201" s="165" t="str">
        <f t="shared" si="80"/>
        <v/>
      </c>
      <c r="AE201" s="168" t="e">
        <f t="shared" ca="1" si="81"/>
        <v>#N/A</v>
      </c>
      <c r="AF201" s="168" t="e">
        <f t="shared" ca="1" si="82"/>
        <v>#N/A</v>
      </c>
      <c r="AG201" s="165" t="e">
        <f t="shared" ca="1" si="83"/>
        <v>#N/A</v>
      </c>
      <c r="AH201" s="165" t="e">
        <f t="shared" ca="1" si="106"/>
        <v>#N/A</v>
      </c>
      <c r="AI201" s="165" t="str">
        <f t="shared" si="107"/>
        <v/>
      </c>
      <c r="AJ201" s="165" t="e">
        <f t="shared" ca="1" si="84"/>
        <v>#N/A</v>
      </c>
      <c r="AL201" s="165" t="str">
        <f t="shared" si="85"/>
        <v/>
      </c>
      <c r="AM201" s="165" t="str">
        <f t="shared" si="86"/>
        <v/>
      </c>
      <c r="AN201" s="165" t="str">
        <f t="shared" si="87"/>
        <v/>
      </c>
      <c r="AO201" s="165" t="str">
        <f t="shared" si="88"/>
        <v/>
      </c>
      <c r="AP201" s="165" t="str">
        <f t="shared" si="89"/>
        <v/>
      </c>
      <c r="AQ201" s="165" t="str">
        <f t="shared" si="90"/>
        <v/>
      </c>
      <c r="AR201" s="165" t="str">
        <f t="shared" si="91"/>
        <v/>
      </c>
      <c r="AS201" s="165" t="str">
        <f t="shared" si="92"/>
        <v/>
      </c>
      <c r="AT201" s="165" t="str">
        <f t="shared" si="93"/>
        <v/>
      </c>
      <c r="AU201" s="165" t="str">
        <f t="shared" si="94"/>
        <v/>
      </c>
      <c r="AV201" s="165" t="str">
        <f t="shared" si="95"/>
        <v/>
      </c>
      <c r="AW201" s="165" t="str">
        <f t="shared" si="96"/>
        <v/>
      </c>
      <c r="AX201" s="165" t="str">
        <f t="shared" si="97"/>
        <v/>
      </c>
      <c r="AY201" s="165" t="str">
        <f t="shared" si="98"/>
        <v/>
      </c>
      <c r="AZ201" s="165" t="str">
        <f t="shared" si="99"/>
        <v/>
      </c>
      <c r="BA201" s="165" t="str">
        <f t="shared" si="100"/>
        <v/>
      </c>
      <c r="BB201" s="165" t="str">
        <f t="shared" si="101"/>
        <v/>
      </c>
      <c r="BC201" s="165" t="str">
        <f t="shared" si="102"/>
        <v/>
      </c>
      <c r="BD201" s="165" t="str">
        <f t="shared" si="108"/>
        <v/>
      </c>
      <c r="BE201" s="165" t="str">
        <f t="shared" si="103"/>
        <v/>
      </c>
      <c r="BF201" s="165" t="str">
        <f t="shared" si="103"/>
        <v/>
      </c>
      <c r="BG201" s="165" t="str">
        <f t="shared" si="103"/>
        <v/>
      </c>
      <c r="BH201" s="165" t="str">
        <f t="shared" si="103"/>
        <v/>
      </c>
      <c r="BI201" s="165" t="str">
        <f t="shared" si="104"/>
        <v/>
      </c>
    </row>
    <row r="202" spans="2:61" ht="15" customHeight="1">
      <c r="B202" s="171" t="b">
        <f>IF(TRIM(Angle_3!A15)="",FALSE,TRUE)</f>
        <v>0</v>
      </c>
      <c r="C202" s="165" t="str">
        <f>IF($B202=FALSE,"",VALUE(Angle_3!A15))</f>
        <v/>
      </c>
      <c r="D202" s="165" t="str">
        <f>IF($B202=FALSE,"",Angle_3!B15)</f>
        <v/>
      </c>
      <c r="E202" s="171" t="str">
        <f>IF(B202=FALSE,"",Angle_3!M15)</f>
        <v/>
      </c>
      <c r="F202" s="171" t="str">
        <f>IF(B202=FALSE,"",Angle_3!N15)</f>
        <v/>
      </c>
      <c r="G202" s="171" t="str">
        <f>IF(B202=FALSE,"",Angle_3!O15)</f>
        <v/>
      </c>
      <c r="H202" s="171" t="str">
        <f>IF(B202=FALSE,"",Angle_3!P15)</f>
        <v/>
      </c>
      <c r="I202" s="171" t="str">
        <f>IF(B202=FALSE,"",Angle_3!Q15)</f>
        <v/>
      </c>
      <c r="J202" s="260" t="str">
        <f t="shared" si="67"/>
        <v/>
      </c>
      <c r="K202" s="260" t="str">
        <f t="shared" si="68"/>
        <v/>
      </c>
      <c r="L202" s="260" t="str">
        <f t="shared" si="69"/>
        <v/>
      </c>
      <c r="M202" s="260" t="str">
        <f t="shared" si="70"/>
        <v/>
      </c>
      <c r="N202" s="260" t="str">
        <f t="shared" si="71"/>
        <v/>
      </c>
      <c r="O202" s="260" t="str">
        <f t="shared" si="105"/>
        <v/>
      </c>
      <c r="P202" s="175" t="str">
        <f t="shared" si="72"/>
        <v/>
      </c>
      <c r="Q202" s="165" t="str">
        <f>IF(B202=FALSE,"",Angle_3!B38)</f>
        <v/>
      </c>
      <c r="R202" s="165" t="str">
        <f>IF(B202=FALSE,"",Angle_3!D38)</f>
        <v/>
      </c>
      <c r="S202" s="261" t="str">
        <f t="shared" si="73"/>
        <v/>
      </c>
      <c r="T202" s="262" t="str">
        <f>IF(B202=FALSE,"",Calcu!O202)</f>
        <v/>
      </c>
      <c r="U202" s="179" t="str">
        <f t="shared" si="74"/>
        <v/>
      </c>
      <c r="V202" s="263" t="str">
        <f t="shared" si="75"/>
        <v/>
      </c>
      <c r="W202" s="264" t="str">
        <f t="shared" si="76"/>
        <v/>
      </c>
      <c r="X202" s="165" t="str">
        <f t="shared" si="77"/>
        <v/>
      </c>
      <c r="Y202" s="165" t="str">
        <f t="shared" si="78"/>
        <v/>
      </c>
      <c r="Z202" s="165" t="str">
        <f t="shared" si="79"/>
        <v/>
      </c>
      <c r="AA202" s="122"/>
      <c r="AB202" s="165" t="e">
        <f ca="1">IF(Angle_3!J15&lt;0,ROUNDUP(Angle_3!J15,J$224),ROUNDDOWN(Angle_3!J15,J$224))</f>
        <v>#N/A</v>
      </c>
      <c r="AC202" s="165" t="e">
        <f ca="1">IF(Angle_3!K15&lt;0,ROUNDDOWN(Angle_3!K15,J$224),ROUNDUP(Angle_3!K15,J$224))</f>
        <v>#N/A</v>
      </c>
      <c r="AD202" s="165" t="str">
        <f t="shared" si="80"/>
        <v/>
      </c>
      <c r="AE202" s="168" t="e">
        <f t="shared" ca="1" si="81"/>
        <v>#N/A</v>
      </c>
      <c r="AF202" s="168" t="e">
        <f t="shared" ca="1" si="82"/>
        <v>#N/A</v>
      </c>
      <c r="AG202" s="165" t="e">
        <f t="shared" ca="1" si="83"/>
        <v>#N/A</v>
      </c>
      <c r="AH202" s="165" t="e">
        <f t="shared" ca="1" si="106"/>
        <v>#N/A</v>
      </c>
      <c r="AI202" s="165" t="str">
        <f t="shared" si="107"/>
        <v/>
      </c>
      <c r="AJ202" s="165" t="e">
        <f t="shared" ca="1" si="84"/>
        <v>#N/A</v>
      </c>
      <c r="AL202" s="165" t="str">
        <f t="shared" si="85"/>
        <v/>
      </c>
      <c r="AM202" s="165" t="str">
        <f t="shared" si="86"/>
        <v/>
      </c>
      <c r="AN202" s="165" t="str">
        <f t="shared" si="87"/>
        <v/>
      </c>
      <c r="AO202" s="165" t="str">
        <f t="shared" si="88"/>
        <v/>
      </c>
      <c r="AP202" s="165" t="str">
        <f t="shared" si="89"/>
        <v/>
      </c>
      <c r="AQ202" s="165" t="str">
        <f t="shared" si="90"/>
        <v/>
      </c>
      <c r="AR202" s="165" t="str">
        <f t="shared" si="91"/>
        <v/>
      </c>
      <c r="AS202" s="165" t="str">
        <f t="shared" si="92"/>
        <v/>
      </c>
      <c r="AT202" s="165" t="str">
        <f t="shared" si="93"/>
        <v/>
      </c>
      <c r="AU202" s="165" t="str">
        <f t="shared" si="94"/>
        <v/>
      </c>
      <c r="AV202" s="165" t="str">
        <f t="shared" si="95"/>
        <v/>
      </c>
      <c r="AW202" s="165" t="str">
        <f t="shared" si="96"/>
        <v/>
      </c>
      <c r="AX202" s="165" t="str">
        <f t="shared" si="97"/>
        <v/>
      </c>
      <c r="AY202" s="165" t="str">
        <f t="shared" si="98"/>
        <v/>
      </c>
      <c r="AZ202" s="165" t="str">
        <f t="shared" si="99"/>
        <v/>
      </c>
      <c r="BA202" s="165" t="str">
        <f t="shared" si="100"/>
        <v/>
      </c>
      <c r="BB202" s="165" t="str">
        <f t="shared" si="101"/>
        <v/>
      </c>
      <c r="BC202" s="165" t="str">
        <f t="shared" si="102"/>
        <v/>
      </c>
      <c r="BD202" s="165" t="str">
        <f t="shared" si="108"/>
        <v/>
      </c>
      <c r="BE202" s="165" t="str">
        <f t="shared" si="103"/>
        <v/>
      </c>
      <c r="BF202" s="165" t="str">
        <f t="shared" si="103"/>
        <v/>
      </c>
      <c r="BG202" s="165" t="str">
        <f t="shared" si="103"/>
        <v/>
      </c>
      <c r="BH202" s="165" t="str">
        <f t="shared" si="103"/>
        <v/>
      </c>
      <c r="BI202" s="165" t="str">
        <f t="shared" si="104"/>
        <v/>
      </c>
    </row>
    <row r="203" spans="2:61" ht="15" customHeight="1">
      <c r="B203" s="171" t="b">
        <f>IF(TRIM(Angle_3!A16)="",FALSE,TRUE)</f>
        <v>0</v>
      </c>
      <c r="C203" s="165" t="str">
        <f>IF($B203=FALSE,"",VALUE(Angle_3!A16))</f>
        <v/>
      </c>
      <c r="D203" s="165" t="str">
        <f>IF($B203=FALSE,"",Angle_3!B16)</f>
        <v/>
      </c>
      <c r="E203" s="171" t="str">
        <f>IF(B203=FALSE,"",Angle_3!M16)</f>
        <v/>
      </c>
      <c r="F203" s="171" t="str">
        <f>IF(B203=FALSE,"",Angle_3!N16)</f>
        <v/>
      </c>
      <c r="G203" s="171" t="str">
        <f>IF(B203=FALSE,"",Angle_3!O16)</f>
        <v/>
      </c>
      <c r="H203" s="171" t="str">
        <f>IF(B203=FALSE,"",Angle_3!P16)</f>
        <v/>
      </c>
      <c r="I203" s="171" t="str">
        <f>IF(B203=FALSE,"",Angle_3!Q16)</f>
        <v/>
      </c>
      <c r="J203" s="260" t="str">
        <f t="shared" si="67"/>
        <v/>
      </c>
      <c r="K203" s="260" t="str">
        <f t="shared" si="68"/>
        <v/>
      </c>
      <c r="L203" s="260" t="str">
        <f t="shared" si="69"/>
        <v/>
      </c>
      <c r="M203" s="260" t="str">
        <f t="shared" si="70"/>
        <v/>
      </c>
      <c r="N203" s="260" t="str">
        <f t="shared" si="71"/>
        <v/>
      </c>
      <c r="O203" s="260" t="str">
        <f t="shared" si="105"/>
        <v/>
      </c>
      <c r="P203" s="175" t="str">
        <f t="shared" si="72"/>
        <v/>
      </c>
      <c r="Q203" s="165" t="str">
        <f>IF(B203=FALSE,"",Angle_3!B39)</f>
        <v/>
      </c>
      <c r="R203" s="165" t="str">
        <f>IF(B203=FALSE,"",Angle_3!D39)</f>
        <v/>
      </c>
      <c r="S203" s="261" t="str">
        <f t="shared" si="73"/>
        <v/>
      </c>
      <c r="T203" s="262" t="str">
        <f>IF(B203=FALSE,"",Calcu!O203)</f>
        <v/>
      </c>
      <c r="U203" s="179" t="str">
        <f t="shared" si="74"/>
        <v/>
      </c>
      <c r="V203" s="263" t="str">
        <f t="shared" si="75"/>
        <v/>
      </c>
      <c r="W203" s="264" t="str">
        <f t="shared" si="76"/>
        <v/>
      </c>
      <c r="X203" s="165" t="str">
        <f t="shared" si="77"/>
        <v/>
      </c>
      <c r="Y203" s="165" t="str">
        <f t="shared" si="78"/>
        <v/>
      </c>
      <c r="Z203" s="165" t="str">
        <f t="shared" si="79"/>
        <v/>
      </c>
      <c r="AA203" s="122"/>
      <c r="AB203" s="165" t="e">
        <f ca="1">IF(Angle_3!J16&lt;0,ROUNDUP(Angle_3!J16,J$224),ROUNDDOWN(Angle_3!J16,J$224))</f>
        <v>#N/A</v>
      </c>
      <c r="AC203" s="165" t="e">
        <f ca="1">IF(Angle_3!K16&lt;0,ROUNDDOWN(Angle_3!K16,J$224),ROUNDUP(Angle_3!K16,J$224))</f>
        <v>#N/A</v>
      </c>
      <c r="AD203" s="165" t="str">
        <f t="shared" si="80"/>
        <v/>
      </c>
      <c r="AE203" s="168" t="e">
        <f t="shared" ca="1" si="81"/>
        <v>#N/A</v>
      </c>
      <c r="AF203" s="168" t="e">
        <f t="shared" ca="1" si="82"/>
        <v>#N/A</v>
      </c>
      <c r="AG203" s="165" t="e">
        <f t="shared" ca="1" si="83"/>
        <v>#N/A</v>
      </c>
      <c r="AH203" s="165" t="e">
        <f t="shared" ca="1" si="106"/>
        <v>#N/A</v>
      </c>
      <c r="AI203" s="165" t="str">
        <f t="shared" si="107"/>
        <v/>
      </c>
      <c r="AJ203" s="165" t="e">
        <f t="shared" ca="1" si="84"/>
        <v>#N/A</v>
      </c>
      <c r="AL203" s="165" t="str">
        <f t="shared" si="85"/>
        <v/>
      </c>
      <c r="AM203" s="165" t="str">
        <f t="shared" si="86"/>
        <v/>
      </c>
      <c r="AN203" s="165" t="str">
        <f t="shared" si="87"/>
        <v/>
      </c>
      <c r="AO203" s="165" t="str">
        <f t="shared" si="88"/>
        <v/>
      </c>
      <c r="AP203" s="165" t="str">
        <f t="shared" si="89"/>
        <v/>
      </c>
      <c r="AQ203" s="165" t="str">
        <f t="shared" si="90"/>
        <v/>
      </c>
      <c r="AR203" s="165" t="str">
        <f t="shared" si="91"/>
        <v/>
      </c>
      <c r="AS203" s="165" t="str">
        <f t="shared" si="92"/>
        <v/>
      </c>
      <c r="AT203" s="165" t="str">
        <f t="shared" si="93"/>
        <v/>
      </c>
      <c r="AU203" s="165" t="str">
        <f t="shared" si="94"/>
        <v/>
      </c>
      <c r="AV203" s="165" t="str">
        <f t="shared" si="95"/>
        <v/>
      </c>
      <c r="AW203" s="165" t="str">
        <f t="shared" si="96"/>
        <v/>
      </c>
      <c r="AX203" s="165" t="str">
        <f t="shared" si="97"/>
        <v/>
      </c>
      <c r="AY203" s="165" t="str">
        <f t="shared" si="98"/>
        <v/>
      </c>
      <c r="AZ203" s="165" t="str">
        <f t="shared" si="99"/>
        <v/>
      </c>
      <c r="BA203" s="165" t="str">
        <f t="shared" si="100"/>
        <v/>
      </c>
      <c r="BB203" s="165" t="str">
        <f t="shared" si="101"/>
        <v/>
      </c>
      <c r="BC203" s="165" t="str">
        <f t="shared" si="102"/>
        <v/>
      </c>
      <c r="BD203" s="165" t="str">
        <f t="shared" si="108"/>
        <v/>
      </c>
      <c r="BE203" s="165" t="str">
        <f t="shared" si="103"/>
        <v/>
      </c>
      <c r="BF203" s="165" t="str">
        <f t="shared" si="103"/>
        <v/>
      </c>
      <c r="BG203" s="165" t="str">
        <f t="shared" si="103"/>
        <v/>
      </c>
      <c r="BH203" s="165" t="str">
        <f t="shared" si="103"/>
        <v/>
      </c>
      <c r="BI203" s="165" t="str">
        <f t="shared" si="104"/>
        <v/>
      </c>
    </row>
    <row r="204" spans="2:61" ht="15" customHeight="1">
      <c r="B204" s="171" t="b">
        <f>IF(TRIM(Angle_3!A17)="",FALSE,TRUE)</f>
        <v>0</v>
      </c>
      <c r="C204" s="165" t="str">
        <f>IF($B204=FALSE,"",VALUE(Angle_3!A17))</f>
        <v/>
      </c>
      <c r="D204" s="165" t="str">
        <f>IF($B204=FALSE,"",Angle_3!B17)</f>
        <v/>
      </c>
      <c r="E204" s="171" t="str">
        <f>IF(B204=FALSE,"",Angle_3!M17)</f>
        <v/>
      </c>
      <c r="F204" s="171" t="str">
        <f>IF(B204=FALSE,"",Angle_3!N17)</f>
        <v/>
      </c>
      <c r="G204" s="171" t="str">
        <f>IF(B204=FALSE,"",Angle_3!O17)</f>
        <v/>
      </c>
      <c r="H204" s="171" t="str">
        <f>IF(B204=FALSE,"",Angle_3!P17)</f>
        <v/>
      </c>
      <c r="I204" s="171" t="str">
        <f>IF(B204=FALSE,"",Angle_3!Q17)</f>
        <v/>
      </c>
      <c r="J204" s="260" t="str">
        <f t="shared" si="67"/>
        <v/>
      </c>
      <c r="K204" s="260" t="str">
        <f t="shared" si="68"/>
        <v/>
      </c>
      <c r="L204" s="260" t="str">
        <f t="shared" si="69"/>
        <v/>
      </c>
      <c r="M204" s="260" t="str">
        <f t="shared" si="70"/>
        <v/>
      </c>
      <c r="N204" s="260" t="str">
        <f t="shared" si="71"/>
        <v/>
      </c>
      <c r="O204" s="260" t="str">
        <f t="shared" si="105"/>
        <v/>
      </c>
      <c r="P204" s="175" t="str">
        <f t="shared" si="72"/>
        <v/>
      </c>
      <c r="Q204" s="165" t="str">
        <f>IF(B204=FALSE,"",Angle_3!B40)</f>
        <v/>
      </c>
      <c r="R204" s="165" t="str">
        <f>IF(B204=FALSE,"",Angle_3!D40)</f>
        <v/>
      </c>
      <c r="S204" s="261" t="str">
        <f t="shared" si="73"/>
        <v/>
      </c>
      <c r="T204" s="262" t="str">
        <f>IF(B204=FALSE,"",Calcu!O204)</f>
        <v/>
      </c>
      <c r="U204" s="179" t="str">
        <f t="shared" si="74"/>
        <v/>
      </c>
      <c r="V204" s="263" t="str">
        <f t="shared" si="75"/>
        <v/>
      </c>
      <c r="W204" s="264" t="str">
        <f t="shared" si="76"/>
        <v/>
      </c>
      <c r="X204" s="165" t="str">
        <f t="shared" si="77"/>
        <v/>
      </c>
      <c r="Y204" s="165" t="str">
        <f t="shared" si="78"/>
        <v/>
      </c>
      <c r="Z204" s="165" t="str">
        <f t="shared" si="79"/>
        <v/>
      </c>
      <c r="AA204" s="122"/>
      <c r="AB204" s="165" t="e">
        <f ca="1">IF(Angle_3!J17&lt;0,ROUNDUP(Angle_3!J17,J$224),ROUNDDOWN(Angle_3!J17,J$224))</f>
        <v>#N/A</v>
      </c>
      <c r="AC204" s="165" t="e">
        <f ca="1">IF(Angle_3!K17&lt;0,ROUNDDOWN(Angle_3!K17,J$224),ROUNDUP(Angle_3!K17,J$224))</f>
        <v>#N/A</v>
      </c>
      <c r="AD204" s="165" t="str">
        <f t="shared" si="80"/>
        <v/>
      </c>
      <c r="AE204" s="168" t="e">
        <f t="shared" ca="1" si="81"/>
        <v>#N/A</v>
      </c>
      <c r="AF204" s="168" t="e">
        <f t="shared" ca="1" si="82"/>
        <v>#N/A</v>
      </c>
      <c r="AG204" s="165" t="e">
        <f t="shared" ca="1" si="83"/>
        <v>#N/A</v>
      </c>
      <c r="AH204" s="165" t="e">
        <f t="shared" ca="1" si="106"/>
        <v>#N/A</v>
      </c>
      <c r="AI204" s="165" t="str">
        <f t="shared" si="107"/>
        <v/>
      </c>
      <c r="AJ204" s="165" t="e">
        <f t="shared" ca="1" si="84"/>
        <v>#N/A</v>
      </c>
      <c r="AL204" s="165" t="str">
        <f t="shared" si="85"/>
        <v/>
      </c>
      <c r="AM204" s="165" t="str">
        <f t="shared" si="86"/>
        <v/>
      </c>
      <c r="AN204" s="165" t="str">
        <f t="shared" si="87"/>
        <v/>
      </c>
      <c r="AO204" s="165" t="str">
        <f t="shared" si="88"/>
        <v/>
      </c>
      <c r="AP204" s="165" t="str">
        <f t="shared" si="89"/>
        <v/>
      </c>
      <c r="AQ204" s="165" t="str">
        <f t="shared" si="90"/>
        <v/>
      </c>
      <c r="AR204" s="165" t="str">
        <f t="shared" si="91"/>
        <v/>
      </c>
      <c r="AS204" s="165" t="str">
        <f t="shared" si="92"/>
        <v/>
      </c>
      <c r="AT204" s="165" t="str">
        <f t="shared" si="93"/>
        <v/>
      </c>
      <c r="AU204" s="165" t="str">
        <f t="shared" si="94"/>
        <v/>
      </c>
      <c r="AV204" s="165" t="str">
        <f t="shared" si="95"/>
        <v/>
      </c>
      <c r="AW204" s="165" t="str">
        <f t="shared" si="96"/>
        <v/>
      </c>
      <c r="AX204" s="165" t="str">
        <f t="shared" si="97"/>
        <v/>
      </c>
      <c r="AY204" s="165" t="str">
        <f t="shared" si="98"/>
        <v/>
      </c>
      <c r="AZ204" s="165" t="str">
        <f t="shared" si="99"/>
        <v/>
      </c>
      <c r="BA204" s="165" t="str">
        <f t="shared" si="100"/>
        <v/>
      </c>
      <c r="BB204" s="165" t="str">
        <f t="shared" si="101"/>
        <v/>
      </c>
      <c r="BC204" s="165" t="str">
        <f t="shared" si="102"/>
        <v/>
      </c>
      <c r="BD204" s="165" t="str">
        <f t="shared" si="108"/>
        <v/>
      </c>
      <c r="BE204" s="165" t="str">
        <f t="shared" si="103"/>
        <v/>
      </c>
      <c r="BF204" s="165" t="str">
        <f t="shared" si="103"/>
        <v/>
      </c>
      <c r="BG204" s="165" t="str">
        <f t="shared" si="103"/>
        <v/>
      </c>
      <c r="BH204" s="165" t="str">
        <f t="shared" si="103"/>
        <v/>
      </c>
      <c r="BI204" s="165" t="str">
        <f t="shared" si="104"/>
        <v/>
      </c>
    </row>
    <row r="205" spans="2:61" ht="15" customHeight="1">
      <c r="B205" s="171" t="b">
        <f>IF(TRIM(Angle_3!A18)="",FALSE,TRUE)</f>
        <v>0</v>
      </c>
      <c r="C205" s="165" t="str">
        <f>IF($B205=FALSE,"",VALUE(Angle_3!A18))</f>
        <v/>
      </c>
      <c r="D205" s="165" t="str">
        <f>IF($B205=FALSE,"",Angle_3!B18)</f>
        <v/>
      </c>
      <c r="E205" s="171" t="str">
        <f>IF(B205=FALSE,"",Angle_3!M18)</f>
        <v/>
      </c>
      <c r="F205" s="171" t="str">
        <f>IF(B205=FALSE,"",Angle_3!N18)</f>
        <v/>
      </c>
      <c r="G205" s="171" t="str">
        <f>IF(B205=FALSE,"",Angle_3!O18)</f>
        <v/>
      </c>
      <c r="H205" s="171" t="str">
        <f>IF(B205=FALSE,"",Angle_3!P18)</f>
        <v/>
      </c>
      <c r="I205" s="171" t="str">
        <f>IF(B205=FALSE,"",Angle_3!Q18)</f>
        <v/>
      </c>
      <c r="J205" s="260" t="str">
        <f t="shared" si="67"/>
        <v/>
      </c>
      <c r="K205" s="260" t="str">
        <f t="shared" si="68"/>
        <v/>
      </c>
      <c r="L205" s="260" t="str">
        <f t="shared" si="69"/>
        <v/>
      </c>
      <c r="M205" s="260" t="str">
        <f t="shared" si="70"/>
        <v/>
      </c>
      <c r="N205" s="260" t="str">
        <f t="shared" si="71"/>
        <v/>
      </c>
      <c r="O205" s="260" t="str">
        <f t="shared" si="105"/>
        <v/>
      </c>
      <c r="P205" s="175" t="str">
        <f t="shared" si="72"/>
        <v/>
      </c>
      <c r="Q205" s="165" t="str">
        <f>IF(B205=FALSE,"",Angle_3!B41)</f>
        <v/>
      </c>
      <c r="R205" s="165" t="str">
        <f>IF(B205=FALSE,"",Angle_3!D41)</f>
        <v/>
      </c>
      <c r="S205" s="261" t="str">
        <f t="shared" si="73"/>
        <v/>
      </c>
      <c r="T205" s="262" t="str">
        <f>IF(B205=FALSE,"",Calcu!O205)</f>
        <v/>
      </c>
      <c r="U205" s="179" t="str">
        <f t="shared" si="74"/>
        <v/>
      </c>
      <c r="V205" s="263" t="str">
        <f t="shared" si="75"/>
        <v/>
      </c>
      <c r="W205" s="264" t="str">
        <f t="shared" si="76"/>
        <v/>
      </c>
      <c r="X205" s="165" t="str">
        <f t="shared" si="77"/>
        <v/>
      </c>
      <c r="Y205" s="165" t="str">
        <f t="shared" si="78"/>
        <v/>
      </c>
      <c r="Z205" s="165" t="str">
        <f t="shared" si="79"/>
        <v/>
      </c>
      <c r="AA205" s="122"/>
      <c r="AB205" s="165" t="e">
        <f ca="1">IF(Angle_3!J18&lt;0,ROUNDUP(Angle_3!J18,J$224),ROUNDDOWN(Angle_3!J18,J$224))</f>
        <v>#N/A</v>
      </c>
      <c r="AC205" s="165" t="e">
        <f ca="1">IF(Angle_3!K18&lt;0,ROUNDDOWN(Angle_3!K18,J$224),ROUNDUP(Angle_3!K18,J$224))</f>
        <v>#N/A</v>
      </c>
      <c r="AD205" s="165" t="str">
        <f t="shared" si="80"/>
        <v/>
      </c>
      <c r="AE205" s="168" t="e">
        <f t="shared" ca="1" si="81"/>
        <v>#N/A</v>
      </c>
      <c r="AF205" s="168" t="e">
        <f t="shared" ca="1" si="82"/>
        <v>#N/A</v>
      </c>
      <c r="AG205" s="165" t="e">
        <f t="shared" ca="1" si="83"/>
        <v>#N/A</v>
      </c>
      <c r="AH205" s="165" t="e">
        <f t="shared" ca="1" si="106"/>
        <v>#N/A</v>
      </c>
      <c r="AI205" s="165" t="str">
        <f t="shared" si="107"/>
        <v/>
      </c>
      <c r="AJ205" s="165" t="e">
        <f t="shared" ca="1" si="84"/>
        <v>#N/A</v>
      </c>
      <c r="AL205" s="165" t="str">
        <f t="shared" si="85"/>
        <v/>
      </c>
      <c r="AM205" s="165" t="str">
        <f t="shared" si="86"/>
        <v/>
      </c>
      <c r="AN205" s="165" t="str">
        <f t="shared" si="87"/>
        <v/>
      </c>
      <c r="AO205" s="165" t="str">
        <f t="shared" si="88"/>
        <v/>
      </c>
      <c r="AP205" s="165" t="str">
        <f t="shared" si="89"/>
        <v/>
      </c>
      <c r="AQ205" s="165" t="str">
        <f t="shared" si="90"/>
        <v/>
      </c>
      <c r="AR205" s="165" t="str">
        <f t="shared" si="91"/>
        <v/>
      </c>
      <c r="AS205" s="165" t="str">
        <f t="shared" si="92"/>
        <v/>
      </c>
      <c r="AT205" s="165" t="str">
        <f t="shared" si="93"/>
        <v/>
      </c>
      <c r="AU205" s="165" t="str">
        <f t="shared" si="94"/>
        <v/>
      </c>
      <c r="AV205" s="165" t="str">
        <f t="shared" si="95"/>
        <v/>
      </c>
      <c r="AW205" s="165" t="str">
        <f t="shared" si="96"/>
        <v/>
      </c>
      <c r="AX205" s="165" t="str">
        <f t="shared" si="97"/>
        <v/>
      </c>
      <c r="AY205" s="165" t="str">
        <f t="shared" si="98"/>
        <v/>
      </c>
      <c r="AZ205" s="165" t="str">
        <f t="shared" si="99"/>
        <v/>
      </c>
      <c r="BA205" s="165" t="str">
        <f t="shared" si="100"/>
        <v/>
      </c>
      <c r="BB205" s="165" t="str">
        <f t="shared" si="101"/>
        <v/>
      </c>
      <c r="BC205" s="165" t="str">
        <f t="shared" si="102"/>
        <v/>
      </c>
      <c r="BD205" s="165" t="str">
        <f t="shared" si="108"/>
        <v/>
      </c>
      <c r="BE205" s="165" t="str">
        <f t="shared" si="103"/>
        <v/>
      </c>
      <c r="BF205" s="165" t="str">
        <f t="shared" si="103"/>
        <v/>
      </c>
      <c r="BG205" s="165" t="str">
        <f t="shared" si="103"/>
        <v/>
      </c>
      <c r="BH205" s="165" t="str">
        <f t="shared" si="103"/>
        <v/>
      </c>
      <c r="BI205" s="165" t="str">
        <f t="shared" si="104"/>
        <v/>
      </c>
    </row>
    <row r="206" spans="2:61" ht="15" customHeight="1">
      <c r="B206" s="171" t="b">
        <f>IF(TRIM(Angle_3!A19)="",FALSE,TRUE)</f>
        <v>0</v>
      </c>
      <c r="C206" s="165" t="str">
        <f>IF($B206=FALSE,"",VALUE(Angle_3!A19))</f>
        <v/>
      </c>
      <c r="D206" s="165" t="str">
        <f>IF($B206=FALSE,"",Angle_3!B19)</f>
        <v/>
      </c>
      <c r="E206" s="171" t="str">
        <f>IF(B206=FALSE,"",Angle_3!M19)</f>
        <v/>
      </c>
      <c r="F206" s="171" t="str">
        <f>IF(B206=FALSE,"",Angle_3!N19)</f>
        <v/>
      </c>
      <c r="G206" s="171" t="str">
        <f>IF(B206=FALSE,"",Angle_3!O19)</f>
        <v/>
      </c>
      <c r="H206" s="171" t="str">
        <f>IF(B206=FALSE,"",Angle_3!P19)</f>
        <v/>
      </c>
      <c r="I206" s="171" t="str">
        <f>IF(B206=FALSE,"",Angle_3!Q19)</f>
        <v/>
      </c>
      <c r="J206" s="260" t="str">
        <f t="shared" si="67"/>
        <v/>
      </c>
      <c r="K206" s="260" t="str">
        <f t="shared" si="68"/>
        <v/>
      </c>
      <c r="L206" s="260" t="str">
        <f t="shared" si="69"/>
        <v/>
      </c>
      <c r="M206" s="260" t="str">
        <f t="shared" si="70"/>
        <v/>
      </c>
      <c r="N206" s="260" t="str">
        <f t="shared" si="71"/>
        <v/>
      </c>
      <c r="O206" s="260" t="str">
        <f t="shared" si="105"/>
        <v/>
      </c>
      <c r="P206" s="175" t="str">
        <f t="shared" si="72"/>
        <v/>
      </c>
      <c r="Q206" s="165" t="str">
        <f>IF(B206=FALSE,"",Angle_3!B42)</f>
        <v/>
      </c>
      <c r="R206" s="165" t="str">
        <f>IF(B206=FALSE,"",Angle_3!D42)</f>
        <v/>
      </c>
      <c r="S206" s="261" t="str">
        <f t="shared" si="73"/>
        <v/>
      </c>
      <c r="T206" s="262" t="str">
        <f>IF(B206=FALSE,"",Calcu!O206)</f>
        <v/>
      </c>
      <c r="U206" s="179" t="str">
        <f t="shared" si="74"/>
        <v/>
      </c>
      <c r="V206" s="263" t="str">
        <f t="shared" si="75"/>
        <v/>
      </c>
      <c r="W206" s="264" t="str">
        <f t="shared" si="76"/>
        <v/>
      </c>
      <c r="X206" s="165" t="str">
        <f t="shared" si="77"/>
        <v/>
      </c>
      <c r="Y206" s="165" t="str">
        <f t="shared" si="78"/>
        <v/>
      </c>
      <c r="Z206" s="165" t="str">
        <f t="shared" si="79"/>
        <v/>
      </c>
      <c r="AA206" s="122"/>
      <c r="AB206" s="165" t="e">
        <f ca="1">IF(Angle_3!J19&lt;0,ROUNDUP(Angle_3!J19,J$224),ROUNDDOWN(Angle_3!J19,J$224))</f>
        <v>#N/A</v>
      </c>
      <c r="AC206" s="165" t="e">
        <f ca="1">IF(Angle_3!K19&lt;0,ROUNDDOWN(Angle_3!K19,J$224),ROUNDUP(Angle_3!K19,J$224))</f>
        <v>#N/A</v>
      </c>
      <c r="AD206" s="165" t="str">
        <f t="shared" si="80"/>
        <v/>
      </c>
      <c r="AE206" s="168" t="e">
        <f t="shared" ca="1" si="81"/>
        <v>#N/A</v>
      </c>
      <c r="AF206" s="168" t="e">
        <f t="shared" ca="1" si="82"/>
        <v>#N/A</v>
      </c>
      <c r="AG206" s="165" t="e">
        <f t="shared" ca="1" si="83"/>
        <v>#N/A</v>
      </c>
      <c r="AH206" s="165" t="e">
        <f t="shared" ca="1" si="106"/>
        <v>#N/A</v>
      </c>
      <c r="AI206" s="165" t="str">
        <f t="shared" si="107"/>
        <v/>
      </c>
      <c r="AJ206" s="165" t="e">
        <f t="shared" ca="1" si="84"/>
        <v>#N/A</v>
      </c>
      <c r="AL206" s="165" t="str">
        <f t="shared" si="85"/>
        <v/>
      </c>
      <c r="AM206" s="165" t="str">
        <f t="shared" si="86"/>
        <v/>
      </c>
      <c r="AN206" s="165" t="str">
        <f t="shared" si="87"/>
        <v/>
      </c>
      <c r="AO206" s="165" t="str">
        <f t="shared" si="88"/>
        <v/>
      </c>
      <c r="AP206" s="165" t="str">
        <f t="shared" si="89"/>
        <v/>
      </c>
      <c r="AQ206" s="165" t="str">
        <f t="shared" si="90"/>
        <v/>
      </c>
      <c r="AR206" s="165" t="str">
        <f t="shared" si="91"/>
        <v/>
      </c>
      <c r="AS206" s="165" t="str">
        <f t="shared" si="92"/>
        <v/>
      </c>
      <c r="AT206" s="165" t="str">
        <f t="shared" si="93"/>
        <v/>
      </c>
      <c r="AU206" s="165" t="str">
        <f t="shared" si="94"/>
        <v/>
      </c>
      <c r="AV206" s="165" t="str">
        <f t="shared" si="95"/>
        <v/>
      </c>
      <c r="AW206" s="165" t="str">
        <f t="shared" si="96"/>
        <v/>
      </c>
      <c r="AX206" s="165" t="str">
        <f t="shared" si="97"/>
        <v/>
      </c>
      <c r="AY206" s="165" t="str">
        <f t="shared" si="98"/>
        <v/>
      </c>
      <c r="AZ206" s="165" t="str">
        <f t="shared" si="99"/>
        <v/>
      </c>
      <c r="BA206" s="165" t="str">
        <f t="shared" si="100"/>
        <v/>
      </c>
      <c r="BB206" s="165" t="str">
        <f t="shared" si="101"/>
        <v/>
      </c>
      <c r="BC206" s="165" t="str">
        <f t="shared" si="102"/>
        <v/>
      </c>
      <c r="BD206" s="165" t="str">
        <f t="shared" si="108"/>
        <v/>
      </c>
      <c r="BE206" s="165" t="str">
        <f t="shared" si="103"/>
        <v/>
      </c>
      <c r="BF206" s="165" t="str">
        <f t="shared" si="103"/>
        <v/>
      </c>
      <c r="BG206" s="165" t="str">
        <f t="shared" si="103"/>
        <v/>
      </c>
      <c r="BH206" s="165" t="str">
        <f t="shared" si="103"/>
        <v/>
      </c>
      <c r="BI206" s="165" t="str">
        <f t="shared" si="104"/>
        <v/>
      </c>
    </row>
    <row r="207" spans="2:61" ht="15" customHeight="1">
      <c r="B207" s="171" t="b">
        <f>IF(TRIM(Angle_3!A20)="",FALSE,TRUE)</f>
        <v>0</v>
      </c>
      <c r="C207" s="165" t="str">
        <f>IF($B207=FALSE,"",VALUE(Angle_3!A20))</f>
        <v/>
      </c>
      <c r="D207" s="165" t="str">
        <f>IF($B207=FALSE,"",Angle_3!B20)</f>
        <v/>
      </c>
      <c r="E207" s="171" t="str">
        <f>IF(B207=FALSE,"",Angle_3!M20)</f>
        <v/>
      </c>
      <c r="F207" s="171" t="str">
        <f>IF(B207=FALSE,"",Angle_3!N20)</f>
        <v/>
      </c>
      <c r="G207" s="171" t="str">
        <f>IF(B207=FALSE,"",Angle_3!O20)</f>
        <v/>
      </c>
      <c r="H207" s="171" t="str">
        <f>IF(B207=FALSE,"",Angle_3!P20)</f>
        <v/>
      </c>
      <c r="I207" s="171" t="str">
        <f>IF(B207=FALSE,"",Angle_3!Q20)</f>
        <v/>
      </c>
      <c r="J207" s="260" t="str">
        <f t="shared" si="67"/>
        <v/>
      </c>
      <c r="K207" s="260" t="str">
        <f t="shared" si="68"/>
        <v/>
      </c>
      <c r="L207" s="260" t="str">
        <f t="shared" si="69"/>
        <v/>
      </c>
      <c r="M207" s="260" t="str">
        <f t="shared" si="70"/>
        <v/>
      </c>
      <c r="N207" s="260" t="str">
        <f t="shared" si="71"/>
        <v/>
      </c>
      <c r="O207" s="260" t="str">
        <f t="shared" si="105"/>
        <v/>
      </c>
      <c r="P207" s="175" t="str">
        <f t="shared" si="72"/>
        <v/>
      </c>
      <c r="Q207" s="165" t="str">
        <f>IF(B207=FALSE,"",Angle_3!B43)</f>
        <v/>
      </c>
      <c r="R207" s="165" t="str">
        <f>IF(B207=FALSE,"",Angle_3!D43)</f>
        <v/>
      </c>
      <c r="S207" s="261" t="str">
        <f t="shared" si="73"/>
        <v/>
      </c>
      <c r="T207" s="262" t="str">
        <f>IF(B207=FALSE,"",Calcu!O207)</f>
        <v/>
      </c>
      <c r="U207" s="179" t="str">
        <f t="shared" si="74"/>
        <v/>
      </c>
      <c r="V207" s="263" t="str">
        <f t="shared" si="75"/>
        <v/>
      </c>
      <c r="W207" s="264" t="str">
        <f t="shared" si="76"/>
        <v/>
      </c>
      <c r="X207" s="165" t="str">
        <f t="shared" si="77"/>
        <v/>
      </c>
      <c r="Y207" s="165" t="str">
        <f t="shared" si="78"/>
        <v/>
      </c>
      <c r="Z207" s="165" t="str">
        <f t="shared" si="79"/>
        <v/>
      </c>
      <c r="AA207" s="122"/>
      <c r="AB207" s="165" t="e">
        <f ca="1">IF(Angle_3!J20&lt;0,ROUNDUP(Angle_3!J20,J$224),ROUNDDOWN(Angle_3!J20,J$224))</f>
        <v>#N/A</v>
      </c>
      <c r="AC207" s="165" t="e">
        <f ca="1">IF(Angle_3!K20&lt;0,ROUNDDOWN(Angle_3!K20,J$224),ROUNDUP(Angle_3!K20,J$224))</f>
        <v>#N/A</v>
      </c>
      <c r="AD207" s="165" t="str">
        <f t="shared" si="80"/>
        <v/>
      </c>
      <c r="AE207" s="168" t="e">
        <f t="shared" ca="1" si="81"/>
        <v>#N/A</v>
      </c>
      <c r="AF207" s="168" t="e">
        <f t="shared" ca="1" si="82"/>
        <v>#N/A</v>
      </c>
      <c r="AG207" s="165" t="e">
        <f t="shared" ca="1" si="83"/>
        <v>#N/A</v>
      </c>
      <c r="AH207" s="165" t="e">
        <f t="shared" ca="1" si="106"/>
        <v>#N/A</v>
      </c>
      <c r="AI207" s="165" t="str">
        <f t="shared" si="107"/>
        <v/>
      </c>
      <c r="AJ207" s="165" t="e">
        <f t="shared" ca="1" si="84"/>
        <v>#N/A</v>
      </c>
      <c r="AL207" s="165" t="str">
        <f t="shared" si="85"/>
        <v/>
      </c>
      <c r="AM207" s="165" t="str">
        <f t="shared" si="86"/>
        <v/>
      </c>
      <c r="AN207" s="165" t="str">
        <f t="shared" si="87"/>
        <v/>
      </c>
      <c r="AO207" s="165" t="str">
        <f t="shared" si="88"/>
        <v/>
      </c>
      <c r="AP207" s="165" t="str">
        <f t="shared" si="89"/>
        <v/>
      </c>
      <c r="AQ207" s="165" t="str">
        <f t="shared" si="90"/>
        <v/>
      </c>
      <c r="AR207" s="165" t="str">
        <f t="shared" si="91"/>
        <v/>
      </c>
      <c r="AS207" s="165" t="str">
        <f t="shared" si="92"/>
        <v/>
      </c>
      <c r="AT207" s="165" t="str">
        <f t="shared" si="93"/>
        <v/>
      </c>
      <c r="AU207" s="165" t="str">
        <f t="shared" si="94"/>
        <v/>
      </c>
      <c r="AV207" s="165" t="str">
        <f t="shared" si="95"/>
        <v/>
      </c>
      <c r="AW207" s="165" t="str">
        <f t="shared" si="96"/>
        <v/>
      </c>
      <c r="AX207" s="165" t="str">
        <f t="shared" si="97"/>
        <v/>
      </c>
      <c r="AY207" s="165" t="str">
        <f t="shared" si="98"/>
        <v/>
      </c>
      <c r="AZ207" s="165" t="str">
        <f t="shared" si="99"/>
        <v/>
      </c>
      <c r="BA207" s="165" t="str">
        <f t="shared" si="100"/>
        <v/>
      </c>
      <c r="BB207" s="165" t="str">
        <f t="shared" si="101"/>
        <v/>
      </c>
      <c r="BC207" s="165" t="str">
        <f t="shared" si="102"/>
        <v/>
      </c>
      <c r="BD207" s="165" t="str">
        <f t="shared" si="108"/>
        <v/>
      </c>
      <c r="BE207" s="165" t="str">
        <f t="shared" si="103"/>
        <v/>
      </c>
      <c r="BF207" s="165" t="str">
        <f t="shared" si="103"/>
        <v/>
      </c>
      <c r="BG207" s="165" t="str">
        <f t="shared" si="103"/>
        <v/>
      </c>
      <c r="BH207" s="165" t="str">
        <f t="shared" si="103"/>
        <v/>
      </c>
      <c r="BI207" s="165" t="str">
        <f t="shared" si="104"/>
        <v/>
      </c>
    </row>
    <row r="208" spans="2:61" ht="15" customHeight="1">
      <c r="B208" s="171" t="b">
        <f>IF(TRIM(Angle_3!A21)="",FALSE,TRUE)</f>
        <v>0</v>
      </c>
      <c r="C208" s="165" t="str">
        <f>IF($B208=FALSE,"",VALUE(Angle_3!A21))</f>
        <v/>
      </c>
      <c r="D208" s="165" t="str">
        <f>IF($B208=FALSE,"",Angle_3!B21)</f>
        <v/>
      </c>
      <c r="E208" s="171" t="str">
        <f>IF(B208=FALSE,"",Angle_3!M21)</f>
        <v/>
      </c>
      <c r="F208" s="171" t="str">
        <f>IF(B208=FALSE,"",Angle_3!N21)</f>
        <v/>
      </c>
      <c r="G208" s="171" t="str">
        <f>IF(B208=FALSE,"",Angle_3!O21)</f>
        <v/>
      </c>
      <c r="H208" s="171" t="str">
        <f>IF(B208=FALSE,"",Angle_3!P21)</f>
        <v/>
      </c>
      <c r="I208" s="171" t="str">
        <f>IF(B208=FALSE,"",Angle_3!Q21)</f>
        <v/>
      </c>
      <c r="J208" s="260" t="str">
        <f t="shared" si="67"/>
        <v/>
      </c>
      <c r="K208" s="260" t="str">
        <f t="shared" si="68"/>
        <v/>
      </c>
      <c r="L208" s="260" t="str">
        <f t="shared" si="69"/>
        <v/>
      </c>
      <c r="M208" s="260" t="str">
        <f t="shared" si="70"/>
        <v/>
      </c>
      <c r="N208" s="260" t="str">
        <f t="shared" si="71"/>
        <v/>
      </c>
      <c r="O208" s="260" t="str">
        <f t="shared" si="105"/>
        <v/>
      </c>
      <c r="P208" s="175" t="str">
        <f t="shared" si="72"/>
        <v/>
      </c>
      <c r="Q208" s="165" t="str">
        <f>IF(B208=FALSE,"",Angle_3!B44)</f>
        <v/>
      </c>
      <c r="R208" s="165" t="str">
        <f>IF(B208=FALSE,"",Angle_3!D44)</f>
        <v/>
      </c>
      <c r="S208" s="261" t="str">
        <f t="shared" si="73"/>
        <v/>
      </c>
      <c r="T208" s="262" t="str">
        <f>IF(B208=FALSE,"",Calcu!O208)</f>
        <v/>
      </c>
      <c r="U208" s="179" t="str">
        <f t="shared" si="74"/>
        <v/>
      </c>
      <c r="V208" s="263" t="str">
        <f t="shared" si="75"/>
        <v/>
      </c>
      <c r="W208" s="264" t="str">
        <f t="shared" si="76"/>
        <v/>
      </c>
      <c r="X208" s="165" t="str">
        <f t="shared" si="77"/>
        <v/>
      </c>
      <c r="Y208" s="165" t="str">
        <f t="shared" si="78"/>
        <v/>
      </c>
      <c r="Z208" s="165" t="str">
        <f t="shared" si="79"/>
        <v/>
      </c>
      <c r="AA208" s="122"/>
      <c r="AB208" s="165" t="e">
        <f ca="1">IF(Angle_3!J21&lt;0,ROUNDUP(Angle_3!J21,J$224),ROUNDDOWN(Angle_3!J21,J$224))</f>
        <v>#N/A</v>
      </c>
      <c r="AC208" s="165" t="e">
        <f ca="1">IF(Angle_3!K21&lt;0,ROUNDDOWN(Angle_3!K21,J$224),ROUNDUP(Angle_3!K21,J$224))</f>
        <v>#N/A</v>
      </c>
      <c r="AD208" s="165" t="str">
        <f t="shared" si="80"/>
        <v/>
      </c>
      <c r="AE208" s="168" t="e">
        <f t="shared" ca="1" si="81"/>
        <v>#N/A</v>
      </c>
      <c r="AF208" s="168" t="e">
        <f t="shared" ca="1" si="82"/>
        <v>#N/A</v>
      </c>
      <c r="AG208" s="165" t="e">
        <f t="shared" ca="1" si="83"/>
        <v>#N/A</v>
      </c>
      <c r="AH208" s="165" t="e">
        <f t="shared" ca="1" si="106"/>
        <v>#N/A</v>
      </c>
      <c r="AI208" s="165" t="str">
        <f t="shared" si="107"/>
        <v/>
      </c>
      <c r="AJ208" s="165" t="e">
        <f t="shared" ca="1" si="84"/>
        <v>#N/A</v>
      </c>
      <c r="AL208" s="165" t="str">
        <f t="shared" si="85"/>
        <v/>
      </c>
      <c r="AM208" s="165" t="str">
        <f t="shared" si="86"/>
        <v/>
      </c>
      <c r="AN208" s="165" t="str">
        <f t="shared" si="87"/>
        <v/>
      </c>
      <c r="AO208" s="165" t="str">
        <f t="shared" si="88"/>
        <v/>
      </c>
      <c r="AP208" s="165" t="str">
        <f t="shared" si="89"/>
        <v/>
      </c>
      <c r="AQ208" s="165" t="str">
        <f t="shared" si="90"/>
        <v/>
      </c>
      <c r="AR208" s="165" t="str">
        <f t="shared" si="91"/>
        <v/>
      </c>
      <c r="AS208" s="165" t="str">
        <f t="shared" si="92"/>
        <v/>
      </c>
      <c r="AT208" s="165" t="str">
        <f t="shared" si="93"/>
        <v/>
      </c>
      <c r="AU208" s="165" t="str">
        <f t="shared" si="94"/>
        <v/>
      </c>
      <c r="AV208" s="165" t="str">
        <f t="shared" si="95"/>
        <v/>
      </c>
      <c r="AW208" s="165" t="str">
        <f t="shared" si="96"/>
        <v/>
      </c>
      <c r="AX208" s="165" t="str">
        <f t="shared" si="97"/>
        <v/>
      </c>
      <c r="AY208" s="165" t="str">
        <f t="shared" si="98"/>
        <v/>
      </c>
      <c r="AZ208" s="165" t="str">
        <f t="shared" si="99"/>
        <v/>
      </c>
      <c r="BA208" s="165" t="str">
        <f t="shared" si="100"/>
        <v/>
      </c>
      <c r="BB208" s="165" t="str">
        <f t="shared" si="101"/>
        <v/>
      </c>
      <c r="BC208" s="165" t="str">
        <f t="shared" si="102"/>
        <v/>
      </c>
      <c r="BD208" s="165" t="str">
        <f t="shared" si="108"/>
        <v/>
      </c>
      <c r="BE208" s="165" t="str">
        <f t="shared" si="103"/>
        <v/>
      </c>
      <c r="BF208" s="165" t="str">
        <f t="shared" si="103"/>
        <v/>
      </c>
      <c r="BG208" s="165" t="str">
        <f t="shared" si="103"/>
        <v/>
      </c>
      <c r="BH208" s="165" t="str">
        <f t="shared" si="103"/>
        <v/>
      </c>
      <c r="BI208" s="165" t="str">
        <f t="shared" si="104"/>
        <v/>
      </c>
    </row>
    <row r="209" spans="1:61" ht="15" customHeight="1">
      <c r="B209" s="171" t="b">
        <f>IF(TRIM(Angle_3!A22)="",FALSE,TRUE)</f>
        <v>0</v>
      </c>
      <c r="C209" s="165" t="str">
        <f>IF($B209=FALSE,"",VALUE(Angle_3!A22))</f>
        <v/>
      </c>
      <c r="D209" s="165" t="str">
        <f>IF($B209=FALSE,"",Angle_3!B22)</f>
        <v/>
      </c>
      <c r="E209" s="171" t="str">
        <f>IF(B209=FALSE,"",Angle_3!M22)</f>
        <v/>
      </c>
      <c r="F209" s="171" t="str">
        <f>IF(B209=FALSE,"",Angle_3!N22)</f>
        <v/>
      </c>
      <c r="G209" s="171" t="str">
        <f>IF(B209=FALSE,"",Angle_3!O22)</f>
        <v/>
      </c>
      <c r="H209" s="171" t="str">
        <f>IF(B209=FALSE,"",Angle_3!P22)</f>
        <v/>
      </c>
      <c r="I209" s="171" t="str">
        <f>IF(B209=FALSE,"",Angle_3!Q22)</f>
        <v/>
      </c>
      <c r="J209" s="260" t="str">
        <f t="shared" si="67"/>
        <v/>
      </c>
      <c r="K209" s="260" t="str">
        <f t="shared" si="68"/>
        <v/>
      </c>
      <c r="L209" s="260" t="str">
        <f t="shared" si="69"/>
        <v/>
      </c>
      <c r="M209" s="260" t="str">
        <f t="shared" si="70"/>
        <v/>
      </c>
      <c r="N209" s="260" t="str">
        <f t="shared" si="71"/>
        <v/>
      </c>
      <c r="O209" s="260" t="str">
        <f t="shared" si="105"/>
        <v/>
      </c>
      <c r="P209" s="175" t="str">
        <f t="shared" si="72"/>
        <v/>
      </c>
      <c r="Q209" s="165" t="str">
        <f>IF(B209=FALSE,"",Angle_3!B45)</f>
        <v/>
      </c>
      <c r="R209" s="165" t="str">
        <f>IF(B209=FALSE,"",Angle_3!D45)</f>
        <v/>
      </c>
      <c r="S209" s="261" t="str">
        <f t="shared" si="73"/>
        <v/>
      </c>
      <c r="T209" s="262" t="str">
        <f>IF(B209=FALSE,"",Calcu!O209)</f>
        <v/>
      </c>
      <c r="U209" s="179" t="str">
        <f t="shared" si="74"/>
        <v/>
      </c>
      <c r="V209" s="263" t="str">
        <f t="shared" si="75"/>
        <v/>
      </c>
      <c r="W209" s="264" t="str">
        <f t="shared" si="76"/>
        <v/>
      </c>
      <c r="X209" s="165" t="str">
        <f t="shared" si="77"/>
        <v/>
      </c>
      <c r="Y209" s="165" t="str">
        <f t="shared" si="78"/>
        <v/>
      </c>
      <c r="Z209" s="165" t="str">
        <f t="shared" si="79"/>
        <v/>
      </c>
      <c r="AA209" s="122"/>
      <c r="AB209" s="165" t="e">
        <f ca="1">IF(Angle_3!J22&lt;0,ROUNDUP(Angle_3!J22,J$224),ROUNDDOWN(Angle_3!J22,J$224))</f>
        <v>#N/A</v>
      </c>
      <c r="AC209" s="165" t="e">
        <f ca="1">IF(Angle_3!K22&lt;0,ROUNDDOWN(Angle_3!K22,J$224),ROUNDUP(Angle_3!K22,J$224))</f>
        <v>#N/A</v>
      </c>
      <c r="AD209" s="165" t="str">
        <f t="shared" si="80"/>
        <v/>
      </c>
      <c r="AE209" s="168" t="e">
        <f t="shared" ca="1" si="81"/>
        <v>#N/A</v>
      </c>
      <c r="AF209" s="168" t="e">
        <f t="shared" ca="1" si="82"/>
        <v>#N/A</v>
      </c>
      <c r="AG209" s="165" t="e">
        <f t="shared" ca="1" si="83"/>
        <v>#N/A</v>
      </c>
      <c r="AH209" s="165" t="e">
        <f t="shared" ca="1" si="106"/>
        <v>#N/A</v>
      </c>
      <c r="AI209" s="165" t="str">
        <f t="shared" si="107"/>
        <v/>
      </c>
      <c r="AJ209" s="165" t="e">
        <f t="shared" ca="1" si="84"/>
        <v>#N/A</v>
      </c>
      <c r="AL209" s="165" t="str">
        <f t="shared" si="85"/>
        <v/>
      </c>
      <c r="AM209" s="165" t="str">
        <f t="shared" si="86"/>
        <v/>
      </c>
      <c r="AN209" s="165" t="str">
        <f t="shared" si="87"/>
        <v/>
      </c>
      <c r="AO209" s="165" t="str">
        <f t="shared" si="88"/>
        <v/>
      </c>
      <c r="AP209" s="165" t="str">
        <f t="shared" si="89"/>
        <v/>
      </c>
      <c r="AQ209" s="165" t="str">
        <f t="shared" si="90"/>
        <v/>
      </c>
      <c r="AR209" s="165" t="str">
        <f t="shared" si="91"/>
        <v/>
      </c>
      <c r="AS209" s="165" t="str">
        <f t="shared" si="92"/>
        <v/>
      </c>
      <c r="AT209" s="165" t="str">
        <f t="shared" si="93"/>
        <v/>
      </c>
      <c r="AU209" s="165" t="str">
        <f t="shared" si="94"/>
        <v/>
      </c>
      <c r="AV209" s="165" t="str">
        <f t="shared" si="95"/>
        <v/>
      </c>
      <c r="AW209" s="165" t="str">
        <f t="shared" si="96"/>
        <v/>
      </c>
      <c r="AX209" s="165" t="str">
        <f t="shared" si="97"/>
        <v/>
      </c>
      <c r="AY209" s="165" t="str">
        <f t="shared" si="98"/>
        <v/>
      </c>
      <c r="AZ209" s="165" t="str">
        <f t="shared" si="99"/>
        <v/>
      </c>
      <c r="BA209" s="165" t="str">
        <f t="shared" si="100"/>
        <v/>
      </c>
      <c r="BB209" s="165" t="str">
        <f t="shared" si="101"/>
        <v/>
      </c>
      <c r="BC209" s="165" t="str">
        <f t="shared" si="102"/>
        <v/>
      </c>
      <c r="BD209" s="165" t="str">
        <f t="shared" si="108"/>
        <v/>
      </c>
      <c r="BE209" s="165" t="str">
        <f t="shared" si="103"/>
        <v/>
      </c>
      <c r="BF209" s="165" t="str">
        <f t="shared" si="103"/>
        <v/>
      </c>
      <c r="BG209" s="165" t="str">
        <f t="shared" si="103"/>
        <v/>
      </c>
      <c r="BH209" s="165" t="str">
        <f t="shared" si="103"/>
        <v/>
      </c>
      <c r="BI209" s="165" t="str">
        <f t="shared" si="104"/>
        <v/>
      </c>
    </row>
    <row r="210" spans="1:61" ht="15" customHeight="1">
      <c r="B210" s="171" t="b">
        <f>IF(TRIM(Angle_3!A23)="",FALSE,TRUE)</f>
        <v>0</v>
      </c>
      <c r="C210" s="165" t="str">
        <f>IF($B210=FALSE,"",VALUE(Angle_3!A23))</f>
        <v/>
      </c>
      <c r="D210" s="165" t="str">
        <f>IF($B210=FALSE,"",Angle_3!B23)</f>
        <v/>
      </c>
      <c r="E210" s="171" t="str">
        <f>IF(B210=FALSE,"",Angle_3!M23)</f>
        <v/>
      </c>
      <c r="F210" s="171" t="str">
        <f>IF(B210=FALSE,"",Angle_3!N23)</f>
        <v/>
      </c>
      <c r="G210" s="171" t="str">
        <f>IF(B210=FALSE,"",Angle_3!O23)</f>
        <v/>
      </c>
      <c r="H210" s="171" t="str">
        <f>IF(B210=FALSE,"",Angle_3!P23)</f>
        <v/>
      </c>
      <c r="I210" s="171" t="str">
        <f>IF(B210=FALSE,"",Angle_3!Q23)</f>
        <v/>
      </c>
      <c r="J210" s="260" t="str">
        <f t="shared" si="67"/>
        <v/>
      </c>
      <c r="K210" s="260" t="str">
        <f t="shared" si="68"/>
        <v/>
      </c>
      <c r="L210" s="260" t="str">
        <f t="shared" si="69"/>
        <v/>
      </c>
      <c r="M210" s="260" t="str">
        <f t="shared" si="70"/>
        <v/>
      </c>
      <c r="N210" s="260" t="str">
        <f t="shared" si="71"/>
        <v/>
      </c>
      <c r="O210" s="260" t="str">
        <f t="shared" si="105"/>
        <v/>
      </c>
      <c r="P210" s="175" t="str">
        <f t="shared" si="72"/>
        <v/>
      </c>
      <c r="Q210" s="165" t="str">
        <f>IF(B210=FALSE,"",Angle_3!B46)</f>
        <v/>
      </c>
      <c r="R210" s="165" t="str">
        <f>IF(B210=FALSE,"",Angle_3!D46)</f>
        <v/>
      </c>
      <c r="S210" s="261" t="str">
        <f t="shared" si="73"/>
        <v/>
      </c>
      <c r="T210" s="262" t="str">
        <f>IF(B210=FALSE,"",Calcu!O210)</f>
        <v/>
      </c>
      <c r="U210" s="179" t="str">
        <f t="shared" si="74"/>
        <v/>
      </c>
      <c r="V210" s="263" t="str">
        <f t="shared" si="75"/>
        <v/>
      </c>
      <c r="W210" s="264" t="str">
        <f t="shared" si="76"/>
        <v/>
      </c>
      <c r="X210" s="165" t="str">
        <f t="shared" si="77"/>
        <v/>
      </c>
      <c r="Y210" s="165" t="str">
        <f t="shared" si="78"/>
        <v/>
      </c>
      <c r="Z210" s="165" t="str">
        <f t="shared" si="79"/>
        <v/>
      </c>
      <c r="AA210" s="122"/>
      <c r="AB210" s="165" t="e">
        <f ca="1">IF(Angle_3!J23&lt;0,ROUNDUP(Angle_3!J23,J$224),ROUNDDOWN(Angle_3!J23,J$224))</f>
        <v>#N/A</v>
      </c>
      <c r="AC210" s="165" t="e">
        <f ca="1">IF(Angle_3!K23&lt;0,ROUNDDOWN(Angle_3!K23,J$224),ROUNDUP(Angle_3!K23,J$224))</f>
        <v>#N/A</v>
      </c>
      <c r="AD210" s="165" t="str">
        <f t="shared" si="80"/>
        <v/>
      </c>
      <c r="AE210" s="168" t="e">
        <f t="shared" ca="1" si="81"/>
        <v>#N/A</v>
      </c>
      <c r="AF210" s="168" t="e">
        <f t="shared" ca="1" si="82"/>
        <v>#N/A</v>
      </c>
      <c r="AG210" s="165" t="e">
        <f t="shared" ca="1" si="83"/>
        <v>#N/A</v>
      </c>
      <c r="AH210" s="165" t="e">
        <f t="shared" ca="1" si="106"/>
        <v>#N/A</v>
      </c>
      <c r="AI210" s="165" t="str">
        <f t="shared" si="107"/>
        <v/>
      </c>
      <c r="AJ210" s="165" t="e">
        <f ca="1">TEXT(S$224,O$224)</f>
        <v>#N/A</v>
      </c>
      <c r="AL210" s="165" t="str">
        <f t="shared" si="85"/>
        <v/>
      </c>
      <c r="AM210" s="165" t="str">
        <f t="shared" si="86"/>
        <v/>
      </c>
      <c r="AN210" s="165" t="str">
        <f t="shared" si="87"/>
        <v/>
      </c>
      <c r="AO210" s="165" t="str">
        <f t="shared" si="88"/>
        <v/>
      </c>
      <c r="AP210" s="165" t="str">
        <f t="shared" si="89"/>
        <v/>
      </c>
      <c r="AQ210" s="165" t="str">
        <f t="shared" si="90"/>
        <v/>
      </c>
      <c r="AR210" s="165" t="str">
        <f t="shared" si="91"/>
        <v/>
      </c>
      <c r="AS210" s="165" t="str">
        <f t="shared" si="92"/>
        <v/>
      </c>
      <c r="AT210" s="165" t="str">
        <f t="shared" si="93"/>
        <v/>
      </c>
      <c r="AU210" s="165" t="str">
        <f t="shared" si="94"/>
        <v/>
      </c>
      <c r="AV210" s="165" t="str">
        <f t="shared" si="95"/>
        <v/>
      </c>
      <c r="AW210" s="165" t="str">
        <f t="shared" si="96"/>
        <v/>
      </c>
      <c r="AX210" s="165" t="str">
        <f t="shared" si="97"/>
        <v/>
      </c>
      <c r="AY210" s="165" t="str">
        <f t="shared" si="98"/>
        <v/>
      </c>
      <c r="AZ210" s="165" t="str">
        <f t="shared" si="99"/>
        <v/>
      </c>
      <c r="BA210" s="165" t="str">
        <f t="shared" si="100"/>
        <v/>
      </c>
      <c r="BB210" s="165" t="str">
        <f t="shared" si="101"/>
        <v/>
      </c>
      <c r="BC210" s="165" t="str">
        <f t="shared" si="102"/>
        <v/>
      </c>
      <c r="BD210" s="165" t="str">
        <f t="shared" si="108"/>
        <v/>
      </c>
      <c r="BE210" s="165" t="str">
        <f t="shared" si="103"/>
        <v/>
      </c>
      <c r="BF210" s="165" t="str">
        <f t="shared" si="103"/>
        <v/>
      </c>
      <c r="BG210" s="165" t="str">
        <f t="shared" si="103"/>
        <v/>
      </c>
      <c r="BH210" s="165" t="str">
        <f t="shared" si="103"/>
        <v/>
      </c>
      <c r="BI210" s="165" t="str">
        <f t="shared" si="104"/>
        <v/>
      </c>
    </row>
    <row r="211" spans="1:61" ht="15" customHeight="1">
      <c r="N211" s="118"/>
      <c r="O211" s="118"/>
      <c r="P211" s="118"/>
      <c r="Q211" s="118"/>
      <c r="R211" s="118"/>
      <c r="S211" s="118"/>
      <c r="T211" s="118"/>
      <c r="Y211" s="118"/>
    </row>
    <row r="212" spans="1:61" ht="15" customHeight="1">
      <c r="A212" s="116" t="s">
        <v>388</v>
      </c>
      <c r="C212" s="117"/>
      <c r="D212" s="117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A212" s="122"/>
      <c r="AB212" s="122"/>
      <c r="AC212" s="122"/>
    </row>
    <row r="213" spans="1:61" ht="15" customHeight="1">
      <c r="A213" s="116"/>
      <c r="B213" s="683"/>
      <c r="C213" s="683" t="s">
        <v>389</v>
      </c>
      <c r="D213" s="694" t="s">
        <v>390</v>
      </c>
      <c r="E213" s="683" t="s">
        <v>391</v>
      </c>
      <c r="F213" s="683" t="s">
        <v>392</v>
      </c>
      <c r="G213" s="666">
        <v>1</v>
      </c>
      <c r="H213" s="668"/>
      <c r="I213" s="668"/>
      <c r="J213" s="668"/>
      <c r="K213" s="668"/>
      <c r="L213" s="668"/>
      <c r="M213" s="667"/>
      <c r="N213" s="268">
        <v>2</v>
      </c>
      <c r="O213" s="365">
        <v>3</v>
      </c>
      <c r="P213" s="666">
        <v>4</v>
      </c>
      <c r="Q213" s="667"/>
      <c r="R213" s="268">
        <v>5</v>
      </c>
      <c r="S213" s="683" t="s">
        <v>393</v>
      </c>
      <c r="T213" s="683" t="s">
        <v>394</v>
      </c>
      <c r="U213" s="669" t="s">
        <v>1264</v>
      </c>
      <c r="V213" s="670"/>
      <c r="W213" s="122"/>
      <c r="X213" s="122"/>
      <c r="Y213" s="122"/>
    </row>
    <row r="214" spans="1:61" ht="15" customHeight="1">
      <c r="A214" s="116"/>
      <c r="B214" s="688"/>
      <c r="C214" s="688"/>
      <c r="D214" s="695"/>
      <c r="E214" s="688"/>
      <c r="F214" s="688"/>
      <c r="G214" s="279" t="s">
        <v>492</v>
      </c>
      <c r="H214" s="279" t="s">
        <v>493</v>
      </c>
      <c r="I214" s="279" t="s">
        <v>395</v>
      </c>
      <c r="J214" s="268" t="s">
        <v>396</v>
      </c>
      <c r="K214" s="268" t="s">
        <v>397</v>
      </c>
      <c r="L214" s="666" t="s">
        <v>393</v>
      </c>
      <c r="M214" s="667"/>
      <c r="N214" s="268" t="s">
        <v>398</v>
      </c>
      <c r="O214" s="365" t="s">
        <v>399</v>
      </c>
      <c r="P214" s="666" t="s">
        <v>400</v>
      </c>
      <c r="Q214" s="667"/>
      <c r="R214" s="268" t="s">
        <v>401</v>
      </c>
      <c r="S214" s="687"/>
      <c r="T214" s="684"/>
      <c r="U214" s="396" t="s">
        <v>189</v>
      </c>
      <c r="V214" s="396" t="s">
        <v>1265</v>
      </c>
      <c r="W214" s="122"/>
      <c r="X214" s="122"/>
      <c r="Y214" s="122"/>
    </row>
    <row r="215" spans="1:61" ht="15" customHeight="1">
      <c r="B215" s="268" t="s">
        <v>402</v>
      </c>
      <c r="C215" s="181" t="s">
        <v>403</v>
      </c>
      <c r="D215" s="182" t="s">
        <v>404</v>
      </c>
      <c r="E215" s="175" t="e">
        <f ca="1">OFFSET(S$190,MATCH(L$185,U$191:U$210,0),0)</f>
        <v>#N/A</v>
      </c>
      <c r="F215" s="183" t="s">
        <v>405</v>
      </c>
      <c r="G215" s="165" t="e">
        <f ca="1">OFFSET(Angle_3!F26,MATCH(E185,C191:C210,0),0)</f>
        <v>#N/A</v>
      </c>
      <c r="H215" s="165" t="e">
        <f ca="1">OFFSET(Angle_3!B26,MATCH(E185,C191:C210,0),0)</f>
        <v>#N/A</v>
      </c>
      <c r="I215" s="266" t="e">
        <f ca="1">DEGREES(ATAN(G215/H215))</f>
        <v>#N/A</v>
      </c>
      <c r="J215" s="166"/>
      <c r="K215" s="165" t="e">
        <f ca="1">OFFSET(Angle_3!I26,MATCH(E185,C191:C210,0),0)</f>
        <v>#N/A</v>
      </c>
      <c r="L215" s="262" t="e">
        <f ca="1">I215/K215</f>
        <v>#N/A</v>
      </c>
      <c r="M215" s="183" t="s">
        <v>406</v>
      </c>
      <c r="N215" s="184" t="s">
        <v>407</v>
      </c>
      <c r="O215" s="177">
        <v>1</v>
      </c>
      <c r="P215" s="265" t="e">
        <f ca="1">ABS(L215*O215)</f>
        <v>#N/A</v>
      </c>
      <c r="Q215" s="183" t="s">
        <v>406</v>
      </c>
      <c r="R215" s="165" t="s">
        <v>408</v>
      </c>
      <c r="S215" s="262" t="e">
        <f t="shared" ref="S215:S220" ca="1" si="109">P215</f>
        <v>#N/A</v>
      </c>
      <c r="T215" s="189">
        <f>IF(R215="∞",0,P215^4/R215)</f>
        <v>0</v>
      </c>
      <c r="U215" s="185" t="str">
        <f>IF(OR(N215="직사각형",N215="삼각형"),S215,"")</f>
        <v/>
      </c>
      <c r="V215" s="185" t="e">
        <f ca="1">IF(OR(N215="직사각형",N215="삼각형"),"",S215)</f>
        <v>#N/A</v>
      </c>
      <c r="W215" s="122"/>
      <c r="X215" s="122"/>
      <c r="Y215" s="122"/>
    </row>
    <row r="216" spans="1:61" ht="15" customHeight="1">
      <c r="B216" s="268" t="s">
        <v>409</v>
      </c>
      <c r="C216" s="181" t="s">
        <v>410</v>
      </c>
      <c r="D216" s="182" t="s">
        <v>411</v>
      </c>
      <c r="E216" s="175" t="e">
        <f ca="1">OFFSET(T$190,MATCH(L$185,U$191:U$210,0),0)</f>
        <v>#N/A</v>
      </c>
      <c r="F216" s="183" t="s">
        <v>412</v>
      </c>
      <c r="G216" s="165"/>
      <c r="H216" s="165"/>
      <c r="I216" s="175">
        <f>IF(MAX(P191:P210)=0,N185,MAX(P191:P210))</f>
        <v>0</v>
      </c>
      <c r="J216" s="165">
        <f>IF(MAX(P191:P210)=0,2,1)</f>
        <v>2</v>
      </c>
      <c r="K216" s="186">
        <v>5</v>
      </c>
      <c r="L216" s="262">
        <f t="shared" ref="L216:L219" si="110">I216/(IF(J216="",1,J216)*SQRT(K216))</f>
        <v>0</v>
      </c>
      <c r="M216" s="183" t="s">
        <v>406</v>
      </c>
      <c r="N216" s="184" t="s">
        <v>413</v>
      </c>
      <c r="O216" s="177">
        <v>-1</v>
      </c>
      <c r="P216" s="265">
        <f>ABS(L216*O216)</f>
        <v>0</v>
      </c>
      <c r="Q216" s="183" t="s">
        <v>412</v>
      </c>
      <c r="R216" s="165">
        <v>4</v>
      </c>
      <c r="S216" s="262">
        <f t="shared" si="109"/>
        <v>0</v>
      </c>
      <c r="T216" s="189">
        <f>IF(R216="∞",0,P216^4/R216)</f>
        <v>0</v>
      </c>
      <c r="U216" s="185" t="str">
        <f>IF(OR(N216="직사각형",N216="삼각형"),S216,"")</f>
        <v/>
      </c>
      <c r="V216" s="185">
        <f>IF(OR(N216="직사각형",N216="삼각형"),"",S216)</f>
        <v>0</v>
      </c>
      <c r="W216" s="122"/>
      <c r="X216" s="122"/>
      <c r="Y216" s="122"/>
    </row>
    <row r="217" spans="1:61" ht="15" customHeight="1">
      <c r="B217" s="268" t="s">
        <v>414</v>
      </c>
      <c r="C217" s="181" t="s">
        <v>415</v>
      </c>
      <c r="D217" s="182" t="s">
        <v>416</v>
      </c>
      <c r="E217" s="165">
        <v>0</v>
      </c>
      <c r="F217" s="183" t="s">
        <v>405</v>
      </c>
      <c r="G217" s="165">
        <f>H185</f>
        <v>0</v>
      </c>
      <c r="H217" s="165">
        <f>I185</f>
        <v>0</v>
      </c>
      <c r="I217" s="175">
        <f>H185/J185</f>
        <v>0</v>
      </c>
      <c r="J217" s="165">
        <v>2</v>
      </c>
      <c r="K217" s="186">
        <v>3</v>
      </c>
      <c r="L217" s="262">
        <f t="shared" si="110"/>
        <v>0</v>
      </c>
      <c r="M217" s="183" t="s">
        <v>386</v>
      </c>
      <c r="N217" s="184" t="s">
        <v>417</v>
      </c>
      <c r="O217" s="177">
        <v>1</v>
      </c>
      <c r="P217" s="265">
        <f>ABS(L217*O217)</f>
        <v>0</v>
      </c>
      <c r="Q217" s="183" t="s">
        <v>406</v>
      </c>
      <c r="R217" s="165" t="s">
        <v>418</v>
      </c>
      <c r="S217" s="262">
        <f t="shared" si="109"/>
        <v>0</v>
      </c>
      <c r="T217" s="189">
        <f>IF(R217="∞",0,P217^4/R217)</f>
        <v>0</v>
      </c>
      <c r="U217" s="185">
        <f>IF(OR(N217="직사각형",N217="삼각형"),S217,"")</f>
        <v>0</v>
      </c>
      <c r="V217" s="185" t="str">
        <f>IF(OR(N217="직사각형",N217="삼각형"),"",S217)</f>
        <v/>
      </c>
      <c r="W217" s="122"/>
      <c r="X217" s="122"/>
      <c r="Y217" s="122"/>
    </row>
    <row r="218" spans="1:61" ht="15" customHeight="1">
      <c r="B218" s="268" t="s">
        <v>419</v>
      </c>
      <c r="C218" s="181" t="s">
        <v>420</v>
      </c>
      <c r="D218" s="182" t="s">
        <v>421</v>
      </c>
      <c r="E218" s="165">
        <v>0</v>
      </c>
      <c r="F218" s="183" t="s">
        <v>405</v>
      </c>
      <c r="G218" s="165">
        <v>0.1</v>
      </c>
      <c r="H218" s="165" t="e">
        <f ca="1">OFFSET(Angle_3!K26,MATCH(E185,C191:C210,0),0)</f>
        <v>#N/A</v>
      </c>
      <c r="I218" s="266" t="e">
        <f ca="1">DEGREES(ATAN(G218/H218))</f>
        <v>#N/A</v>
      </c>
      <c r="J218" s="165">
        <v>2</v>
      </c>
      <c r="K218" s="186">
        <v>3</v>
      </c>
      <c r="L218" s="262" t="e">
        <f t="shared" ca="1" si="110"/>
        <v>#N/A</v>
      </c>
      <c r="M218" s="183" t="s">
        <v>405</v>
      </c>
      <c r="N218" s="184" t="s">
        <v>417</v>
      </c>
      <c r="O218" s="177">
        <v>1</v>
      </c>
      <c r="P218" s="265" t="e">
        <f ca="1">ABS(L218*O218)</f>
        <v>#N/A</v>
      </c>
      <c r="Q218" s="183" t="s">
        <v>412</v>
      </c>
      <c r="R218" s="165">
        <v>12</v>
      </c>
      <c r="S218" s="262" t="e">
        <f t="shared" ca="1" si="109"/>
        <v>#N/A</v>
      </c>
      <c r="T218" s="189" t="e">
        <f ca="1">IF(R218="∞",0,P218^4/R218)</f>
        <v>#N/A</v>
      </c>
      <c r="U218" s="185" t="e">
        <f ca="1">IF(OR(N218="직사각형",N218="삼각형"),S218,"")</f>
        <v>#N/A</v>
      </c>
      <c r="V218" s="185" t="str">
        <f>IF(OR(N218="직사각형",N218="삼각형"),"",S218)</f>
        <v/>
      </c>
      <c r="W218" s="122"/>
      <c r="X218" s="122"/>
      <c r="Y218" s="122"/>
    </row>
    <row r="219" spans="1:61" ht="15" customHeight="1">
      <c r="B219" s="268" t="s">
        <v>422</v>
      </c>
      <c r="C219" s="181" t="s">
        <v>423</v>
      </c>
      <c r="D219" s="182" t="s">
        <v>424</v>
      </c>
      <c r="E219" s="165">
        <v>0</v>
      </c>
      <c r="F219" s="183" t="s">
        <v>386</v>
      </c>
      <c r="G219" s="165">
        <v>5.0000000000000001E-3</v>
      </c>
      <c r="H219" s="165" t="e">
        <f ca="1">H218</f>
        <v>#N/A</v>
      </c>
      <c r="I219" s="266" t="e">
        <f ca="1">DEGREES(ATAN(G219/H219))</f>
        <v>#N/A</v>
      </c>
      <c r="J219" s="166"/>
      <c r="K219" s="186">
        <v>3</v>
      </c>
      <c r="L219" s="262" t="e">
        <f t="shared" ca="1" si="110"/>
        <v>#N/A</v>
      </c>
      <c r="M219" s="183" t="s">
        <v>405</v>
      </c>
      <c r="N219" s="184" t="s">
        <v>425</v>
      </c>
      <c r="O219" s="177">
        <v>1</v>
      </c>
      <c r="P219" s="265" t="e">
        <f ca="1">ABS(L219*O219)</f>
        <v>#N/A</v>
      </c>
      <c r="Q219" s="183" t="s">
        <v>405</v>
      </c>
      <c r="R219" s="165">
        <v>12</v>
      </c>
      <c r="S219" s="262" t="e">
        <f t="shared" ca="1" si="109"/>
        <v>#N/A</v>
      </c>
      <c r="T219" s="189" t="e">
        <f ca="1">IF(R219="∞",0,P219^4/R219)</f>
        <v>#N/A</v>
      </c>
      <c r="U219" s="185" t="e">
        <f ca="1">IF(OR(N219="직사각형",N219="삼각형"),S219,"")</f>
        <v>#N/A</v>
      </c>
      <c r="V219" s="185" t="str">
        <f>IF(OR(N219="직사각형",N219="삼각형"),"",S219)</f>
        <v/>
      </c>
      <c r="W219" s="122"/>
      <c r="X219" s="122"/>
      <c r="Y219" s="122"/>
    </row>
    <row r="220" spans="1:61" ht="15" customHeight="1">
      <c r="B220" s="268" t="s">
        <v>426</v>
      </c>
      <c r="C220" s="181" t="s">
        <v>427</v>
      </c>
      <c r="D220" s="182" t="s">
        <v>428</v>
      </c>
      <c r="E220" s="175" t="e">
        <f ca="1">E215+90*(L185/90-1)-E216</f>
        <v>#N/A</v>
      </c>
      <c r="F220" s="183" t="s">
        <v>386</v>
      </c>
      <c r="G220" s="216"/>
      <c r="H220" s="216"/>
      <c r="I220" s="217"/>
      <c r="J220" s="216"/>
      <c r="K220" s="216"/>
      <c r="L220" s="216"/>
      <c r="M220" s="216"/>
      <c r="N220" s="216"/>
      <c r="O220" s="216"/>
      <c r="P220" s="261" t="e">
        <f ca="1">SQRT(SUMSQ(P215:P219))</f>
        <v>#N/A</v>
      </c>
      <c r="Q220" s="183" t="s">
        <v>406</v>
      </c>
      <c r="R220" s="179" t="e">
        <f ca="1">IF(T220=0,"∞",ROUNDDOWN(S220^4/T220,0))</f>
        <v>#N/A</v>
      </c>
      <c r="S220" s="219" t="e">
        <f t="shared" ca="1" si="109"/>
        <v>#N/A</v>
      </c>
      <c r="T220" s="394" t="e">
        <f ca="1">SUM(T215:T219)</f>
        <v>#N/A</v>
      </c>
      <c r="U220" s="219" t="e">
        <f ca="1">SQRT(SUMSQ(U215:U219))</f>
        <v>#N/A</v>
      </c>
      <c r="V220" s="219" t="e">
        <f ca="1">SQRT(SUMSQ(V215:V219))</f>
        <v>#N/A</v>
      </c>
      <c r="W220" s="122"/>
      <c r="X220" s="122"/>
      <c r="Y220" s="122"/>
    </row>
    <row r="221" spans="1:61" ht="15" customHeight="1">
      <c r="L221" s="122"/>
      <c r="U221" s="122"/>
      <c r="V221" s="122"/>
      <c r="W221" s="122"/>
      <c r="X221" s="122"/>
      <c r="Y221" s="122"/>
      <c r="AC221" s="122"/>
    </row>
    <row r="222" spans="1:61" ht="15" customHeight="1">
      <c r="B222" s="273"/>
      <c r="C222" s="666" t="s">
        <v>432</v>
      </c>
      <c r="D222" s="668"/>
      <c r="E222" s="668"/>
      <c r="F222" s="668"/>
      <c r="G222" s="667"/>
      <c r="H222" s="666" t="s">
        <v>433</v>
      </c>
      <c r="I222" s="667"/>
      <c r="J222" s="666" t="s">
        <v>434</v>
      </c>
      <c r="K222" s="668"/>
      <c r="L222" s="667"/>
      <c r="M222" s="666" t="s">
        <v>435</v>
      </c>
      <c r="N222" s="667"/>
      <c r="O222" s="666" t="s">
        <v>436</v>
      </c>
      <c r="P222" s="668"/>
      <c r="Q222" s="668"/>
      <c r="R222" s="683" t="s">
        <v>1269</v>
      </c>
      <c r="S222" s="666" t="s">
        <v>1270</v>
      </c>
      <c r="T222" s="667"/>
      <c r="U222" s="119"/>
      <c r="V222" s="122"/>
    </row>
    <row r="223" spans="1:61" ht="15" customHeight="1">
      <c r="B223" s="273"/>
      <c r="C223" s="273">
        <v>1</v>
      </c>
      <c r="D223" s="273">
        <v>2</v>
      </c>
      <c r="E223" s="273" t="s">
        <v>438</v>
      </c>
      <c r="F223" s="273" t="s">
        <v>439</v>
      </c>
      <c r="G223" s="273" t="s">
        <v>440</v>
      </c>
      <c r="H223" s="273" t="s">
        <v>412</v>
      </c>
      <c r="I223" s="273" t="s">
        <v>364</v>
      </c>
      <c r="J223" s="268" t="s">
        <v>441</v>
      </c>
      <c r="K223" s="268" t="s">
        <v>442</v>
      </c>
      <c r="L223" s="393"/>
      <c r="M223" s="273" t="s">
        <v>405</v>
      </c>
      <c r="N223" s="273" t="s">
        <v>364</v>
      </c>
      <c r="O223" s="268" t="s">
        <v>443</v>
      </c>
      <c r="P223" s="268" t="s">
        <v>444</v>
      </c>
      <c r="Q223" s="268" t="s">
        <v>445</v>
      </c>
      <c r="R223" s="688"/>
      <c r="S223" s="398" t="str">
        <f>H223</f>
        <v>˚</v>
      </c>
      <c r="T223" s="398" t="str">
        <f>I223</f>
        <v>´</v>
      </c>
      <c r="U223" s="119"/>
      <c r="V223" s="122"/>
    </row>
    <row r="224" spans="1:61" ht="15" customHeight="1">
      <c r="B224" s="273" t="s">
        <v>450</v>
      </c>
      <c r="C224" s="124" t="e">
        <f ca="1">P220*E235</f>
        <v>#N/A</v>
      </c>
      <c r="D224" s="124"/>
      <c r="E224" s="126" t="str">
        <f>Q220</f>
        <v>˚</v>
      </c>
      <c r="F224" s="126" t="e">
        <f ca="1">C224</f>
        <v>#N/A</v>
      </c>
      <c r="G224" s="274" t="e">
        <f ca="1">F224*60</f>
        <v>#N/A</v>
      </c>
      <c r="H224" s="130" t="e">
        <f ca="1">MAX(F224:F225)</f>
        <v>#N/A</v>
      </c>
      <c r="I224" s="130" t="e">
        <f ca="1">MAX(G224:G225)</f>
        <v>#N/A</v>
      </c>
      <c r="J224" s="123" t="e">
        <f ca="1">IF(H224&lt;0.00001,6,IF(H224&lt;0.0001,5,IF(H224&lt;0.001,4,IF(H224&lt;0.01,3,IF(H224&lt;0.1,2,IF(H224&lt;1,1,IF(H224&lt;10,0,IF(H224&lt;100,-1,-2))))))))+K225</f>
        <v>#N/A</v>
      </c>
      <c r="K224" s="123" t="e">
        <f ca="1">IF(I224&lt;0.00001,6,IF(I224&lt;0.0001,5,IF(I224&lt;0.001,4,IF(I224&lt;0.01,3,IF(I224&lt;0.1,2,IF(I224&lt;1,1,IF(I224&lt;10,0,IF(I224&lt;100,-1,-2))))))))+K225</f>
        <v>#N/A</v>
      </c>
      <c r="L224" s="155"/>
      <c r="M224" s="155" t="e">
        <f ca="1">ABS((H224-ROUND(H224,J224))/H224*100)</f>
        <v>#N/A</v>
      </c>
      <c r="N224" s="155" t="e">
        <f ca="1">ABS((I224-ROUND(I224,K224))/I224*100)</f>
        <v>#N/A</v>
      </c>
      <c r="O224" s="165" t="e">
        <f ca="1">OFFSET(P228,MATCH(J224,O229:O238,0),0)</f>
        <v>#N/A</v>
      </c>
      <c r="P224" s="165" t="e">
        <f ca="1">OFFSET(P228,MATCH(K224,O229:O238,0),0)</f>
        <v>#N/A</v>
      </c>
      <c r="Q224" s="165"/>
      <c r="R224" s="127">
        <f ca="1">IFERROR(IF(G224=I224,0,1),0)</f>
        <v>0</v>
      </c>
      <c r="S224" s="132" t="e">
        <f ca="1">IF(M224&gt;5,ROUNDUP(H224,J224),ROUND(H224,J224))</f>
        <v>#N/A</v>
      </c>
      <c r="T224" s="132" t="e">
        <f ca="1">TEXT(IF(N224&gt;5,ROUNDUP(I224,K224),ROUND(I224,K224)),P224)</f>
        <v>#N/A</v>
      </c>
      <c r="U224" s="119"/>
      <c r="V224" s="122"/>
    </row>
    <row r="225" spans="1:23" ht="15" customHeight="1">
      <c r="B225" s="273" t="s">
        <v>452</v>
      </c>
      <c r="C225" s="125" t="e">
        <f ca="1">$O$185</f>
        <v>#N/A</v>
      </c>
      <c r="D225" s="126"/>
      <c r="E225" s="126" t="e">
        <f ca="1">$Q$185</f>
        <v>#N/A</v>
      </c>
      <c r="F225" s="126" t="e">
        <f ca="1">C225/IF(E225="˚",1,IF(E225="´",60,3600))</f>
        <v>#N/A</v>
      </c>
      <c r="G225" s="274" t="e">
        <f ca="1">F225*60</f>
        <v>#N/A</v>
      </c>
      <c r="J225" s="388" t="s">
        <v>1262</v>
      </c>
      <c r="K225" s="165">
        <f>IF(O225=TRUE,1,기본정보!$A$47)</f>
        <v>1</v>
      </c>
      <c r="L225" s="388" t="s">
        <v>1263</v>
      </c>
      <c r="M225" s="165" t="b">
        <f>IF(O225=TRUE,FALSE,기본정보!$A$52)</f>
        <v>0</v>
      </c>
      <c r="N225" s="388" t="s">
        <v>1261</v>
      </c>
      <c r="O225" s="165" t="b">
        <f>기본정보!$A$46=0</f>
        <v>1</v>
      </c>
      <c r="R225" s="119"/>
      <c r="S225" s="119"/>
      <c r="T225" s="119"/>
      <c r="U225" s="119"/>
      <c r="W225" s="122"/>
    </row>
    <row r="226" spans="1:23" ht="15" customHeight="1">
      <c r="B226" s="120"/>
      <c r="C226" s="120"/>
      <c r="D226" s="120"/>
      <c r="Q226" s="119"/>
      <c r="R226" s="119"/>
      <c r="S226" s="119"/>
      <c r="T226" s="119"/>
      <c r="U226" s="119"/>
      <c r="V226" s="122"/>
    </row>
    <row r="227" spans="1:23" ht="15" customHeight="1">
      <c r="B227" s="128" t="s">
        <v>429</v>
      </c>
      <c r="C227" s="120"/>
      <c r="D227" s="120"/>
      <c r="F227" s="119"/>
      <c r="I227" s="181" t="s">
        <v>53</v>
      </c>
      <c r="J227" s="181" t="s">
        <v>453</v>
      </c>
      <c r="M227" s="119"/>
      <c r="O227" s="270" t="s">
        <v>454</v>
      </c>
      <c r="P227" s="270" t="s">
        <v>455</v>
      </c>
      <c r="Q227" s="119"/>
      <c r="R227" s="122"/>
      <c r="S227" s="119"/>
      <c r="T227" s="119"/>
      <c r="U227" s="119"/>
    </row>
    <row r="228" spans="1:23" ht="15" customHeight="1">
      <c r="B228" s="660" t="s">
        <v>1266</v>
      </c>
      <c r="C228" s="662"/>
      <c r="D228" s="683" t="s">
        <v>1271</v>
      </c>
      <c r="E228" s="392" t="s">
        <v>189</v>
      </c>
      <c r="F228" s="392" t="s">
        <v>290</v>
      </c>
      <c r="G228" s="392" t="s">
        <v>1272</v>
      </c>
      <c r="I228" s="181"/>
      <c r="J228" s="181">
        <v>95.45</v>
      </c>
      <c r="M228" s="119"/>
      <c r="O228" s="269" t="s">
        <v>456</v>
      </c>
      <c r="P228" s="269" t="s">
        <v>457</v>
      </c>
      <c r="Q228" s="119"/>
      <c r="R228" s="122"/>
      <c r="S228" s="119"/>
      <c r="T228" s="119"/>
      <c r="U228" s="119"/>
    </row>
    <row r="229" spans="1:23" ht="15" customHeight="1">
      <c r="B229" s="393" t="s">
        <v>1267</v>
      </c>
      <c r="C229" s="395" t="s">
        <v>1268</v>
      </c>
      <c r="D229" s="688"/>
      <c r="E229" s="391" t="e">
        <f ca="1">U220</f>
        <v>#N/A</v>
      </c>
      <c r="F229" s="391" t="e">
        <f ca="1">V220</f>
        <v>#N/A</v>
      </c>
      <c r="G229" s="233" t="e">
        <f ca="1">F229/E229</f>
        <v>#N/A</v>
      </c>
      <c r="I229" s="165">
        <v>1</v>
      </c>
      <c r="J229" s="165">
        <v>13.97</v>
      </c>
      <c r="M229" s="119"/>
      <c r="O229" s="190">
        <v>0</v>
      </c>
      <c r="P229" s="191" t="s">
        <v>458</v>
      </c>
      <c r="Q229" s="119"/>
      <c r="R229" s="122"/>
      <c r="S229" s="119"/>
      <c r="T229" s="119"/>
      <c r="U229" s="119"/>
    </row>
    <row r="230" spans="1:23" ht="15" customHeight="1">
      <c r="B230" s="165">
        <v>1</v>
      </c>
      <c r="C230" s="185">
        <f ca="1">IFERROR(LARGE(U215:U219,B230),0)</f>
        <v>0</v>
      </c>
      <c r="D230" s="268" t="s">
        <v>431</v>
      </c>
      <c r="E230" s="691">
        <f ca="1">SQRT(SUMSQ(C232:C237,D230:D231))</f>
        <v>0</v>
      </c>
      <c r="F230" s="691"/>
      <c r="G230" s="692" t="e">
        <f ca="1">E230/SQRT(SUMSQ(E231,F231))</f>
        <v>#DIV/0!</v>
      </c>
      <c r="I230" s="165">
        <v>2</v>
      </c>
      <c r="J230" s="165">
        <v>4.53</v>
      </c>
      <c r="O230" s="190">
        <v>1</v>
      </c>
      <c r="P230" s="191" t="s">
        <v>459</v>
      </c>
      <c r="Q230" s="119"/>
      <c r="R230" s="119"/>
      <c r="S230" s="119"/>
      <c r="T230" s="119"/>
      <c r="U230" s="119"/>
      <c r="V230" s="122"/>
    </row>
    <row r="231" spans="1:23" ht="15" customHeight="1">
      <c r="B231" s="165">
        <v>2</v>
      </c>
      <c r="C231" s="185">
        <f ca="1">IFERROR(LARGE(U215:U219,B231),0)</f>
        <v>0</v>
      </c>
      <c r="D231" s="268" t="s">
        <v>437</v>
      </c>
      <c r="E231" s="271">
        <f ca="1">C230</f>
        <v>0</v>
      </c>
      <c r="F231" s="271">
        <f ca="1">C231</f>
        <v>0</v>
      </c>
      <c r="G231" s="693"/>
      <c r="I231" s="165">
        <v>3</v>
      </c>
      <c r="J231" s="165">
        <v>3.31</v>
      </c>
      <c r="O231" s="190">
        <v>2</v>
      </c>
      <c r="P231" s="191" t="s">
        <v>460</v>
      </c>
      <c r="Q231" s="119"/>
      <c r="R231" s="119"/>
      <c r="S231" s="119"/>
      <c r="T231" s="119"/>
      <c r="U231" s="119"/>
      <c r="V231" s="122"/>
    </row>
    <row r="232" spans="1:23" ht="15" customHeight="1">
      <c r="B232" s="165">
        <v>3</v>
      </c>
      <c r="C232" s="185">
        <f ca="1">IFERROR(LARGE(U215:U219,B232),0)</f>
        <v>0</v>
      </c>
      <c r="D232" s="683" t="s">
        <v>430</v>
      </c>
      <c r="E232" s="164" t="s">
        <v>447</v>
      </c>
      <c r="F232" s="164" t="s">
        <v>448</v>
      </c>
      <c r="G232" s="164" t="s">
        <v>449</v>
      </c>
      <c r="I232" s="165">
        <v>4</v>
      </c>
      <c r="J232" s="165">
        <v>2.87</v>
      </c>
      <c r="O232" s="190">
        <v>3</v>
      </c>
      <c r="P232" s="191" t="s">
        <v>461</v>
      </c>
      <c r="Q232" s="119"/>
      <c r="R232" s="119"/>
      <c r="S232" s="119"/>
      <c r="T232" s="119"/>
      <c r="U232" s="119"/>
      <c r="V232" s="122"/>
    </row>
    <row r="233" spans="1:23" ht="15" customHeight="1">
      <c r="B233" s="165">
        <v>4</v>
      </c>
      <c r="C233" s="185">
        <f ca="1">IFERROR(LARGE(U215:U219,B233),0)</f>
        <v>0</v>
      </c>
      <c r="D233" s="688"/>
      <c r="E233" s="165">
        <f ca="1">OFFSET(I214,MATCH(E231,U215:U219,0),0)/IF(OFFSET(J214,MATCH(E231,U215:U219,0),0)="",1,OFFSET(J214,MATCH(E231,U215:U219,0),0))</f>
        <v>0</v>
      </c>
      <c r="F233" s="165">
        <f ca="1">OFFSET(I214,MATCH(F231,U215:U219,0),0)/IF(OFFSET(J214,MATCH(F231,U215:U219,0),0)="",1,OFFSET(J214,MATCH(F231,U215:U219,0),0))</f>
        <v>0</v>
      </c>
      <c r="G233" s="271" t="e">
        <f ca="1">ABS(E233-F233)/(E233+F233)</f>
        <v>#DIV/0!</v>
      </c>
      <c r="I233" s="165">
        <v>5</v>
      </c>
      <c r="J233" s="165">
        <v>2.65</v>
      </c>
      <c r="O233" s="190">
        <v>4</v>
      </c>
      <c r="P233" s="191" t="s">
        <v>462</v>
      </c>
      <c r="Q233" s="119"/>
      <c r="R233" s="119"/>
      <c r="S233" s="119"/>
      <c r="T233" s="119"/>
      <c r="U233" s="119"/>
      <c r="V233" s="122"/>
    </row>
    <row r="234" spans="1:23" ht="15" customHeight="1">
      <c r="B234" s="165">
        <v>5</v>
      </c>
      <c r="C234" s="185">
        <f ca="1">IFERROR(LARGE(U215:U219,B234),0)</f>
        <v>0</v>
      </c>
      <c r="D234" s="268" t="s">
        <v>446</v>
      </c>
      <c r="E234" s="154" t="e">
        <f ca="1">IF(AND(G229&lt;0.3,G230&lt;0.3),"사다리꼴","정규")</f>
        <v>#N/A</v>
      </c>
      <c r="F234" s="119"/>
      <c r="G234" s="119"/>
      <c r="I234" s="165">
        <v>6</v>
      </c>
      <c r="J234" s="165">
        <v>2.52</v>
      </c>
      <c r="O234" s="190">
        <v>5</v>
      </c>
      <c r="P234" s="191" t="s">
        <v>463</v>
      </c>
      <c r="Q234" s="119"/>
      <c r="R234" s="119"/>
      <c r="S234" s="119"/>
      <c r="T234" s="119"/>
      <c r="U234" s="119"/>
      <c r="V234" s="122"/>
    </row>
    <row r="235" spans="1:23" ht="15" customHeight="1">
      <c r="B235" s="165"/>
      <c r="C235" s="185"/>
      <c r="D235" s="268" t="s">
        <v>451</v>
      </c>
      <c r="E235" s="165" t="e">
        <f ca="1">IF(E234="정규",IF(OR(R220="∞",R220&gt;=10),2,OFFSET(J228,MATCH(R220,I229:I238,0),0)),ROUND((1-SQRT((1-0.95)*(1-G233^2)))/SQRT((1+G233^2)/6),2))</f>
        <v>#N/A</v>
      </c>
      <c r="F235" s="119"/>
      <c r="G235" s="119"/>
      <c r="I235" s="165">
        <v>7</v>
      </c>
      <c r="J235" s="165">
        <v>2.4300000000000002</v>
      </c>
      <c r="O235" s="190">
        <v>6</v>
      </c>
      <c r="P235" s="191" t="s">
        <v>464</v>
      </c>
      <c r="Q235" s="119"/>
      <c r="R235" s="119"/>
      <c r="S235" s="119"/>
      <c r="T235" s="119"/>
      <c r="U235" s="119"/>
      <c r="V235" s="122"/>
    </row>
    <row r="236" spans="1:23" ht="15" customHeight="1">
      <c r="B236" s="165"/>
      <c r="C236" s="185"/>
      <c r="E236" s="121"/>
      <c r="F236" s="119"/>
      <c r="G236" s="119"/>
      <c r="I236" s="165">
        <v>8</v>
      </c>
      <c r="J236" s="165">
        <v>2.37</v>
      </c>
      <c r="O236" s="190">
        <v>7</v>
      </c>
      <c r="P236" s="191" t="s">
        <v>465</v>
      </c>
      <c r="Q236" s="119"/>
      <c r="R236" s="119"/>
      <c r="S236" s="119"/>
      <c r="T236" s="119"/>
      <c r="U236" s="119"/>
      <c r="V236" s="122"/>
    </row>
    <row r="237" spans="1:23" ht="15" customHeight="1">
      <c r="B237" s="165"/>
      <c r="C237" s="185"/>
      <c r="E237" s="121"/>
      <c r="I237" s="165">
        <v>9</v>
      </c>
      <c r="J237" s="165">
        <v>2.3199999999999998</v>
      </c>
      <c r="O237" s="190">
        <v>8</v>
      </c>
      <c r="P237" s="191" t="s">
        <v>466</v>
      </c>
      <c r="Q237" s="119"/>
      <c r="R237" s="119"/>
      <c r="S237" s="119"/>
      <c r="T237" s="119"/>
      <c r="U237" s="119"/>
      <c r="V237" s="122"/>
    </row>
    <row r="238" spans="1:23" ht="15" customHeight="1">
      <c r="B238" s="120"/>
      <c r="C238" s="120"/>
      <c r="E238" s="121"/>
      <c r="I238" s="165" t="s">
        <v>54</v>
      </c>
      <c r="J238" s="165">
        <v>2</v>
      </c>
      <c r="O238" s="190">
        <v>9</v>
      </c>
      <c r="P238" s="191" t="s">
        <v>467</v>
      </c>
      <c r="Q238" s="119"/>
      <c r="R238" s="119"/>
      <c r="S238" s="119"/>
      <c r="T238" s="119"/>
      <c r="U238" s="119"/>
      <c r="V238" s="122"/>
    </row>
    <row r="239" spans="1:23" ht="15" customHeight="1">
      <c r="B239" s="120"/>
      <c r="C239" s="120"/>
      <c r="E239" s="121"/>
      <c r="Q239" s="119"/>
      <c r="R239" s="119"/>
      <c r="S239" s="119"/>
      <c r="T239" s="119"/>
      <c r="U239" s="119"/>
      <c r="V239" s="122"/>
    </row>
    <row r="240" spans="1:23" ht="18" customHeight="1">
      <c r="A240" s="241" t="s">
        <v>518</v>
      </c>
    </row>
    <row r="241" spans="1:61" ht="15" customHeight="1">
      <c r="A241" s="116" t="s">
        <v>519</v>
      </c>
      <c r="B241" s="117"/>
      <c r="C241" s="117"/>
      <c r="D241" s="117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</row>
    <row r="242" spans="1:61" ht="13.5">
      <c r="B242" s="295" t="s">
        <v>143</v>
      </c>
      <c r="C242" s="295" t="s">
        <v>520</v>
      </c>
      <c r="D242" s="295" t="s">
        <v>521</v>
      </c>
      <c r="E242" s="295" t="s">
        <v>522</v>
      </c>
      <c r="F242" s="295" t="s">
        <v>523</v>
      </c>
      <c r="G242" s="406" t="s">
        <v>1302</v>
      </c>
      <c r="H242" s="295" t="s">
        <v>76</v>
      </c>
      <c r="I242" s="295" t="s">
        <v>524</v>
      </c>
      <c r="J242" s="295" t="s">
        <v>525</v>
      </c>
      <c r="K242" s="295"/>
      <c r="L242" s="295" t="s">
        <v>526</v>
      </c>
      <c r="M242" s="118"/>
      <c r="N242" s="118"/>
      <c r="O242" s="119"/>
      <c r="P242" s="119"/>
      <c r="Q242" s="119"/>
      <c r="R242" s="119"/>
      <c r="S242" s="119"/>
      <c r="T242" s="119"/>
      <c r="U242" s="119"/>
    </row>
    <row r="243" spans="1:61" ht="15" customHeight="1">
      <c r="B243" s="165" t="e">
        <f>C243</f>
        <v>#DIV/0!</v>
      </c>
      <c r="C243" s="165" t="e">
        <f>AVERAGE(기본정보!B12:B13)</f>
        <v>#DIV/0!</v>
      </c>
      <c r="D243" s="165">
        <f>MIN(C249:C268)</f>
        <v>0</v>
      </c>
      <c r="E243" s="165">
        <f>MAX(L249:L268)</f>
        <v>0</v>
      </c>
      <c r="F243" s="165">
        <f>Angle_1!G4</f>
        <v>0</v>
      </c>
      <c r="G243" s="165" t="str">
        <f ca="1">TEXT(F243,OFFSET(Q286,MATCH(IFERROR(LEN(F243)-FIND(".",F243),0),P287:P296,0),0))&amp;I243</f>
        <v>00</v>
      </c>
      <c r="H243" s="165">
        <f>Angle_1!H4</f>
        <v>0</v>
      </c>
      <c r="I243" s="165">
        <f>Angle_1!I4</f>
        <v>0</v>
      </c>
      <c r="J243" s="165" t="e">
        <f ca="1">OFFSET(Angle_1!C3,MATCH($E243,$L249:$L268,0),0)</f>
        <v>#N/A</v>
      </c>
      <c r="K243" s="165"/>
      <c r="L243" s="165" t="e">
        <f ca="1">OFFSET(Angle_1!E3,MATCH($E243,$L249:$L268,0),0)</f>
        <v>#N/A</v>
      </c>
      <c r="O243" s="119"/>
      <c r="P243" s="119"/>
      <c r="Q243" s="119"/>
      <c r="R243" s="119"/>
      <c r="S243" s="119"/>
      <c r="T243" s="119"/>
      <c r="U243" s="119"/>
    </row>
    <row r="244" spans="1:61" ht="15" customHeight="1">
      <c r="B244" s="117"/>
      <c r="C244" s="117"/>
      <c r="D244" s="117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</row>
    <row r="245" spans="1:61" ht="15" customHeight="1">
      <c r="A245" s="116" t="s">
        <v>214</v>
      </c>
      <c r="C245" s="117"/>
      <c r="D245" s="122"/>
      <c r="E245" s="122"/>
      <c r="F245" s="122"/>
      <c r="G245" s="122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19"/>
      <c r="U245" s="129" t="s">
        <v>215</v>
      </c>
    </row>
    <row r="246" spans="1:61" ht="15" customHeight="1">
      <c r="B246" s="683" t="s">
        <v>527</v>
      </c>
      <c r="C246" s="694" t="s">
        <v>90</v>
      </c>
      <c r="D246" s="694" t="s">
        <v>60</v>
      </c>
      <c r="E246" s="660" t="s">
        <v>528</v>
      </c>
      <c r="F246" s="661"/>
      <c r="G246" s="661"/>
      <c r="H246" s="661"/>
      <c r="I246" s="661"/>
      <c r="J246" s="662"/>
      <c r="K246" s="698" t="s">
        <v>529</v>
      </c>
      <c r="L246" s="295" t="s">
        <v>530</v>
      </c>
      <c r="M246" s="295" t="s">
        <v>219</v>
      </c>
      <c r="N246" s="295" t="s">
        <v>531</v>
      </c>
      <c r="O246" s="295" t="s">
        <v>532</v>
      </c>
      <c r="P246" s="295" t="s">
        <v>533</v>
      </c>
      <c r="Q246" s="666" t="s">
        <v>225</v>
      </c>
      <c r="R246" s="668"/>
      <c r="S246" s="667"/>
      <c r="U246" s="685" t="s">
        <v>534</v>
      </c>
      <c r="V246" s="686"/>
      <c r="W246" s="663" t="s">
        <v>535</v>
      </c>
      <c r="X246" s="664"/>
      <c r="Y246" s="664"/>
      <c r="Z246" s="664"/>
      <c r="AA246" s="664"/>
      <c r="AB246" s="664"/>
      <c r="AC246" s="664"/>
    </row>
    <row r="247" spans="1:61" ht="15" customHeight="1">
      <c r="B247" s="687"/>
      <c r="C247" s="701"/>
      <c r="D247" s="701"/>
      <c r="E247" s="174" t="s">
        <v>536</v>
      </c>
      <c r="F247" s="298" t="s">
        <v>537</v>
      </c>
      <c r="G247" s="174" t="s">
        <v>107</v>
      </c>
      <c r="H247" s="298" t="s">
        <v>108</v>
      </c>
      <c r="I247" s="174" t="s">
        <v>109</v>
      </c>
      <c r="J247" s="298" t="s">
        <v>230</v>
      </c>
      <c r="K247" s="699"/>
      <c r="L247" s="295" t="s">
        <v>538</v>
      </c>
      <c r="M247" s="295" t="s">
        <v>539</v>
      </c>
      <c r="N247" s="295" t="s">
        <v>540</v>
      </c>
      <c r="O247" s="295" t="s">
        <v>541</v>
      </c>
      <c r="P247" s="295" t="s">
        <v>542</v>
      </c>
      <c r="Q247" s="666" t="s">
        <v>533</v>
      </c>
      <c r="R247" s="667"/>
      <c r="S247" s="295" t="s">
        <v>87</v>
      </c>
      <c r="U247" s="205" t="s">
        <v>242</v>
      </c>
      <c r="V247" s="205" t="s">
        <v>543</v>
      </c>
      <c r="W247" s="295" t="s">
        <v>544</v>
      </c>
      <c r="X247" s="293" t="s">
        <v>224</v>
      </c>
      <c r="Y247" s="293" t="s">
        <v>224</v>
      </c>
      <c r="Z247" s="295" t="s">
        <v>87</v>
      </c>
      <c r="AA247" s="204" t="s">
        <v>545</v>
      </c>
      <c r="AB247" s="204" t="s">
        <v>245</v>
      </c>
      <c r="AC247" s="204" t="s">
        <v>197</v>
      </c>
      <c r="AE247" s="660" t="s">
        <v>546</v>
      </c>
      <c r="AF247" s="661"/>
      <c r="AG247" s="661"/>
      <c r="AH247" s="661"/>
      <c r="AI247" s="661"/>
      <c r="AJ247" s="662"/>
      <c r="AL247" s="660" t="s">
        <v>790</v>
      </c>
      <c r="AM247" s="661"/>
      <c r="AN247" s="661"/>
      <c r="AO247" s="661"/>
      <c r="AP247" s="661"/>
      <c r="AQ247" s="662"/>
      <c r="AR247" s="660" t="s">
        <v>791</v>
      </c>
      <c r="AS247" s="661"/>
      <c r="AT247" s="661"/>
      <c r="AU247" s="661"/>
      <c r="AV247" s="661"/>
      <c r="AW247" s="662"/>
      <c r="AX247" s="660" t="s">
        <v>792</v>
      </c>
      <c r="AY247" s="661"/>
      <c r="AZ247" s="661"/>
      <c r="BA247" s="661"/>
      <c r="BB247" s="661"/>
      <c r="BC247" s="662"/>
      <c r="BD247" s="660" t="s">
        <v>793</v>
      </c>
      <c r="BE247" s="661"/>
      <c r="BF247" s="661"/>
      <c r="BG247" s="661"/>
      <c r="BH247" s="661"/>
      <c r="BI247" s="662"/>
    </row>
    <row r="248" spans="1:61" ht="15" customHeight="1">
      <c r="B248" s="688"/>
      <c r="C248" s="695"/>
      <c r="D248" s="695"/>
      <c r="E248" s="298">
        <f>I243</f>
        <v>0</v>
      </c>
      <c r="F248" s="298">
        <f t="shared" ref="F248:Q248" si="111">E248</f>
        <v>0</v>
      </c>
      <c r="G248" s="298">
        <f t="shared" si="111"/>
        <v>0</v>
      </c>
      <c r="H248" s="298">
        <f t="shared" si="111"/>
        <v>0</v>
      </c>
      <c r="I248" s="298">
        <f t="shared" si="111"/>
        <v>0</v>
      </c>
      <c r="J248" s="298">
        <f t="shared" si="111"/>
        <v>0</v>
      </c>
      <c r="K248" s="295">
        <f t="shared" si="111"/>
        <v>0</v>
      </c>
      <c r="L248" s="295">
        <f t="shared" si="111"/>
        <v>0</v>
      </c>
      <c r="M248" s="295">
        <f t="shared" si="111"/>
        <v>0</v>
      </c>
      <c r="N248" s="295">
        <f t="shared" si="111"/>
        <v>0</v>
      </c>
      <c r="O248" s="295">
        <f t="shared" si="111"/>
        <v>0</v>
      </c>
      <c r="P248" s="295">
        <f t="shared" si="111"/>
        <v>0</v>
      </c>
      <c r="Q248" s="295">
        <f t="shared" si="111"/>
        <v>0</v>
      </c>
      <c r="R248" s="295" t="s">
        <v>547</v>
      </c>
      <c r="S248" s="295">
        <f>Q248</f>
        <v>0</v>
      </c>
      <c r="U248" s="315">
        <f>S248</f>
        <v>0</v>
      </c>
      <c r="V248" s="315">
        <f>U248</f>
        <v>0</v>
      </c>
      <c r="W248" s="315">
        <f>V248</f>
        <v>0</v>
      </c>
      <c r="X248" s="315">
        <f>W248</f>
        <v>0</v>
      </c>
      <c r="Y248" s="315" t="str">
        <f>R248</f>
        <v>´</v>
      </c>
      <c r="Z248" s="315">
        <f>X248</f>
        <v>0</v>
      </c>
      <c r="AA248" s="315">
        <f>Z248</f>
        <v>0</v>
      </c>
      <c r="AB248" s="221">
        <f>IF(TYPE(MATCH("FAIL",AB249:AB268,0))=16,0,1)</f>
        <v>0</v>
      </c>
      <c r="AC248" s="314">
        <f>AA248</f>
        <v>0</v>
      </c>
      <c r="AE248" s="298" t="s">
        <v>548</v>
      </c>
      <c r="AF248" s="298" t="s">
        <v>549</v>
      </c>
      <c r="AG248" s="298" t="s">
        <v>550</v>
      </c>
      <c r="AH248" s="298" t="s">
        <v>551</v>
      </c>
      <c r="AI248" s="298" t="s">
        <v>552</v>
      </c>
      <c r="AJ248" s="298" t="s">
        <v>553</v>
      </c>
      <c r="AL248" s="336" t="s">
        <v>781</v>
      </c>
      <c r="AM248" s="336" t="s">
        <v>782</v>
      </c>
      <c r="AN248" s="336" t="s">
        <v>107</v>
      </c>
      <c r="AO248" s="336" t="s">
        <v>108</v>
      </c>
      <c r="AP248" s="336" t="s">
        <v>109</v>
      </c>
      <c r="AQ248" s="336" t="s">
        <v>783</v>
      </c>
      <c r="AR248" s="336" t="s">
        <v>781</v>
      </c>
      <c r="AS248" s="336" t="s">
        <v>782</v>
      </c>
      <c r="AT248" s="336" t="s">
        <v>107</v>
      </c>
      <c r="AU248" s="336" t="s">
        <v>108</v>
      </c>
      <c r="AV248" s="336" t="s">
        <v>109</v>
      </c>
      <c r="AW248" s="336" t="s">
        <v>783</v>
      </c>
      <c r="AX248" s="336" t="s">
        <v>784</v>
      </c>
      <c r="AY248" s="336" t="s">
        <v>789</v>
      </c>
      <c r="AZ248" s="336" t="s">
        <v>107</v>
      </c>
      <c r="BA248" s="336" t="s">
        <v>108</v>
      </c>
      <c r="BB248" s="336" t="s">
        <v>109</v>
      </c>
      <c r="BC248" s="336" t="s">
        <v>783</v>
      </c>
      <c r="BD248" s="336" t="s">
        <v>784</v>
      </c>
      <c r="BE248" s="336" t="s">
        <v>789</v>
      </c>
      <c r="BF248" s="336" t="s">
        <v>107</v>
      </c>
      <c r="BG248" s="336" t="s">
        <v>108</v>
      </c>
      <c r="BH248" s="336" t="s">
        <v>109</v>
      </c>
      <c r="BI248" s="336" t="s">
        <v>783</v>
      </c>
    </row>
    <row r="249" spans="1:61" ht="15" customHeight="1">
      <c r="B249" s="171" t="b">
        <f>IF(TRIM(Angle_1!A4)="",FALSE,TRUE)</f>
        <v>0</v>
      </c>
      <c r="C249" s="165" t="str">
        <f>IF($B249=FALSE,"",VALUE(Angle_1!A4))</f>
        <v/>
      </c>
      <c r="D249" s="165" t="str">
        <f>IF($B249=FALSE,"",Angle_1!B4)</f>
        <v/>
      </c>
      <c r="E249" s="171" t="str">
        <f>IF(B249=FALSE,"",Angle_1!M4)</f>
        <v/>
      </c>
      <c r="F249" s="171" t="str">
        <f>IF(B249=FALSE,"",Angle_1!N4)</f>
        <v/>
      </c>
      <c r="G249" s="171" t="str">
        <f>IF(B249=FALSE,"",Angle_1!O4)</f>
        <v/>
      </c>
      <c r="H249" s="171" t="str">
        <f>IF(B249=FALSE,"",Angle_1!P4)</f>
        <v/>
      </c>
      <c r="I249" s="171" t="str">
        <f>IF(B249=FALSE,"",Angle_1!Q4)</f>
        <v/>
      </c>
      <c r="J249" s="165" t="str">
        <f t="shared" ref="J249:J268" si="112">IF(B249=FALSE,"",AVERAGE(E249:I249))</f>
        <v/>
      </c>
      <c r="K249" s="288" t="str">
        <f t="shared" ref="K249:K268" si="113">IF(B249=FALSE,"",STDEV(E249:I249))</f>
        <v/>
      </c>
      <c r="L249" s="179" t="str">
        <f t="shared" ref="L249:L268" si="114">IF(B249=FALSE,"",C249/IF(D249="˝",3600,IF(D249="´",60,IF(D249="˚",1,0))))</f>
        <v/>
      </c>
      <c r="M249" s="176" t="str">
        <f>IF(B249=FALSE,"",(Angle_1!E28+Angle_1!F28))</f>
        <v/>
      </c>
      <c r="N249" s="289" t="str">
        <f t="shared" ref="N249:N268" si="115">IF(B249=FALSE,"",L249/90)</f>
        <v/>
      </c>
      <c r="O249" s="290" t="str">
        <f t="shared" ref="O249:O268" si="116">IF(B249=FALSE,"",J249)</f>
        <v/>
      </c>
      <c r="P249" s="291" t="str">
        <f t="shared" ref="P249:P268" si="117">IF(B249=FALSE,"",M249-O249)</f>
        <v/>
      </c>
      <c r="Q249" s="165" t="str">
        <f t="shared" ref="Q249:Q268" si="118">IF($B249=FALSE,"",ROUND(P249,$K$282))</f>
        <v/>
      </c>
      <c r="R249" s="165" t="str">
        <f t="shared" ref="R249:R268" si="119">IF($B249=FALSE,"",ROUND(P249*60,$L$282))</f>
        <v/>
      </c>
      <c r="S249" s="165" t="str">
        <f t="shared" ref="S249:S268" si="120">IF($B249=FALSE,"",ROUND(L249+P249,$K$282))</f>
        <v/>
      </c>
      <c r="U249" s="165" t="e">
        <f ca="1">IF(Angle_1!J4&lt;0,ROUNDUP(Angle_1!J4,$K$282),ROUNDDOWN(Angle_1!J4,$K$282))</f>
        <v>#DIV/0!</v>
      </c>
      <c r="V249" s="165" t="e">
        <f ca="1">IF(Angle_1!K4&lt;0,ROUNDDOWN(Angle_1!K4,$K$282),ROUNDUP(Angle_1!K4,$K$282))</f>
        <v>#DIV/0!</v>
      </c>
      <c r="W249" s="165" t="str">
        <f t="shared" ref="W249:W268" si="121">TEXT(L249,IF(L249&gt;=1000,"# ##0","0"))</f>
        <v/>
      </c>
      <c r="X249" s="168" t="e">
        <f t="shared" ref="X249:X268" ca="1" si="122">TEXT(Q249,$P$282)</f>
        <v>#DIV/0!</v>
      </c>
      <c r="Y249" s="168" t="e">
        <f t="shared" ref="Y249:Y268" ca="1" si="123">TEXT(R249,$Q$282)</f>
        <v>#DIV/0!</v>
      </c>
      <c r="Z249" s="165" t="e">
        <f t="shared" ref="Z249:Z268" ca="1" si="124">TEXT(S249,$P$282)</f>
        <v>#DIV/0!</v>
      </c>
      <c r="AA249" s="165" t="str">
        <f t="shared" ref="AA249:AA268" si="125">IF($B249=FALSE,"","± "&amp;TEXT(V249-L249,P$282))</f>
        <v/>
      </c>
      <c r="AB249" s="165" t="str">
        <f t="shared" ref="AB249:AB268" si="126">IF($B249=FALSE,"",IF(AND(U249&lt;=S249,S249&lt;=V249),"PASS","FAIL"))</f>
        <v/>
      </c>
      <c r="AC249" s="165" t="e">
        <f t="shared" ref="AC249:AC267" ca="1" si="127">TEXT(T$282,P$282)</f>
        <v>#DIV/0!</v>
      </c>
      <c r="AE249" s="171">
        <f>Angle_1!L28</f>
        <v>0</v>
      </c>
      <c r="AF249" s="171">
        <f>Angle_1!M28</f>
        <v>0</v>
      </c>
      <c r="AG249" s="171">
        <f>Angle_1!N28</f>
        <v>0</v>
      </c>
      <c r="AH249" s="171">
        <f>Angle_1!O28</f>
        <v>0</v>
      </c>
      <c r="AI249" s="171">
        <f>Angle_1!P28</f>
        <v>0</v>
      </c>
      <c r="AJ249" s="299">
        <f t="shared" ref="AJ249:AJ268" si="128">SQRT(SUM(AE249,AF249,AG249,AH249,AI249)^2+2*(AE249*AF249)+2*(AE249*AG249)+2*(AE249*AH249)+2*(AE249*AI249)+2*(AF249*AG249)+2*(AF249*AH249)+2*(AF249*AI249)+2*(AG249*AH249)+2*(AG249*AI249))</f>
        <v>0</v>
      </c>
      <c r="AL249" s="165" t="str">
        <f t="shared" ref="AL249:AL268" si="129">IF($B249=FALSE,"",TRUNC(E249))</f>
        <v/>
      </c>
      <c r="AM249" s="165" t="str">
        <f t="shared" ref="AM249:AM268" si="130">IF($B249=FALSE,"",TRUNC(F249))</f>
        <v/>
      </c>
      <c r="AN249" s="165" t="str">
        <f t="shared" ref="AN249:AN268" si="131">IF($B249=FALSE,"",TRUNC(G249))</f>
        <v/>
      </c>
      <c r="AO249" s="165" t="str">
        <f t="shared" ref="AO249:AO268" si="132">IF($B249=FALSE,"",TRUNC(H249))</f>
        <v/>
      </c>
      <c r="AP249" s="165" t="str">
        <f t="shared" ref="AP249:AP268" si="133">IF($B249=FALSE,"",TRUNC(I249))</f>
        <v/>
      </c>
      <c r="AQ249" s="165" t="str">
        <f t="shared" ref="AQ249:AQ268" si="134">IF($B249=FALSE,"",TRUNC(J249))</f>
        <v/>
      </c>
      <c r="AR249" s="165" t="str">
        <f t="shared" ref="AR249:AR268" si="135">IF($B249=FALSE,"",TRUNC((E249-AL249)*60))</f>
        <v/>
      </c>
      <c r="AS249" s="165" t="str">
        <f t="shared" ref="AS249:AS268" si="136">IF($B249=FALSE,"",TRUNC((F249-AM249)*60))</f>
        <v/>
      </c>
      <c r="AT249" s="165" t="str">
        <f t="shared" ref="AT249:AT268" si="137">IF($B249=FALSE,"",TRUNC((G249-AN249)*60))</f>
        <v/>
      </c>
      <c r="AU249" s="165" t="str">
        <f t="shared" ref="AU249:AU268" si="138">IF($B249=FALSE,"",TRUNC((H249-AO249)*60))</f>
        <v/>
      </c>
      <c r="AV249" s="165" t="str">
        <f t="shared" ref="AV249:AV268" si="139">IF($B249=FALSE,"",TRUNC((I249-AP249)*60))</f>
        <v/>
      </c>
      <c r="AW249" s="165" t="str">
        <f t="shared" ref="AW249:AW268" si="140">IF($B249=FALSE,"",TRUNC((J249-AQ249)*60))</f>
        <v/>
      </c>
      <c r="AX249" s="165" t="str">
        <f t="shared" ref="AX249:AX268" si="141">IF($B249=FALSE,"",ROUND(((E249-AL249)*60-AR249)*60,0))</f>
        <v/>
      </c>
      <c r="AY249" s="165" t="str">
        <f t="shared" ref="AY249:AY268" si="142">IF($B249=FALSE,"",ROUND(((F249-AM249)*60-AS249)*60,0))</f>
        <v/>
      </c>
      <c r="AZ249" s="165" t="str">
        <f t="shared" ref="AZ249:AZ268" si="143">IF($B249=FALSE,"",ROUND(((G249-AN249)*60-AT249)*60,0))</f>
        <v/>
      </c>
      <c r="BA249" s="165" t="str">
        <f t="shared" ref="BA249:BA268" si="144">IF($B249=FALSE,"",ROUND(((H249-AO249)*60-AU249)*60,0))</f>
        <v/>
      </c>
      <c r="BB249" s="165" t="str">
        <f t="shared" ref="BB249:BB268" si="145">IF($B249=FALSE,"",ROUND(((I249-AP249)*60-AV249)*60,0))</f>
        <v/>
      </c>
      <c r="BC249" s="165" t="str">
        <f t="shared" ref="BC249:BC268" si="146">IF($B249=FALSE,"",ROUND(((J249-AQ249)*60-AW249)*60,0))</f>
        <v/>
      </c>
      <c r="BD249" s="165" t="str">
        <f>IF($B249=FALSE,"",CONCATENATE(AL249,"˚ ",TEXT(IF(AX249=60,AR249+1,AR249),"00"),"´ ",TEXT(IF(AX249=60,0,AX249),"00"),"˝"))</f>
        <v/>
      </c>
      <c r="BE249" s="165" t="str">
        <f t="shared" ref="BE249:BI268" si="147">IF($B249=FALSE,"",CONCATENATE(AM249,"˚ ",TEXT(IF(AY249=60,AS249+1,AS249),"00"),"´ ",TEXT(IF(AY249=60,0,AY249),"00"),"˝"))</f>
        <v/>
      </c>
      <c r="BF249" s="165" t="str">
        <f t="shared" si="147"/>
        <v/>
      </c>
      <c r="BG249" s="165" t="str">
        <f t="shared" si="147"/>
        <v/>
      </c>
      <c r="BH249" s="165" t="str">
        <f t="shared" si="147"/>
        <v/>
      </c>
      <c r="BI249" s="165" t="str">
        <f t="shared" si="147"/>
        <v/>
      </c>
    </row>
    <row r="250" spans="1:61" ht="15" customHeight="1">
      <c r="B250" s="171" t="b">
        <f>IF(TRIM(Angle_1!A5)="",FALSE,TRUE)</f>
        <v>0</v>
      </c>
      <c r="C250" s="165" t="str">
        <f>IF($B250=FALSE,"",VALUE(Angle_1!A5))</f>
        <v/>
      </c>
      <c r="D250" s="165" t="str">
        <f>IF($B250=FALSE,"",Angle_1!B5)</f>
        <v/>
      </c>
      <c r="E250" s="171" t="str">
        <f>IF(B250=FALSE,"",Angle_1!M5)</f>
        <v/>
      </c>
      <c r="F250" s="171" t="str">
        <f>IF(B250=FALSE,"",Angle_1!N5)</f>
        <v/>
      </c>
      <c r="G250" s="171" t="str">
        <f>IF(B250=FALSE,"",Angle_1!O5)</f>
        <v/>
      </c>
      <c r="H250" s="171" t="str">
        <f>IF(B250=FALSE,"",Angle_1!P5)</f>
        <v/>
      </c>
      <c r="I250" s="171" t="str">
        <f>IF(B250=FALSE,"",Angle_1!Q5)</f>
        <v/>
      </c>
      <c r="J250" s="165" t="str">
        <f t="shared" si="112"/>
        <v/>
      </c>
      <c r="K250" s="288" t="str">
        <f t="shared" si="113"/>
        <v/>
      </c>
      <c r="L250" s="179" t="str">
        <f t="shared" si="114"/>
        <v/>
      </c>
      <c r="M250" s="176" t="str">
        <f>IF(B250=FALSE,"",(Angle_1!E29+Angle_1!F29))</f>
        <v/>
      </c>
      <c r="N250" s="289" t="str">
        <f t="shared" si="115"/>
        <v/>
      </c>
      <c r="O250" s="290" t="str">
        <f t="shared" si="116"/>
        <v/>
      </c>
      <c r="P250" s="291" t="str">
        <f t="shared" si="117"/>
        <v/>
      </c>
      <c r="Q250" s="165" t="str">
        <f t="shared" si="118"/>
        <v/>
      </c>
      <c r="R250" s="165" t="str">
        <f t="shared" si="119"/>
        <v/>
      </c>
      <c r="S250" s="165" t="str">
        <f t="shared" si="120"/>
        <v/>
      </c>
      <c r="U250" s="165" t="e">
        <f ca="1">IF(Angle_1!J5&lt;0,ROUNDUP(Angle_1!J5,$K$282),ROUNDDOWN(Angle_1!J5,$K$282))</f>
        <v>#DIV/0!</v>
      </c>
      <c r="V250" s="165" t="e">
        <f ca="1">IF(Angle_1!K5&lt;0,ROUNDDOWN(Angle_1!K5,$K$282),ROUNDUP(Angle_1!K5,$K$282))</f>
        <v>#DIV/0!</v>
      </c>
      <c r="W250" s="165" t="str">
        <f t="shared" si="121"/>
        <v/>
      </c>
      <c r="X250" s="168" t="e">
        <f t="shared" ca="1" si="122"/>
        <v>#DIV/0!</v>
      </c>
      <c r="Y250" s="168" t="e">
        <f t="shared" ca="1" si="123"/>
        <v>#DIV/0!</v>
      </c>
      <c r="Z250" s="165" t="e">
        <f t="shared" ca="1" si="124"/>
        <v>#DIV/0!</v>
      </c>
      <c r="AA250" s="165" t="str">
        <f t="shared" si="125"/>
        <v/>
      </c>
      <c r="AB250" s="165" t="str">
        <f t="shared" si="126"/>
        <v/>
      </c>
      <c r="AC250" s="165" t="e">
        <f t="shared" ca="1" si="127"/>
        <v>#DIV/0!</v>
      </c>
      <c r="AE250" s="171">
        <f>Angle_1!L29</f>
        <v>0</v>
      </c>
      <c r="AF250" s="171">
        <f>Angle_1!M29</f>
        <v>0</v>
      </c>
      <c r="AG250" s="171">
        <f>Angle_1!N29</f>
        <v>0</v>
      </c>
      <c r="AH250" s="171">
        <f>Angle_1!O29</f>
        <v>0</v>
      </c>
      <c r="AI250" s="171">
        <f>Angle_1!P29</f>
        <v>0</v>
      </c>
      <c r="AJ250" s="299">
        <f t="shared" si="128"/>
        <v>0</v>
      </c>
      <c r="AL250" s="165" t="str">
        <f t="shared" si="129"/>
        <v/>
      </c>
      <c r="AM250" s="165" t="str">
        <f t="shared" si="130"/>
        <v/>
      </c>
      <c r="AN250" s="165" t="str">
        <f t="shared" si="131"/>
        <v/>
      </c>
      <c r="AO250" s="165" t="str">
        <f t="shared" si="132"/>
        <v/>
      </c>
      <c r="AP250" s="165" t="str">
        <f t="shared" si="133"/>
        <v/>
      </c>
      <c r="AQ250" s="165" t="str">
        <f t="shared" si="134"/>
        <v/>
      </c>
      <c r="AR250" s="165" t="str">
        <f t="shared" si="135"/>
        <v/>
      </c>
      <c r="AS250" s="165" t="str">
        <f t="shared" si="136"/>
        <v/>
      </c>
      <c r="AT250" s="165" t="str">
        <f t="shared" si="137"/>
        <v/>
      </c>
      <c r="AU250" s="165" t="str">
        <f t="shared" si="138"/>
        <v/>
      </c>
      <c r="AV250" s="165" t="str">
        <f t="shared" si="139"/>
        <v/>
      </c>
      <c r="AW250" s="165" t="str">
        <f t="shared" si="140"/>
        <v/>
      </c>
      <c r="AX250" s="165" t="str">
        <f t="shared" si="141"/>
        <v/>
      </c>
      <c r="AY250" s="165" t="str">
        <f t="shared" si="142"/>
        <v/>
      </c>
      <c r="AZ250" s="165" t="str">
        <f t="shared" si="143"/>
        <v/>
      </c>
      <c r="BA250" s="165" t="str">
        <f t="shared" si="144"/>
        <v/>
      </c>
      <c r="BB250" s="165" t="str">
        <f t="shared" si="145"/>
        <v/>
      </c>
      <c r="BC250" s="165" t="str">
        <f t="shared" si="146"/>
        <v/>
      </c>
      <c r="BD250" s="165" t="str">
        <f t="shared" ref="BD250:BD268" si="148">IF($B250=FALSE,"",CONCATENATE(AL250,"˚ ",TEXT(IF(AX250=60,AR250+1,AR250),"00"),"´ ",TEXT(IF(AX250=60,0,AX250),"00"),"˝"))</f>
        <v/>
      </c>
      <c r="BE250" s="165" t="str">
        <f t="shared" si="147"/>
        <v/>
      </c>
      <c r="BF250" s="165" t="str">
        <f t="shared" si="147"/>
        <v/>
      </c>
      <c r="BG250" s="165" t="str">
        <f t="shared" si="147"/>
        <v/>
      </c>
      <c r="BH250" s="165" t="str">
        <f t="shared" si="147"/>
        <v/>
      </c>
      <c r="BI250" s="165" t="str">
        <f t="shared" si="147"/>
        <v/>
      </c>
    </row>
    <row r="251" spans="1:61" ht="15" customHeight="1">
      <c r="B251" s="171" t="b">
        <f>IF(TRIM(Angle_1!A6)="",FALSE,TRUE)</f>
        <v>0</v>
      </c>
      <c r="C251" s="165" t="str">
        <f>IF($B251=FALSE,"",VALUE(Angle_1!A6))</f>
        <v/>
      </c>
      <c r="D251" s="165" t="str">
        <f>IF($B251=FALSE,"",Angle_1!B6)</f>
        <v/>
      </c>
      <c r="E251" s="171" t="str">
        <f>IF(B251=FALSE,"",Angle_1!M6)</f>
        <v/>
      </c>
      <c r="F251" s="171" t="str">
        <f>IF(B251=FALSE,"",Angle_1!N6)</f>
        <v/>
      </c>
      <c r="G251" s="171" t="str">
        <f>IF(B251=FALSE,"",Angle_1!O6)</f>
        <v/>
      </c>
      <c r="H251" s="171" t="str">
        <f>IF(B251=FALSE,"",Angle_1!P6)</f>
        <v/>
      </c>
      <c r="I251" s="171" t="str">
        <f>IF(B251=FALSE,"",Angle_1!Q6)</f>
        <v/>
      </c>
      <c r="J251" s="165" t="str">
        <f t="shared" si="112"/>
        <v/>
      </c>
      <c r="K251" s="288" t="str">
        <f t="shared" si="113"/>
        <v/>
      </c>
      <c r="L251" s="179" t="str">
        <f t="shared" si="114"/>
        <v/>
      </c>
      <c r="M251" s="176" t="str">
        <f>IF(B251=FALSE,"",(Angle_1!E30+Angle_1!F30))</f>
        <v/>
      </c>
      <c r="N251" s="289" t="str">
        <f t="shared" si="115"/>
        <v/>
      </c>
      <c r="O251" s="290" t="str">
        <f t="shared" si="116"/>
        <v/>
      </c>
      <c r="P251" s="291" t="str">
        <f t="shared" si="117"/>
        <v/>
      </c>
      <c r="Q251" s="165" t="str">
        <f t="shared" si="118"/>
        <v/>
      </c>
      <c r="R251" s="165" t="str">
        <f t="shared" si="119"/>
        <v/>
      </c>
      <c r="S251" s="165" t="str">
        <f t="shared" si="120"/>
        <v/>
      </c>
      <c r="U251" s="165" t="e">
        <f ca="1">IF(Angle_1!J6&lt;0,ROUNDUP(Angle_1!J6,$K$282),ROUNDDOWN(Angle_1!J6,$K$282))</f>
        <v>#DIV/0!</v>
      </c>
      <c r="V251" s="165" t="e">
        <f ca="1">IF(Angle_1!K6&lt;0,ROUNDDOWN(Angle_1!K6,$K$282),ROUNDUP(Angle_1!K6,$K$282))</f>
        <v>#DIV/0!</v>
      </c>
      <c r="W251" s="165" t="str">
        <f t="shared" si="121"/>
        <v/>
      </c>
      <c r="X251" s="168" t="e">
        <f t="shared" ca="1" si="122"/>
        <v>#DIV/0!</v>
      </c>
      <c r="Y251" s="168" t="e">
        <f t="shared" ca="1" si="123"/>
        <v>#DIV/0!</v>
      </c>
      <c r="Z251" s="165" t="e">
        <f t="shared" ca="1" si="124"/>
        <v>#DIV/0!</v>
      </c>
      <c r="AA251" s="165" t="str">
        <f t="shared" si="125"/>
        <v/>
      </c>
      <c r="AB251" s="165" t="str">
        <f t="shared" si="126"/>
        <v/>
      </c>
      <c r="AC251" s="165" t="e">
        <f t="shared" ca="1" si="127"/>
        <v>#DIV/0!</v>
      </c>
      <c r="AE251" s="171">
        <f>Angle_1!L30</f>
        <v>0</v>
      </c>
      <c r="AF251" s="171">
        <f>Angle_1!M30</f>
        <v>0</v>
      </c>
      <c r="AG251" s="171">
        <f>Angle_1!N30</f>
        <v>0</v>
      </c>
      <c r="AH251" s="171">
        <f>Angle_1!O30</f>
        <v>0</v>
      </c>
      <c r="AI251" s="171">
        <f>Angle_1!P30</f>
        <v>0</v>
      </c>
      <c r="AJ251" s="299">
        <f t="shared" si="128"/>
        <v>0</v>
      </c>
      <c r="AL251" s="165" t="str">
        <f t="shared" si="129"/>
        <v/>
      </c>
      <c r="AM251" s="165" t="str">
        <f t="shared" si="130"/>
        <v/>
      </c>
      <c r="AN251" s="165" t="str">
        <f t="shared" si="131"/>
        <v/>
      </c>
      <c r="AO251" s="165" t="str">
        <f t="shared" si="132"/>
        <v/>
      </c>
      <c r="AP251" s="165" t="str">
        <f t="shared" si="133"/>
        <v/>
      </c>
      <c r="AQ251" s="165" t="str">
        <f t="shared" si="134"/>
        <v/>
      </c>
      <c r="AR251" s="165" t="str">
        <f t="shared" si="135"/>
        <v/>
      </c>
      <c r="AS251" s="165" t="str">
        <f t="shared" si="136"/>
        <v/>
      </c>
      <c r="AT251" s="165" t="str">
        <f t="shared" si="137"/>
        <v/>
      </c>
      <c r="AU251" s="165" t="str">
        <f t="shared" si="138"/>
        <v/>
      </c>
      <c r="AV251" s="165" t="str">
        <f t="shared" si="139"/>
        <v/>
      </c>
      <c r="AW251" s="165" t="str">
        <f t="shared" si="140"/>
        <v/>
      </c>
      <c r="AX251" s="165" t="str">
        <f t="shared" si="141"/>
        <v/>
      </c>
      <c r="AY251" s="165" t="str">
        <f t="shared" si="142"/>
        <v/>
      </c>
      <c r="AZ251" s="165" t="str">
        <f t="shared" si="143"/>
        <v/>
      </c>
      <c r="BA251" s="165" t="str">
        <f t="shared" si="144"/>
        <v/>
      </c>
      <c r="BB251" s="165" t="str">
        <f t="shared" si="145"/>
        <v/>
      </c>
      <c r="BC251" s="165" t="str">
        <f t="shared" si="146"/>
        <v/>
      </c>
      <c r="BD251" s="165" t="str">
        <f t="shared" si="148"/>
        <v/>
      </c>
      <c r="BE251" s="165" t="str">
        <f t="shared" si="147"/>
        <v/>
      </c>
      <c r="BF251" s="165" t="str">
        <f t="shared" si="147"/>
        <v/>
      </c>
      <c r="BG251" s="165" t="str">
        <f t="shared" si="147"/>
        <v/>
      </c>
      <c r="BH251" s="165" t="str">
        <f t="shared" si="147"/>
        <v/>
      </c>
      <c r="BI251" s="165" t="str">
        <f t="shared" si="147"/>
        <v/>
      </c>
    </row>
    <row r="252" spans="1:61" ht="15" customHeight="1">
      <c r="B252" s="171" t="b">
        <f>IF(TRIM(Angle_1!A7)="",FALSE,TRUE)</f>
        <v>0</v>
      </c>
      <c r="C252" s="165" t="str">
        <f>IF($B252=FALSE,"",VALUE(Angle_1!A7))</f>
        <v/>
      </c>
      <c r="D252" s="165" t="str">
        <f>IF($B252=FALSE,"",Angle_1!B7)</f>
        <v/>
      </c>
      <c r="E252" s="171" t="str">
        <f>IF(B252=FALSE,"",Angle_1!M7)</f>
        <v/>
      </c>
      <c r="F252" s="171" t="str">
        <f>IF(B252=FALSE,"",Angle_1!N7)</f>
        <v/>
      </c>
      <c r="G252" s="171" t="str">
        <f>IF(B252=FALSE,"",Angle_1!O7)</f>
        <v/>
      </c>
      <c r="H252" s="171" t="str">
        <f>IF(B252=FALSE,"",Angle_1!P7)</f>
        <v/>
      </c>
      <c r="I252" s="171" t="str">
        <f>IF(B252=FALSE,"",Angle_1!Q7)</f>
        <v/>
      </c>
      <c r="J252" s="165" t="str">
        <f t="shared" si="112"/>
        <v/>
      </c>
      <c r="K252" s="288" t="str">
        <f t="shared" si="113"/>
        <v/>
      </c>
      <c r="L252" s="179" t="str">
        <f t="shared" si="114"/>
        <v/>
      </c>
      <c r="M252" s="176" t="str">
        <f>IF(B252=FALSE,"",(Angle_1!E31+Angle_1!F31))</f>
        <v/>
      </c>
      <c r="N252" s="289" t="str">
        <f t="shared" si="115"/>
        <v/>
      </c>
      <c r="O252" s="290" t="str">
        <f t="shared" si="116"/>
        <v/>
      </c>
      <c r="P252" s="291" t="str">
        <f t="shared" si="117"/>
        <v/>
      </c>
      <c r="Q252" s="165" t="str">
        <f t="shared" si="118"/>
        <v/>
      </c>
      <c r="R252" s="165" t="str">
        <f t="shared" si="119"/>
        <v/>
      </c>
      <c r="S252" s="165" t="str">
        <f t="shared" si="120"/>
        <v/>
      </c>
      <c r="U252" s="165" t="e">
        <f ca="1">IF(Angle_1!J7&lt;0,ROUNDUP(Angle_1!J7,$K$282),ROUNDDOWN(Angle_1!J7,$K$282))</f>
        <v>#DIV/0!</v>
      </c>
      <c r="V252" s="165" t="e">
        <f ca="1">IF(Angle_1!K7&lt;0,ROUNDDOWN(Angle_1!K7,$K$282),ROUNDUP(Angle_1!K7,$K$282))</f>
        <v>#DIV/0!</v>
      </c>
      <c r="W252" s="165" t="str">
        <f t="shared" si="121"/>
        <v/>
      </c>
      <c r="X252" s="168" t="e">
        <f t="shared" ca="1" si="122"/>
        <v>#DIV/0!</v>
      </c>
      <c r="Y252" s="168" t="e">
        <f t="shared" ca="1" si="123"/>
        <v>#DIV/0!</v>
      </c>
      <c r="Z252" s="165" t="e">
        <f t="shared" ca="1" si="124"/>
        <v>#DIV/0!</v>
      </c>
      <c r="AA252" s="165" t="str">
        <f t="shared" si="125"/>
        <v/>
      </c>
      <c r="AB252" s="165" t="str">
        <f t="shared" si="126"/>
        <v/>
      </c>
      <c r="AC252" s="165" t="e">
        <f t="shared" ca="1" si="127"/>
        <v>#DIV/0!</v>
      </c>
      <c r="AE252" s="171">
        <f>Angle_1!L31</f>
        <v>0</v>
      </c>
      <c r="AF252" s="171">
        <f>Angle_1!M31</f>
        <v>0</v>
      </c>
      <c r="AG252" s="171">
        <f>Angle_1!N31</f>
        <v>0</v>
      </c>
      <c r="AH252" s="171">
        <f>Angle_1!O31</f>
        <v>0</v>
      </c>
      <c r="AI252" s="171">
        <f>Angle_1!P31</f>
        <v>0</v>
      </c>
      <c r="AJ252" s="299">
        <f t="shared" si="128"/>
        <v>0</v>
      </c>
      <c r="AL252" s="165" t="str">
        <f t="shared" si="129"/>
        <v/>
      </c>
      <c r="AM252" s="165" t="str">
        <f t="shared" si="130"/>
        <v/>
      </c>
      <c r="AN252" s="165" t="str">
        <f t="shared" si="131"/>
        <v/>
      </c>
      <c r="AO252" s="165" t="str">
        <f t="shared" si="132"/>
        <v/>
      </c>
      <c r="AP252" s="165" t="str">
        <f t="shared" si="133"/>
        <v/>
      </c>
      <c r="AQ252" s="165" t="str">
        <f t="shared" si="134"/>
        <v/>
      </c>
      <c r="AR252" s="165" t="str">
        <f t="shared" si="135"/>
        <v/>
      </c>
      <c r="AS252" s="165" t="str">
        <f t="shared" si="136"/>
        <v/>
      </c>
      <c r="AT252" s="165" t="str">
        <f t="shared" si="137"/>
        <v/>
      </c>
      <c r="AU252" s="165" t="str">
        <f t="shared" si="138"/>
        <v/>
      </c>
      <c r="AV252" s="165" t="str">
        <f t="shared" si="139"/>
        <v/>
      </c>
      <c r="AW252" s="165" t="str">
        <f t="shared" si="140"/>
        <v/>
      </c>
      <c r="AX252" s="165" t="str">
        <f t="shared" si="141"/>
        <v/>
      </c>
      <c r="AY252" s="165" t="str">
        <f t="shared" si="142"/>
        <v/>
      </c>
      <c r="AZ252" s="165" t="str">
        <f t="shared" si="143"/>
        <v/>
      </c>
      <c r="BA252" s="165" t="str">
        <f t="shared" si="144"/>
        <v/>
      </c>
      <c r="BB252" s="165" t="str">
        <f t="shared" si="145"/>
        <v/>
      </c>
      <c r="BC252" s="165" t="str">
        <f t="shared" si="146"/>
        <v/>
      </c>
      <c r="BD252" s="165" t="str">
        <f t="shared" si="148"/>
        <v/>
      </c>
      <c r="BE252" s="165" t="str">
        <f t="shared" si="147"/>
        <v/>
      </c>
      <c r="BF252" s="165" t="str">
        <f t="shared" si="147"/>
        <v/>
      </c>
      <c r="BG252" s="165" t="str">
        <f t="shared" si="147"/>
        <v/>
      </c>
      <c r="BH252" s="165" t="str">
        <f t="shared" si="147"/>
        <v/>
      </c>
      <c r="BI252" s="165" t="str">
        <f t="shared" si="147"/>
        <v/>
      </c>
    </row>
    <row r="253" spans="1:61" ht="15" customHeight="1">
      <c r="B253" s="171" t="b">
        <f>IF(TRIM(Angle_1!A8)="",FALSE,TRUE)</f>
        <v>0</v>
      </c>
      <c r="C253" s="165" t="str">
        <f>IF($B253=FALSE,"",VALUE(Angle_1!A8))</f>
        <v/>
      </c>
      <c r="D253" s="165" t="str">
        <f>IF($B253=FALSE,"",Angle_1!B8)</f>
        <v/>
      </c>
      <c r="E253" s="171" t="str">
        <f>IF(B253=FALSE,"",Angle_1!M8)</f>
        <v/>
      </c>
      <c r="F253" s="171" t="str">
        <f>IF(B253=FALSE,"",Angle_1!N8)</f>
        <v/>
      </c>
      <c r="G253" s="171" t="str">
        <f>IF(B253=FALSE,"",Angle_1!O8)</f>
        <v/>
      </c>
      <c r="H253" s="171" t="str">
        <f>IF(B253=FALSE,"",Angle_1!P8)</f>
        <v/>
      </c>
      <c r="I253" s="171" t="str">
        <f>IF(B253=FALSE,"",Angle_1!Q8)</f>
        <v/>
      </c>
      <c r="J253" s="165" t="str">
        <f t="shared" si="112"/>
        <v/>
      </c>
      <c r="K253" s="288" t="str">
        <f t="shared" si="113"/>
        <v/>
      </c>
      <c r="L253" s="179" t="str">
        <f t="shared" si="114"/>
        <v/>
      </c>
      <c r="M253" s="176" t="str">
        <f>IF(B253=FALSE,"",(Angle_1!E32+Angle_1!F32))</f>
        <v/>
      </c>
      <c r="N253" s="289" t="str">
        <f t="shared" si="115"/>
        <v/>
      </c>
      <c r="O253" s="290" t="str">
        <f t="shared" si="116"/>
        <v/>
      </c>
      <c r="P253" s="291" t="str">
        <f t="shared" si="117"/>
        <v/>
      </c>
      <c r="Q253" s="165" t="str">
        <f t="shared" si="118"/>
        <v/>
      </c>
      <c r="R253" s="165" t="str">
        <f t="shared" si="119"/>
        <v/>
      </c>
      <c r="S253" s="165" t="str">
        <f t="shared" si="120"/>
        <v/>
      </c>
      <c r="U253" s="165" t="e">
        <f ca="1">IF(Angle_1!J8&lt;0,ROUNDUP(Angle_1!J8,$K$282),ROUNDDOWN(Angle_1!J8,$K$282))</f>
        <v>#DIV/0!</v>
      </c>
      <c r="V253" s="165" t="e">
        <f ca="1">IF(Angle_1!K8&lt;0,ROUNDDOWN(Angle_1!K8,$K$282),ROUNDUP(Angle_1!K8,$K$282))</f>
        <v>#DIV/0!</v>
      </c>
      <c r="W253" s="165" t="str">
        <f t="shared" si="121"/>
        <v/>
      </c>
      <c r="X253" s="168" t="e">
        <f t="shared" ca="1" si="122"/>
        <v>#DIV/0!</v>
      </c>
      <c r="Y253" s="168" t="e">
        <f t="shared" ca="1" si="123"/>
        <v>#DIV/0!</v>
      </c>
      <c r="Z253" s="165" t="e">
        <f t="shared" ca="1" si="124"/>
        <v>#DIV/0!</v>
      </c>
      <c r="AA253" s="165" t="str">
        <f t="shared" si="125"/>
        <v/>
      </c>
      <c r="AB253" s="165" t="str">
        <f t="shared" si="126"/>
        <v/>
      </c>
      <c r="AC253" s="165" t="e">
        <f t="shared" ca="1" si="127"/>
        <v>#DIV/0!</v>
      </c>
      <c r="AE253" s="171">
        <f>Angle_1!L32</f>
        <v>0</v>
      </c>
      <c r="AF253" s="171">
        <f>Angle_1!M32</f>
        <v>0</v>
      </c>
      <c r="AG253" s="171">
        <f>Angle_1!N32</f>
        <v>0</v>
      </c>
      <c r="AH253" s="171">
        <f>Angle_1!O32</f>
        <v>0</v>
      </c>
      <c r="AI253" s="171">
        <f>Angle_1!P32</f>
        <v>0</v>
      </c>
      <c r="AJ253" s="299">
        <f t="shared" si="128"/>
        <v>0</v>
      </c>
      <c r="AL253" s="165" t="str">
        <f t="shared" si="129"/>
        <v/>
      </c>
      <c r="AM253" s="165" t="str">
        <f t="shared" si="130"/>
        <v/>
      </c>
      <c r="AN253" s="165" t="str">
        <f t="shared" si="131"/>
        <v/>
      </c>
      <c r="AO253" s="165" t="str">
        <f t="shared" si="132"/>
        <v/>
      </c>
      <c r="AP253" s="165" t="str">
        <f t="shared" si="133"/>
        <v/>
      </c>
      <c r="AQ253" s="165" t="str">
        <f t="shared" si="134"/>
        <v/>
      </c>
      <c r="AR253" s="165" t="str">
        <f t="shared" si="135"/>
        <v/>
      </c>
      <c r="AS253" s="165" t="str">
        <f t="shared" si="136"/>
        <v/>
      </c>
      <c r="AT253" s="165" t="str">
        <f t="shared" si="137"/>
        <v/>
      </c>
      <c r="AU253" s="165" t="str">
        <f t="shared" si="138"/>
        <v/>
      </c>
      <c r="AV253" s="165" t="str">
        <f t="shared" si="139"/>
        <v/>
      </c>
      <c r="AW253" s="165" t="str">
        <f t="shared" si="140"/>
        <v/>
      </c>
      <c r="AX253" s="165" t="str">
        <f t="shared" si="141"/>
        <v/>
      </c>
      <c r="AY253" s="165" t="str">
        <f t="shared" si="142"/>
        <v/>
      </c>
      <c r="AZ253" s="165" t="str">
        <f t="shared" si="143"/>
        <v/>
      </c>
      <c r="BA253" s="165" t="str">
        <f t="shared" si="144"/>
        <v/>
      </c>
      <c r="BB253" s="165" t="str">
        <f t="shared" si="145"/>
        <v/>
      </c>
      <c r="BC253" s="165" t="str">
        <f t="shared" si="146"/>
        <v/>
      </c>
      <c r="BD253" s="165" t="str">
        <f t="shared" si="148"/>
        <v/>
      </c>
      <c r="BE253" s="165" t="str">
        <f t="shared" si="147"/>
        <v/>
      </c>
      <c r="BF253" s="165" t="str">
        <f t="shared" si="147"/>
        <v/>
      </c>
      <c r="BG253" s="165" t="str">
        <f t="shared" si="147"/>
        <v/>
      </c>
      <c r="BH253" s="165" t="str">
        <f t="shared" si="147"/>
        <v/>
      </c>
      <c r="BI253" s="165" t="str">
        <f t="shared" si="147"/>
        <v/>
      </c>
    </row>
    <row r="254" spans="1:61" ht="15" customHeight="1">
      <c r="B254" s="171" t="b">
        <f>IF(TRIM(Angle_1!A9)="",FALSE,TRUE)</f>
        <v>0</v>
      </c>
      <c r="C254" s="165" t="str">
        <f>IF($B254=FALSE,"",VALUE(Angle_1!A9))</f>
        <v/>
      </c>
      <c r="D254" s="165" t="str">
        <f>IF($B254=FALSE,"",Angle_1!B9)</f>
        <v/>
      </c>
      <c r="E254" s="171" t="str">
        <f>IF(B254=FALSE,"",Angle_1!M9)</f>
        <v/>
      </c>
      <c r="F254" s="171" t="str">
        <f>IF(B254=FALSE,"",Angle_1!N9)</f>
        <v/>
      </c>
      <c r="G254" s="171" t="str">
        <f>IF(B254=FALSE,"",Angle_1!O9)</f>
        <v/>
      </c>
      <c r="H254" s="171" t="str">
        <f>IF(B254=FALSE,"",Angle_1!P9)</f>
        <v/>
      </c>
      <c r="I254" s="171" t="str">
        <f>IF(B254=FALSE,"",Angle_1!Q9)</f>
        <v/>
      </c>
      <c r="J254" s="165" t="str">
        <f t="shared" si="112"/>
        <v/>
      </c>
      <c r="K254" s="288" t="str">
        <f t="shared" si="113"/>
        <v/>
      </c>
      <c r="L254" s="179" t="str">
        <f t="shared" si="114"/>
        <v/>
      </c>
      <c r="M254" s="176" t="str">
        <f>IF(B254=FALSE,"",(Angle_1!E33+Angle_1!F33))</f>
        <v/>
      </c>
      <c r="N254" s="289" t="str">
        <f t="shared" si="115"/>
        <v/>
      </c>
      <c r="O254" s="290" t="str">
        <f t="shared" si="116"/>
        <v/>
      </c>
      <c r="P254" s="291" t="str">
        <f t="shared" si="117"/>
        <v/>
      </c>
      <c r="Q254" s="165" t="str">
        <f t="shared" si="118"/>
        <v/>
      </c>
      <c r="R254" s="165" t="str">
        <f t="shared" si="119"/>
        <v/>
      </c>
      <c r="S254" s="165" t="str">
        <f t="shared" si="120"/>
        <v/>
      </c>
      <c r="U254" s="165" t="e">
        <f ca="1">IF(Angle_1!J9&lt;0,ROUNDUP(Angle_1!J9,$K$282),ROUNDDOWN(Angle_1!J9,$K$282))</f>
        <v>#DIV/0!</v>
      </c>
      <c r="V254" s="165" t="e">
        <f ca="1">IF(Angle_1!K9&lt;0,ROUNDDOWN(Angle_1!K9,$K$282),ROUNDUP(Angle_1!K9,$K$282))</f>
        <v>#DIV/0!</v>
      </c>
      <c r="W254" s="165" t="str">
        <f t="shared" si="121"/>
        <v/>
      </c>
      <c r="X254" s="168" t="e">
        <f t="shared" ca="1" si="122"/>
        <v>#DIV/0!</v>
      </c>
      <c r="Y254" s="168" t="e">
        <f t="shared" ca="1" si="123"/>
        <v>#DIV/0!</v>
      </c>
      <c r="Z254" s="165" t="e">
        <f t="shared" ca="1" si="124"/>
        <v>#DIV/0!</v>
      </c>
      <c r="AA254" s="165" t="str">
        <f t="shared" si="125"/>
        <v/>
      </c>
      <c r="AB254" s="165" t="str">
        <f t="shared" si="126"/>
        <v/>
      </c>
      <c r="AC254" s="165" t="e">
        <f t="shared" ca="1" si="127"/>
        <v>#DIV/0!</v>
      </c>
      <c r="AE254" s="171">
        <f>Angle_1!L33</f>
        <v>0</v>
      </c>
      <c r="AF254" s="171">
        <f>Angle_1!M33</f>
        <v>0</v>
      </c>
      <c r="AG254" s="171">
        <f>Angle_1!N33</f>
        <v>0</v>
      </c>
      <c r="AH254" s="171">
        <f>Angle_1!O33</f>
        <v>0</v>
      </c>
      <c r="AI254" s="171">
        <f>Angle_1!P33</f>
        <v>0</v>
      </c>
      <c r="AJ254" s="299">
        <f t="shared" si="128"/>
        <v>0</v>
      </c>
      <c r="AL254" s="165" t="str">
        <f t="shared" si="129"/>
        <v/>
      </c>
      <c r="AM254" s="165" t="str">
        <f t="shared" si="130"/>
        <v/>
      </c>
      <c r="AN254" s="165" t="str">
        <f t="shared" si="131"/>
        <v/>
      </c>
      <c r="AO254" s="165" t="str">
        <f t="shared" si="132"/>
        <v/>
      </c>
      <c r="AP254" s="165" t="str">
        <f t="shared" si="133"/>
        <v/>
      </c>
      <c r="AQ254" s="165" t="str">
        <f t="shared" si="134"/>
        <v/>
      </c>
      <c r="AR254" s="165" t="str">
        <f t="shared" si="135"/>
        <v/>
      </c>
      <c r="AS254" s="165" t="str">
        <f t="shared" si="136"/>
        <v/>
      </c>
      <c r="AT254" s="165" t="str">
        <f t="shared" si="137"/>
        <v/>
      </c>
      <c r="AU254" s="165" t="str">
        <f t="shared" si="138"/>
        <v/>
      </c>
      <c r="AV254" s="165" t="str">
        <f t="shared" si="139"/>
        <v/>
      </c>
      <c r="AW254" s="165" t="str">
        <f t="shared" si="140"/>
        <v/>
      </c>
      <c r="AX254" s="165" t="str">
        <f t="shared" si="141"/>
        <v/>
      </c>
      <c r="AY254" s="165" t="str">
        <f t="shared" si="142"/>
        <v/>
      </c>
      <c r="AZ254" s="165" t="str">
        <f t="shared" si="143"/>
        <v/>
      </c>
      <c r="BA254" s="165" t="str">
        <f t="shared" si="144"/>
        <v/>
      </c>
      <c r="BB254" s="165" t="str">
        <f t="shared" si="145"/>
        <v/>
      </c>
      <c r="BC254" s="165" t="str">
        <f t="shared" si="146"/>
        <v/>
      </c>
      <c r="BD254" s="165" t="str">
        <f t="shared" si="148"/>
        <v/>
      </c>
      <c r="BE254" s="165" t="str">
        <f t="shared" si="147"/>
        <v/>
      </c>
      <c r="BF254" s="165" t="str">
        <f t="shared" si="147"/>
        <v/>
      </c>
      <c r="BG254" s="165" t="str">
        <f t="shared" si="147"/>
        <v/>
      </c>
      <c r="BH254" s="165" t="str">
        <f t="shared" si="147"/>
        <v/>
      </c>
      <c r="BI254" s="165" t="str">
        <f t="shared" si="147"/>
        <v/>
      </c>
    </row>
    <row r="255" spans="1:61" ht="15" customHeight="1">
      <c r="B255" s="171" t="b">
        <f>IF(TRIM(Angle_1!A10)="",FALSE,TRUE)</f>
        <v>0</v>
      </c>
      <c r="C255" s="165" t="str">
        <f>IF($B255=FALSE,"",VALUE(Angle_1!A10))</f>
        <v/>
      </c>
      <c r="D255" s="165" t="str">
        <f>IF($B255=FALSE,"",Angle_1!B10)</f>
        <v/>
      </c>
      <c r="E255" s="171" t="str">
        <f>IF(B255=FALSE,"",Angle_1!M10)</f>
        <v/>
      </c>
      <c r="F255" s="171" t="str">
        <f>IF(B255=FALSE,"",Angle_1!N10)</f>
        <v/>
      </c>
      <c r="G255" s="171" t="str">
        <f>IF(B255=FALSE,"",Angle_1!O10)</f>
        <v/>
      </c>
      <c r="H255" s="171" t="str">
        <f>IF(B255=FALSE,"",Angle_1!P10)</f>
        <v/>
      </c>
      <c r="I255" s="171" t="str">
        <f>IF(B255=FALSE,"",Angle_1!Q10)</f>
        <v/>
      </c>
      <c r="J255" s="165" t="str">
        <f t="shared" si="112"/>
        <v/>
      </c>
      <c r="K255" s="288" t="str">
        <f t="shared" si="113"/>
        <v/>
      </c>
      <c r="L255" s="179" t="str">
        <f t="shared" si="114"/>
        <v/>
      </c>
      <c r="M255" s="176" t="str">
        <f>IF(B255=FALSE,"",(Angle_1!E34+Angle_1!F34))</f>
        <v/>
      </c>
      <c r="N255" s="289" t="str">
        <f t="shared" si="115"/>
        <v/>
      </c>
      <c r="O255" s="290" t="str">
        <f t="shared" si="116"/>
        <v/>
      </c>
      <c r="P255" s="291" t="str">
        <f t="shared" si="117"/>
        <v/>
      </c>
      <c r="Q255" s="165" t="str">
        <f t="shared" si="118"/>
        <v/>
      </c>
      <c r="R255" s="165" t="str">
        <f t="shared" si="119"/>
        <v/>
      </c>
      <c r="S255" s="165" t="str">
        <f t="shared" si="120"/>
        <v/>
      </c>
      <c r="U255" s="165" t="e">
        <f ca="1">IF(Angle_1!J10&lt;0,ROUNDUP(Angle_1!J10,$K$282),ROUNDDOWN(Angle_1!J10,$K$282))</f>
        <v>#DIV/0!</v>
      </c>
      <c r="V255" s="165" t="e">
        <f ca="1">IF(Angle_1!K10&lt;0,ROUNDDOWN(Angle_1!K10,$K$282),ROUNDUP(Angle_1!K10,$K$282))</f>
        <v>#DIV/0!</v>
      </c>
      <c r="W255" s="165" t="str">
        <f t="shared" si="121"/>
        <v/>
      </c>
      <c r="X255" s="168" t="e">
        <f t="shared" ca="1" si="122"/>
        <v>#DIV/0!</v>
      </c>
      <c r="Y255" s="168" t="e">
        <f t="shared" ca="1" si="123"/>
        <v>#DIV/0!</v>
      </c>
      <c r="Z255" s="165" t="e">
        <f t="shared" ca="1" si="124"/>
        <v>#DIV/0!</v>
      </c>
      <c r="AA255" s="165" t="str">
        <f t="shared" si="125"/>
        <v/>
      </c>
      <c r="AB255" s="165" t="str">
        <f t="shared" si="126"/>
        <v/>
      </c>
      <c r="AC255" s="165" t="e">
        <f t="shared" ca="1" si="127"/>
        <v>#DIV/0!</v>
      </c>
      <c r="AE255" s="171">
        <f>Angle_1!L34</f>
        <v>0</v>
      </c>
      <c r="AF255" s="171">
        <f>Angle_1!M34</f>
        <v>0</v>
      </c>
      <c r="AG255" s="171">
        <f>Angle_1!N34</f>
        <v>0</v>
      </c>
      <c r="AH255" s="171">
        <f>Angle_1!O34</f>
        <v>0</v>
      </c>
      <c r="AI255" s="171">
        <f>Angle_1!P34</f>
        <v>0</v>
      </c>
      <c r="AJ255" s="299">
        <f t="shared" si="128"/>
        <v>0</v>
      </c>
      <c r="AL255" s="165" t="str">
        <f t="shared" si="129"/>
        <v/>
      </c>
      <c r="AM255" s="165" t="str">
        <f t="shared" si="130"/>
        <v/>
      </c>
      <c r="AN255" s="165" t="str">
        <f t="shared" si="131"/>
        <v/>
      </c>
      <c r="AO255" s="165" t="str">
        <f t="shared" si="132"/>
        <v/>
      </c>
      <c r="AP255" s="165" t="str">
        <f t="shared" si="133"/>
        <v/>
      </c>
      <c r="AQ255" s="165" t="str">
        <f t="shared" si="134"/>
        <v/>
      </c>
      <c r="AR255" s="165" t="str">
        <f t="shared" si="135"/>
        <v/>
      </c>
      <c r="AS255" s="165" t="str">
        <f t="shared" si="136"/>
        <v/>
      </c>
      <c r="AT255" s="165" t="str">
        <f t="shared" si="137"/>
        <v/>
      </c>
      <c r="AU255" s="165" t="str">
        <f t="shared" si="138"/>
        <v/>
      </c>
      <c r="AV255" s="165" t="str">
        <f t="shared" si="139"/>
        <v/>
      </c>
      <c r="AW255" s="165" t="str">
        <f t="shared" si="140"/>
        <v/>
      </c>
      <c r="AX255" s="165" t="str">
        <f t="shared" si="141"/>
        <v/>
      </c>
      <c r="AY255" s="165" t="str">
        <f t="shared" si="142"/>
        <v/>
      </c>
      <c r="AZ255" s="165" t="str">
        <f t="shared" si="143"/>
        <v/>
      </c>
      <c r="BA255" s="165" t="str">
        <f t="shared" si="144"/>
        <v/>
      </c>
      <c r="BB255" s="165" t="str">
        <f t="shared" si="145"/>
        <v/>
      </c>
      <c r="BC255" s="165" t="str">
        <f t="shared" si="146"/>
        <v/>
      </c>
      <c r="BD255" s="165" t="str">
        <f t="shared" si="148"/>
        <v/>
      </c>
      <c r="BE255" s="165" t="str">
        <f t="shared" si="147"/>
        <v/>
      </c>
      <c r="BF255" s="165" t="str">
        <f t="shared" si="147"/>
        <v/>
      </c>
      <c r="BG255" s="165" t="str">
        <f t="shared" si="147"/>
        <v/>
      </c>
      <c r="BH255" s="165" t="str">
        <f t="shared" si="147"/>
        <v/>
      </c>
      <c r="BI255" s="165" t="str">
        <f t="shared" si="147"/>
        <v/>
      </c>
    </row>
    <row r="256" spans="1:61" ht="15" customHeight="1">
      <c r="B256" s="171" t="b">
        <f>IF(TRIM(Angle_1!A11)="",FALSE,TRUE)</f>
        <v>0</v>
      </c>
      <c r="C256" s="165" t="str">
        <f>IF($B256=FALSE,"",VALUE(Angle_1!A11))</f>
        <v/>
      </c>
      <c r="D256" s="165" t="str">
        <f>IF($B256=FALSE,"",Angle_1!B11)</f>
        <v/>
      </c>
      <c r="E256" s="171" t="str">
        <f>IF(B256=FALSE,"",Angle_1!M11)</f>
        <v/>
      </c>
      <c r="F256" s="171" t="str">
        <f>IF(B256=FALSE,"",Angle_1!N11)</f>
        <v/>
      </c>
      <c r="G256" s="171" t="str">
        <f>IF(B256=FALSE,"",Angle_1!O11)</f>
        <v/>
      </c>
      <c r="H256" s="171" t="str">
        <f>IF(B256=FALSE,"",Angle_1!P11)</f>
        <v/>
      </c>
      <c r="I256" s="171" t="str">
        <f>IF(B256=FALSE,"",Angle_1!Q11)</f>
        <v/>
      </c>
      <c r="J256" s="165" t="str">
        <f t="shared" si="112"/>
        <v/>
      </c>
      <c r="K256" s="288" t="str">
        <f t="shared" si="113"/>
        <v/>
      </c>
      <c r="L256" s="179" t="str">
        <f t="shared" si="114"/>
        <v/>
      </c>
      <c r="M256" s="176" t="str">
        <f>IF(B256=FALSE,"",(Angle_1!E35+Angle_1!F35))</f>
        <v/>
      </c>
      <c r="N256" s="289" t="str">
        <f t="shared" si="115"/>
        <v/>
      </c>
      <c r="O256" s="290" t="str">
        <f t="shared" si="116"/>
        <v/>
      </c>
      <c r="P256" s="291" t="str">
        <f t="shared" si="117"/>
        <v/>
      </c>
      <c r="Q256" s="165" t="str">
        <f t="shared" si="118"/>
        <v/>
      </c>
      <c r="R256" s="165" t="str">
        <f t="shared" si="119"/>
        <v/>
      </c>
      <c r="S256" s="165" t="str">
        <f t="shared" si="120"/>
        <v/>
      </c>
      <c r="U256" s="165" t="e">
        <f ca="1">IF(Angle_1!J11&lt;0,ROUNDUP(Angle_1!J11,$K$282),ROUNDDOWN(Angle_1!J11,$K$282))</f>
        <v>#DIV/0!</v>
      </c>
      <c r="V256" s="165" t="e">
        <f ca="1">IF(Angle_1!K11&lt;0,ROUNDDOWN(Angle_1!K11,$K$282),ROUNDUP(Angle_1!K11,$K$282))</f>
        <v>#DIV/0!</v>
      </c>
      <c r="W256" s="165" t="str">
        <f t="shared" si="121"/>
        <v/>
      </c>
      <c r="X256" s="168" t="e">
        <f t="shared" ca="1" si="122"/>
        <v>#DIV/0!</v>
      </c>
      <c r="Y256" s="168" t="e">
        <f t="shared" ca="1" si="123"/>
        <v>#DIV/0!</v>
      </c>
      <c r="Z256" s="165" t="e">
        <f t="shared" ca="1" si="124"/>
        <v>#DIV/0!</v>
      </c>
      <c r="AA256" s="165" t="str">
        <f t="shared" si="125"/>
        <v/>
      </c>
      <c r="AB256" s="165" t="str">
        <f t="shared" si="126"/>
        <v/>
      </c>
      <c r="AC256" s="165" t="e">
        <f t="shared" ca="1" si="127"/>
        <v>#DIV/0!</v>
      </c>
      <c r="AE256" s="171">
        <f>Angle_1!L35</f>
        <v>0</v>
      </c>
      <c r="AF256" s="171">
        <f>Angle_1!M35</f>
        <v>0</v>
      </c>
      <c r="AG256" s="171">
        <f>Angle_1!N35</f>
        <v>0</v>
      </c>
      <c r="AH256" s="171">
        <f>Angle_1!O35</f>
        <v>0</v>
      </c>
      <c r="AI256" s="171">
        <f>Angle_1!P35</f>
        <v>0</v>
      </c>
      <c r="AJ256" s="299">
        <f t="shared" si="128"/>
        <v>0</v>
      </c>
      <c r="AL256" s="165" t="str">
        <f t="shared" si="129"/>
        <v/>
      </c>
      <c r="AM256" s="165" t="str">
        <f t="shared" si="130"/>
        <v/>
      </c>
      <c r="AN256" s="165" t="str">
        <f t="shared" si="131"/>
        <v/>
      </c>
      <c r="AO256" s="165" t="str">
        <f t="shared" si="132"/>
        <v/>
      </c>
      <c r="AP256" s="165" t="str">
        <f t="shared" si="133"/>
        <v/>
      </c>
      <c r="AQ256" s="165" t="str">
        <f t="shared" si="134"/>
        <v/>
      </c>
      <c r="AR256" s="165" t="str">
        <f t="shared" si="135"/>
        <v/>
      </c>
      <c r="AS256" s="165" t="str">
        <f t="shared" si="136"/>
        <v/>
      </c>
      <c r="AT256" s="165" t="str">
        <f t="shared" si="137"/>
        <v/>
      </c>
      <c r="AU256" s="165" t="str">
        <f t="shared" si="138"/>
        <v/>
      </c>
      <c r="AV256" s="165" t="str">
        <f t="shared" si="139"/>
        <v/>
      </c>
      <c r="AW256" s="165" t="str">
        <f t="shared" si="140"/>
        <v/>
      </c>
      <c r="AX256" s="165" t="str">
        <f t="shared" si="141"/>
        <v/>
      </c>
      <c r="AY256" s="165" t="str">
        <f t="shared" si="142"/>
        <v/>
      </c>
      <c r="AZ256" s="165" t="str">
        <f t="shared" si="143"/>
        <v/>
      </c>
      <c r="BA256" s="165" t="str">
        <f t="shared" si="144"/>
        <v/>
      </c>
      <c r="BB256" s="165" t="str">
        <f t="shared" si="145"/>
        <v/>
      </c>
      <c r="BC256" s="165" t="str">
        <f t="shared" si="146"/>
        <v/>
      </c>
      <c r="BD256" s="165" t="str">
        <f t="shared" si="148"/>
        <v/>
      </c>
      <c r="BE256" s="165" t="str">
        <f t="shared" si="147"/>
        <v/>
      </c>
      <c r="BF256" s="165" t="str">
        <f t="shared" si="147"/>
        <v/>
      </c>
      <c r="BG256" s="165" t="str">
        <f t="shared" si="147"/>
        <v/>
      </c>
      <c r="BH256" s="165" t="str">
        <f t="shared" si="147"/>
        <v/>
      </c>
      <c r="BI256" s="165" t="str">
        <f t="shared" si="147"/>
        <v/>
      </c>
    </row>
    <row r="257" spans="1:61" ht="15" customHeight="1">
      <c r="B257" s="171" t="b">
        <f>IF(TRIM(Angle_1!A12)="",FALSE,TRUE)</f>
        <v>0</v>
      </c>
      <c r="C257" s="165" t="str">
        <f>IF($B257=FALSE,"",VALUE(Angle_1!A12))</f>
        <v/>
      </c>
      <c r="D257" s="165" t="str">
        <f>IF($B257=FALSE,"",Angle_1!B12)</f>
        <v/>
      </c>
      <c r="E257" s="171" t="str">
        <f>IF(B257=FALSE,"",Angle_1!M12)</f>
        <v/>
      </c>
      <c r="F257" s="171" t="str">
        <f>IF(B257=FALSE,"",Angle_1!N12)</f>
        <v/>
      </c>
      <c r="G257" s="171" t="str">
        <f>IF(B257=FALSE,"",Angle_1!O12)</f>
        <v/>
      </c>
      <c r="H257" s="171" t="str">
        <f>IF(B257=FALSE,"",Angle_1!P12)</f>
        <v/>
      </c>
      <c r="I257" s="171" t="str">
        <f>IF(B257=FALSE,"",Angle_1!Q12)</f>
        <v/>
      </c>
      <c r="J257" s="165" t="str">
        <f t="shared" si="112"/>
        <v/>
      </c>
      <c r="K257" s="288" t="str">
        <f t="shared" si="113"/>
        <v/>
      </c>
      <c r="L257" s="179" t="str">
        <f t="shared" si="114"/>
        <v/>
      </c>
      <c r="M257" s="176" t="str">
        <f>IF(B257=FALSE,"",(Angle_1!E36+Angle_1!F36))</f>
        <v/>
      </c>
      <c r="N257" s="289" t="str">
        <f t="shared" si="115"/>
        <v/>
      </c>
      <c r="O257" s="290" t="str">
        <f t="shared" si="116"/>
        <v/>
      </c>
      <c r="P257" s="291" t="str">
        <f t="shared" si="117"/>
        <v/>
      </c>
      <c r="Q257" s="165" t="str">
        <f t="shared" si="118"/>
        <v/>
      </c>
      <c r="R257" s="165" t="str">
        <f t="shared" si="119"/>
        <v/>
      </c>
      <c r="S257" s="165" t="str">
        <f t="shared" si="120"/>
        <v/>
      </c>
      <c r="U257" s="165" t="e">
        <f ca="1">IF(Angle_1!J12&lt;0,ROUNDUP(Angle_1!J12,$K$282),ROUNDDOWN(Angle_1!J12,$K$282))</f>
        <v>#DIV/0!</v>
      </c>
      <c r="V257" s="165" t="e">
        <f ca="1">IF(Angle_1!K12&lt;0,ROUNDDOWN(Angle_1!K12,$K$282),ROUNDUP(Angle_1!K12,$K$282))</f>
        <v>#DIV/0!</v>
      </c>
      <c r="W257" s="165" t="str">
        <f t="shared" si="121"/>
        <v/>
      </c>
      <c r="X257" s="168" t="e">
        <f t="shared" ca="1" si="122"/>
        <v>#DIV/0!</v>
      </c>
      <c r="Y257" s="168" t="e">
        <f t="shared" ca="1" si="123"/>
        <v>#DIV/0!</v>
      </c>
      <c r="Z257" s="165" t="e">
        <f t="shared" ca="1" si="124"/>
        <v>#DIV/0!</v>
      </c>
      <c r="AA257" s="165" t="str">
        <f t="shared" si="125"/>
        <v/>
      </c>
      <c r="AB257" s="165" t="str">
        <f t="shared" si="126"/>
        <v/>
      </c>
      <c r="AC257" s="165" t="e">
        <f t="shared" ca="1" si="127"/>
        <v>#DIV/0!</v>
      </c>
      <c r="AE257" s="171">
        <f>Angle_1!L36</f>
        <v>0</v>
      </c>
      <c r="AF257" s="171">
        <f>Angle_1!M36</f>
        <v>0</v>
      </c>
      <c r="AG257" s="171">
        <f>Angle_1!N36</f>
        <v>0</v>
      </c>
      <c r="AH257" s="171">
        <f>Angle_1!O36</f>
        <v>0</v>
      </c>
      <c r="AI257" s="171">
        <f>Angle_1!P36</f>
        <v>0</v>
      </c>
      <c r="AJ257" s="299">
        <f t="shared" si="128"/>
        <v>0</v>
      </c>
      <c r="AL257" s="165" t="str">
        <f t="shared" si="129"/>
        <v/>
      </c>
      <c r="AM257" s="165" t="str">
        <f t="shared" si="130"/>
        <v/>
      </c>
      <c r="AN257" s="165" t="str">
        <f t="shared" si="131"/>
        <v/>
      </c>
      <c r="AO257" s="165" t="str">
        <f t="shared" si="132"/>
        <v/>
      </c>
      <c r="AP257" s="165" t="str">
        <f t="shared" si="133"/>
        <v/>
      </c>
      <c r="AQ257" s="165" t="str">
        <f t="shared" si="134"/>
        <v/>
      </c>
      <c r="AR257" s="165" t="str">
        <f t="shared" si="135"/>
        <v/>
      </c>
      <c r="AS257" s="165" t="str">
        <f t="shared" si="136"/>
        <v/>
      </c>
      <c r="AT257" s="165" t="str">
        <f t="shared" si="137"/>
        <v/>
      </c>
      <c r="AU257" s="165" t="str">
        <f t="shared" si="138"/>
        <v/>
      </c>
      <c r="AV257" s="165" t="str">
        <f t="shared" si="139"/>
        <v/>
      </c>
      <c r="AW257" s="165" t="str">
        <f t="shared" si="140"/>
        <v/>
      </c>
      <c r="AX257" s="165" t="str">
        <f t="shared" si="141"/>
        <v/>
      </c>
      <c r="AY257" s="165" t="str">
        <f t="shared" si="142"/>
        <v/>
      </c>
      <c r="AZ257" s="165" t="str">
        <f t="shared" si="143"/>
        <v/>
      </c>
      <c r="BA257" s="165" t="str">
        <f t="shared" si="144"/>
        <v/>
      </c>
      <c r="BB257" s="165" t="str">
        <f t="shared" si="145"/>
        <v/>
      </c>
      <c r="BC257" s="165" t="str">
        <f t="shared" si="146"/>
        <v/>
      </c>
      <c r="BD257" s="165" t="str">
        <f t="shared" si="148"/>
        <v/>
      </c>
      <c r="BE257" s="165" t="str">
        <f t="shared" si="147"/>
        <v/>
      </c>
      <c r="BF257" s="165" t="str">
        <f t="shared" si="147"/>
        <v/>
      </c>
      <c r="BG257" s="165" t="str">
        <f t="shared" si="147"/>
        <v/>
      </c>
      <c r="BH257" s="165" t="str">
        <f t="shared" si="147"/>
        <v/>
      </c>
      <c r="BI257" s="165" t="str">
        <f t="shared" si="147"/>
        <v/>
      </c>
    </row>
    <row r="258" spans="1:61" ht="15" customHeight="1">
      <c r="B258" s="171" t="b">
        <f>IF(TRIM(Angle_1!A13)="",FALSE,TRUE)</f>
        <v>0</v>
      </c>
      <c r="C258" s="165" t="str">
        <f>IF($B258=FALSE,"",VALUE(Angle_1!A13))</f>
        <v/>
      </c>
      <c r="D258" s="165" t="str">
        <f>IF($B258=FALSE,"",Angle_1!B13)</f>
        <v/>
      </c>
      <c r="E258" s="171" t="str">
        <f>IF(B258=FALSE,"",Angle_1!M13)</f>
        <v/>
      </c>
      <c r="F258" s="171" t="str">
        <f>IF(B258=FALSE,"",Angle_1!N13)</f>
        <v/>
      </c>
      <c r="G258" s="171" t="str">
        <f>IF(B258=FALSE,"",Angle_1!O13)</f>
        <v/>
      </c>
      <c r="H258" s="171" t="str">
        <f>IF(B258=FALSE,"",Angle_1!P13)</f>
        <v/>
      </c>
      <c r="I258" s="171" t="str">
        <f>IF(B258=FALSE,"",Angle_1!Q13)</f>
        <v/>
      </c>
      <c r="J258" s="165" t="str">
        <f t="shared" si="112"/>
        <v/>
      </c>
      <c r="K258" s="288" t="str">
        <f t="shared" si="113"/>
        <v/>
      </c>
      <c r="L258" s="179" t="str">
        <f t="shared" si="114"/>
        <v/>
      </c>
      <c r="M258" s="176" t="str">
        <f>IF(B258=FALSE,"",(Angle_1!E37+Angle_1!F37))</f>
        <v/>
      </c>
      <c r="N258" s="289" t="str">
        <f t="shared" si="115"/>
        <v/>
      </c>
      <c r="O258" s="290" t="str">
        <f t="shared" si="116"/>
        <v/>
      </c>
      <c r="P258" s="291" t="str">
        <f t="shared" si="117"/>
        <v/>
      </c>
      <c r="Q258" s="165" t="str">
        <f t="shared" si="118"/>
        <v/>
      </c>
      <c r="R258" s="165" t="str">
        <f t="shared" si="119"/>
        <v/>
      </c>
      <c r="S258" s="165" t="str">
        <f t="shared" si="120"/>
        <v/>
      </c>
      <c r="U258" s="165" t="e">
        <f ca="1">IF(Angle_1!J13&lt;0,ROUNDUP(Angle_1!J13,$K$282),ROUNDDOWN(Angle_1!J13,$K$282))</f>
        <v>#DIV/0!</v>
      </c>
      <c r="V258" s="165" t="e">
        <f ca="1">IF(Angle_1!K13&lt;0,ROUNDDOWN(Angle_1!K13,$K$282),ROUNDUP(Angle_1!K13,$K$282))</f>
        <v>#DIV/0!</v>
      </c>
      <c r="W258" s="165" t="str">
        <f t="shared" si="121"/>
        <v/>
      </c>
      <c r="X258" s="168" t="e">
        <f t="shared" ca="1" si="122"/>
        <v>#DIV/0!</v>
      </c>
      <c r="Y258" s="168" t="e">
        <f t="shared" ca="1" si="123"/>
        <v>#DIV/0!</v>
      </c>
      <c r="Z258" s="165" t="e">
        <f t="shared" ca="1" si="124"/>
        <v>#DIV/0!</v>
      </c>
      <c r="AA258" s="165" t="str">
        <f t="shared" si="125"/>
        <v/>
      </c>
      <c r="AB258" s="165" t="str">
        <f t="shared" si="126"/>
        <v/>
      </c>
      <c r="AC258" s="165" t="e">
        <f t="shared" ca="1" si="127"/>
        <v>#DIV/0!</v>
      </c>
      <c r="AE258" s="171">
        <f>Angle_1!L37</f>
        <v>0</v>
      </c>
      <c r="AF258" s="171">
        <f>Angle_1!M37</f>
        <v>0</v>
      </c>
      <c r="AG258" s="171">
        <f>Angle_1!N37</f>
        <v>0</v>
      </c>
      <c r="AH258" s="171">
        <f>Angle_1!O37</f>
        <v>0</v>
      </c>
      <c r="AI258" s="171">
        <f>Angle_1!P37</f>
        <v>0</v>
      </c>
      <c r="AJ258" s="299">
        <f t="shared" si="128"/>
        <v>0</v>
      </c>
      <c r="AL258" s="165" t="str">
        <f t="shared" si="129"/>
        <v/>
      </c>
      <c r="AM258" s="165" t="str">
        <f t="shared" si="130"/>
        <v/>
      </c>
      <c r="AN258" s="165" t="str">
        <f t="shared" si="131"/>
        <v/>
      </c>
      <c r="AO258" s="165" t="str">
        <f t="shared" si="132"/>
        <v/>
      </c>
      <c r="AP258" s="165" t="str">
        <f t="shared" si="133"/>
        <v/>
      </c>
      <c r="AQ258" s="165" t="str">
        <f t="shared" si="134"/>
        <v/>
      </c>
      <c r="AR258" s="165" t="str">
        <f t="shared" si="135"/>
        <v/>
      </c>
      <c r="AS258" s="165" t="str">
        <f t="shared" si="136"/>
        <v/>
      </c>
      <c r="AT258" s="165" t="str">
        <f t="shared" si="137"/>
        <v/>
      </c>
      <c r="AU258" s="165" t="str">
        <f t="shared" si="138"/>
        <v/>
      </c>
      <c r="AV258" s="165" t="str">
        <f t="shared" si="139"/>
        <v/>
      </c>
      <c r="AW258" s="165" t="str">
        <f t="shared" si="140"/>
        <v/>
      </c>
      <c r="AX258" s="165" t="str">
        <f t="shared" si="141"/>
        <v/>
      </c>
      <c r="AY258" s="165" t="str">
        <f t="shared" si="142"/>
        <v/>
      </c>
      <c r="AZ258" s="165" t="str">
        <f t="shared" si="143"/>
        <v/>
      </c>
      <c r="BA258" s="165" t="str">
        <f t="shared" si="144"/>
        <v/>
      </c>
      <c r="BB258" s="165" t="str">
        <f t="shared" si="145"/>
        <v/>
      </c>
      <c r="BC258" s="165" t="str">
        <f t="shared" si="146"/>
        <v/>
      </c>
      <c r="BD258" s="165" t="str">
        <f t="shared" si="148"/>
        <v/>
      </c>
      <c r="BE258" s="165" t="str">
        <f t="shared" si="147"/>
        <v/>
      </c>
      <c r="BF258" s="165" t="str">
        <f t="shared" si="147"/>
        <v/>
      </c>
      <c r="BG258" s="165" t="str">
        <f t="shared" si="147"/>
        <v/>
      </c>
      <c r="BH258" s="165" t="str">
        <f t="shared" si="147"/>
        <v/>
      </c>
      <c r="BI258" s="165" t="str">
        <f t="shared" si="147"/>
        <v/>
      </c>
    </row>
    <row r="259" spans="1:61" ht="15" customHeight="1">
      <c r="B259" s="171" t="b">
        <f>IF(TRIM(Angle_1!A14)="",FALSE,TRUE)</f>
        <v>0</v>
      </c>
      <c r="C259" s="165" t="str">
        <f>IF($B259=FALSE,"",VALUE(Angle_1!A14))</f>
        <v/>
      </c>
      <c r="D259" s="165" t="str">
        <f>IF($B259=FALSE,"",Angle_1!B14)</f>
        <v/>
      </c>
      <c r="E259" s="171" t="str">
        <f>IF(B259=FALSE,"",Angle_1!M14)</f>
        <v/>
      </c>
      <c r="F259" s="171" t="str">
        <f>IF(B259=FALSE,"",Angle_1!N14)</f>
        <v/>
      </c>
      <c r="G259" s="171" t="str">
        <f>IF(B259=FALSE,"",Angle_1!O14)</f>
        <v/>
      </c>
      <c r="H259" s="171" t="str">
        <f>IF(B259=FALSE,"",Angle_1!P14)</f>
        <v/>
      </c>
      <c r="I259" s="171" t="str">
        <f>IF(B259=FALSE,"",Angle_1!Q14)</f>
        <v/>
      </c>
      <c r="J259" s="165" t="str">
        <f t="shared" si="112"/>
        <v/>
      </c>
      <c r="K259" s="288" t="str">
        <f t="shared" si="113"/>
        <v/>
      </c>
      <c r="L259" s="179" t="str">
        <f t="shared" si="114"/>
        <v/>
      </c>
      <c r="M259" s="176" t="str">
        <f>IF(B259=FALSE,"",(Angle_1!E38+Angle_1!F38))</f>
        <v/>
      </c>
      <c r="N259" s="289" t="str">
        <f t="shared" si="115"/>
        <v/>
      </c>
      <c r="O259" s="290" t="str">
        <f t="shared" si="116"/>
        <v/>
      </c>
      <c r="P259" s="291" t="str">
        <f t="shared" si="117"/>
        <v/>
      </c>
      <c r="Q259" s="165" t="str">
        <f t="shared" si="118"/>
        <v/>
      </c>
      <c r="R259" s="165" t="str">
        <f t="shared" si="119"/>
        <v/>
      </c>
      <c r="S259" s="165" t="str">
        <f t="shared" si="120"/>
        <v/>
      </c>
      <c r="U259" s="165" t="e">
        <f ca="1">IF(Angle_1!J14&lt;0,ROUNDUP(Angle_1!J14,$K$282),ROUNDDOWN(Angle_1!J14,$K$282))</f>
        <v>#DIV/0!</v>
      </c>
      <c r="V259" s="165" t="e">
        <f ca="1">IF(Angle_1!K14&lt;0,ROUNDDOWN(Angle_1!K14,$K$282),ROUNDUP(Angle_1!K14,$K$282))</f>
        <v>#DIV/0!</v>
      </c>
      <c r="W259" s="165" t="str">
        <f t="shared" si="121"/>
        <v/>
      </c>
      <c r="X259" s="168" t="e">
        <f t="shared" ca="1" si="122"/>
        <v>#DIV/0!</v>
      </c>
      <c r="Y259" s="168" t="e">
        <f t="shared" ca="1" si="123"/>
        <v>#DIV/0!</v>
      </c>
      <c r="Z259" s="165" t="e">
        <f t="shared" ca="1" si="124"/>
        <v>#DIV/0!</v>
      </c>
      <c r="AA259" s="165" t="str">
        <f t="shared" si="125"/>
        <v/>
      </c>
      <c r="AB259" s="165" t="str">
        <f t="shared" si="126"/>
        <v/>
      </c>
      <c r="AC259" s="165" t="e">
        <f t="shared" ca="1" si="127"/>
        <v>#DIV/0!</v>
      </c>
      <c r="AE259" s="171">
        <f>Angle_1!L38</f>
        <v>0</v>
      </c>
      <c r="AF259" s="171">
        <f>Angle_1!M38</f>
        <v>0</v>
      </c>
      <c r="AG259" s="171">
        <f>Angle_1!N38</f>
        <v>0</v>
      </c>
      <c r="AH259" s="171">
        <f>Angle_1!O38</f>
        <v>0</v>
      </c>
      <c r="AI259" s="171">
        <f>Angle_1!P38</f>
        <v>0</v>
      </c>
      <c r="AJ259" s="299">
        <f t="shared" si="128"/>
        <v>0</v>
      </c>
      <c r="AL259" s="165" t="str">
        <f t="shared" si="129"/>
        <v/>
      </c>
      <c r="AM259" s="165" t="str">
        <f t="shared" si="130"/>
        <v/>
      </c>
      <c r="AN259" s="165" t="str">
        <f t="shared" si="131"/>
        <v/>
      </c>
      <c r="AO259" s="165" t="str">
        <f t="shared" si="132"/>
        <v/>
      </c>
      <c r="AP259" s="165" t="str">
        <f t="shared" si="133"/>
        <v/>
      </c>
      <c r="AQ259" s="165" t="str">
        <f t="shared" si="134"/>
        <v/>
      </c>
      <c r="AR259" s="165" t="str">
        <f t="shared" si="135"/>
        <v/>
      </c>
      <c r="AS259" s="165" t="str">
        <f t="shared" si="136"/>
        <v/>
      </c>
      <c r="AT259" s="165" t="str">
        <f t="shared" si="137"/>
        <v/>
      </c>
      <c r="AU259" s="165" t="str">
        <f t="shared" si="138"/>
        <v/>
      </c>
      <c r="AV259" s="165" t="str">
        <f t="shared" si="139"/>
        <v/>
      </c>
      <c r="AW259" s="165" t="str">
        <f t="shared" si="140"/>
        <v/>
      </c>
      <c r="AX259" s="165" t="str">
        <f t="shared" si="141"/>
        <v/>
      </c>
      <c r="AY259" s="165" t="str">
        <f t="shared" si="142"/>
        <v/>
      </c>
      <c r="AZ259" s="165" t="str">
        <f t="shared" si="143"/>
        <v/>
      </c>
      <c r="BA259" s="165" t="str">
        <f t="shared" si="144"/>
        <v/>
      </c>
      <c r="BB259" s="165" t="str">
        <f t="shared" si="145"/>
        <v/>
      </c>
      <c r="BC259" s="165" t="str">
        <f t="shared" si="146"/>
        <v/>
      </c>
      <c r="BD259" s="165" t="str">
        <f t="shared" si="148"/>
        <v/>
      </c>
      <c r="BE259" s="165" t="str">
        <f t="shared" si="147"/>
        <v/>
      </c>
      <c r="BF259" s="165" t="str">
        <f t="shared" si="147"/>
        <v/>
      </c>
      <c r="BG259" s="165" t="str">
        <f t="shared" si="147"/>
        <v/>
      </c>
      <c r="BH259" s="165" t="str">
        <f t="shared" si="147"/>
        <v/>
      </c>
      <c r="BI259" s="165" t="str">
        <f t="shared" si="147"/>
        <v/>
      </c>
    </row>
    <row r="260" spans="1:61" ht="15" customHeight="1">
      <c r="B260" s="171" t="b">
        <f>IF(TRIM(Angle_1!A15)="",FALSE,TRUE)</f>
        <v>0</v>
      </c>
      <c r="C260" s="165" t="str">
        <f>IF($B260=FALSE,"",VALUE(Angle_1!A15))</f>
        <v/>
      </c>
      <c r="D260" s="165" t="str">
        <f>IF($B260=FALSE,"",Angle_1!B15)</f>
        <v/>
      </c>
      <c r="E260" s="171" t="str">
        <f>IF(B260=FALSE,"",Angle_1!M15)</f>
        <v/>
      </c>
      <c r="F260" s="171" t="str">
        <f>IF(B260=FALSE,"",Angle_1!N15)</f>
        <v/>
      </c>
      <c r="G260" s="171" t="str">
        <f>IF(B260=FALSE,"",Angle_1!O15)</f>
        <v/>
      </c>
      <c r="H260" s="171" t="str">
        <f>IF(B260=FALSE,"",Angle_1!P15)</f>
        <v/>
      </c>
      <c r="I260" s="171" t="str">
        <f>IF(B260=FALSE,"",Angle_1!Q15)</f>
        <v/>
      </c>
      <c r="J260" s="165" t="str">
        <f t="shared" si="112"/>
        <v/>
      </c>
      <c r="K260" s="288" t="str">
        <f t="shared" si="113"/>
        <v/>
      </c>
      <c r="L260" s="179" t="str">
        <f t="shared" si="114"/>
        <v/>
      </c>
      <c r="M260" s="176" t="str">
        <f>IF(B260=FALSE,"",(Angle_1!E39+Angle_1!F39))</f>
        <v/>
      </c>
      <c r="N260" s="289" t="str">
        <f t="shared" si="115"/>
        <v/>
      </c>
      <c r="O260" s="290" t="str">
        <f t="shared" si="116"/>
        <v/>
      </c>
      <c r="P260" s="291" t="str">
        <f t="shared" si="117"/>
        <v/>
      </c>
      <c r="Q260" s="165" t="str">
        <f t="shared" si="118"/>
        <v/>
      </c>
      <c r="R260" s="165" t="str">
        <f t="shared" si="119"/>
        <v/>
      </c>
      <c r="S260" s="165" t="str">
        <f t="shared" si="120"/>
        <v/>
      </c>
      <c r="U260" s="165" t="e">
        <f ca="1">IF(Angle_1!J15&lt;0,ROUNDUP(Angle_1!J15,$K$282),ROUNDDOWN(Angle_1!J15,$K$282))</f>
        <v>#DIV/0!</v>
      </c>
      <c r="V260" s="165" t="e">
        <f ca="1">IF(Angle_1!K15&lt;0,ROUNDDOWN(Angle_1!K15,$K$282),ROUNDUP(Angle_1!K15,$K$282))</f>
        <v>#DIV/0!</v>
      </c>
      <c r="W260" s="165" t="str">
        <f t="shared" si="121"/>
        <v/>
      </c>
      <c r="X260" s="168" t="e">
        <f t="shared" ca="1" si="122"/>
        <v>#DIV/0!</v>
      </c>
      <c r="Y260" s="168" t="e">
        <f t="shared" ca="1" si="123"/>
        <v>#DIV/0!</v>
      </c>
      <c r="Z260" s="165" t="e">
        <f t="shared" ca="1" si="124"/>
        <v>#DIV/0!</v>
      </c>
      <c r="AA260" s="165" t="str">
        <f t="shared" si="125"/>
        <v/>
      </c>
      <c r="AB260" s="165" t="str">
        <f t="shared" si="126"/>
        <v/>
      </c>
      <c r="AC260" s="165" t="e">
        <f t="shared" ca="1" si="127"/>
        <v>#DIV/0!</v>
      </c>
      <c r="AE260" s="171">
        <f>Angle_1!L39</f>
        <v>0</v>
      </c>
      <c r="AF260" s="171">
        <f>Angle_1!M39</f>
        <v>0</v>
      </c>
      <c r="AG260" s="171">
        <f>Angle_1!N39</f>
        <v>0</v>
      </c>
      <c r="AH260" s="171">
        <f>Angle_1!O39</f>
        <v>0</v>
      </c>
      <c r="AI260" s="171">
        <f>Angle_1!P39</f>
        <v>0</v>
      </c>
      <c r="AJ260" s="299">
        <f t="shared" si="128"/>
        <v>0</v>
      </c>
      <c r="AL260" s="165" t="str">
        <f t="shared" si="129"/>
        <v/>
      </c>
      <c r="AM260" s="165" t="str">
        <f t="shared" si="130"/>
        <v/>
      </c>
      <c r="AN260" s="165" t="str">
        <f t="shared" si="131"/>
        <v/>
      </c>
      <c r="AO260" s="165" t="str">
        <f t="shared" si="132"/>
        <v/>
      </c>
      <c r="AP260" s="165" t="str">
        <f t="shared" si="133"/>
        <v/>
      </c>
      <c r="AQ260" s="165" t="str">
        <f t="shared" si="134"/>
        <v/>
      </c>
      <c r="AR260" s="165" t="str">
        <f t="shared" si="135"/>
        <v/>
      </c>
      <c r="AS260" s="165" t="str">
        <f t="shared" si="136"/>
        <v/>
      </c>
      <c r="AT260" s="165" t="str">
        <f t="shared" si="137"/>
        <v/>
      </c>
      <c r="AU260" s="165" t="str">
        <f t="shared" si="138"/>
        <v/>
      </c>
      <c r="AV260" s="165" t="str">
        <f t="shared" si="139"/>
        <v/>
      </c>
      <c r="AW260" s="165" t="str">
        <f t="shared" si="140"/>
        <v/>
      </c>
      <c r="AX260" s="165" t="str">
        <f t="shared" si="141"/>
        <v/>
      </c>
      <c r="AY260" s="165" t="str">
        <f t="shared" si="142"/>
        <v/>
      </c>
      <c r="AZ260" s="165" t="str">
        <f t="shared" si="143"/>
        <v/>
      </c>
      <c r="BA260" s="165" t="str">
        <f t="shared" si="144"/>
        <v/>
      </c>
      <c r="BB260" s="165" t="str">
        <f t="shared" si="145"/>
        <v/>
      </c>
      <c r="BC260" s="165" t="str">
        <f t="shared" si="146"/>
        <v/>
      </c>
      <c r="BD260" s="165" t="str">
        <f t="shared" si="148"/>
        <v/>
      </c>
      <c r="BE260" s="165" t="str">
        <f t="shared" si="147"/>
        <v/>
      </c>
      <c r="BF260" s="165" t="str">
        <f t="shared" si="147"/>
        <v/>
      </c>
      <c r="BG260" s="165" t="str">
        <f t="shared" si="147"/>
        <v/>
      </c>
      <c r="BH260" s="165" t="str">
        <f t="shared" si="147"/>
        <v/>
      </c>
      <c r="BI260" s="165" t="str">
        <f t="shared" si="147"/>
        <v/>
      </c>
    </row>
    <row r="261" spans="1:61" ht="15" customHeight="1">
      <c r="B261" s="171" t="b">
        <f>IF(TRIM(Angle_1!A16)="",FALSE,TRUE)</f>
        <v>0</v>
      </c>
      <c r="C261" s="165" t="str">
        <f>IF($B261=FALSE,"",VALUE(Angle_1!A16))</f>
        <v/>
      </c>
      <c r="D261" s="165" t="str">
        <f>IF($B261=FALSE,"",Angle_1!B16)</f>
        <v/>
      </c>
      <c r="E261" s="171" t="str">
        <f>IF(B261=FALSE,"",Angle_1!M16)</f>
        <v/>
      </c>
      <c r="F261" s="171" t="str">
        <f>IF(B261=FALSE,"",Angle_1!N16)</f>
        <v/>
      </c>
      <c r="G261" s="171" t="str">
        <f>IF(B261=FALSE,"",Angle_1!O16)</f>
        <v/>
      </c>
      <c r="H261" s="171" t="str">
        <f>IF(B261=FALSE,"",Angle_1!P16)</f>
        <v/>
      </c>
      <c r="I261" s="171" t="str">
        <f>IF(B261=FALSE,"",Angle_1!Q16)</f>
        <v/>
      </c>
      <c r="J261" s="165" t="str">
        <f t="shared" si="112"/>
        <v/>
      </c>
      <c r="K261" s="288" t="str">
        <f t="shared" si="113"/>
        <v/>
      </c>
      <c r="L261" s="179" t="str">
        <f t="shared" si="114"/>
        <v/>
      </c>
      <c r="M261" s="176" t="str">
        <f>IF(B261=FALSE,"",(Angle_1!E40+Angle_1!F40))</f>
        <v/>
      </c>
      <c r="N261" s="289" t="str">
        <f t="shared" si="115"/>
        <v/>
      </c>
      <c r="O261" s="290" t="str">
        <f t="shared" si="116"/>
        <v/>
      </c>
      <c r="P261" s="291" t="str">
        <f t="shared" si="117"/>
        <v/>
      </c>
      <c r="Q261" s="165" t="str">
        <f t="shared" si="118"/>
        <v/>
      </c>
      <c r="R261" s="165" t="str">
        <f t="shared" si="119"/>
        <v/>
      </c>
      <c r="S261" s="165" t="str">
        <f t="shared" si="120"/>
        <v/>
      </c>
      <c r="U261" s="165" t="e">
        <f ca="1">IF(Angle_1!J16&lt;0,ROUNDUP(Angle_1!J16,$K$282),ROUNDDOWN(Angle_1!J16,$K$282))</f>
        <v>#DIV/0!</v>
      </c>
      <c r="V261" s="165" t="e">
        <f ca="1">IF(Angle_1!K16&lt;0,ROUNDDOWN(Angle_1!K16,$K$282),ROUNDUP(Angle_1!K16,$K$282))</f>
        <v>#DIV/0!</v>
      </c>
      <c r="W261" s="165" t="str">
        <f t="shared" si="121"/>
        <v/>
      </c>
      <c r="X261" s="168" t="e">
        <f t="shared" ca="1" si="122"/>
        <v>#DIV/0!</v>
      </c>
      <c r="Y261" s="168" t="e">
        <f t="shared" ca="1" si="123"/>
        <v>#DIV/0!</v>
      </c>
      <c r="Z261" s="165" t="e">
        <f t="shared" ca="1" si="124"/>
        <v>#DIV/0!</v>
      </c>
      <c r="AA261" s="165" t="str">
        <f t="shared" si="125"/>
        <v/>
      </c>
      <c r="AB261" s="165" t="str">
        <f t="shared" si="126"/>
        <v/>
      </c>
      <c r="AC261" s="165" t="e">
        <f t="shared" ca="1" si="127"/>
        <v>#DIV/0!</v>
      </c>
      <c r="AE261" s="171">
        <f>Angle_1!L40</f>
        <v>0</v>
      </c>
      <c r="AF261" s="171">
        <f>Angle_1!M40</f>
        <v>0</v>
      </c>
      <c r="AG261" s="171">
        <f>Angle_1!N40</f>
        <v>0</v>
      </c>
      <c r="AH261" s="171">
        <f>Angle_1!O40</f>
        <v>0</v>
      </c>
      <c r="AI261" s="171">
        <f>Angle_1!P40</f>
        <v>0</v>
      </c>
      <c r="AJ261" s="299">
        <f t="shared" si="128"/>
        <v>0</v>
      </c>
      <c r="AL261" s="165" t="str">
        <f t="shared" si="129"/>
        <v/>
      </c>
      <c r="AM261" s="165" t="str">
        <f t="shared" si="130"/>
        <v/>
      </c>
      <c r="AN261" s="165" t="str">
        <f t="shared" si="131"/>
        <v/>
      </c>
      <c r="AO261" s="165" t="str">
        <f t="shared" si="132"/>
        <v/>
      </c>
      <c r="AP261" s="165" t="str">
        <f t="shared" si="133"/>
        <v/>
      </c>
      <c r="AQ261" s="165" t="str">
        <f t="shared" si="134"/>
        <v/>
      </c>
      <c r="AR261" s="165" t="str">
        <f t="shared" si="135"/>
        <v/>
      </c>
      <c r="AS261" s="165" t="str">
        <f t="shared" si="136"/>
        <v/>
      </c>
      <c r="AT261" s="165" t="str">
        <f t="shared" si="137"/>
        <v/>
      </c>
      <c r="AU261" s="165" t="str">
        <f t="shared" si="138"/>
        <v/>
      </c>
      <c r="AV261" s="165" t="str">
        <f t="shared" si="139"/>
        <v/>
      </c>
      <c r="AW261" s="165" t="str">
        <f t="shared" si="140"/>
        <v/>
      </c>
      <c r="AX261" s="165" t="str">
        <f t="shared" si="141"/>
        <v/>
      </c>
      <c r="AY261" s="165" t="str">
        <f t="shared" si="142"/>
        <v/>
      </c>
      <c r="AZ261" s="165" t="str">
        <f t="shared" si="143"/>
        <v/>
      </c>
      <c r="BA261" s="165" t="str">
        <f t="shared" si="144"/>
        <v/>
      </c>
      <c r="BB261" s="165" t="str">
        <f t="shared" si="145"/>
        <v/>
      </c>
      <c r="BC261" s="165" t="str">
        <f t="shared" si="146"/>
        <v/>
      </c>
      <c r="BD261" s="165" t="str">
        <f t="shared" si="148"/>
        <v/>
      </c>
      <c r="BE261" s="165" t="str">
        <f t="shared" si="147"/>
        <v/>
      </c>
      <c r="BF261" s="165" t="str">
        <f t="shared" si="147"/>
        <v/>
      </c>
      <c r="BG261" s="165" t="str">
        <f t="shared" si="147"/>
        <v/>
      </c>
      <c r="BH261" s="165" t="str">
        <f t="shared" si="147"/>
        <v/>
      </c>
      <c r="BI261" s="165" t="str">
        <f t="shared" si="147"/>
        <v/>
      </c>
    </row>
    <row r="262" spans="1:61" ht="15" customHeight="1">
      <c r="B262" s="171" t="b">
        <f>IF(TRIM(Angle_1!A17)="",FALSE,TRUE)</f>
        <v>0</v>
      </c>
      <c r="C262" s="165" t="str">
        <f>IF($B262=FALSE,"",VALUE(Angle_1!A17))</f>
        <v/>
      </c>
      <c r="D262" s="165" t="str">
        <f>IF($B262=FALSE,"",Angle_1!B17)</f>
        <v/>
      </c>
      <c r="E262" s="171" t="str">
        <f>IF(B262=FALSE,"",Angle_1!M17)</f>
        <v/>
      </c>
      <c r="F262" s="171" t="str">
        <f>IF(B262=FALSE,"",Angle_1!N17)</f>
        <v/>
      </c>
      <c r="G262" s="171" t="str">
        <f>IF(B262=FALSE,"",Angle_1!O17)</f>
        <v/>
      </c>
      <c r="H262" s="171" t="str">
        <f>IF(B262=FALSE,"",Angle_1!P17)</f>
        <v/>
      </c>
      <c r="I262" s="171" t="str">
        <f>IF(B262=FALSE,"",Angle_1!Q17)</f>
        <v/>
      </c>
      <c r="J262" s="165" t="str">
        <f t="shared" si="112"/>
        <v/>
      </c>
      <c r="K262" s="288" t="str">
        <f t="shared" si="113"/>
        <v/>
      </c>
      <c r="L262" s="179" t="str">
        <f t="shared" si="114"/>
        <v/>
      </c>
      <c r="M262" s="176" t="str">
        <f>IF(B262=FALSE,"",(Angle_1!E41+Angle_1!F41))</f>
        <v/>
      </c>
      <c r="N262" s="289" t="str">
        <f t="shared" si="115"/>
        <v/>
      </c>
      <c r="O262" s="290" t="str">
        <f t="shared" si="116"/>
        <v/>
      </c>
      <c r="P262" s="291" t="str">
        <f t="shared" si="117"/>
        <v/>
      </c>
      <c r="Q262" s="165" t="str">
        <f t="shared" si="118"/>
        <v/>
      </c>
      <c r="R262" s="165" t="str">
        <f t="shared" si="119"/>
        <v/>
      </c>
      <c r="S262" s="165" t="str">
        <f t="shared" si="120"/>
        <v/>
      </c>
      <c r="U262" s="165" t="e">
        <f ca="1">IF(Angle_1!J17&lt;0,ROUNDUP(Angle_1!J17,$K$282),ROUNDDOWN(Angle_1!J17,$K$282))</f>
        <v>#DIV/0!</v>
      </c>
      <c r="V262" s="165" t="e">
        <f ca="1">IF(Angle_1!K17&lt;0,ROUNDDOWN(Angle_1!K17,$K$282),ROUNDUP(Angle_1!K17,$K$282))</f>
        <v>#DIV/0!</v>
      </c>
      <c r="W262" s="165" t="str">
        <f t="shared" si="121"/>
        <v/>
      </c>
      <c r="X262" s="168" t="e">
        <f t="shared" ca="1" si="122"/>
        <v>#DIV/0!</v>
      </c>
      <c r="Y262" s="168" t="e">
        <f t="shared" ca="1" si="123"/>
        <v>#DIV/0!</v>
      </c>
      <c r="Z262" s="165" t="e">
        <f t="shared" ca="1" si="124"/>
        <v>#DIV/0!</v>
      </c>
      <c r="AA262" s="165" t="str">
        <f t="shared" si="125"/>
        <v/>
      </c>
      <c r="AB262" s="165" t="str">
        <f t="shared" si="126"/>
        <v/>
      </c>
      <c r="AC262" s="165" t="e">
        <f t="shared" ca="1" si="127"/>
        <v>#DIV/0!</v>
      </c>
      <c r="AE262" s="171">
        <f>Angle_1!L41</f>
        <v>0</v>
      </c>
      <c r="AF262" s="171">
        <f>Angle_1!M41</f>
        <v>0</v>
      </c>
      <c r="AG262" s="171">
        <f>Angle_1!N41</f>
        <v>0</v>
      </c>
      <c r="AH262" s="171">
        <f>Angle_1!O41</f>
        <v>0</v>
      </c>
      <c r="AI262" s="171">
        <f>Angle_1!P41</f>
        <v>0</v>
      </c>
      <c r="AJ262" s="299">
        <f t="shared" si="128"/>
        <v>0</v>
      </c>
      <c r="AL262" s="165" t="str">
        <f t="shared" si="129"/>
        <v/>
      </c>
      <c r="AM262" s="165" t="str">
        <f t="shared" si="130"/>
        <v/>
      </c>
      <c r="AN262" s="165" t="str">
        <f t="shared" si="131"/>
        <v/>
      </c>
      <c r="AO262" s="165" t="str">
        <f t="shared" si="132"/>
        <v/>
      </c>
      <c r="AP262" s="165" t="str">
        <f t="shared" si="133"/>
        <v/>
      </c>
      <c r="AQ262" s="165" t="str">
        <f t="shared" si="134"/>
        <v/>
      </c>
      <c r="AR262" s="165" t="str">
        <f t="shared" si="135"/>
        <v/>
      </c>
      <c r="AS262" s="165" t="str">
        <f t="shared" si="136"/>
        <v/>
      </c>
      <c r="AT262" s="165" t="str">
        <f t="shared" si="137"/>
        <v/>
      </c>
      <c r="AU262" s="165" t="str">
        <f t="shared" si="138"/>
        <v/>
      </c>
      <c r="AV262" s="165" t="str">
        <f t="shared" si="139"/>
        <v/>
      </c>
      <c r="AW262" s="165" t="str">
        <f t="shared" si="140"/>
        <v/>
      </c>
      <c r="AX262" s="165" t="str">
        <f t="shared" si="141"/>
        <v/>
      </c>
      <c r="AY262" s="165" t="str">
        <f t="shared" si="142"/>
        <v/>
      </c>
      <c r="AZ262" s="165" t="str">
        <f t="shared" si="143"/>
        <v/>
      </c>
      <c r="BA262" s="165" t="str">
        <f t="shared" si="144"/>
        <v/>
      </c>
      <c r="BB262" s="165" t="str">
        <f t="shared" si="145"/>
        <v/>
      </c>
      <c r="BC262" s="165" t="str">
        <f t="shared" si="146"/>
        <v/>
      </c>
      <c r="BD262" s="165" t="str">
        <f t="shared" si="148"/>
        <v/>
      </c>
      <c r="BE262" s="165" t="str">
        <f t="shared" si="147"/>
        <v/>
      </c>
      <c r="BF262" s="165" t="str">
        <f t="shared" si="147"/>
        <v/>
      </c>
      <c r="BG262" s="165" t="str">
        <f t="shared" si="147"/>
        <v/>
      </c>
      <c r="BH262" s="165" t="str">
        <f t="shared" si="147"/>
        <v/>
      </c>
      <c r="BI262" s="165" t="str">
        <f t="shared" si="147"/>
        <v/>
      </c>
    </row>
    <row r="263" spans="1:61" ht="15" customHeight="1">
      <c r="B263" s="171" t="b">
        <f>IF(TRIM(Angle_1!A18)="",FALSE,TRUE)</f>
        <v>0</v>
      </c>
      <c r="C263" s="165" t="str">
        <f>IF($B263=FALSE,"",VALUE(Angle_1!A18))</f>
        <v/>
      </c>
      <c r="D263" s="165" t="str">
        <f>IF($B263=FALSE,"",Angle_1!B18)</f>
        <v/>
      </c>
      <c r="E263" s="171" t="str">
        <f>IF(B263=FALSE,"",Angle_1!M18)</f>
        <v/>
      </c>
      <c r="F263" s="171" t="str">
        <f>IF(B263=FALSE,"",Angle_1!N18)</f>
        <v/>
      </c>
      <c r="G263" s="171" t="str">
        <f>IF(B263=FALSE,"",Angle_1!O18)</f>
        <v/>
      </c>
      <c r="H263" s="171" t="str">
        <f>IF(B263=FALSE,"",Angle_1!P18)</f>
        <v/>
      </c>
      <c r="I263" s="171" t="str">
        <f>IF(B263=FALSE,"",Angle_1!Q18)</f>
        <v/>
      </c>
      <c r="J263" s="165" t="str">
        <f t="shared" si="112"/>
        <v/>
      </c>
      <c r="K263" s="288" t="str">
        <f t="shared" si="113"/>
        <v/>
      </c>
      <c r="L263" s="179" t="str">
        <f t="shared" si="114"/>
        <v/>
      </c>
      <c r="M263" s="176" t="str">
        <f>IF(B263=FALSE,"",(Angle_1!E42+Angle_1!F42))</f>
        <v/>
      </c>
      <c r="N263" s="289" t="str">
        <f t="shared" si="115"/>
        <v/>
      </c>
      <c r="O263" s="290" t="str">
        <f t="shared" si="116"/>
        <v/>
      </c>
      <c r="P263" s="291" t="str">
        <f t="shared" si="117"/>
        <v/>
      </c>
      <c r="Q263" s="165" t="str">
        <f t="shared" si="118"/>
        <v/>
      </c>
      <c r="R263" s="165" t="str">
        <f t="shared" si="119"/>
        <v/>
      </c>
      <c r="S263" s="165" t="str">
        <f t="shared" si="120"/>
        <v/>
      </c>
      <c r="U263" s="165" t="e">
        <f ca="1">IF(Angle_1!J18&lt;0,ROUNDUP(Angle_1!J18,$K$282),ROUNDDOWN(Angle_1!J18,$K$282))</f>
        <v>#DIV/0!</v>
      </c>
      <c r="V263" s="165" t="e">
        <f ca="1">IF(Angle_1!K18&lt;0,ROUNDDOWN(Angle_1!K18,$K$282),ROUNDUP(Angle_1!K18,$K$282))</f>
        <v>#DIV/0!</v>
      </c>
      <c r="W263" s="165" t="str">
        <f t="shared" si="121"/>
        <v/>
      </c>
      <c r="X263" s="168" t="e">
        <f t="shared" ca="1" si="122"/>
        <v>#DIV/0!</v>
      </c>
      <c r="Y263" s="168" t="e">
        <f t="shared" ca="1" si="123"/>
        <v>#DIV/0!</v>
      </c>
      <c r="Z263" s="165" t="e">
        <f t="shared" ca="1" si="124"/>
        <v>#DIV/0!</v>
      </c>
      <c r="AA263" s="165" t="str">
        <f t="shared" si="125"/>
        <v/>
      </c>
      <c r="AB263" s="165" t="str">
        <f t="shared" si="126"/>
        <v/>
      </c>
      <c r="AC263" s="165" t="e">
        <f t="shared" ca="1" si="127"/>
        <v>#DIV/0!</v>
      </c>
      <c r="AE263" s="171">
        <f>Angle_1!L42</f>
        <v>0</v>
      </c>
      <c r="AF263" s="171">
        <f>Angle_1!M42</f>
        <v>0</v>
      </c>
      <c r="AG263" s="171">
        <f>Angle_1!N42</f>
        <v>0</v>
      </c>
      <c r="AH263" s="171">
        <f>Angle_1!O42</f>
        <v>0</v>
      </c>
      <c r="AI263" s="171">
        <f>Angle_1!P42</f>
        <v>0</v>
      </c>
      <c r="AJ263" s="299">
        <f t="shared" si="128"/>
        <v>0</v>
      </c>
      <c r="AL263" s="165" t="str">
        <f t="shared" si="129"/>
        <v/>
      </c>
      <c r="AM263" s="165" t="str">
        <f t="shared" si="130"/>
        <v/>
      </c>
      <c r="AN263" s="165" t="str">
        <f t="shared" si="131"/>
        <v/>
      </c>
      <c r="AO263" s="165" t="str">
        <f t="shared" si="132"/>
        <v/>
      </c>
      <c r="AP263" s="165" t="str">
        <f t="shared" si="133"/>
        <v/>
      </c>
      <c r="AQ263" s="165" t="str">
        <f t="shared" si="134"/>
        <v/>
      </c>
      <c r="AR263" s="165" t="str">
        <f t="shared" si="135"/>
        <v/>
      </c>
      <c r="AS263" s="165" t="str">
        <f t="shared" si="136"/>
        <v/>
      </c>
      <c r="AT263" s="165" t="str">
        <f t="shared" si="137"/>
        <v/>
      </c>
      <c r="AU263" s="165" t="str">
        <f t="shared" si="138"/>
        <v/>
      </c>
      <c r="AV263" s="165" t="str">
        <f t="shared" si="139"/>
        <v/>
      </c>
      <c r="AW263" s="165" t="str">
        <f t="shared" si="140"/>
        <v/>
      </c>
      <c r="AX263" s="165" t="str">
        <f t="shared" si="141"/>
        <v/>
      </c>
      <c r="AY263" s="165" t="str">
        <f t="shared" si="142"/>
        <v/>
      </c>
      <c r="AZ263" s="165" t="str">
        <f t="shared" si="143"/>
        <v/>
      </c>
      <c r="BA263" s="165" t="str">
        <f t="shared" si="144"/>
        <v/>
      </c>
      <c r="BB263" s="165" t="str">
        <f t="shared" si="145"/>
        <v/>
      </c>
      <c r="BC263" s="165" t="str">
        <f t="shared" si="146"/>
        <v/>
      </c>
      <c r="BD263" s="165" t="str">
        <f t="shared" si="148"/>
        <v/>
      </c>
      <c r="BE263" s="165" t="str">
        <f t="shared" si="147"/>
        <v/>
      </c>
      <c r="BF263" s="165" t="str">
        <f t="shared" si="147"/>
        <v/>
      </c>
      <c r="BG263" s="165" t="str">
        <f t="shared" si="147"/>
        <v/>
      </c>
      <c r="BH263" s="165" t="str">
        <f t="shared" si="147"/>
        <v/>
      </c>
      <c r="BI263" s="165" t="str">
        <f t="shared" si="147"/>
        <v/>
      </c>
    </row>
    <row r="264" spans="1:61" ht="15" customHeight="1">
      <c r="B264" s="171" t="b">
        <f>IF(TRIM(Angle_1!A19)="",FALSE,TRUE)</f>
        <v>0</v>
      </c>
      <c r="C264" s="165" t="str">
        <f>IF($B264=FALSE,"",VALUE(Angle_1!A19))</f>
        <v/>
      </c>
      <c r="D264" s="165" t="str">
        <f>IF($B264=FALSE,"",Angle_1!B19)</f>
        <v/>
      </c>
      <c r="E264" s="171" t="str">
        <f>IF(B264=FALSE,"",Angle_1!M19)</f>
        <v/>
      </c>
      <c r="F264" s="171" t="str">
        <f>IF(B264=FALSE,"",Angle_1!N19)</f>
        <v/>
      </c>
      <c r="G264" s="171" t="str">
        <f>IF(B264=FALSE,"",Angle_1!O19)</f>
        <v/>
      </c>
      <c r="H264" s="171" t="str">
        <f>IF(B264=FALSE,"",Angle_1!P19)</f>
        <v/>
      </c>
      <c r="I264" s="171" t="str">
        <f>IF(B264=FALSE,"",Angle_1!Q19)</f>
        <v/>
      </c>
      <c r="J264" s="165" t="str">
        <f t="shared" si="112"/>
        <v/>
      </c>
      <c r="K264" s="288" t="str">
        <f t="shared" si="113"/>
        <v/>
      </c>
      <c r="L264" s="179" t="str">
        <f t="shared" si="114"/>
        <v/>
      </c>
      <c r="M264" s="176" t="str">
        <f>IF(B264=FALSE,"",(Angle_1!E43+Angle_1!F43))</f>
        <v/>
      </c>
      <c r="N264" s="289" t="str">
        <f t="shared" si="115"/>
        <v/>
      </c>
      <c r="O264" s="290" t="str">
        <f t="shared" si="116"/>
        <v/>
      </c>
      <c r="P264" s="291" t="str">
        <f t="shared" si="117"/>
        <v/>
      </c>
      <c r="Q264" s="165" t="str">
        <f t="shared" si="118"/>
        <v/>
      </c>
      <c r="R264" s="165" t="str">
        <f t="shared" si="119"/>
        <v/>
      </c>
      <c r="S264" s="165" t="str">
        <f t="shared" si="120"/>
        <v/>
      </c>
      <c r="U264" s="165" t="e">
        <f ca="1">IF(Angle_1!J19&lt;0,ROUNDUP(Angle_1!J19,$K$282),ROUNDDOWN(Angle_1!J19,$K$282))</f>
        <v>#DIV/0!</v>
      </c>
      <c r="V264" s="165" t="e">
        <f ca="1">IF(Angle_1!K19&lt;0,ROUNDDOWN(Angle_1!K19,$K$282),ROUNDUP(Angle_1!K19,$K$282))</f>
        <v>#DIV/0!</v>
      </c>
      <c r="W264" s="165" t="str">
        <f t="shared" si="121"/>
        <v/>
      </c>
      <c r="X264" s="168" t="e">
        <f t="shared" ca="1" si="122"/>
        <v>#DIV/0!</v>
      </c>
      <c r="Y264" s="168" t="e">
        <f t="shared" ca="1" si="123"/>
        <v>#DIV/0!</v>
      </c>
      <c r="Z264" s="165" t="e">
        <f t="shared" ca="1" si="124"/>
        <v>#DIV/0!</v>
      </c>
      <c r="AA264" s="165" t="str">
        <f t="shared" si="125"/>
        <v/>
      </c>
      <c r="AB264" s="165" t="str">
        <f t="shared" si="126"/>
        <v/>
      </c>
      <c r="AC264" s="165" t="e">
        <f t="shared" ca="1" si="127"/>
        <v>#DIV/0!</v>
      </c>
      <c r="AE264" s="171">
        <f>Angle_1!L43</f>
        <v>0</v>
      </c>
      <c r="AF264" s="171">
        <f>Angle_1!M43</f>
        <v>0</v>
      </c>
      <c r="AG264" s="171">
        <f>Angle_1!N43</f>
        <v>0</v>
      </c>
      <c r="AH264" s="171">
        <f>Angle_1!O43</f>
        <v>0</v>
      </c>
      <c r="AI264" s="171">
        <f>Angle_1!P43</f>
        <v>0</v>
      </c>
      <c r="AJ264" s="299">
        <f t="shared" si="128"/>
        <v>0</v>
      </c>
      <c r="AL264" s="165" t="str">
        <f t="shared" si="129"/>
        <v/>
      </c>
      <c r="AM264" s="165" t="str">
        <f t="shared" si="130"/>
        <v/>
      </c>
      <c r="AN264" s="165" t="str">
        <f t="shared" si="131"/>
        <v/>
      </c>
      <c r="AO264" s="165" t="str">
        <f t="shared" si="132"/>
        <v/>
      </c>
      <c r="AP264" s="165" t="str">
        <f t="shared" si="133"/>
        <v/>
      </c>
      <c r="AQ264" s="165" t="str">
        <f t="shared" si="134"/>
        <v/>
      </c>
      <c r="AR264" s="165" t="str">
        <f t="shared" si="135"/>
        <v/>
      </c>
      <c r="AS264" s="165" t="str">
        <f t="shared" si="136"/>
        <v/>
      </c>
      <c r="AT264" s="165" t="str">
        <f t="shared" si="137"/>
        <v/>
      </c>
      <c r="AU264" s="165" t="str">
        <f t="shared" si="138"/>
        <v/>
      </c>
      <c r="AV264" s="165" t="str">
        <f t="shared" si="139"/>
        <v/>
      </c>
      <c r="AW264" s="165" t="str">
        <f t="shared" si="140"/>
        <v/>
      </c>
      <c r="AX264" s="165" t="str">
        <f t="shared" si="141"/>
        <v/>
      </c>
      <c r="AY264" s="165" t="str">
        <f t="shared" si="142"/>
        <v/>
      </c>
      <c r="AZ264" s="165" t="str">
        <f t="shared" si="143"/>
        <v/>
      </c>
      <c r="BA264" s="165" t="str">
        <f t="shared" si="144"/>
        <v/>
      </c>
      <c r="BB264" s="165" t="str">
        <f t="shared" si="145"/>
        <v/>
      </c>
      <c r="BC264" s="165" t="str">
        <f t="shared" si="146"/>
        <v/>
      </c>
      <c r="BD264" s="165" t="str">
        <f t="shared" si="148"/>
        <v/>
      </c>
      <c r="BE264" s="165" t="str">
        <f t="shared" si="147"/>
        <v/>
      </c>
      <c r="BF264" s="165" t="str">
        <f t="shared" si="147"/>
        <v/>
      </c>
      <c r="BG264" s="165" t="str">
        <f t="shared" si="147"/>
        <v/>
      </c>
      <c r="BH264" s="165" t="str">
        <f t="shared" si="147"/>
        <v/>
      </c>
      <c r="BI264" s="165" t="str">
        <f t="shared" si="147"/>
        <v/>
      </c>
    </row>
    <row r="265" spans="1:61" ht="15" customHeight="1">
      <c r="B265" s="171" t="b">
        <f>IF(TRIM(Angle_1!A20)="",FALSE,TRUE)</f>
        <v>0</v>
      </c>
      <c r="C265" s="165" t="str">
        <f>IF($B265=FALSE,"",VALUE(Angle_1!A20))</f>
        <v/>
      </c>
      <c r="D265" s="165" t="str">
        <f>IF($B265=FALSE,"",Angle_1!B20)</f>
        <v/>
      </c>
      <c r="E265" s="171" t="str">
        <f>IF(B265=FALSE,"",Angle_1!M20)</f>
        <v/>
      </c>
      <c r="F265" s="171" t="str">
        <f>IF(B265=FALSE,"",Angle_1!N20)</f>
        <v/>
      </c>
      <c r="G265" s="171" t="str">
        <f>IF(B265=FALSE,"",Angle_1!O20)</f>
        <v/>
      </c>
      <c r="H265" s="171" t="str">
        <f>IF(B265=FALSE,"",Angle_1!P20)</f>
        <v/>
      </c>
      <c r="I265" s="171" t="str">
        <f>IF(B265=FALSE,"",Angle_1!Q20)</f>
        <v/>
      </c>
      <c r="J265" s="165" t="str">
        <f t="shared" si="112"/>
        <v/>
      </c>
      <c r="K265" s="288" t="str">
        <f t="shared" si="113"/>
        <v/>
      </c>
      <c r="L265" s="179" t="str">
        <f t="shared" si="114"/>
        <v/>
      </c>
      <c r="M265" s="176" t="str">
        <f>IF(B265=FALSE,"",(Angle_1!E44+Angle_1!F44))</f>
        <v/>
      </c>
      <c r="N265" s="289" t="str">
        <f t="shared" si="115"/>
        <v/>
      </c>
      <c r="O265" s="290" t="str">
        <f t="shared" si="116"/>
        <v/>
      </c>
      <c r="P265" s="291" t="str">
        <f t="shared" si="117"/>
        <v/>
      </c>
      <c r="Q265" s="165" t="str">
        <f t="shared" si="118"/>
        <v/>
      </c>
      <c r="R265" s="165" t="str">
        <f t="shared" si="119"/>
        <v/>
      </c>
      <c r="S265" s="165" t="str">
        <f t="shared" si="120"/>
        <v/>
      </c>
      <c r="U265" s="165" t="e">
        <f ca="1">IF(Angle_1!J20&lt;0,ROUNDUP(Angle_1!J20,$K$282),ROUNDDOWN(Angle_1!J20,$K$282))</f>
        <v>#DIV/0!</v>
      </c>
      <c r="V265" s="165" t="e">
        <f ca="1">IF(Angle_1!K20&lt;0,ROUNDDOWN(Angle_1!K20,$K$282),ROUNDUP(Angle_1!K20,$K$282))</f>
        <v>#DIV/0!</v>
      </c>
      <c r="W265" s="165" t="str">
        <f t="shared" si="121"/>
        <v/>
      </c>
      <c r="X265" s="168" t="e">
        <f t="shared" ca="1" si="122"/>
        <v>#DIV/0!</v>
      </c>
      <c r="Y265" s="168" t="e">
        <f t="shared" ca="1" si="123"/>
        <v>#DIV/0!</v>
      </c>
      <c r="Z265" s="165" t="e">
        <f t="shared" ca="1" si="124"/>
        <v>#DIV/0!</v>
      </c>
      <c r="AA265" s="165" t="str">
        <f t="shared" si="125"/>
        <v/>
      </c>
      <c r="AB265" s="165" t="str">
        <f t="shared" si="126"/>
        <v/>
      </c>
      <c r="AC265" s="165" t="e">
        <f t="shared" ca="1" si="127"/>
        <v>#DIV/0!</v>
      </c>
      <c r="AE265" s="171">
        <f>Angle_1!L44</f>
        <v>0</v>
      </c>
      <c r="AF265" s="171">
        <f>Angle_1!M44</f>
        <v>0</v>
      </c>
      <c r="AG265" s="171">
        <f>Angle_1!N44</f>
        <v>0</v>
      </c>
      <c r="AH265" s="171">
        <f>Angle_1!O44</f>
        <v>0</v>
      </c>
      <c r="AI265" s="171">
        <f>Angle_1!P44</f>
        <v>0</v>
      </c>
      <c r="AJ265" s="299">
        <f t="shared" si="128"/>
        <v>0</v>
      </c>
      <c r="AL265" s="165" t="str">
        <f t="shared" si="129"/>
        <v/>
      </c>
      <c r="AM265" s="165" t="str">
        <f t="shared" si="130"/>
        <v/>
      </c>
      <c r="AN265" s="165" t="str">
        <f t="shared" si="131"/>
        <v/>
      </c>
      <c r="AO265" s="165" t="str">
        <f t="shared" si="132"/>
        <v/>
      </c>
      <c r="AP265" s="165" t="str">
        <f t="shared" si="133"/>
        <v/>
      </c>
      <c r="AQ265" s="165" t="str">
        <f t="shared" si="134"/>
        <v/>
      </c>
      <c r="AR265" s="165" t="str">
        <f t="shared" si="135"/>
        <v/>
      </c>
      <c r="AS265" s="165" t="str">
        <f t="shared" si="136"/>
        <v/>
      </c>
      <c r="AT265" s="165" t="str">
        <f t="shared" si="137"/>
        <v/>
      </c>
      <c r="AU265" s="165" t="str">
        <f t="shared" si="138"/>
        <v/>
      </c>
      <c r="AV265" s="165" t="str">
        <f t="shared" si="139"/>
        <v/>
      </c>
      <c r="AW265" s="165" t="str">
        <f t="shared" si="140"/>
        <v/>
      </c>
      <c r="AX265" s="165" t="str">
        <f t="shared" si="141"/>
        <v/>
      </c>
      <c r="AY265" s="165" t="str">
        <f t="shared" si="142"/>
        <v/>
      </c>
      <c r="AZ265" s="165" t="str">
        <f t="shared" si="143"/>
        <v/>
      </c>
      <c r="BA265" s="165" t="str">
        <f t="shared" si="144"/>
        <v/>
      </c>
      <c r="BB265" s="165" t="str">
        <f t="shared" si="145"/>
        <v/>
      </c>
      <c r="BC265" s="165" t="str">
        <f t="shared" si="146"/>
        <v/>
      </c>
      <c r="BD265" s="165" t="str">
        <f t="shared" si="148"/>
        <v/>
      </c>
      <c r="BE265" s="165" t="str">
        <f t="shared" si="147"/>
        <v/>
      </c>
      <c r="BF265" s="165" t="str">
        <f t="shared" si="147"/>
        <v/>
      </c>
      <c r="BG265" s="165" t="str">
        <f t="shared" si="147"/>
        <v/>
      </c>
      <c r="BH265" s="165" t="str">
        <f t="shared" si="147"/>
        <v/>
      </c>
      <c r="BI265" s="165" t="str">
        <f t="shared" si="147"/>
        <v/>
      </c>
    </row>
    <row r="266" spans="1:61" ht="15" customHeight="1">
      <c r="B266" s="171" t="b">
        <f>IF(TRIM(Angle_1!A21)="",FALSE,TRUE)</f>
        <v>0</v>
      </c>
      <c r="C266" s="165" t="str">
        <f>IF($B266=FALSE,"",VALUE(Angle_1!A21))</f>
        <v/>
      </c>
      <c r="D266" s="165" t="str">
        <f>IF($B266=FALSE,"",Angle_1!B21)</f>
        <v/>
      </c>
      <c r="E266" s="171" t="str">
        <f>IF(B266=FALSE,"",Angle_1!M21)</f>
        <v/>
      </c>
      <c r="F266" s="171" t="str">
        <f>IF(B266=FALSE,"",Angle_1!N21)</f>
        <v/>
      </c>
      <c r="G266" s="171" t="str">
        <f>IF(B266=FALSE,"",Angle_1!O21)</f>
        <v/>
      </c>
      <c r="H266" s="171" t="str">
        <f>IF(B266=FALSE,"",Angle_1!P21)</f>
        <v/>
      </c>
      <c r="I266" s="171" t="str">
        <f>IF(B266=FALSE,"",Angle_1!Q21)</f>
        <v/>
      </c>
      <c r="J266" s="165" t="str">
        <f t="shared" si="112"/>
        <v/>
      </c>
      <c r="K266" s="288" t="str">
        <f t="shared" si="113"/>
        <v/>
      </c>
      <c r="L266" s="179" t="str">
        <f t="shared" si="114"/>
        <v/>
      </c>
      <c r="M266" s="176" t="str">
        <f>IF(B266=FALSE,"",(Angle_1!E45+Angle_1!F45))</f>
        <v/>
      </c>
      <c r="N266" s="289" t="str">
        <f t="shared" si="115"/>
        <v/>
      </c>
      <c r="O266" s="290" t="str">
        <f t="shared" si="116"/>
        <v/>
      </c>
      <c r="P266" s="291" t="str">
        <f t="shared" si="117"/>
        <v/>
      </c>
      <c r="Q266" s="165" t="str">
        <f t="shared" si="118"/>
        <v/>
      </c>
      <c r="R266" s="165" t="str">
        <f t="shared" si="119"/>
        <v/>
      </c>
      <c r="S266" s="165" t="str">
        <f t="shared" si="120"/>
        <v/>
      </c>
      <c r="U266" s="165" t="e">
        <f ca="1">IF(Angle_1!J21&lt;0,ROUNDUP(Angle_1!J21,$K$282),ROUNDDOWN(Angle_1!J21,$K$282))</f>
        <v>#DIV/0!</v>
      </c>
      <c r="V266" s="165" t="e">
        <f ca="1">IF(Angle_1!K21&lt;0,ROUNDDOWN(Angle_1!K21,$K$282),ROUNDUP(Angle_1!K21,$K$282))</f>
        <v>#DIV/0!</v>
      </c>
      <c r="W266" s="165" t="str">
        <f t="shared" si="121"/>
        <v/>
      </c>
      <c r="X266" s="168" t="e">
        <f t="shared" ca="1" si="122"/>
        <v>#DIV/0!</v>
      </c>
      <c r="Y266" s="168" t="e">
        <f t="shared" ca="1" si="123"/>
        <v>#DIV/0!</v>
      </c>
      <c r="Z266" s="165" t="e">
        <f t="shared" ca="1" si="124"/>
        <v>#DIV/0!</v>
      </c>
      <c r="AA266" s="165" t="str">
        <f t="shared" si="125"/>
        <v/>
      </c>
      <c r="AB266" s="165" t="str">
        <f t="shared" si="126"/>
        <v/>
      </c>
      <c r="AC266" s="165" t="e">
        <f t="shared" ca="1" si="127"/>
        <v>#DIV/0!</v>
      </c>
      <c r="AE266" s="171">
        <f>Angle_1!L45</f>
        <v>0</v>
      </c>
      <c r="AF266" s="171">
        <f>Angle_1!M45</f>
        <v>0</v>
      </c>
      <c r="AG266" s="171">
        <f>Angle_1!N45</f>
        <v>0</v>
      </c>
      <c r="AH266" s="171">
        <f>Angle_1!O45</f>
        <v>0</v>
      </c>
      <c r="AI266" s="171">
        <f>Angle_1!P45</f>
        <v>0</v>
      </c>
      <c r="AJ266" s="299">
        <f t="shared" si="128"/>
        <v>0</v>
      </c>
      <c r="AL266" s="165" t="str">
        <f t="shared" si="129"/>
        <v/>
      </c>
      <c r="AM266" s="165" t="str">
        <f t="shared" si="130"/>
        <v/>
      </c>
      <c r="AN266" s="165" t="str">
        <f t="shared" si="131"/>
        <v/>
      </c>
      <c r="AO266" s="165" t="str">
        <f t="shared" si="132"/>
        <v/>
      </c>
      <c r="AP266" s="165" t="str">
        <f t="shared" si="133"/>
        <v/>
      </c>
      <c r="AQ266" s="165" t="str">
        <f t="shared" si="134"/>
        <v/>
      </c>
      <c r="AR266" s="165" t="str">
        <f t="shared" si="135"/>
        <v/>
      </c>
      <c r="AS266" s="165" t="str">
        <f t="shared" si="136"/>
        <v/>
      </c>
      <c r="AT266" s="165" t="str">
        <f t="shared" si="137"/>
        <v/>
      </c>
      <c r="AU266" s="165" t="str">
        <f t="shared" si="138"/>
        <v/>
      </c>
      <c r="AV266" s="165" t="str">
        <f t="shared" si="139"/>
        <v/>
      </c>
      <c r="AW266" s="165" t="str">
        <f t="shared" si="140"/>
        <v/>
      </c>
      <c r="AX266" s="165" t="str">
        <f t="shared" si="141"/>
        <v/>
      </c>
      <c r="AY266" s="165" t="str">
        <f t="shared" si="142"/>
        <v/>
      </c>
      <c r="AZ266" s="165" t="str">
        <f t="shared" si="143"/>
        <v/>
      </c>
      <c r="BA266" s="165" t="str">
        <f t="shared" si="144"/>
        <v/>
      </c>
      <c r="BB266" s="165" t="str">
        <f t="shared" si="145"/>
        <v/>
      </c>
      <c r="BC266" s="165" t="str">
        <f t="shared" si="146"/>
        <v/>
      </c>
      <c r="BD266" s="165" t="str">
        <f t="shared" si="148"/>
        <v/>
      </c>
      <c r="BE266" s="165" t="str">
        <f t="shared" si="147"/>
        <v/>
      </c>
      <c r="BF266" s="165" t="str">
        <f t="shared" si="147"/>
        <v/>
      </c>
      <c r="BG266" s="165" t="str">
        <f t="shared" si="147"/>
        <v/>
      </c>
      <c r="BH266" s="165" t="str">
        <f t="shared" si="147"/>
        <v/>
      </c>
      <c r="BI266" s="165" t="str">
        <f t="shared" si="147"/>
        <v/>
      </c>
    </row>
    <row r="267" spans="1:61" ht="15" customHeight="1">
      <c r="B267" s="171" t="b">
        <f>IF(TRIM(Angle_1!A22)="",FALSE,TRUE)</f>
        <v>0</v>
      </c>
      <c r="C267" s="165" t="str">
        <f>IF($B267=FALSE,"",VALUE(Angle_1!A22))</f>
        <v/>
      </c>
      <c r="D267" s="165" t="str">
        <f>IF($B267=FALSE,"",Angle_1!B22)</f>
        <v/>
      </c>
      <c r="E267" s="171" t="str">
        <f>IF(B267=FALSE,"",Angle_1!M22)</f>
        <v/>
      </c>
      <c r="F267" s="171" t="str">
        <f>IF(B267=FALSE,"",Angle_1!N22)</f>
        <v/>
      </c>
      <c r="G267" s="171" t="str">
        <f>IF(B267=FALSE,"",Angle_1!O22)</f>
        <v/>
      </c>
      <c r="H267" s="171" t="str">
        <f>IF(B267=FALSE,"",Angle_1!P22)</f>
        <v/>
      </c>
      <c r="I267" s="171" t="str">
        <f>IF(B267=FALSE,"",Angle_1!Q22)</f>
        <v/>
      </c>
      <c r="J267" s="165" t="str">
        <f t="shared" si="112"/>
        <v/>
      </c>
      <c r="K267" s="288" t="str">
        <f t="shared" si="113"/>
        <v/>
      </c>
      <c r="L267" s="179" t="str">
        <f t="shared" si="114"/>
        <v/>
      </c>
      <c r="M267" s="176" t="str">
        <f>IF(B267=FALSE,"",(Angle_1!E46+Angle_1!F46))</f>
        <v/>
      </c>
      <c r="N267" s="289" t="str">
        <f t="shared" si="115"/>
        <v/>
      </c>
      <c r="O267" s="290" t="str">
        <f t="shared" si="116"/>
        <v/>
      </c>
      <c r="P267" s="291" t="str">
        <f t="shared" si="117"/>
        <v/>
      </c>
      <c r="Q267" s="165" t="str">
        <f t="shared" si="118"/>
        <v/>
      </c>
      <c r="R267" s="165" t="str">
        <f t="shared" si="119"/>
        <v/>
      </c>
      <c r="S267" s="165" t="str">
        <f t="shared" si="120"/>
        <v/>
      </c>
      <c r="U267" s="165" t="e">
        <f ca="1">IF(Angle_1!J22&lt;0,ROUNDUP(Angle_1!J22,$K$282),ROUNDDOWN(Angle_1!J22,$K$282))</f>
        <v>#DIV/0!</v>
      </c>
      <c r="V267" s="165" t="e">
        <f ca="1">IF(Angle_1!K22&lt;0,ROUNDDOWN(Angle_1!K22,$K$282),ROUNDUP(Angle_1!K22,$K$282))</f>
        <v>#DIV/0!</v>
      </c>
      <c r="W267" s="165" t="str">
        <f t="shared" si="121"/>
        <v/>
      </c>
      <c r="X267" s="168" t="e">
        <f t="shared" ca="1" si="122"/>
        <v>#DIV/0!</v>
      </c>
      <c r="Y267" s="168" t="e">
        <f t="shared" ca="1" si="123"/>
        <v>#DIV/0!</v>
      </c>
      <c r="Z267" s="165" t="e">
        <f t="shared" ca="1" si="124"/>
        <v>#DIV/0!</v>
      </c>
      <c r="AA267" s="165" t="str">
        <f t="shared" si="125"/>
        <v/>
      </c>
      <c r="AB267" s="165" t="str">
        <f t="shared" si="126"/>
        <v/>
      </c>
      <c r="AC267" s="165" t="e">
        <f t="shared" ca="1" si="127"/>
        <v>#DIV/0!</v>
      </c>
      <c r="AE267" s="171">
        <f>Angle_1!L46</f>
        <v>0</v>
      </c>
      <c r="AF267" s="171">
        <f>Angle_1!M46</f>
        <v>0</v>
      </c>
      <c r="AG267" s="171">
        <f>Angle_1!N46</f>
        <v>0</v>
      </c>
      <c r="AH267" s="171">
        <f>Angle_1!O46</f>
        <v>0</v>
      </c>
      <c r="AI267" s="171">
        <f>Angle_1!P46</f>
        <v>0</v>
      </c>
      <c r="AJ267" s="299">
        <f t="shared" si="128"/>
        <v>0</v>
      </c>
      <c r="AL267" s="165" t="str">
        <f t="shared" si="129"/>
        <v/>
      </c>
      <c r="AM267" s="165" t="str">
        <f t="shared" si="130"/>
        <v/>
      </c>
      <c r="AN267" s="165" t="str">
        <f t="shared" si="131"/>
        <v/>
      </c>
      <c r="AO267" s="165" t="str">
        <f t="shared" si="132"/>
        <v/>
      </c>
      <c r="AP267" s="165" t="str">
        <f t="shared" si="133"/>
        <v/>
      </c>
      <c r="AQ267" s="165" t="str">
        <f t="shared" si="134"/>
        <v/>
      </c>
      <c r="AR267" s="165" t="str">
        <f t="shared" si="135"/>
        <v/>
      </c>
      <c r="AS267" s="165" t="str">
        <f t="shared" si="136"/>
        <v/>
      </c>
      <c r="AT267" s="165" t="str">
        <f t="shared" si="137"/>
        <v/>
      </c>
      <c r="AU267" s="165" t="str">
        <f t="shared" si="138"/>
        <v/>
      </c>
      <c r="AV267" s="165" t="str">
        <f t="shared" si="139"/>
        <v/>
      </c>
      <c r="AW267" s="165" t="str">
        <f t="shared" si="140"/>
        <v/>
      </c>
      <c r="AX267" s="165" t="str">
        <f t="shared" si="141"/>
        <v/>
      </c>
      <c r="AY267" s="165" t="str">
        <f t="shared" si="142"/>
        <v/>
      </c>
      <c r="AZ267" s="165" t="str">
        <f t="shared" si="143"/>
        <v/>
      </c>
      <c r="BA267" s="165" t="str">
        <f t="shared" si="144"/>
        <v/>
      </c>
      <c r="BB267" s="165" t="str">
        <f t="shared" si="145"/>
        <v/>
      </c>
      <c r="BC267" s="165" t="str">
        <f t="shared" si="146"/>
        <v/>
      </c>
      <c r="BD267" s="165" t="str">
        <f t="shared" si="148"/>
        <v/>
      </c>
      <c r="BE267" s="165" t="str">
        <f t="shared" si="147"/>
        <v/>
      </c>
      <c r="BF267" s="165" t="str">
        <f t="shared" si="147"/>
        <v/>
      </c>
      <c r="BG267" s="165" t="str">
        <f t="shared" si="147"/>
        <v/>
      </c>
      <c r="BH267" s="165" t="str">
        <f t="shared" si="147"/>
        <v/>
      </c>
      <c r="BI267" s="165" t="str">
        <f t="shared" si="147"/>
        <v/>
      </c>
    </row>
    <row r="268" spans="1:61" ht="15" customHeight="1">
      <c r="B268" s="171" t="b">
        <f>IF(TRIM(Angle_1!A23)="",FALSE,TRUE)</f>
        <v>0</v>
      </c>
      <c r="C268" s="165" t="str">
        <f>IF($B268=FALSE,"",VALUE(Angle_1!A23))</f>
        <v/>
      </c>
      <c r="D268" s="165" t="str">
        <f>IF($B268=FALSE,"",Angle_1!B23)</f>
        <v/>
      </c>
      <c r="E268" s="171" t="str">
        <f>IF(B268=FALSE,"",Angle_1!M23)</f>
        <v/>
      </c>
      <c r="F268" s="171" t="str">
        <f>IF(B268=FALSE,"",Angle_1!N23)</f>
        <v/>
      </c>
      <c r="G268" s="171" t="str">
        <f>IF(B268=FALSE,"",Angle_1!O23)</f>
        <v/>
      </c>
      <c r="H268" s="171" t="str">
        <f>IF(B268=FALSE,"",Angle_1!P23)</f>
        <v/>
      </c>
      <c r="I268" s="171" t="str">
        <f>IF(B268=FALSE,"",Angle_1!Q23)</f>
        <v/>
      </c>
      <c r="J268" s="165" t="str">
        <f t="shared" si="112"/>
        <v/>
      </c>
      <c r="K268" s="288" t="str">
        <f t="shared" si="113"/>
        <v/>
      </c>
      <c r="L268" s="179" t="str">
        <f t="shared" si="114"/>
        <v/>
      </c>
      <c r="M268" s="176" t="str">
        <f>IF(B268=FALSE,"",(Angle_1!E47+Angle_1!F47))</f>
        <v/>
      </c>
      <c r="N268" s="289" t="str">
        <f t="shared" si="115"/>
        <v/>
      </c>
      <c r="O268" s="290" t="str">
        <f t="shared" si="116"/>
        <v/>
      </c>
      <c r="P268" s="291" t="str">
        <f t="shared" si="117"/>
        <v/>
      </c>
      <c r="Q268" s="165" t="str">
        <f t="shared" si="118"/>
        <v/>
      </c>
      <c r="R268" s="165" t="str">
        <f t="shared" si="119"/>
        <v/>
      </c>
      <c r="S268" s="165" t="str">
        <f t="shared" si="120"/>
        <v/>
      </c>
      <c r="U268" s="165" t="e">
        <f ca="1">IF(Angle_1!J23&lt;0,ROUNDUP(Angle_1!J23,$K$282),ROUNDDOWN(Angle_1!J23,$K$282))</f>
        <v>#DIV/0!</v>
      </c>
      <c r="V268" s="165" t="e">
        <f ca="1">IF(Angle_1!K23&lt;0,ROUNDDOWN(Angle_1!K23,$K$282),ROUNDUP(Angle_1!K23,$K$282))</f>
        <v>#DIV/0!</v>
      </c>
      <c r="W268" s="165" t="str">
        <f t="shared" si="121"/>
        <v/>
      </c>
      <c r="X268" s="168" t="e">
        <f t="shared" ca="1" si="122"/>
        <v>#DIV/0!</v>
      </c>
      <c r="Y268" s="168" t="e">
        <f t="shared" ca="1" si="123"/>
        <v>#DIV/0!</v>
      </c>
      <c r="Z268" s="165" t="e">
        <f t="shared" ca="1" si="124"/>
        <v>#DIV/0!</v>
      </c>
      <c r="AA268" s="165" t="str">
        <f t="shared" si="125"/>
        <v/>
      </c>
      <c r="AB268" s="165" t="str">
        <f t="shared" si="126"/>
        <v/>
      </c>
      <c r="AC268" s="165" t="e">
        <f ca="1">TEXT(T$282,P$282)</f>
        <v>#DIV/0!</v>
      </c>
      <c r="AE268" s="171">
        <f>Angle_1!L47</f>
        <v>0</v>
      </c>
      <c r="AF268" s="171">
        <f>Angle_1!M47</f>
        <v>0</v>
      </c>
      <c r="AG268" s="171">
        <f>Angle_1!N47</f>
        <v>0</v>
      </c>
      <c r="AH268" s="171">
        <f>Angle_1!O47</f>
        <v>0</v>
      </c>
      <c r="AI268" s="171">
        <f>Angle_1!P47</f>
        <v>0</v>
      </c>
      <c r="AJ268" s="299">
        <f t="shared" si="128"/>
        <v>0</v>
      </c>
      <c r="AL268" s="165" t="str">
        <f t="shared" si="129"/>
        <v/>
      </c>
      <c r="AM268" s="165" t="str">
        <f t="shared" si="130"/>
        <v/>
      </c>
      <c r="AN268" s="165" t="str">
        <f t="shared" si="131"/>
        <v/>
      </c>
      <c r="AO268" s="165" t="str">
        <f t="shared" si="132"/>
        <v/>
      </c>
      <c r="AP268" s="165" t="str">
        <f t="shared" si="133"/>
        <v/>
      </c>
      <c r="AQ268" s="165" t="str">
        <f t="shared" si="134"/>
        <v/>
      </c>
      <c r="AR268" s="165" t="str">
        <f t="shared" si="135"/>
        <v/>
      </c>
      <c r="AS268" s="165" t="str">
        <f t="shared" si="136"/>
        <v/>
      </c>
      <c r="AT268" s="165" t="str">
        <f t="shared" si="137"/>
        <v/>
      </c>
      <c r="AU268" s="165" t="str">
        <f t="shared" si="138"/>
        <v/>
      </c>
      <c r="AV268" s="165" t="str">
        <f t="shared" si="139"/>
        <v/>
      </c>
      <c r="AW268" s="165" t="str">
        <f t="shared" si="140"/>
        <v/>
      </c>
      <c r="AX268" s="165" t="str">
        <f t="shared" si="141"/>
        <v/>
      </c>
      <c r="AY268" s="165" t="str">
        <f t="shared" si="142"/>
        <v/>
      </c>
      <c r="AZ268" s="165" t="str">
        <f t="shared" si="143"/>
        <v/>
      </c>
      <c r="BA268" s="165" t="str">
        <f t="shared" si="144"/>
        <v/>
      </c>
      <c r="BB268" s="165" t="str">
        <f t="shared" si="145"/>
        <v/>
      </c>
      <c r="BC268" s="165" t="str">
        <f t="shared" si="146"/>
        <v/>
      </c>
      <c r="BD268" s="165" t="str">
        <f t="shared" si="148"/>
        <v/>
      </c>
      <c r="BE268" s="165" t="str">
        <f t="shared" si="147"/>
        <v/>
      </c>
      <c r="BF268" s="165" t="str">
        <f t="shared" si="147"/>
        <v/>
      </c>
      <c r="BG268" s="165" t="str">
        <f t="shared" si="147"/>
        <v/>
      </c>
      <c r="BH268" s="165" t="str">
        <f t="shared" si="147"/>
        <v/>
      </c>
      <c r="BI268" s="165" t="str">
        <f t="shared" si="147"/>
        <v/>
      </c>
    </row>
    <row r="269" spans="1:61" ht="15" customHeight="1">
      <c r="N269" s="118"/>
      <c r="O269" s="118"/>
      <c r="P269" s="118"/>
      <c r="Q269" s="118"/>
      <c r="R269" s="118"/>
      <c r="S269" s="118"/>
      <c r="T269" s="118"/>
    </row>
    <row r="270" spans="1:61" ht="15" customHeight="1">
      <c r="A270" s="116" t="s">
        <v>554</v>
      </c>
      <c r="C270" s="117"/>
      <c r="D270" s="117"/>
      <c r="E270" s="122"/>
      <c r="F270" s="122"/>
      <c r="G270" s="122"/>
      <c r="H270" s="122"/>
      <c r="I270" s="122"/>
      <c r="J270" s="122"/>
      <c r="K270" s="122"/>
      <c r="L270" s="122"/>
      <c r="M270" s="122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  <c r="Z270" s="122"/>
      <c r="AA270" s="122"/>
      <c r="AB270" s="122"/>
    </row>
    <row r="271" spans="1:61" ht="15" customHeight="1">
      <c r="A271" s="116"/>
      <c r="B271" s="683"/>
      <c r="C271" s="683" t="s">
        <v>555</v>
      </c>
      <c r="D271" s="694" t="s">
        <v>556</v>
      </c>
      <c r="E271" s="683" t="s">
        <v>557</v>
      </c>
      <c r="F271" s="683" t="s">
        <v>558</v>
      </c>
      <c r="G271" s="666">
        <v>1</v>
      </c>
      <c r="H271" s="668"/>
      <c r="I271" s="668"/>
      <c r="J271" s="668"/>
      <c r="K271" s="668"/>
      <c r="L271" s="668"/>
      <c r="M271" s="667"/>
      <c r="N271" s="295">
        <v>2</v>
      </c>
      <c r="O271" s="365">
        <v>3</v>
      </c>
      <c r="P271" s="666">
        <v>4</v>
      </c>
      <c r="Q271" s="667"/>
      <c r="R271" s="295">
        <v>5</v>
      </c>
      <c r="S271" s="683" t="s">
        <v>560</v>
      </c>
      <c r="T271" s="683" t="s">
        <v>561</v>
      </c>
      <c r="U271" s="666" t="s">
        <v>1264</v>
      </c>
      <c r="V271" s="667"/>
      <c r="W271" s="122"/>
      <c r="X271" s="122"/>
      <c r="Y271" s="122"/>
    </row>
    <row r="272" spans="1:61" ht="15" customHeight="1">
      <c r="A272" s="116"/>
      <c r="B272" s="688"/>
      <c r="C272" s="688"/>
      <c r="D272" s="695"/>
      <c r="E272" s="688"/>
      <c r="F272" s="688"/>
      <c r="G272" s="296" t="s">
        <v>562</v>
      </c>
      <c r="H272" s="296" t="s">
        <v>563</v>
      </c>
      <c r="I272" s="296" t="s">
        <v>564</v>
      </c>
      <c r="J272" s="295" t="s">
        <v>565</v>
      </c>
      <c r="K272" s="295" t="s">
        <v>566</v>
      </c>
      <c r="L272" s="666" t="s">
        <v>560</v>
      </c>
      <c r="M272" s="667"/>
      <c r="N272" s="295" t="s">
        <v>567</v>
      </c>
      <c r="O272" s="365" t="s">
        <v>568</v>
      </c>
      <c r="P272" s="666" t="s">
        <v>569</v>
      </c>
      <c r="Q272" s="667"/>
      <c r="R272" s="295" t="s">
        <v>570</v>
      </c>
      <c r="S272" s="688"/>
      <c r="T272" s="684"/>
      <c r="U272" s="392" t="s">
        <v>189</v>
      </c>
      <c r="V272" s="392" t="s">
        <v>1265</v>
      </c>
      <c r="W272" s="122"/>
      <c r="X272" s="122"/>
      <c r="Y272" s="122"/>
    </row>
    <row r="273" spans="2:29" ht="15" customHeight="1">
      <c r="B273" s="295" t="s">
        <v>571</v>
      </c>
      <c r="C273" s="181" t="s">
        <v>572</v>
      </c>
      <c r="D273" s="182" t="s">
        <v>573</v>
      </c>
      <c r="E273" s="165" t="e">
        <f ca="1">OFFSET(M$248,MATCH(E$243,L$249:L$268,0),0)</f>
        <v>#N/A</v>
      </c>
      <c r="F273" s="183" t="s">
        <v>574</v>
      </c>
      <c r="G273" s="300">
        <f>MAX(AJ249:AJ268)</f>
        <v>0</v>
      </c>
      <c r="H273" s="165">
        <v>3600</v>
      </c>
      <c r="I273" s="301">
        <f>G273/H273</f>
        <v>0</v>
      </c>
      <c r="J273" s="166">
        <v>1</v>
      </c>
      <c r="K273" s="165">
        <v>2</v>
      </c>
      <c r="L273" s="302">
        <f>I273/J273/K273</f>
        <v>0</v>
      </c>
      <c r="M273" s="183" t="s">
        <v>574</v>
      </c>
      <c r="N273" s="184" t="s">
        <v>575</v>
      </c>
      <c r="O273" s="177">
        <v>1</v>
      </c>
      <c r="P273" s="303">
        <f>ABS(L273*O273)</f>
        <v>0</v>
      </c>
      <c r="Q273" s="183" t="s">
        <v>574</v>
      </c>
      <c r="R273" s="165" t="s">
        <v>576</v>
      </c>
      <c r="S273" s="302">
        <f t="shared" ref="S273:S278" si="149">P273</f>
        <v>0</v>
      </c>
      <c r="T273" s="189">
        <f>IF(R273="∞",0,S273^4/R273)</f>
        <v>0</v>
      </c>
      <c r="U273" s="303" t="str">
        <f>IF(OR(N273="직사각형",N273="삼각형"),S273,"")</f>
        <v/>
      </c>
      <c r="V273" s="303">
        <f>IF(OR(N273="직사각형",N273="삼각형"),"",S273)</f>
        <v>0</v>
      </c>
      <c r="W273" s="122"/>
      <c r="X273" s="122"/>
      <c r="Y273" s="122"/>
    </row>
    <row r="274" spans="2:29" ht="15" customHeight="1">
      <c r="B274" s="295" t="s">
        <v>577</v>
      </c>
      <c r="C274" s="181" t="s">
        <v>578</v>
      </c>
      <c r="D274" s="182" t="s">
        <v>579</v>
      </c>
      <c r="E274" s="165" t="e">
        <f ca="1">OFFSET(O$248,MATCH(E$243,L$249:L$268,0),0)</f>
        <v>#N/A</v>
      </c>
      <c r="F274" s="183" t="s">
        <v>580</v>
      </c>
      <c r="G274" s="165"/>
      <c r="H274" s="165"/>
      <c r="I274" s="288">
        <f>IF(MAX(K249:K268)=0,AB248,MAX(K249:K268))</f>
        <v>0</v>
      </c>
      <c r="J274" s="165">
        <f>IF(MAX(P249:P268)=0,2,1)</f>
        <v>2</v>
      </c>
      <c r="K274" s="186">
        <v>5</v>
      </c>
      <c r="L274" s="262">
        <f t="shared" ref="L274:L277" si="150">I274/(IF(J274="",1,J274)*SQRT(K274))</f>
        <v>0</v>
      </c>
      <c r="M274" s="183" t="s">
        <v>580</v>
      </c>
      <c r="N274" s="184" t="s">
        <v>581</v>
      </c>
      <c r="O274" s="177">
        <v>-1</v>
      </c>
      <c r="P274" s="303">
        <f>ABS(L274*O274)</f>
        <v>0</v>
      </c>
      <c r="Q274" s="183" t="s">
        <v>580</v>
      </c>
      <c r="R274" s="165">
        <v>4</v>
      </c>
      <c r="S274" s="302">
        <f t="shared" si="149"/>
        <v>0</v>
      </c>
      <c r="T274" s="189">
        <f>IF(R274="∞",0,S274^4/R274)</f>
        <v>0</v>
      </c>
      <c r="U274" s="303" t="str">
        <f>IF(OR(N274="직사각형",N274="삼각형"),S274,"")</f>
        <v/>
      </c>
      <c r="V274" s="303">
        <f>IF(OR(N274="직사각형",N274="삼각형"),"",S274)</f>
        <v>0</v>
      </c>
      <c r="W274" s="122"/>
      <c r="X274" s="122"/>
      <c r="Y274" s="122"/>
    </row>
    <row r="275" spans="2:29" ht="15" customHeight="1">
      <c r="B275" s="295" t="s">
        <v>582</v>
      </c>
      <c r="C275" s="181" t="s">
        <v>583</v>
      </c>
      <c r="D275" s="182" t="s">
        <v>584</v>
      </c>
      <c r="E275" s="165">
        <v>0</v>
      </c>
      <c r="F275" s="183" t="s">
        <v>580</v>
      </c>
      <c r="G275" s="165">
        <f>H243</f>
        <v>0</v>
      </c>
      <c r="H275" s="178">
        <f>I243</f>
        <v>0</v>
      </c>
      <c r="I275" s="288" t="e">
        <f>G275/IF(H275="˝",3600,IF(H275="´",60,IF(H275="˚",1,0)))</f>
        <v>#DIV/0!</v>
      </c>
      <c r="J275" s="165">
        <v>2</v>
      </c>
      <c r="K275" s="186">
        <v>3</v>
      </c>
      <c r="L275" s="262" t="e">
        <f t="shared" si="150"/>
        <v>#DIV/0!</v>
      </c>
      <c r="M275" s="183" t="s">
        <v>580</v>
      </c>
      <c r="N275" s="184" t="s">
        <v>585</v>
      </c>
      <c r="O275" s="177">
        <v>1</v>
      </c>
      <c r="P275" s="303" t="e">
        <f>ABS(L275*O275)</f>
        <v>#DIV/0!</v>
      </c>
      <c r="Q275" s="183" t="s">
        <v>580</v>
      </c>
      <c r="R275" s="165" t="s">
        <v>586</v>
      </c>
      <c r="S275" s="302" t="e">
        <f t="shared" si="149"/>
        <v>#DIV/0!</v>
      </c>
      <c r="T275" s="189">
        <f>IF(R275="∞",0,S275^4/R275)</f>
        <v>0</v>
      </c>
      <c r="U275" s="303" t="e">
        <f>IF(OR(N275="직사각형",N275="삼각형"),S275,"")</f>
        <v>#DIV/0!</v>
      </c>
      <c r="V275" s="303" t="str">
        <f>IF(OR(N275="직사각형",N275="삼각형"),"",S275)</f>
        <v/>
      </c>
      <c r="W275" s="122"/>
      <c r="X275" s="122"/>
      <c r="Y275" s="122"/>
    </row>
    <row r="276" spans="2:29" ht="15" customHeight="1">
      <c r="B276" s="295" t="s">
        <v>587</v>
      </c>
      <c r="C276" s="181" t="s">
        <v>588</v>
      </c>
      <c r="D276" s="182" t="s">
        <v>589</v>
      </c>
      <c r="E276" s="165">
        <v>0</v>
      </c>
      <c r="F276" s="183" t="s">
        <v>590</v>
      </c>
      <c r="G276" s="165">
        <v>0.1</v>
      </c>
      <c r="H276" s="165" t="e">
        <f ca="1">OFFSET(Angle_1!D27,MATCH(E243,L249:L268,0),0)</f>
        <v>#N/A</v>
      </c>
      <c r="I276" s="266" t="e">
        <f ca="1">DEGREES(ATAN(G276/H276))</f>
        <v>#N/A</v>
      </c>
      <c r="J276" s="165">
        <v>2</v>
      </c>
      <c r="K276" s="186">
        <v>3</v>
      </c>
      <c r="L276" s="262" t="e">
        <f t="shared" ca="1" si="150"/>
        <v>#N/A</v>
      </c>
      <c r="M276" s="183" t="s">
        <v>574</v>
      </c>
      <c r="N276" s="184" t="s">
        <v>559</v>
      </c>
      <c r="O276" s="177">
        <v>1</v>
      </c>
      <c r="P276" s="303" t="e">
        <f ca="1">ABS(L276*O276)</f>
        <v>#N/A</v>
      </c>
      <c r="Q276" s="183" t="s">
        <v>574</v>
      </c>
      <c r="R276" s="165">
        <v>12</v>
      </c>
      <c r="S276" s="302" t="e">
        <f t="shared" ca="1" si="149"/>
        <v>#N/A</v>
      </c>
      <c r="T276" s="189" t="e">
        <f ca="1">IF(R276="∞",0,S276^4/R276)</f>
        <v>#N/A</v>
      </c>
      <c r="U276" s="303" t="e">
        <f ca="1">IF(OR(N276="직사각형",N276="삼각형"),S276,"")</f>
        <v>#N/A</v>
      </c>
      <c r="V276" s="303" t="str">
        <f>IF(OR(N276="직사각형",N276="삼각형"),"",S276)</f>
        <v/>
      </c>
      <c r="W276" s="122"/>
      <c r="X276" s="122"/>
      <c r="Y276" s="122"/>
    </row>
    <row r="277" spans="2:29" ht="15" customHeight="1">
      <c r="B277" s="295" t="s">
        <v>591</v>
      </c>
      <c r="C277" s="181" t="s">
        <v>592</v>
      </c>
      <c r="D277" s="182" t="s">
        <v>593</v>
      </c>
      <c r="E277" s="165">
        <v>0</v>
      </c>
      <c r="F277" s="183" t="s">
        <v>590</v>
      </c>
      <c r="G277" s="165">
        <v>5.0000000000000001E-3</v>
      </c>
      <c r="H277" s="165" t="e">
        <f ca="1">H276</f>
        <v>#N/A</v>
      </c>
      <c r="I277" s="266" t="e">
        <f ca="1">DEGREES(ATAN(G277/H277))</f>
        <v>#N/A</v>
      </c>
      <c r="J277" s="166"/>
      <c r="K277" s="186">
        <v>3</v>
      </c>
      <c r="L277" s="262" t="e">
        <f t="shared" ca="1" si="150"/>
        <v>#N/A</v>
      </c>
      <c r="M277" s="183" t="s">
        <v>574</v>
      </c>
      <c r="N277" s="184" t="s">
        <v>585</v>
      </c>
      <c r="O277" s="177">
        <v>1</v>
      </c>
      <c r="P277" s="303" t="e">
        <f ca="1">ABS(L277*O277)</f>
        <v>#N/A</v>
      </c>
      <c r="Q277" s="183" t="s">
        <v>574</v>
      </c>
      <c r="R277" s="165">
        <v>12</v>
      </c>
      <c r="S277" s="302" t="e">
        <f t="shared" ca="1" si="149"/>
        <v>#N/A</v>
      </c>
      <c r="T277" s="189" t="e">
        <f ca="1">IF(R277="∞",0,S277^4/R277)</f>
        <v>#N/A</v>
      </c>
      <c r="U277" s="303" t="e">
        <f ca="1">IF(OR(N277="직사각형",N277="삼각형"),S277,"")</f>
        <v>#N/A</v>
      </c>
      <c r="V277" s="303" t="str">
        <f>IF(OR(N277="직사각형",N277="삼각형"),"",S277)</f>
        <v/>
      </c>
      <c r="W277" s="122"/>
      <c r="X277" s="122"/>
      <c r="Y277" s="122"/>
    </row>
    <row r="278" spans="2:29" ht="15" customHeight="1">
      <c r="B278" s="295" t="s">
        <v>594</v>
      </c>
      <c r="C278" s="181" t="s">
        <v>595</v>
      </c>
      <c r="D278" s="182" t="s">
        <v>596</v>
      </c>
      <c r="E278" s="175" t="e">
        <f ca="1">OFFSET(P$248,MATCH(E$243,L$249:L$268,0),0)</f>
        <v>#N/A</v>
      </c>
      <c r="F278" s="183" t="s">
        <v>574</v>
      </c>
      <c r="G278" s="216"/>
      <c r="H278" s="216"/>
      <c r="I278" s="217"/>
      <c r="J278" s="216"/>
      <c r="K278" s="216"/>
      <c r="L278" s="216"/>
      <c r="M278" s="216"/>
      <c r="N278" s="216"/>
      <c r="O278" s="216"/>
      <c r="P278" s="304" t="e">
        <f>SQRT(SUMSQ(P273:P277))</f>
        <v>#DIV/0!</v>
      </c>
      <c r="Q278" s="183" t="s">
        <v>574</v>
      </c>
      <c r="R278" s="179" t="e">
        <f ca="1">IF(T278=0,"∞",ROUNDDOWN(S278^4/T278,0))</f>
        <v>#N/A</v>
      </c>
      <c r="S278" s="219" t="e">
        <f t="shared" si="149"/>
        <v>#DIV/0!</v>
      </c>
      <c r="T278" s="394" t="e">
        <f ca="1">SUM(T273:T277)</f>
        <v>#N/A</v>
      </c>
      <c r="U278" s="267" t="e">
        <f>SQRT(SUMSQ(U273:U277))</f>
        <v>#DIV/0!</v>
      </c>
      <c r="V278" s="219">
        <f>SQRT(SUMSQ(V273:V277))</f>
        <v>0</v>
      </c>
      <c r="W278" s="122"/>
      <c r="X278" s="122"/>
      <c r="Y278" s="122"/>
    </row>
    <row r="279" spans="2:29" ht="15" customHeight="1">
      <c r="L279" s="122"/>
      <c r="U279" s="122"/>
      <c r="V279" s="122"/>
      <c r="W279" s="122"/>
      <c r="X279" s="122"/>
      <c r="Y279" s="122"/>
      <c r="AC279" s="122"/>
    </row>
    <row r="280" spans="2:29" ht="15" customHeight="1">
      <c r="B280" s="298"/>
      <c r="C280" s="666" t="s">
        <v>600</v>
      </c>
      <c r="D280" s="668"/>
      <c r="E280" s="668"/>
      <c r="F280" s="668"/>
      <c r="G280" s="667"/>
      <c r="H280" s="666" t="s">
        <v>601</v>
      </c>
      <c r="I280" s="667"/>
      <c r="J280" s="305" t="s">
        <v>639</v>
      </c>
      <c r="K280" s="666" t="s">
        <v>267</v>
      </c>
      <c r="L280" s="668"/>
      <c r="M280" s="667"/>
      <c r="N280" s="666" t="s">
        <v>602</v>
      </c>
      <c r="O280" s="667"/>
      <c r="P280" s="666" t="s">
        <v>603</v>
      </c>
      <c r="Q280" s="668"/>
      <c r="R280" s="668"/>
      <c r="S280" s="683" t="s">
        <v>1269</v>
      </c>
      <c r="T280" s="666" t="s">
        <v>1270</v>
      </c>
      <c r="U280" s="667"/>
      <c r="W280" s="122"/>
    </row>
    <row r="281" spans="2:29" ht="15" customHeight="1">
      <c r="B281" s="298"/>
      <c r="C281" s="298">
        <v>1</v>
      </c>
      <c r="D281" s="298">
        <v>2</v>
      </c>
      <c r="E281" s="298" t="s">
        <v>558</v>
      </c>
      <c r="F281" s="298" t="s">
        <v>605</v>
      </c>
      <c r="G281" s="298" t="s">
        <v>606</v>
      </c>
      <c r="H281" s="298" t="s">
        <v>574</v>
      </c>
      <c r="I281" s="298" t="s">
        <v>364</v>
      </c>
      <c r="J281" s="305">
        <f>I243</f>
        <v>0</v>
      </c>
      <c r="K281" s="295" t="s">
        <v>607</v>
      </c>
      <c r="L281" s="295" t="s">
        <v>608</v>
      </c>
      <c r="M281" s="305" t="s">
        <v>640</v>
      </c>
      <c r="N281" s="298" t="s">
        <v>574</v>
      </c>
      <c r="O281" s="298" t="s">
        <v>364</v>
      </c>
      <c r="P281" s="295" t="s">
        <v>609</v>
      </c>
      <c r="Q281" s="295" t="s">
        <v>610</v>
      </c>
      <c r="R281" s="295" t="s">
        <v>611</v>
      </c>
      <c r="S281" s="688"/>
      <c r="T281" s="398" t="str">
        <f>H281</f>
        <v>˚</v>
      </c>
      <c r="U281" s="398" t="str">
        <f>I281</f>
        <v>´</v>
      </c>
      <c r="W281" s="122"/>
    </row>
    <row r="282" spans="2:29" ht="15" customHeight="1">
      <c r="B282" s="298" t="s">
        <v>600</v>
      </c>
      <c r="C282" s="124" t="e">
        <f ca="1">P278*E293</f>
        <v>#DIV/0!</v>
      </c>
      <c r="D282" s="124"/>
      <c r="E282" s="126" t="str">
        <f>Q278</f>
        <v>˚</v>
      </c>
      <c r="F282" s="126" t="e">
        <f ca="1">C282</f>
        <v>#DIV/0!</v>
      </c>
      <c r="G282" s="274" t="e">
        <f ca="1">F282*60</f>
        <v>#DIV/0!</v>
      </c>
      <c r="H282" s="130" t="e">
        <f ca="1">MAX(F282:F283)</f>
        <v>#DIV/0!</v>
      </c>
      <c r="I282" s="130" t="e">
        <f ca="1">MAX(G282:G283)</f>
        <v>#DIV/0!</v>
      </c>
      <c r="J282" s="123">
        <f>H243</f>
        <v>0</v>
      </c>
      <c r="K282" s="123" t="e">
        <f ca="1">IF(H282&lt;0.00001,6,IF(H282&lt;0.0001,5,IF(H282&lt;0.001,4,IF(H282&lt;0.01,3,IF(H282&lt;0.1,2,IF(H282&lt;1,1,IF(H282&lt;10,0,IF(H282&lt;100,-1,-2))))))))+K283</f>
        <v>#DIV/0!</v>
      </c>
      <c r="L282" s="123" t="e">
        <f ca="1">IF(I282&lt;0.00001,6,IF(I282&lt;0.0001,5,IF(I282&lt;0.001,4,IF(I282&lt;0.01,3,IF(I282&lt;0.1,2,IF(I282&lt;1,1,IF(I282&lt;10,0,IF(I282&lt;100,-1,-2))))))))+K283</f>
        <v>#DIV/0!</v>
      </c>
      <c r="M282" s="123">
        <f>IF(J282&lt;0.00001,6,IF(J282&lt;0.0001,5,IF(J282&lt;0.001,4,IF(J282&lt;0.01,3,IF(J282&lt;0.1,2,IF(J282&lt;1,1,IF(J282&lt;10,0,IF(J282&lt;100,-1,-2))))))))</f>
        <v>6</v>
      </c>
      <c r="N282" s="155" t="e">
        <f ca="1">ABS((H282-ROUND(H282,K282))/H282*100)</f>
        <v>#DIV/0!</v>
      </c>
      <c r="O282" s="155" t="e">
        <f ca="1">ABS((I282-ROUND(I282,L282))/I282*100)</f>
        <v>#DIV/0!</v>
      </c>
      <c r="P282" s="165" t="e">
        <f ca="1">OFFSET(Q286,MATCH(K282,P287:P296,0),0)</f>
        <v>#DIV/0!</v>
      </c>
      <c r="Q282" s="165" t="e">
        <f ca="1">OFFSET(Q286,MATCH(L282,P287:P296,0),0)</f>
        <v>#DIV/0!</v>
      </c>
      <c r="R282" s="165" t="str">
        <f ca="1">OFFSET(Q286,MATCH(M282,P287:P296,0),0)</f>
        <v>0.000 000</v>
      </c>
      <c r="S282" s="127">
        <f ca="1">IFERROR(IF(G282=H282,0,1),0)</f>
        <v>0</v>
      </c>
      <c r="T282" s="132" t="e">
        <f ca="1">IF(N282&gt;5,ROUNDUP(H282,K282),ROUND(H282,K282))</f>
        <v>#DIV/0!</v>
      </c>
      <c r="U282" s="132" t="e">
        <f ca="1">TEXT(IF(O282&gt;5,ROUNDUP(I282,L282),ROUND(I282,L282)),Q282)</f>
        <v>#DIV/0!</v>
      </c>
      <c r="W282" s="122"/>
    </row>
    <row r="283" spans="2:29" ht="15" customHeight="1">
      <c r="B283" s="298" t="s">
        <v>617</v>
      </c>
      <c r="C283" s="125" t="e">
        <f ca="1">J243</f>
        <v>#N/A</v>
      </c>
      <c r="D283" s="126"/>
      <c r="E283" s="126" t="e">
        <f ca="1">L243</f>
        <v>#N/A</v>
      </c>
      <c r="F283" s="126" t="e">
        <f ca="1">C283/IF(E283="˚",1,IF(E283="´",60,3600))</f>
        <v>#N/A</v>
      </c>
      <c r="G283" s="274" t="e">
        <f ca="1">F283*60</f>
        <v>#N/A</v>
      </c>
      <c r="J283" s="388" t="s">
        <v>1262</v>
      </c>
      <c r="K283" s="165">
        <f>IF(O283=TRUE,1,기본정보!$A$47)</f>
        <v>1</v>
      </c>
      <c r="L283" s="388" t="s">
        <v>1263</v>
      </c>
      <c r="M283" s="165" t="b">
        <f>IF(O283=TRUE,FALSE,기본정보!$A$52)</f>
        <v>0</v>
      </c>
      <c r="N283" s="388" t="s">
        <v>1261</v>
      </c>
      <c r="O283" s="165" t="b">
        <f>기본정보!$A$46=0</f>
        <v>1</v>
      </c>
      <c r="Q283" s="122"/>
      <c r="S283" s="119"/>
      <c r="T283" s="119"/>
      <c r="U283" s="119"/>
      <c r="W283" s="122"/>
    </row>
    <row r="284" spans="2:29" ht="15" customHeight="1">
      <c r="B284" s="120"/>
      <c r="C284" s="120"/>
      <c r="D284" s="120"/>
      <c r="Q284" s="119"/>
      <c r="R284" s="119"/>
      <c r="S284" s="119"/>
      <c r="T284" s="119"/>
      <c r="U284" s="119"/>
      <c r="V284" s="122"/>
    </row>
    <row r="285" spans="2:29" ht="15" customHeight="1">
      <c r="B285" s="128" t="s">
        <v>597</v>
      </c>
      <c r="C285" s="120"/>
      <c r="D285" s="120"/>
      <c r="F285" s="119"/>
      <c r="G285" s="119"/>
      <c r="H285" s="119"/>
      <c r="I285" s="181" t="s">
        <v>53</v>
      </c>
      <c r="J285" s="181" t="s">
        <v>618</v>
      </c>
      <c r="L285" s="119"/>
      <c r="M285" s="119"/>
      <c r="N285" s="119"/>
      <c r="O285" s="119"/>
      <c r="P285" s="292" t="s">
        <v>619</v>
      </c>
      <c r="Q285" s="292" t="s">
        <v>620</v>
      </c>
      <c r="R285" s="119"/>
      <c r="S285" s="119"/>
      <c r="T285" s="119"/>
      <c r="U285" s="119"/>
    </row>
    <row r="286" spans="2:29" ht="15" customHeight="1">
      <c r="B286" s="660" t="s">
        <v>1266</v>
      </c>
      <c r="C286" s="662"/>
      <c r="D286" s="683" t="s">
        <v>1271</v>
      </c>
      <c r="E286" s="392" t="s">
        <v>189</v>
      </c>
      <c r="F286" s="392" t="s">
        <v>290</v>
      </c>
      <c r="G286" s="392" t="s">
        <v>1272</v>
      </c>
      <c r="H286" s="119"/>
      <c r="I286" s="181"/>
      <c r="J286" s="181">
        <v>95.45</v>
      </c>
      <c r="L286" s="119"/>
      <c r="M286" s="119"/>
      <c r="N286" s="119"/>
      <c r="O286" s="119"/>
      <c r="P286" s="294" t="s">
        <v>621</v>
      </c>
      <c r="Q286" s="294" t="s">
        <v>622</v>
      </c>
      <c r="R286" s="119"/>
      <c r="S286" s="119"/>
      <c r="T286" s="119"/>
      <c r="U286" s="119"/>
    </row>
    <row r="287" spans="2:29" ht="15" customHeight="1">
      <c r="B287" s="393" t="s">
        <v>1267</v>
      </c>
      <c r="C287" s="395" t="s">
        <v>1268</v>
      </c>
      <c r="D287" s="688"/>
      <c r="E287" s="391" t="e">
        <f>U278</f>
        <v>#DIV/0!</v>
      </c>
      <c r="F287" s="391">
        <f>V278</f>
        <v>0</v>
      </c>
      <c r="G287" s="233" t="e">
        <f>F287/E287</f>
        <v>#DIV/0!</v>
      </c>
      <c r="H287" s="119"/>
      <c r="I287" s="165">
        <v>1</v>
      </c>
      <c r="J287" s="165">
        <v>13.97</v>
      </c>
      <c r="L287" s="119"/>
      <c r="M287" s="119"/>
      <c r="N287" s="119"/>
      <c r="O287" s="119"/>
      <c r="P287" s="190">
        <v>0</v>
      </c>
      <c r="Q287" s="191" t="s">
        <v>623</v>
      </c>
      <c r="R287" s="119"/>
      <c r="S287" s="119"/>
      <c r="T287" s="119"/>
      <c r="U287" s="119"/>
    </row>
    <row r="288" spans="2:29" ht="15" customHeight="1">
      <c r="B288" s="165">
        <v>1</v>
      </c>
      <c r="C288" s="185">
        <f>IFERROR(LARGE(U273:U277,B288),0)</f>
        <v>0</v>
      </c>
      <c r="D288" s="295" t="s">
        <v>599</v>
      </c>
      <c r="E288" s="696">
        <f>SQRT(SUMSQ(C290:C295,D288:D289))</f>
        <v>0</v>
      </c>
      <c r="F288" s="697"/>
      <c r="G288" s="692" t="e">
        <f>E288/SQRT(SUMSQ(E289,F289))</f>
        <v>#DIV/0!</v>
      </c>
      <c r="H288" s="119"/>
      <c r="I288" s="165">
        <v>2</v>
      </c>
      <c r="J288" s="165">
        <v>4.53</v>
      </c>
      <c r="L288" s="119"/>
      <c r="M288" s="122"/>
      <c r="N288" s="119"/>
      <c r="O288" s="119"/>
      <c r="P288" s="190">
        <v>1</v>
      </c>
      <c r="Q288" s="191" t="s">
        <v>624</v>
      </c>
      <c r="R288" s="119"/>
      <c r="S288" s="119"/>
      <c r="T288" s="119"/>
      <c r="U288" s="119"/>
    </row>
    <row r="289" spans="2:27" ht="15" customHeight="1">
      <c r="B289" s="165">
        <v>2</v>
      </c>
      <c r="C289" s="185">
        <f>IFERROR(LARGE(U273:U277,B289),0)</f>
        <v>0</v>
      </c>
      <c r="D289" s="295" t="s">
        <v>604</v>
      </c>
      <c r="E289" s="297">
        <f>C288</f>
        <v>0</v>
      </c>
      <c r="F289" s="297">
        <f>C289</f>
        <v>0</v>
      </c>
      <c r="G289" s="693"/>
      <c r="I289" s="165">
        <v>3</v>
      </c>
      <c r="J289" s="165">
        <v>3.31</v>
      </c>
      <c r="P289" s="190">
        <v>2</v>
      </c>
      <c r="Q289" s="191" t="s">
        <v>625</v>
      </c>
      <c r="R289" s="119"/>
      <c r="S289" s="119"/>
      <c r="T289" s="119"/>
      <c r="U289" s="119"/>
      <c r="V289" s="122"/>
    </row>
    <row r="290" spans="2:27" ht="15" customHeight="1">
      <c r="B290" s="165">
        <v>3</v>
      </c>
      <c r="C290" s="185">
        <f>IFERROR(LARGE(U273:U277,B290),0)</f>
        <v>0</v>
      </c>
      <c r="D290" s="683" t="s">
        <v>598</v>
      </c>
      <c r="E290" s="164" t="s">
        <v>613</v>
      </c>
      <c r="F290" s="164" t="s">
        <v>614</v>
      </c>
      <c r="G290" s="164" t="s">
        <v>615</v>
      </c>
      <c r="I290" s="165">
        <v>4</v>
      </c>
      <c r="J290" s="165">
        <v>2.87</v>
      </c>
      <c r="P290" s="190">
        <v>3</v>
      </c>
      <c r="Q290" s="191" t="s">
        <v>626</v>
      </c>
      <c r="R290" s="119"/>
      <c r="S290" s="119"/>
      <c r="T290" s="119"/>
      <c r="U290" s="119"/>
      <c r="V290" s="122"/>
    </row>
    <row r="291" spans="2:27" ht="15" customHeight="1">
      <c r="B291" s="165">
        <v>4</v>
      </c>
      <c r="C291" s="185">
        <f>IFERROR(LARGE(U273:U277,B291),0)</f>
        <v>0</v>
      </c>
      <c r="D291" s="688"/>
      <c r="E291" s="265" t="e">
        <f ca="1">OFFSET(I272,MATCH(E289,U273:U277,0),0)/IF(OFFSET(J272,MATCH(E289,U273:U277,0),0)="",1,OFFSET(J272,MATCH(E289,U273:U277,0),0))</f>
        <v>#N/A</v>
      </c>
      <c r="F291" s="265" t="e">
        <f ca="1">OFFSET(I272,MATCH(F289,U273:U277,0),0)/IF(OFFSET(J272,MATCH(F289,U273:U277,0),0)="",1,OFFSET(J272,MATCH(F289,U273:U277,0),0))</f>
        <v>#N/A</v>
      </c>
      <c r="G291" s="297" t="e">
        <f ca="1">ABS(E291-F291)/(E291+F291)</f>
        <v>#N/A</v>
      </c>
      <c r="I291" s="165">
        <v>5</v>
      </c>
      <c r="J291" s="165">
        <v>2.65</v>
      </c>
      <c r="P291" s="190">
        <v>4</v>
      </c>
      <c r="Q291" s="191" t="s">
        <v>627</v>
      </c>
      <c r="R291" s="119"/>
      <c r="S291" s="119"/>
      <c r="T291" s="119"/>
      <c r="U291" s="119"/>
      <c r="V291" s="122"/>
    </row>
    <row r="292" spans="2:27" ht="15" customHeight="1">
      <c r="B292" s="165">
        <v>5</v>
      </c>
      <c r="C292" s="185">
        <f>IFERROR(LARGE(U273:U277,B292),0)</f>
        <v>0</v>
      </c>
      <c r="D292" s="295" t="s">
        <v>612</v>
      </c>
      <c r="E292" s="154" t="e">
        <f>IF(AND(G287&lt;0.3,G288&lt;0.3),"사다리꼴","정규")</f>
        <v>#DIV/0!</v>
      </c>
      <c r="F292" s="119"/>
      <c r="I292" s="165">
        <v>6</v>
      </c>
      <c r="J292" s="165">
        <v>2.52</v>
      </c>
      <c r="P292" s="190">
        <v>5</v>
      </c>
      <c r="Q292" s="191" t="s">
        <v>628</v>
      </c>
      <c r="R292" s="119"/>
      <c r="S292" s="119"/>
      <c r="T292" s="119"/>
      <c r="U292" s="119"/>
      <c r="V292" s="122"/>
    </row>
    <row r="293" spans="2:27" ht="15" customHeight="1">
      <c r="B293" s="165"/>
      <c r="C293" s="185"/>
      <c r="D293" s="295" t="s">
        <v>616</v>
      </c>
      <c r="E293" s="165" t="e">
        <f ca="1">IF(E292="정규",IF(OR(R278="∞",R278&gt;=10),2,OFFSET(J286,MATCH(R278,I287:I296,0),0)),ROUND((1-SQRT((1-0.95)*(1-G291^2)))/SQRT((1+G291^2)/6),2))</f>
        <v>#DIV/0!</v>
      </c>
      <c r="F293" s="119"/>
      <c r="I293" s="165">
        <v>7</v>
      </c>
      <c r="J293" s="165">
        <v>2.4300000000000002</v>
      </c>
      <c r="P293" s="190">
        <v>6</v>
      </c>
      <c r="Q293" s="191" t="s">
        <v>629</v>
      </c>
      <c r="R293" s="119"/>
      <c r="S293" s="119"/>
      <c r="T293" s="119"/>
      <c r="U293" s="119"/>
      <c r="V293" s="122"/>
    </row>
    <row r="294" spans="2:27" ht="15" customHeight="1">
      <c r="B294" s="165"/>
      <c r="C294" s="185"/>
      <c r="E294" s="121"/>
      <c r="F294" s="119"/>
      <c r="I294" s="165">
        <v>8</v>
      </c>
      <c r="J294" s="165">
        <v>2.37</v>
      </c>
      <c r="P294" s="190">
        <v>7</v>
      </c>
      <c r="Q294" s="191" t="s">
        <v>630</v>
      </c>
      <c r="R294" s="119"/>
      <c r="S294" s="119"/>
      <c r="T294" s="119"/>
      <c r="U294" s="119"/>
      <c r="V294" s="122"/>
    </row>
    <row r="295" spans="2:27" ht="15" customHeight="1">
      <c r="B295" s="165"/>
      <c r="C295" s="185"/>
      <c r="E295" s="121"/>
      <c r="I295" s="165">
        <v>9</v>
      </c>
      <c r="J295" s="165">
        <v>2.3199999999999998</v>
      </c>
      <c r="P295" s="190">
        <v>8</v>
      </c>
      <c r="Q295" s="191" t="s">
        <v>631</v>
      </c>
      <c r="R295" s="119"/>
      <c r="S295" s="119"/>
      <c r="T295" s="119"/>
      <c r="U295" s="119"/>
      <c r="V295" s="122"/>
    </row>
    <row r="296" spans="2:27" ht="15" customHeight="1">
      <c r="B296" s="120"/>
      <c r="C296" s="120"/>
      <c r="E296" s="121"/>
      <c r="I296" s="165" t="s">
        <v>54</v>
      </c>
      <c r="J296" s="165">
        <v>2</v>
      </c>
      <c r="P296" s="190">
        <v>9</v>
      </c>
      <c r="Q296" s="191" t="s">
        <v>632</v>
      </c>
      <c r="R296" s="119"/>
      <c r="S296" s="119"/>
      <c r="T296" s="119"/>
      <c r="U296" s="119"/>
      <c r="V296" s="122"/>
    </row>
    <row r="297" spans="2:27" ht="18" customHeight="1">
      <c r="B297" s="120"/>
      <c r="C297" s="120"/>
      <c r="E297" s="121"/>
      <c r="Q297" s="119"/>
      <c r="R297" s="119"/>
      <c r="S297" s="119"/>
      <c r="T297" s="119"/>
      <c r="U297" s="119"/>
    </row>
    <row r="298" spans="2:27" ht="15" customHeight="1">
      <c r="B298" s="148" t="s">
        <v>275</v>
      </c>
      <c r="C298" s="149"/>
      <c r="D298" s="149"/>
      <c r="E298" s="149"/>
      <c r="F298" s="149"/>
      <c r="G298" s="149"/>
      <c r="H298" s="149"/>
      <c r="I298" s="149"/>
      <c r="J298" s="149"/>
      <c r="K298" s="149"/>
      <c r="L298" s="149"/>
      <c r="M298" s="149"/>
      <c r="N298" s="149"/>
      <c r="O298" s="149"/>
      <c r="P298" s="149"/>
      <c r="Q298" s="149"/>
      <c r="R298" s="149"/>
      <c r="AA298" s="122"/>
    </row>
    <row r="299" spans="2:27" ht="15" customHeight="1">
      <c r="B299" s="149"/>
      <c r="C299" s="689" t="s">
        <v>199</v>
      </c>
      <c r="D299" s="690"/>
      <c r="E299" s="114" t="s">
        <v>276</v>
      </c>
      <c r="F299" s="114" t="s">
        <v>200</v>
      </c>
      <c r="G299" s="114" t="s">
        <v>201</v>
      </c>
      <c r="H299" s="149"/>
      <c r="I299" s="114" t="s">
        <v>342</v>
      </c>
      <c r="J299" s="114" t="s">
        <v>342</v>
      </c>
      <c r="K299" s="114" t="s">
        <v>200</v>
      </c>
      <c r="L299" s="156" t="s">
        <v>277</v>
      </c>
      <c r="M299" s="156" t="s">
        <v>509</v>
      </c>
      <c r="N299" s="156" t="s">
        <v>510</v>
      </c>
      <c r="O299" s="114" t="s">
        <v>200</v>
      </c>
      <c r="P299" s="156" t="s">
        <v>201</v>
      </c>
      <c r="Q299" s="114" t="s">
        <v>278</v>
      </c>
      <c r="R299" s="114" t="s">
        <v>279</v>
      </c>
      <c r="AA299" s="122"/>
    </row>
    <row r="300" spans="2:27" ht="15" customHeight="1">
      <c r="B300" s="149"/>
      <c r="C300" s="150" t="s">
        <v>498</v>
      </c>
      <c r="D300" s="156" t="s">
        <v>503</v>
      </c>
      <c r="E300" s="156">
        <v>5</v>
      </c>
      <c r="F300" s="157">
        <v>50300</v>
      </c>
      <c r="G300" s="194" t="s">
        <v>338</v>
      </c>
      <c r="H300" s="149"/>
      <c r="I300" s="114" t="s">
        <v>343</v>
      </c>
      <c r="J300" s="114" t="b">
        <f>B10</f>
        <v>0</v>
      </c>
      <c r="K300" s="671">
        <f>IF(OR(J300=TRUE,J301=TRUE,J302=TRUE),F300,0)</f>
        <v>0</v>
      </c>
      <c r="L300" s="674" t="b">
        <f>H4="inch"</f>
        <v>0</v>
      </c>
      <c r="M300" s="114">
        <f>COUNTIF(B10:B29,TRUE)</f>
        <v>0</v>
      </c>
      <c r="N300" s="114">
        <f>MAX(M300-E300,0)</f>
        <v>0</v>
      </c>
      <c r="O300" s="677">
        <f>K300*IF(L300=TRUE,1.8,1)</f>
        <v>0</v>
      </c>
      <c r="P300" s="158">
        <f>N300*O300*10%</f>
        <v>0</v>
      </c>
      <c r="Q300" s="159">
        <f>O300+P300</f>
        <v>0</v>
      </c>
      <c r="R300" s="680">
        <f>SUM(Q300:Q304)</f>
        <v>0</v>
      </c>
      <c r="AA300" s="122"/>
    </row>
    <row r="301" spans="2:27" ht="15" customHeight="1">
      <c r="B301" s="149"/>
      <c r="C301" s="150" t="s">
        <v>499</v>
      </c>
      <c r="D301" s="156" t="s">
        <v>504</v>
      </c>
      <c r="E301" s="156">
        <v>5</v>
      </c>
      <c r="F301" s="157">
        <v>50300</v>
      </c>
      <c r="G301" s="195" t="s">
        <v>339</v>
      </c>
      <c r="H301" s="149"/>
      <c r="I301" s="114" t="s">
        <v>344</v>
      </c>
      <c r="J301" s="114" t="b">
        <f>B72</f>
        <v>0</v>
      </c>
      <c r="K301" s="672"/>
      <c r="L301" s="675"/>
      <c r="M301" s="114">
        <f>COUNTIF(B72:B91,TRUE)</f>
        <v>0</v>
      </c>
      <c r="N301" s="114">
        <f>MAX(M301-E301,0)</f>
        <v>0</v>
      </c>
      <c r="O301" s="678"/>
      <c r="P301" s="158">
        <f>N301*O300*10%</f>
        <v>0</v>
      </c>
      <c r="Q301" s="159">
        <f>O300+P301</f>
        <v>0</v>
      </c>
      <c r="R301" s="681"/>
      <c r="AA301" s="122"/>
    </row>
    <row r="302" spans="2:27" ht="15" customHeight="1">
      <c r="B302" s="149"/>
      <c r="C302" s="150" t="s">
        <v>500</v>
      </c>
      <c r="D302" s="156" t="s">
        <v>505</v>
      </c>
      <c r="E302" s="156">
        <v>1</v>
      </c>
      <c r="F302" s="157">
        <v>50300</v>
      </c>
      <c r="G302" s="195" t="s">
        <v>340</v>
      </c>
      <c r="H302" s="149"/>
      <c r="I302" s="114" t="s">
        <v>345</v>
      </c>
      <c r="J302" s="114" t="b">
        <f>B134</f>
        <v>0</v>
      </c>
      <c r="K302" s="673"/>
      <c r="L302" s="676"/>
      <c r="M302" s="114">
        <f>COUNTIF(B134:B153,TRUE)</f>
        <v>0</v>
      </c>
      <c r="N302" s="114">
        <f>MAX(M302-E302,0)</f>
        <v>0</v>
      </c>
      <c r="O302" s="679"/>
      <c r="P302" s="158">
        <f>N302*O300*10%</f>
        <v>0</v>
      </c>
      <c r="Q302" s="159">
        <f>O300+P302</f>
        <v>0</v>
      </c>
      <c r="R302" s="681"/>
    </row>
    <row r="303" spans="2:27" ht="15" customHeight="1">
      <c r="B303" s="149"/>
      <c r="C303" s="150" t="s">
        <v>501</v>
      </c>
      <c r="D303" s="156" t="s">
        <v>506</v>
      </c>
      <c r="E303" s="156">
        <v>4</v>
      </c>
      <c r="F303" s="157">
        <f>F300*50%</f>
        <v>25150</v>
      </c>
      <c r="G303" s="259">
        <v>0.1</v>
      </c>
      <c r="H303" s="149"/>
      <c r="I303" s="114" t="s">
        <v>346</v>
      </c>
      <c r="J303" s="114" t="b">
        <f>B191</f>
        <v>0</v>
      </c>
      <c r="K303" s="160">
        <f>IF(J303=TRUE,F303,0)</f>
        <v>0</v>
      </c>
      <c r="L303" s="114"/>
      <c r="M303" s="114">
        <f>COUNTIF(B191:B210,TRUE)</f>
        <v>0</v>
      </c>
      <c r="N303" s="114">
        <f t="shared" ref="N303:N304" si="151">MAX(M303-E303,0)</f>
        <v>0</v>
      </c>
      <c r="O303" s="157">
        <f>K303*IF(L303=TRUE,1.8,1)</f>
        <v>0</v>
      </c>
      <c r="P303" s="158">
        <f>N303*O303*10%</f>
        <v>0</v>
      </c>
      <c r="Q303" s="159"/>
      <c r="R303" s="681"/>
    </row>
    <row r="304" spans="2:27" ht="15" customHeight="1">
      <c r="B304" s="149"/>
      <c r="C304" s="150" t="s">
        <v>502</v>
      </c>
      <c r="D304" s="156" t="s">
        <v>507</v>
      </c>
      <c r="E304" s="156">
        <v>5</v>
      </c>
      <c r="F304" s="157">
        <f>F301*50%</f>
        <v>25150</v>
      </c>
      <c r="G304" s="196" t="s">
        <v>341</v>
      </c>
      <c r="H304" s="149"/>
      <c r="I304" s="114" t="s">
        <v>347</v>
      </c>
      <c r="J304" s="114" t="b">
        <f>Calcu!B249</f>
        <v>0</v>
      </c>
      <c r="K304" s="160">
        <f>IF(J304=TRUE,F304,0)</f>
        <v>0</v>
      </c>
      <c r="L304" s="114"/>
      <c r="M304" s="114">
        <f>COUNTIF(Calcu!B249:B268,TRUE)</f>
        <v>0</v>
      </c>
      <c r="N304" s="114">
        <f t="shared" si="151"/>
        <v>0</v>
      </c>
      <c r="O304" s="157">
        <f>K304*IF(L304=TRUE,1.8,1)</f>
        <v>0</v>
      </c>
      <c r="P304" s="158">
        <f>N304*O304*10%</f>
        <v>0</v>
      </c>
      <c r="Q304" s="159">
        <f>SUM(O304:P304)</f>
        <v>0</v>
      </c>
      <c r="R304" s="682"/>
    </row>
    <row r="305" spans="2:18" ht="15" customHeight="1">
      <c r="B305" s="149"/>
      <c r="C305" s="150"/>
      <c r="D305" s="151"/>
      <c r="E305" s="156"/>
      <c r="F305" s="157"/>
      <c r="G305" s="195"/>
      <c r="H305" s="149"/>
      <c r="M305" s="149"/>
      <c r="N305" s="149"/>
      <c r="O305" s="149"/>
      <c r="P305" s="149"/>
      <c r="Q305" s="149"/>
      <c r="R305" s="149"/>
    </row>
    <row r="306" spans="2:18" ht="15" customHeight="1">
      <c r="B306" s="149"/>
      <c r="C306" s="150"/>
      <c r="D306" s="153"/>
      <c r="E306" s="114"/>
      <c r="F306" s="114"/>
      <c r="G306" s="220"/>
      <c r="H306" s="149"/>
      <c r="I306" s="152" t="s">
        <v>280</v>
      </c>
      <c r="M306" s="149"/>
      <c r="N306" s="149"/>
      <c r="O306" s="149"/>
      <c r="P306" s="149"/>
      <c r="Q306" s="149"/>
      <c r="R306" s="149"/>
    </row>
    <row r="307" spans="2:18" ht="15" customHeight="1">
      <c r="I307" s="152" t="s">
        <v>508</v>
      </c>
    </row>
    <row r="308" spans="2:18" ht="18" customHeight="1">
      <c r="I308" s="152" t="s">
        <v>497</v>
      </c>
    </row>
  </sheetData>
  <mergeCells count="198">
    <mergeCell ref="J45:M45"/>
    <mergeCell ref="Y94:Z94"/>
    <mergeCell ref="R107:R108"/>
    <mergeCell ref="J107:M107"/>
    <mergeCell ref="B113:C113"/>
    <mergeCell ref="D113:D114"/>
    <mergeCell ref="T156:T157"/>
    <mergeCell ref="U156:U157"/>
    <mergeCell ref="N280:O280"/>
    <mergeCell ref="P280:R280"/>
    <mergeCell ref="C246:C248"/>
    <mergeCell ref="D246:D248"/>
    <mergeCell ref="E246:J246"/>
    <mergeCell ref="F271:F272"/>
    <mergeCell ref="G271:M271"/>
    <mergeCell ref="L272:M272"/>
    <mergeCell ref="B164:B165"/>
    <mergeCell ref="B170:C170"/>
    <mergeCell ref="D170:D171"/>
    <mergeCell ref="D174:D175"/>
    <mergeCell ref="E172:F172"/>
    <mergeCell ref="G172:G173"/>
    <mergeCell ref="U132:V132"/>
    <mergeCell ref="O131:O132"/>
    <mergeCell ref="D286:D287"/>
    <mergeCell ref="J164:M164"/>
    <mergeCell ref="R164:R165"/>
    <mergeCell ref="C164:G164"/>
    <mergeCell ref="B156:B157"/>
    <mergeCell ref="C156:C157"/>
    <mergeCell ref="D156:D157"/>
    <mergeCell ref="E156:E157"/>
    <mergeCell ref="F156:F157"/>
    <mergeCell ref="B188:B190"/>
    <mergeCell ref="C188:C190"/>
    <mergeCell ref="D188:D190"/>
    <mergeCell ref="P188:P189"/>
    <mergeCell ref="B246:B248"/>
    <mergeCell ref="P272:Q272"/>
    <mergeCell ref="E188:I188"/>
    <mergeCell ref="J188:O188"/>
    <mergeCell ref="Q188:R188"/>
    <mergeCell ref="B131:B133"/>
    <mergeCell ref="G131:G133"/>
    <mergeCell ref="H131:H133"/>
    <mergeCell ref="I131:N131"/>
    <mergeCell ref="C131:C133"/>
    <mergeCell ref="D131:D133"/>
    <mergeCell ref="E131:E133"/>
    <mergeCell ref="F131:F133"/>
    <mergeCell ref="K157:L157"/>
    <mergeCell ref="G156:L156"/>
    <mergeCell ref="R112:R113"/>
    <mergeCell ref="V113:Z113"/>
    <mergeCell ref="S112:Z112"/>
    <mergeCell ref="K95:M95"/>
    <mergeCell ref="O164:Q164"/>
    <mergeCell ref="N156:Q156"/>
    <mergeCell ref="D117:D118"/>
    <mergeCell ref="P157:Q157"/>
    <mergeCell ref="I164:I165"/>
    <mergeCell ref="N164:N165"/>
    <mergeCell ref="N157:O157"/>
    <mergeCell ref="X94:X95"/>
    <mergeCell ref="O95:P95"/>
    <mergeCell ref="Q95:R95"/>
    <mergeCell ref="W94:W95"/>
    <mergeCell ref="S107:U107"/>
    <mergeCell ref="T108:U108"/>
    <mergeCell ref="S164:T164"/>
    <mergeCell ref="U131:W131"/>
    <mergeCell ref="Y131:Z131"/>
    <mergeCell ref="H164:H165"/>
    <mergeCell ref="B51:C51"/>
    <mergeCell ref="D51:D52"/>
    <mergeCell ref="D55:D56"/>
    <mergeCell ref="O107:Q107"/>
    <mergeCell ref="S94:U94"/>
    <mergeCell ref="E53:F53"/>
    <mergeCell ref="G53:G54"/>
    <mergeCell ref="C45:G45"/>
    <mergeCell ref="E115:F115"/>
    <mergeCell ref="G115:G116"/>
    <mergeCell ref="C107:G107"/>
    <mergeCell ref="B94:B95"/>
    <mergeCell ref="C94:C95"/>
    <mergeCell ref="D94:D95"/>
    <mergeCell ref="E94:E95"/>
    <mergeCell ref="F94:F95"/>
    <mergeCell ref="G94:M94"/>
    <mergeCell ref="B69:B71"/>
    <mergeCell ref="C69:C71"/>
    <mergeCell ref="D69:D71"/>
    <mergeCell ref="E69:J69"/>
    <mergeCell ref="K69:K70"/>
    <mergeCell ref="S95:U95"/>
    <mergeCell ref="O94:R94"/>
    <mergeCell ref="AA7:AF7"/>
    <mergeCell ref="W32:W33"/>
    <mergeCell ref="Y69:Z69"/>
    <mergeCell ref="AA69:AF69"/>
    <mergeCell ref="O33:P33"/>
    <mergeCell ref="S33:U33"/>
    <mergeCell ref="O32:R32"/>
    <mergeCell ref="O45:Q45"/>
    <mergeCell ref="S32:U32"/>
    <mergeCell ref="N69:P69"/>
    <mergeCell ref="Y32:Z32"/>
    <mergeCell ref="S45:U45"/>
    <mergeCell ref="T46:U46"/>
    <mergeCell ref="V7:W7"/>
    <mergeCell ref="R45:R46"/>
    <mergeCell ref="V69:W69"/>
    <mergeCell ref="B7:B9"/>
    <mergeCell ref="C7:C9"/>
    <mergeCell ref="E7:J7"/>
    <mergeCell ref="Y7:Z7"/>
    <mergeCell ref="K7:K8"/>
    <mergeCell ref="D7:D9"/>
    <mergeCell ref="B32:B33"/>
    <mergeCell ref="C32:C33"/>
    <mergeCell ref="D32:D33"/>
    <mergeCell ref="K33:M33"/>
    <mergeCell ref="E32:E33"/>
    <mergeCell ref="F32:F33"/>
    <mergeCell ref="G32:M32"/>
    <mergeCell ref="X32:X33"/>
    <mergeCell ref="Q33:R33"/>
    <mergeCell ref="N7:P7"/>
    <mergeCell ref="C299:D299"/>
    <mergeCell ref="D232:D233"/>
    <mergeCell ref="E230:F230"/>
    <mergeCell ref="G230:G231"/>
    <mergeCell ref="C222:G222"/>
    <mergeCell ref="B213:B214"/>
    <mergeCell ref="C213:C214"/>
    <mergeCell ref="D213:D214"/>
    <mergeCell ref="E213:E214"/>
    <mergeCell ref="F213:F214"/>
    <mergeCell ref="G213:M213"/>
    <mergeCell ref="L214:M214"/>
    <mergeCell ref="D290:D291"/>
    <mergeCell ref="E288:F288"/>
    <mergeCell ref="G288:G289"/>
    <mergeCell ref="C280:G280"/>
    <mergeCell ref="H280:I280"/>
    <mergeCell ref="K246:K247"/>
    <mergeCell ref="B271:B272"/>
    <mergeCell ref="C271:C272"/>
    <mergeCell ref="D271:D272"/>
    <mergeCell ref="E271:E272"/>
    <mergeCell ref="B286:C286"/>
    <mergeCell ref="K280:M280"/>
    <mergeCell ref="U246:V246"/>
    <mergeCell ref="W246:AC246"/>
    <mergeCell ref="U271:V271"/>
    <mergeCell ref="R222:R223"/>
    <mergeCell ref="B228:C228"/>
    <mergeCell ref="D228:D229"/>
    <mergeCell ref="J222:L222"/>
    <mergeCell ref="Q247:R247"/>
    <mergeCell ref="T271:T272"/>
    <mergeCell ref="H222:I222"/>
    <mergeCell ref="Q246:S246"/>
    <mergeCell ref="V188:W188"/>
    <mergeCell ref="V189:W189"/>
    <mergeCell ref="X188:Z188"/>
    <mergeCell ref="U213:V213"/>
    <mergeCell ref="K300:K302"/>
    <mergeCell ref="L300:L302"/>
    <mergeCell ref="O300:O302"/>
    <mergeCell ref="AD188:AJ188"/>
    <mergeCell ref="X189:Y189"/>
    <mergeCell ref="AE189:AF189"/>
    <mergeCell ref="M222:N222"/>
    <mergeCell ref="O222:Q222"/>
    <mergeCell ref="R300:R304"/>
    <mergeCell ref="T213:T214"/>
    <mergeCell ref="AB188:AC188"/>
    <mergeCell ref="S213:S214"/>
    <mergeCell ref="P214:Q214"/>
    <mergeCell ref="P213:Q213"/>
    <mergeCell ref="AE247:AJ247"/>
    <mergeCell ref="P271:Q271"/>
    <mergeCell ref="S271:S272"/>
    <mergeCell ref="S280:S281"/>
    <mergeCell ref="S222:T222"/>
    <mergeCell ref="T280:U280"/>
    <mergeCell ref="AL189:AQ189"/>
    <mergeCell ref="AR189:AW189"/>
    <mergeCell ref="AX189:BC189"/>
    <mergeCell ref="BD189:BI189"/>
    <mergeCell ref="AL247:AQ247"/>
    <mergeCell ref="AR247:AW247"/>
    <mergeCell ref="AX247:BC247"/>
    <mergeCell ref="BD247:BI247"/>
    <mergeCell ref="AA131:AG131"/>
    <mergeCell ref="AB132:AC132"/>
  </mergeCells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41</vt:i4>
      </vt:variant>
    </vt:vector>
  </HeadingPairs>
  <TitlesOfParts>
    <vt:vector size="56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Length_5_R1</vt:lpstr>
      <vt:lpstr>Length_5_R2</vt:lpstr>
      <vt:lpstr>Magnification_1</vt:lpstr>
      <vt:lpstr>Angle_3</vt:lpstr>
      <vt:lpstr>Angle_1</vt:lpstr>
      <vt:lpstr>Angle_1!Angle_1_CMC</vt:lpstr>
      <vt:lpstr>Angle_1!Angle_1_Condition</vt:lpstr>
      <vt:lpstr>Angle_1!Angle_1_Resolution</vt:lpstr>
      <vt:lpstr>Angle_1!Angle_1_Result</vt:lpstr>
      <vt:lpstr>Angle_1!Angle_1_Spec</vt:lpstr>
      <vt:lpstr>Angle_1!Angle_1_STD1</vt:lpstr>
      <vt:lpstr>Angle_3!Angle_3_CMC</vt:lpstr>
      <vt:lpstr>Angle_3!Angle_3_Condition</vt:lpstr>
      <vt:lpstr>Angle_3!Angle_3_Resolution</vt:lpstr>
      <vt:lpstr>Angle_3!Angle_3_Result</vt:lpstr>
      <vt:lpstr>Angle_3!Angle_3_Spec</vt:lpstr>
      <vt:lpstr>Angle_3!Angle_3_STD1</vt:lpstr>
      <vt:lpstr>'교정결과-E'!B_Tag</vt:lpstr>
      <vt:lpstr>'교정결과-HY'!B_Tag</vt:lpstr>
      <vt:lpstr>B_Tag</vt:lpstr>
      <vt:lpstr>판정결과!B_Tag_2</vt:lpstr>
      <vt:lpstr>부록!B_Tag_3</vt:lpstr>
      <vt:lpstr>Length_5_R1_CMC</vt:lpstr>
      <vt:lpstr>Length_5_R1_Condition</vt:lpstr>
      <vt:lpstr>Length_5_R1_Resolution</vt:lpstr>
      <vt:lpstr>Length_5_R1_Result</vt:lpstr>
      <vt:lpstr>Length_5_R1_Spec</vt:lpstr>
      <vt:lpstr>Length_5_R1_STD1</vt:lpstr>
      <vt:lpstr>Length_5_R2!Length_5_R2_CMC</vt:lpstr>
      <vt:lpstr>Length_5_R2!Length_5_R2_Condition</vt:lpstr>
      <vt:lpstr>Length_5_R2!Length_5_R2_Resolution</vt:lpstr>
      <vt:lpstr>Length_5_R2!Length_5_R2_Result</vt:lpstr>
      <vt:lpstr>Length_5_R2!Length_5_R2_Spec</vt:lpstr>
      <vt:lpstr>Length_5_R2!Length_5_R2_STD1</vt:lpstr>
      <vt:lpstr>Magnification_1!Magnification_1_CMC</vt:lpstr>
      <vt:lpstr>Magnification_1!Magnification_1_Condition</vt:lpstr>
      <vt:lpstr>Magnification_1!Magnification_1_Resolution</vt:lpstr>
      <vt:lpstr>Magnification_1!Magnification_1_Result</vt:lpstr>
      <vt:lpstr>Magnification_1!Magnification_1_Spec</vt:lpstr>
      <vt:lpstr>Magnification_1!Magnification_1_STD1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2021-11-11T04:35:03Z</cp:lastPrinted>
  <dcterms:created xsi:type="dcterms:W3CDTF">2004-11-10T00:11:43Z</dcterms:created>
  <dcterms:modified xsi:type="dcterms:W3CDTF">2021-11-11T04:40:27Z</dcterms:modified>
</cp:coreProperties>
</file>