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'교정결과-E'!$F$44:$I$44</definedName>
    <definedName name="B_Tag" localSheetId="3">'교정결과-HY'!$B$40:$Q$40</definedName>
    <definedName name="B_Tag">교정결과!$F$43:$I$43</definedName>
    <definedName name="B_Tag_2" localSheetId="4">판정결과!$D$30:$I$30</definedName>
    <definedName name="B_Tag_3" localSheetId="5">부록!$B$11:$K$11</definedName>
    <definedName name="Length_1_CMC">Length_1!$C$4:$E$24</definedName>
    <definedName name="Length_1_Condition">Length_1!$A$4:$B$24</definedName>
    <definedName name="Length_1_Resolution">Length_1!$F$4:$I$24</definedName>
    <definedName name="Length_1_Result">Length_1!$N$4:$R$24</definedName>
    <definedName name="Length_1_Result2">Length_1!$J$4:$J$5</definedName>
    <definedName name="Length_1_Spec">Length_1!$K$4:$M$24</definedName>
    <definedName name="Length_1_STD1">Length_1!$A$28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3" i="21" l="1"/>
  <c r="F13" i="31" s="1"/>
  <c r="F13" i="11" l="1"/>
  <c r="F13" i="24"/>
  <c r="T34" i="21"/>
  <c r="T41" i="21"/>
  <c r="T40" i="21"/>
  <c r="O47" i="21" l="1"/>
  <c r="M47" i="21" s="1"/>
  <c r="K47" i="21" l="1"/>
  <c r="F9" i="31" l="1"/>
  <c r="F8" i="31"/>
  <c r="F7" i="31"/>
  <c r="F6" i="31"/>
  <c r="A4" i="31"/>
  <c r="V36" i="21" l="1"/>
  <c r="V37" i="21"/>
  <c r="V38" i="21"/>
  <c r="V39" i="21"/>
  <c r="V40" i="21"/>
  <c r="V41" i="21"/>
  <c r="G38" i="21" l="1"/>
  <c r="J38" i="21" s="1"/>
  <c r="G36" i="21"/>
  <c r="J36" i="21" s="1"/>
  <c r="U34" i="21"/>
  <c r="W179" i="23" l="1"/>
  <c r="R184" i="23" s="1"/>
  <c r="Y184" i="23" s="1"/>
  <c r="AB165" i="23"/>
  <c r="Y170" i="23" s="1"/>
  <c r="R170" i="23" l="1"/>
  <c r="G39" i="21" l="1"/>
  <c r="G37" i="21"/>
  <c r="J37" i="21" s="1"/>
  <c r="O152" i="23" l="1"/>
  <c r="J39" i="21"/>
  <c r="J199" i="23"/>
  <c r="I34" i="21" l="1"/>
  <c r="G34" i="21"/>
  <c r="AA88" i="23" l="1"/>
  <c r="U88" i="23"/>
  <c r="G10" i="23" l="1"/>
  <c r="AS199" i="23" l="1"/>
  <c r="AN199" i="23"/>
  <c r="AI199" i="23"/>
  <c r="AD199" i="23"/>
  <c r="Y199" i="23"/>
  <c r="T199" i="23"/>
  <c r="N121" i="23"/>
  <c r="S121" i="23" s="1"/>
  <c r="S126" i="23" s="1"/>
  <c r="AM66" i="23"/>
  <c r="M66" i="23"/>
  <c r="AP65" i="23"/>
  <c r="AM65" i="23"/>
  <c r="AA65" i="23"/>
  <c r="V65" i="23"/>
  <c r="I181" i="23" s="1"/>
  <c r="S65" i="23"/>
  <c r="M65" i="23"/>
  <c r="H65" i="23"/>
  <c r="AP64" i="23"/>
  <c r="AM64" i="23"/>
  <c r="AA64" i="23"/>
  <c r="V64" i="23"/>
  <c r="I167" i="23" s="1"/>
  <c r="S64" i="23"/>
  <c r="M64" i="23"/>
  <c r="H64" i="23"/>
  <c r="AP63" i="23"/>
  <c r="AM63" i="23"/>
  <c r="AE63" i="23"/>
  <c r="V63" i="23"/>
  <c r="I154" i="23" s="1"/>
  <c r="S63" i="23"/>
  <c r="M63" i="23"/>
  <c r="AP61" i="23"/>
  <c r="AM61" i="23"/>
  <c r="AE61" i="23"/>
  <c r="V61" i="23"/>
  <c r="I123" i="23" s="1"/>
  <c r="S61" i="23"/>
  <c r="M61" i="23"/>
  <c r="AP62" i="23"/>
  <c r="AM62" i="23"/>
  <c r="AE62" i="23"/>
  <c r="V62" i="23"/>
  <c r="I137" i="23" s="1"/>
  <c r="S62" i="23"/>
  <c r="M62" i="23"/>
  <c r="AP60" i="23"/>
  <c r="AM60" i="23"/>
  <c r="AE60" i="23"/>
  <c r="V60" i="23"/>
  <c r="I106" i="23" s="1"/>
  <c r="S60" i="23"/>
  <c r="M60" i="23"/>
  <c r="AP58" i="23"/>
  <c r="AM58" i="23"/>
  <c r="AA58" i="23"/>
  <c r="M75" i="23" s="1"/>
  <c r="L77" i="23" s="1"/>
  <c r="V58" i="23"/>
  <c r="I74" i="23" s="1"/>
  <c r="S58" i="23"/>
  <c r="M58" i="23"/>
  <c r="N71" i="23" s="1"/>
  <c r="AM59" i="23"/>
  <c r="AA59" i="23"/>
  <c r="M91" i="23" s="1"/>
  <c r="L93" i="23" s="1"/>
  <c r="S59" i="23"/>
  <c r="M59" i="23"/>
  <c r="N83" i="23" s="1"/>
  <c r="Z72" i="23"/>
  <c r="R77" i="23" s="1"/>
  <c r="Y77" i="23" s="1"/>
  <c r="AA85" i="23"/>
  <c r="R93" i="23" s="1"/>
  <c r="Y93" i="23" s="1"/>
  <c r="U85" i="23"/>
  <c r="L10" i="23"/>
  <c r="Q10" i="23" s="1"/>
  <c r="V10" i="23" s="1"/>
  <c r="AA10" i="23" s="1"/>
  <c r="T152" i="23" l="1"/>
  <c r="S157" i="23" s="1"/>
  <c r="C149" i="23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O3" i="21"/>
  <c r="F43" i="24" s="1"/>
  <c r="H3" i="21"/>
  <c r="G3" i="21"/>
  <c r="F3" i="21"/>
  <c r="C8" i="3" s="1"/>
  <c r="C3" i="21"/>
  <c r="B3" i="21" s="1"/>
  <c r="F46" i="21"/>
  <c r="O63" i="23"/>
  <c r="O61" i="23"/>
  <c r="O62" i="23"/>
  <c r="V12" i="21" l="1"/>
  <c r="AE12" i="21"/>
  <c r="W12" i="21"/>
  <c r="V24" i="21"/>
  <c r="W24" i="21"/>
  <c r="AE24" i="21"/>
  <c r="W13" i="21"/>
  <c r="V13" i="21"/>
  <c r="AE13" i="21"/>
  <c r="W17" i="21"/>
  <c r="V17" i="21"/>
  <c r="AE17" i="21"/>
  <c r="A33" i="31"/>
  <c r="W25" i="21"/>
  <c r="AE25" i="21"/>
  <c r="V25" i="21"/>
  <c r="AE14" i="21"/>
  <c r="V14" i="21"/>
  <c r="W14" i="21"/>
  <c r="AE18" i="21"/>
  <c r="W18" i="21"/>
  <c r="V18" i="21"/>
  <c r="AE22" i="21"/>
  <c r="V22" i="21"/>
  <c r="W22" i="21"/>
  <c r="A34" i="31"/>
  <c r="AE26" i="21"/>
  <c r="W26" i="21"/>
  <c r="V26" i="21"/>
  <c r="V16" i="21"/>
  <c r="W16" i="21"/>
  <c r="AE16" i="21"/>
  <c r="V20" i="21"/>
  <c r="AE20" i="21"/>
  <c r="W20" i="21"/>
  <c r="A36" i="31"/>
  <c r="V28" i="21"/>
  <c r="AE28" i="21"/>
  <c r="W28" i="21"/>
  <c r="AE9" i="21"/>
  <c r="V9" i="21"/>
  <c r="W9" i="21"/>
  <c r="W21" i="21"/>
  <c r="V21" i="21"/>
  <c r="AE21" i="21"/>
  <c r="A37" i="31"/>
  <c r="W29" i="21"/>
  <c r="V29" i="21"/>
  <c r="AE29" i="21"/>
  <c r="AE10" i="21"/>
  <c r="W10" i="21"/>
  <c r="V10" i="21"/>
  <c r="T29" i="21"/>
  <c r="B31" i="23" s="1"/>
  <c r="V11" i="21"/>
  <c r="AE11" i="21"/>
  <c r="W11" i="21"/>
  <c r="W15" i="21"/>
  <c r="AE15" i="21"/>
  <c r="V15" i="21"/>
  <c r="V19" i="21"/>
  <c r="AE19" i="21"/>
  <c r="W19" i="21"/>
  <c r="W23" i="21"/>
  <c r="AE23" i="21"/>
  <c r="V23" i="21"/>
  <c r="A35" i="31"/>
  <c r="V27" i="21"/>
  <c r="AE27" i="21"/>
  <c r="W27" i="21"/>
  <c r="O16" i="21"/>
  <c r="A24" i="31"/>
  <c r="O24" i="21"/>
  <c r="A32" i="31"/>
  <c r="O13" i="21"/>
  <c r="A21" i="31"/>
  <c r="O17" i="21"/>
  <c r="A25" i="31"/>
  <c r="O21" i="21"/>
  <c r="A29" i="31"/>
  <c r="O12" i="21"/>
  <c r="A20" i="31"/>
  <c r="O9" i="21"/>
  <c r="A17" i="31"/>
  <c r="O10" i="21"/>
  <c r="A18" i="31"/>
  <c r="O14" i="21"/>
  <c r="A22" i="31"/>
  <c r="O18" i="21"/>
  <c r="A26" i="31"/>
  <c r="O22" i="21"/>
  <c r="A30" i="31"/>
  <c r="O20" i="21"/>
  <c r="A28" i="31"/>
  <c r="O11" i="21"/>
  <c r="A19" i="31"/>
  <c r="O15" i="21"/>
  <c r="A23" i="31"/>
  <c r="O19" i="21"/>
  <c r="A27" i="31"/>
  <c r="O23" i="21"/>
  <c r="A31" i="31"/>
  <c r="O25" i="21"/>
  <c r="A33" i="11"/>
  <c r="A33" i="24"/>
  <c r="O29" i="21"/>
  <c r="A37" i="11"/>
  <c r="A37" i="24"/>
  <c r="O28" i="21"/>
  <c r="A36" i="11"/>
  <c r="A36" i="24"/>
  <c r="O26" i="21"/>
  <c r="A34" i="11"/>
  <c r="A34" i="24"/>
  <c r="O27" i="21"/>
  <c r="A35" i="24"/>
  <c r="A35" i="11"/>
  <c r="M64" i="21"/>
  <c r="N64" i="21" s="1"/>
  <c r="E8" i="21"/>
  <c r="F8" i="21" s="1"/>
  <c r="G8" i="21" s="1"/>
  <c r="H8" i="21" s="1"/>
  <c r="I8" i="21" s="1"/>
  <c r="J8" i="21" s="1"/>
  <c r="F42" i="11"/>
  <c r="K64" i="21"/>
  <c r="L64" i="21" s="1"/>
  <c r="A22" i="24"/>
  <c r="A22" i="11"/>
  <c r="A26" i="24"/>
  <c r="A26" i="11"/>
  <c r="A30" i="24"/>
  <c r="A30" i="11"/>
  <c r="A19" i="24"/>
  <c r="A19" i="11"/>
  <c r="A23" i="24"/>
  <c r="A23" i="11"/>
  <c r="A27" i="24"/>
  <c r="A27" i="11"/>
  <c r="A31" i="24"/>
  <c r="A31" i="11"/>
  <c r="A20" i="24"/>
  <c r="A20" i="11"/>
  <c r="A24" i="24"/>
  <c r="A24" i="11"/>
  <c r="A28" i="24"/>
  <c r="A28" i="11"/>
  <c r="A32" i="24"/>
  <c r="A32" i="11"/>
  <c r="A18" i="24"/>
  <c r="A18" i="11"/>
  <c r="A17" i="24"/>
  <c r="A17" i="11"/>
  <c r="A21" i="24"/>
  <c r="A21" i="11"/>
  <c r="A25" i="24"/>
  <c r="A25" i="11"/>
  <c r="A29" i="24"/>
  <c r="A29" i="11"/>
  <c r="C19" i="21"/>
  <c r="B25" i="3" s="1"/>
  <c r="C10" i="21"/>
  <c r="B16" i="3" s="1"/>
  <c r="C26" i="21"/>
  <c r="B32" i="3" s="1"/>
  <c r="N9" i="21"/>
  <c r="C17" i="21"/>
  <c r="B23" i="3" s="1"/>
  <c r="C21" i="21"/>
  <c r="B27" i="3" s="1"/>
  <c r="C25" i="21"/>
  <c r="B31" i="3" s="1"/>
  <c r="C29" i="21"/>
  <c r="B35" i="3" s="1"/>
  <c r="C15" i="21"/>
  <c r="C23" i="21"/>
  <c r="B29" i="3" s="1"/>
  <c r="C27" i="21"/>
  <c r="B33" i="3" s="1"/>
  <c r="C14" i="21"/>
  <c r="B20" i="3" s="1"/>
  <c r="C18" i="21"/>
  <c r="B24" i="3" s="1"/>
  <c r="C22" i="21"/>
  <c r="B28" i="3" s="1"/>
  <c r="C12" i="21"/>
  <c r="B18" i="3" s="1"/>
  <c r="C16" i="21"/>
  <c r="B22" i="3" s="1"/>
  <c r="C20" i="21"/>
  <c r="B26" i="3" s="1"/>
  <c r="C24" i="21"/>
  <c r="B30" i="3" s="1"/>
  <c r="C28" i="21"/>
  <c r="B34" i="3" s="1"/>
  <c r="C11" i="21"/>
  <c r="B17" i="3" s="1"/>
  <c r="S9" i="21"/>
  <c r="E39" i="21" s="1"/>
  <c r="M38" i="21" s="1"/>
  <c r="C9" i="21"/>
  <c r="K13" i="21"/>
  <c r="AK15" i="23" s="1"/>
  <c r="C13" i="21"/>
  <c r="B19" i="3" s="1"/>
  <c r="I3" i="21"/>
  <c r="N3" i="21" s="1"/>
  <c r="B5" i="23"/>
  <c r="AA14" i="23"/>
  <c r="G14" i="23"/>
  <c r="Q14" i="23"/>
  <c r="V14" i="23"/>
  <c r="L14" i="23"/>
  <c r="K12" i="21"/>
  <c r="AK14" i="23" s="1"/>
  <c r="AA22" i="23"/>
  <c r="G22" i="23"/>
  <c r="V22" i="23"/>
  <c r="Q22" i="23"/>
  <c r="L22" i="23"/>
  <c r="K20" i="21"/>
  <c r="AK22" i="23" s="1"/>
  <c r="Q12" i="23"/>
  <c r="L12" i="23"/>
  <c r="G12" i="23"/>
  <c r="V12" i="23"/>
  <c r="AA12" i="23"/>
  <c r="K10" i="21"/>
  <c r="AK12" i="23" s="1"/>
  <c r="Q16" i="23"/>
  <c r="L16" i="23"/>
  <c r="AA16" i="23"/>
  <c r="G16" i="23"/>
  <c r="V16" i="23"/>
  <c r="K14" i="21"/>
  <c r="AK16" i="23" s="1"/>
  <c r="Q20" i="23"/>
  <c r="L20" i="23"/>
  <c r="G20" i="23"/>
  <c r="AA20" i="23"/>
  <c r="V20" i="23"/>
  <c r="K18" i="21"/>
  <c r="AK20" i="23" s="1"/>
  <c r="Q24" i="23"/>
  <c r="G24" i="23"/>
  <c r="L24" i="23"/>
  <c r="AA24" i="23"/>
  <c r="V24" i="23"/>
  <c r="K22" i="21"/>
  <c r="AK24" i="23" s="1"/>
  <c r="Q28" i="23"/>
  <c r="L28" i="23"/>
  <c r="G28" i="23"/>
  <c r="AA28" i="23"/>
  <c r="V28" i="23"/>
  <c r="K26" i="21"/>
  <c r="AK28" i="23" s="1"/>
  <c r="V11" i="23"/>
  <c r="Q11" i="23"/>
  <c r="L11" i="23"/>
  <c r="G11" i="23"/>
  <c r="AA11" i="23"/>
  <c r="K9" i="21"/>
  <c r="V15" i="23"/>
  <c r="L15" i="23"/>
  <c r="Q15" i="23"/>
  <c r="AA15" i="23"/>
  <c r="G15" i="23"/>
  <c r="V19" i="23"/>
  <c r="Q19" i="23"/>
  <c r="L19" i="23"/>
  <c r="AA19" i="23"/>
  <c r="G19" i="23"/>
  <c r="K17" i="21"/>
  <c r="AK19" i="23" s="1"/>
  <c r="V23" i="23"/>
  <c r="L23" i="23"/>
  <c r="Q23" i="23"/>
  <c r="G23" i="23"/>
  <c r="AA23" i="23"/>
  <c r="K21" i="21"/>
  <c r="AK23" i="23" s="1"/>
  <c r="V27" i="23"/>
  <c r="Q27" i="23"/>
  <c r="L27" i="23"/>
  <c r="AA27" i="23"/>
  <c r="G27" i="23"/>
  <c r="K25" i="21"/>
  <c r="AK27" i="23" s="1"/>
  <c r="V31" i="23"/>
  <c r="Q31" i="23"/>
  <c r="L31" i="23"/>
  <c r="G31" i="23"/>
  <c r="AA31" i="23"/>
  <c r="K29" i="21"/>
  <c r="AK31" i="23" s="1"/>
  <c r="AA30" i="23"/>
  <c r="G30" i="23"/>
  <c r="V30" i="23"/>
  <c r="Q30" i="23"/>
  <c r="L30" i="23"/>
  <c r="K28" i="21"/>
  <c r="AK30" i="23" s="1"/>
  <c r="AA18" i="23"/>
  <c r="G18" i="23"/>
  <c r="Q18" i="23"/>
  <c r="V18" i="23"/>
  <c r="L18" i="23"/>
  <c r="K16" i="21"/>
  <c r="AK18" i="23" s="1"/>
  <c r="AA26" i="23"/>
  <c r="G26" i="23"/>
  <c r="Q26" i="23"/>
  <c r="V26" i="23"/>
  <c r="L26" i="23"/>
  <c r="K24" i="21"/>
  <c r="AK26" i="23" s="1"/>
  <c r="L13" i="23"/>
  <c r="AA13" i="23"/>
  <c r="G13" i="23"/>
  <c r="V13" i="23"/>
  <c r="Q13" i="23"/>
  <c r="K11" i="21"/>
  <c r="AK13" i="23" s="1"/>
  <c r="L17" i="23"/>
  <c r="AA17" i="23"/>
  <c r="G17" i="23"/>
  <c r="V17" i="23"/>
  <c r="Q17" i="23"/>
  <c r="K15" i="21"/>
  <c r="AK17" i="23" s="1"/>
  <c r="L21" i="23"/>
  <c r="AA21" i="23"/>
  <c r="G21" i="23"/>
  <c r="V21" i="23"/>
  <c r="Q21" i="23"/>
  <c r="K19" i="21"/>
  <c r="AK21" i="23" s="1"/>
  <c r="L25" i="23"/>
  <c r="V25" i="23"/>
  <c r="AA25" i="23"/>
  <c r="G25" i="23"/>
  <c r="Q25" i="23"/>
  <c r="K23" i="21"/>
  <c r="AK25" i="23" s="1"/>
  <c r="L29" i="23"/>
  <c r="AA29" i="23"/>
  <c r="G29" i="23"/>
  <c r="V29" i="23"/>
  <c r="Q29" i="23"/>
  <c r="K27" i="21"/>
  <c r="AK29" i="23" s="1"/>
  <c r="A10" i="30"/>
  <c r="A14" i="30"/>
  <c r="A18" i="30"/>
  <c r="A22" i="30"/>
  <c r="A26" i="30"/>
  <c r="I9" i="21"/>
  <c r="A9" i="30"/>
  <c r="I13" i="21"/>
  <c r="A13" i="30"/>
  <c r="I17" i="21"/>
  <c r="A17" i="30"/>
  <c r="I21" i="21"/>
  <c r="A21" i="30"/>
  <c r="I25" i="21"/>
  <c r="A25" i="30"/>
  <c r="I29" i="21"/>
  <c r="A29" i="30"/>
  <c r="A12" i="30"/>
  <c r="A16" i="30"/>
  <c r="A20" i="30"/>
  <c r="A24" i="30"/>
  <c r="A28" i="30"/>
  <c r="I11" i="21"/>
  <c r="A11" i="30"/>
  <c r="I15" i="21"/>
  <c r="A15" i="30"/>
  <c r="I19" i="21"/>
  <c r="A19" i="30"/>
  <c r="I23" i="21"/>
  <c r="A23" i="30"/>
  <c r="I27" i="21"/>
  <c r="A27" i="30"/>
  <c r="U23" i="21"/>
  <c r="D16" i="3"/>
  <c r="S23" i="21"/>
  <c r="D24" i="3"/>
  <c r="C16" i="3"/>
  <c r="F29" i="3"/>
  <c r="E30" i="3"/>
  <c r="G16" i="3"/>
  <c r="G24" i="3"/>
  <c r="F30" i="3"/>
  <c r="F22" i="3"/>
  <c r="T25" i="21"/>
  <c r="B27" i="23" s="1"/>
  <c r="D15" i="3"/>
  <c r="C21" i="3"/>
  <c r="C29" i="3"/>
  <c r="E34" i="3"/>
  <c r="D8" i="3"/>
  <c r="D32" i="3"/>
  <c r="T21" i="21"/>
  <c r="B23" i="23" s="1"/>
  <c r="F21" i="3"/>
  <c r="D23" i="3"/>
  <c r="D31" i="3"/>
  <c r="G32" i="3"/>
  <c r="Q25" i="21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E35" i="3"/>
  <c r="C28" i="3"/>
  <c r="D35" i="3"/>
  <c r="U21" i="21"/>
  <c r="Q29" i="21"/>
  <c r="T13" i="21"/>
  <c r="B15" i="23" s="1"/>
  <c r="P21" i="21"/>
  <c r="S29" i="21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F35" i="3"/>
  <c r="D19" i="3"/>
  <c r="G20" i="3"/>
  <c r="D27" i="3"/>
  <c r="G28" i="3"/>
  <c r="S21" i="21"/>
  <c r="Q27" i="21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C35" i="3"/>
  <c r="G35" i="3"/>
  <c r="L9" i="21"/>
  <c r="L11" i="21"/>
  <c r="L13" i="21"/>
  <c r="L15" i="21"/>
  <c r="L17" i="21"/>
  <c r="L19" i="21"/>
  <c r="L21" i="21"/>
  <c r="L23" i="21"/>
  <c r="L25" i="21"/>
  <c r="L27" i="21"/>
  <c r="L29" i="21"/>
  <c r="M9" i="21"/>
  <c r="AF11" i="23" s="1"/>
  <c r="M11" i="21"/>
  <c r="AF13" i="23" s="1"/>
  <c r="M13" i="21"/>
  <c r="AF15" i="23" s="1"/>
  <c r="B21" i="3"/>
  <c r="M15" i="21"/>
  <c r="AF17" i="23" s="1"/>
  <c r="M17" i="21"/>
  <c r="AF19" i="23" s="1"/>
  <c r="M19" i="21"/>
  <c r="AF21" i="23" s="1"/>
  <c r="M21" i="21"/>
  <c r="AF23" i="23" s="1"/>
  <c r="M23" i="21"/>
  <c r="AF25" i="23" s="1"/>
  <c r="M25" i="21"/>
  <c r="AF27" i="23" s="1"/>
  <c r="M27" i="21"/>
  <c r="AF29" i="23" s="1"/>
  <c r="M29" i="21"/>
  <c r="AF31" i="23" s="1"/>
  <c r="J20" i="21"/>
  <c r="U22" i="21"/>
  <c r="S24" i="21"/>
  <c r="O60" i="23"/>
  <c r="F9" i="21"/>
  <c r="F11" i="21"/>
  <c r="F13" i="21"/>
  <c r="F15" i="21"/>
  <c r="F17" i="21"/>
  <c r="F19" i="21"/>
  <c r="F21" i="21"/>
  <c r="F23" i="21"/>
  <c r="F25" i="21"/>
  <c r="F27" i="21"/>
  <c r="F29" i="21"/>
  <c r="N16" i="21"/>
  <c r="R16" i="21" s="1"/>
  <c r="U20" i="21"/>
  <c r="Q26" i="21"/>
  <c r="G9" i="21"/>
  <c r="G11" i="21"/>
  <c r="G13" i="21"/>
  <c r="G15" i="21"/>
  <c r="G17" i="21"/>
  <c r="G19" i="21"/>
  <c r="G21" i="21"/>
  <c r="G23" i="21"/>
  <c r="G25" i="21"/>
  <c r="G27" i="21"/>
  <c r="G29" i="21"/>
  <c r="E10" i="21"/>
  <c r="I14" i="21"/>
  <c r="E16" i="21"/>
  <c r="E22" i="21"/>
  <c r="E24" i="21"/>
  <c r="E28" i="21"/>
  <c r="N20" i="21"/>
  <c r="R22" i="21"/>
  <c r="J26" i="21"/>
  <c r="S26" i="21"/>
  <c r="D9" i="21"/>
  <c r="H9" i="21"/>
  <c r="F10" i="21"/>
  <c r="L10" i="21"/>
  <c r="D11" i="21"/>
  <c r="H11" i="21"/>
  <c r="F12" i="21"/>
  <c r="L12" i="21"/>
  <c r="D13" i="21"/>
  <c r="H13" i="21"/>
  <c r="F14" i="21"/>
  <c r="L14" i="21"/>
  <c r="D15" i="21"/>
  <c r="H15" i="21"/>
  <c r="F16" i="21"/>
  <c r="L16" i="21"/>
  <c r="D17" i="21"/>
  <c r="H17" i="21"/>
  <c r="F18" i="21"/>
  <c r="L18" i="21"/>
  <c r="D19" i="21"/>
  <c r="H19" i="21"/>
  <c r="F20" i="21"/>
  <c r="L20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D29" i="21"/>
  <c r="H29" i="21"/>
  <c r="I10" i="21"/>
  <c r="E12" i="21"/>
  <c r="E18" i="21"/>
  <c r="I18" i="21"/>
  <c r="I20" i="21"/>
  <c r="I22" i="21"/>
  <c r="I26" i="21"/>
  <c r="I28" i="21"/>
  <c r="R20" i="21"/>
  <c r="Q24" i="21"/>
  <c r="U26" i="21"/>
  <c r="E9" i="21"/>
  <c r="G10" i="21"/>
  <c r="M10" i="21"/>
  <c r="AF12" i="23" s="1"/>
  <c r="E11" i="21"/>
  <c r="G12" i="21"/>
  <c r="M12" i="21"/>
  <c r="AF14" i="23" s="1"/>
  <c r="E13" i="21"/>
  <c r="G14" i="21"/>
  <c r="M14" i="21"/>
  <c r="AF16" i="23" s="1"/>
  <c r="E15" i="21"/>
  <c r="G16" i="21"/>
  <c r="M16" i="21"/>
  <c r="AF18" i="23" s="1"/>
  <c r="E17" i="21"/>
  <c r="G18" i="21"/>
  <c r="M18" i="21"/>
  <c r="AF20" i="23" s="1"/>
  <c r="E19" i="21"/>
  <c r="G20" i="21"/>
  <c r="M20" i="21"/>
  <c r="AF22" i="23" s="1"/>
  <c r="E21" i="21"/>
  <c r="G22" i="21"/>
  <c r="M22" i="21"/>
  <c r="AF24" i="23" s="1"/>
  <c r="E23" i="21"/>
  <c r="G24" i="21"/>
  <c r="M24" i="21"/>
  <c r="AF26" i="23" s="1"/>
  <c r="E25" i="21"/>
  <c r="G26" i="21"/>
  <c r="M26" i="21"/>
  <c r="AF28" i="23" s="1"/>
  <c r="E27" i="21"/>
  <c r="G28" i="21"/>
  <c r="M28" i="21"/>
  <c r="AF30" i="23" s="1"/>
  <c r="E29" i="21"/>
  <c r="I12" i="21"/>
  <c r="E14" i="21"/>
  <c r="I16" i="21"/>
  <c r="E20" i="21"/>
  <c r="I24" i="21"/>
  <c r="E26" i="21"/>
  <c r="N12" i="21"/>
  <c r="R12" i="21" s="1"/>
  <c r="S20" i="21"/>
  <c r="R24" i="21"/>
  <c r="N26" i="21"/>
  <c r="D10" i="21"/>
  <c r="H10" i="21"/>
  <c r="D12" i="21"/>
  <c r="H12" i="21"/>
  <c r="D14" i="21"/>
  <c r="H14" i="21"/>
  <c r="D16" i="21"/>
  <c r="H16" i="21"/>
  <c r="D18" i="21"/>
  <c r="H18" i="21"/>
  <c r="D20" i="21"/>
  <c r="H20" i="21"/>
  <c r="D22" i="21"/>
  <c r="H22" i="21"/>
  <c r="D24" i="21"/>
  <c r="H24" i="21"/>
  <c r="D26" i="21"/>
  <c r="H26" i="21"/>
  <c r="D28" i="21"/>
  <c r="H28" i="21"/>
  <c r="S16" i="21"/>
  <c r="S12" i="21"/>
  <c r="S17" i="21"/>
  <c r="S13" i="21"/>
  <c r="S11" i="21"/>
  <c r="S19" i="21"/>
  <c r="S15" i="21"/>
  <c r="P27" i="21"/>
  <c r="T28" i="21"/>
  <c r="B30" i="23" s="1"/>
  <c r="P28" i="21"/>
  <c r="U28" i="21"/>
  <c r="J28" i="21"/>
  <c r="N28" i="21"/>
  <c r="Q9" i="21"/>
  <c r="E37" i="21" s="1"/>
  <c r="T10" i="21"/>
  <c r="B12" i="23" s="1"/>
  <c r="N10" i="21"/>
  <c r="R10" i="21" s="1"/>
  <c r="S10" i="21"/>
  <c r="T11" i="21"/>
  <c r="B13" i="23" s="1"/>
  <c r="T12" i="21"/>
  <c r="B14" i="23" s="1"/>
  <c r="P12" i="21"/>
  <c r="Q12" i="21"/>
  <c r="N13" i="21"/>
  <c r="P13" i="21" s="1"/>
  <c r="J13" i="21"/>
  <c r="Q13" i="21"/>
  <c r="N14" i="21"/>
  <c r="S14" i="21"/>
  <c r="T15" i="21"/>
  <c r="B17" i="23" s="1"/>
  <c r="T16" i="21"/>
  <c r="B18" i="23" s="1"/>
  <c r="P16" i="21"/>
  <c r="Q16" i="21"/>
  <c r="N17" i="21"/>
  <c r="P17" i="21" s="1"/>
  <c r="J17" i="21"/>
  <c r="Q17" i="21"/>
  <c r="T18" i="21"/>
  <c r="B20" i="23" s="1"/>
  <c r="N18" i="21"/>
  <c r="R18" i="21" s="1"/>
  <c r="S18" i="21"/>
  <c r="T19" i="21"/>
  <c r="B21" i="23" s="1"/>
  <c r="T20" i="21"/>
  <c r="B22" i="23" s="1"/>
  <c r="P20" i="21"/>
  <c r="Q20" i="21"/>
  <c r="R21" i="21"/>
  <c r="N21" i="21"/>
  <c r="J21" i="21"/>
  <c r="Q21" i="21"/>
  <c r="N22" i="21"/>
  <c r="S22" i="21"/>
  <c r="T23" i="21"/>
  <c r="B25" i="23" s="1"/>
  <c r="T24" i="21"/>
  <c r="B26" i="23" s="1"/>
  <c r="P24" i="21"/>
  <c r="U24" i="21"/>
  <c r="J24" i="21"/>
  <c r="N24" i="21"/>
  <c r="S25" i="21"/>
  <c r="T26" i="21"/>
  <c r="B28" i="23" s="1"/>
  <c r="P26" i="21"/>
  <c r="R26" i="21"/>
  <c r="Q28" i="21"/>
  <c r="R27" i="21"/>
  <c r="N27" i="21"/>
  <c r="J27" i="21"/>
  <c r="S27" i="21"/>
  <c r="J11" i="21"/>
  <c r="J14" i="21"/>
  <c r="P14" i="21"/>
  <c r="P15" i="21"/>
  <c r="J22" i="21"/>
  <c r="P23" i="21"/>
  <c r="T27" i="21"/>
  <c r="B29" i="23" s="1"/>
  <c r="R28" i="21"/>
  <c r="R29" i="21"/>
  <c r="N29" i="21"/>
  <c r="J29" i="21"/>
  <c r="U29" i="21"/>
  <c r="P29" i="21"/>
  <c r="R9" i="21"/>
  <c r="J9" i="21"/>
  <c r="T9" i="21"/>
  <c r="B11" i="23" s="1"/>
  <c r="P10" i="21"/>
  <c r="U10" i="21"/>
  <c r="Q10" i="21"/>
  <c r="N11" i="21"/>
  <c r="R11" i="21" s="1"/>
  <c r="Q11" i="21"/>
  <c r="T14" i="21"/>
  <c r="B16" i="23" s="1"/>
  <c r="Q14" i="21"/>
  <c r="R15" i="21"/>
  <c r="N15" i="21"/>
  <c r="J15" i="21"/>
  <c r="U15" i="21"/>
  <c r="Q15" i="21"/>
  <c r="P18" i="21"/>
  <c r="U18" i="21"/>
  <c r="Q18" i="21"/>
  <c r="N19" i="21"/>
  <c r="R19" i="21" s="1"/>
  <c r="Q19" i="21"/>
  <c r="T22" i="21"/>
  <c r="B24" i="23" s="1"/>
  <c r="P22" i="21"/>
  <c r="Q22" i="21"/>
  <c r="R23" i="21"/>
  <c r="N23" i="21"/>
  <c r="J23" i="21"/>
  <c r="Q23" i="21"/>
  <c r="R25" i="21"/>
  <c r="N25" i="21"/>
  <c r="J25" i="21"/>
  <c r="U25" i="21"/>
  <c r="P25" i="21"/>
  <c r="U27" i="21"/>
  <c r="S28" i="21"/>
  <c r="I46" i="21" l="1"/>
  <c r="L46" i="21" s="1"/>
  <c r="Q46" i="21" s="1"/>
  <c r="G40" i="21"/>
  <c r="O64" i="21"/>
  <c r="Q64" i="21" s="1"/>
  <c r="R64" i="21" s="1"/>
  <c r="L3" i="21"/>
  <c r="S35" i="21"/>
  <c r="T35" i="21" s="1"/>
  <c r="G35" i="21"/>
  <c r="H63" i="23"/>
  <c r="H151" i="23" s="1"/>
  <c r="R88" i="23"/>
  <c r="X88" i="23" s="1"/>
  <c r="AK11" i="23"/>
  <c r="Q84" i="23" s="1"/>
  <c r="L35" i="21"/>
  <c r="I35" i="21"/>
  <c r="H35" i="21"/>
  <c r="M36" i="21"/>
  <c r="H61" i="23"/>
  <c r="T17" i="21"/>
  <c r="B19" i="23" s="1"/>
  <c r="H5" i="23"/>
  <c r="B15" i="3"/>
  <c r="E3" i="21"/>
  <c r="G41" i="21" s="1"/>
  <c r="D3" i="21"/>
  <c r="P11" i="21"/>
  <c r="U11" i="21" s="1"/>
  <c r="J10" i="21"/>
  <c r="R14" i="21"/>
  <c r="U14" i="21" s="1"/>
  <c r="J19" i="21"/>
  <c r="P9" i="21"/>
  <c r="U13" i="21"/>
  <c r="U9" i="21"/>
  <c r="J12" i="21"/>
  <c r="J16" i="21"/>
  <c r="P19" i="21"/>
  <c r="U19" i="21" s="1"/>
  <c r="J18" i="21"/>
  <c r="R17" i="21"/>
  <c r="U17" i="21" s="1"/>
  <c r="U16" i="21"/>
  <c r="R13" i="21"/>
  <c r="U12" i="21"/>
  <c r="J35" i="21" l="1"/>
  <c r="T165" i="23"/>
  <c r="P164" i="23" s="1"/>
  <c r="J40" i="21"/>
  <c r="Q40" i="21" s="1"/>
  <c r="U40" i="21" s="1"/>
  <c r="O179" i="23"/>
  <c r="O178" i="23" s="1"/>
  <c r="J41" i="21"/>
  <c r="V35" i="21"/>
  <c r="O199" i="23"/>
  <c r="V59" i="23"/>
  <c r="I90" i="23" s="1"/>
  <c r="K3" i="21"/>
  <c r="E35" i="21" s="1"/>
  <c r="H59" i="23" s="1"/>
  <c r="B8" i="3"/>
  <c r="Q138" i="23"/>
  <c r="AP59" i="23"/>
  <c r="H120" i="23"/>
  <c r="P107" i="23"/>
  <c r="J3" i="21"/>
  <c r="Y165" i="23" l="1"/>
  <c r="O170" i="23" s="1"/>
  <c r="V170" i="23" s="1"/>
  <c r="O64" i="23"/>
  <c r="F12" i="31"/>
  <c r="R3" i="21"/>
  <c r="F47" i="21" s="1"/>
  <c r="Q3" i="21"/>
  <c r="D47" i="21" s="1"/>
  <c r="P3" i="21"/>
  <c r="C47" i="21" s="1"/>
  <c r="N39" i="21"/>
  <c r="X155" i="23" s="1"/>
  <c r="N37" i="21"/>
  <c r="X124" i="23" s="1"/>
  <c r="E34" i="21"/>
  <c r="H58" i="23" s="1"/>
  <c r="N38" i="21"/>
  <c r="U138" i="23" s="1"/>
  <c r="AA138" i="23" s="1"/>
  <c r="L140" i="23" s="1"/>
  <c r="AA140" i="23" s="1"/>
  <c r="E36" i="21"/>
  <c r="H60" i="23" s="1"/>
  <c r="E47" i="21"/>
  <c r="E38" i="21"/>
  <c r="H62" i="23" s="1"/>
  <c r="N36" i="21"/>
  <c r="T107" i="23" s="1"/>
  <c r="Z107" i="23" s="1"/>
  <c r="T179" i="23"/>
  <c r="O184" i="23" s="1"/>
  <c r="V184" i="23" s="1"/>
  <c r="F12" i="24"/>
  <c r="F12" i="11"/>
  <c r="R85" i="23"/>
  <c r="X85" i="23" s="1"/>
  <c r="O191" i="23"/>
  <c r="AH64" i="23"/>
  <c r="AN198" i="23"/>
  <c r="C9" i="25"/>
  <c r="C8" i="25"/>
  <c r="C7" i="25"/>
  <c r="C6" i="25"/>
  <c r="G47" i="21" l="1"/>
  <c r="E42" i="21"/>
  <c r="H66" i="23" s="1"/>
  <c r="O36" i="21"/>
  <c r="AA60" i="23" s="1"/>
  <c r="M37" i="21"/>
  <c r="O37" i="21" s="1"/>
  <c r="AA61" i="23" s="1"/>
  <c r="O38" i="21"/>
  <c r="AA62" i="23" s="1"/>
  <c r="M39" i="21"/>
  <c r="O39" i="21" s="1"/>
  <c r="AA63" i="23" s="1"/>
  <c r="Q41" i="21"/>
  <c r="U41" i="21" s="1"/>
  <c r="O65" i="23"/>
  <c r="A48" i="13"/>
  <c r="Q35" i="21"/>
  <c r="U35" i="21" s="1"/>
  <c r="O59" i="23"/>
  <c r="J34" i="21"/>
  <c r="Q72" i="23"/>
  <c r="W72" i="23" s="1"/>
  <c r="O77" i="23" s="1"/>
  <c r="V77" i="23" s="1"/>
  <c r="L109" i="23"/>
  <c r="AA109" i="23" s="1"/>
  <c r="Q39" i="21" l="1"/>
  <c r="T39" i="21" s="1"/>
  <c r="Q38" i="21"/>
  <c r="T38" i="21" s="1"/>
  <c r="Q37" i="21"/>
  <c r="T37" i="21" s="1"/>
  <c r="M190" i="23"/>
  <c r="O198" i="23"/>
  <c r="V191" i="23"/>
  <c r="AH65" i="23"/>
  <c r="AS198" i="23"/>
  <c r="Q36" i="21"/>
  <c r="T36" i="21" s="1"/>
  <c r="T42" i="21" s="1"/>
  <c r="S42" i="21" s="1"/>
  <c r="Q34" i="21"/>
  <c r="V34" i="21" s="1"/>
  <c r="O58" i="23"/>
  <c r="AH59" i="23"/>
  <c r="O93" i="23" s="1"/>
  <c r="V93" i="23" s="1"/>
  <c r="V42" i="21" l="1"/>
  <c r="F51" i="21" s="1"/>
  <c r="AH62" i="23"/>
  <c r="U38" i="21"/>
  <c r="U36" i="21"/>
  <c r="AD198" i="23"/>
  <c r="U37" i="21"/>
  <c r="AI198" i="23"/>
  <c r="U39" i="21"/>
  <c r="T198" i="23"/>
  <c r="AA190" i="23"/>
  <c r="AH63" i="23"/>
  <c r="Y198" i="23"/>
  <c r="AH190" i="23"/>
  <c r="H191" i="23"/>
  <c r="T190" i="23"/>
  <c r="AH60" i="23"/>
  <c r="AH61" i="23"/>
  <c r="J198" i="23"/>
  <c r="F190" i="23"/>
  <c r="Q42" i="21"/>
  <c r="AH58" i="23"/>
  <c r="F9" i="24"/>
  <c r="F8" i="24"/>
  <c r="F7" i="24"/>
  <c r="F6" i="24"/>
  <c r="A4" i="24"/>
  <c r="H4" i="3"/>
  <c r="E4" i="3"/>
  <c r="C4" i="3"/>
  <c r="H3" i="3"/>
  <c r="E3" i="3"/>
  <c r="C3" i="3"/>
  <c r="C57" i="21" l="1"/>
  <c r="C54" i="21"/>
  <c r="C53" i="21"/>
  <c r="F53" i="21" s="1"/>
  <c r="F55" i="21" s="1"/>
  <c r="C59" i="21"/>
  <c r="C56" i="21"/>
  <c r="C52" i="21"/>
  <c r="E53" i="21" s="1"/>
  <c r="E55" i="21" s="1"/>
  <c r="C58" i="21"/>
  <c r="C55" i="21"/>
  <c r="U42" i="21"/>
  <c r="E51" i="21" s="1"/>
  <c r="G51" i="21" s="1"/>
  <c r="AX197" i="23"/>
  <c r="AP66" i="23"/>
  <c r="F192" i="23"/>
  <c r="AH66" i="23"/>
  <c r="F9" i="11"/>
  <c r="F8" i="11"/>
  <c r="F7" i="11"/>
  <c r="F6" i="11"/>
  <c r="E52" i="21" l="1"/>
  <c r="G52" i="21" s="1"/>
  <c r="E56" i="21" s="1"/>
  <c r="E57" i="21" s="1"/>
  <c r="G55" i="21"/>
  <c r="A4" i="11"/>
  <c r="G39" i="31" l="1"/>
  <c r="G40" i="24" l="1"/>
  <c r="F40" i="11"/>
  <c r="H39" i="31"/>
  <c r="F41" i="24"/>
  <c r="A41" i="24"/>
  <c r="I212" i="23" l="1"/>
  <c r="G40" i="11"/>
  <c r="H40" i="24"/>
  <c r="C46" i="21"/>
  <c r="G46" i="21" s="1"/>
  <c r="H46" i="21" s="1"/>
  <c r="R46" i="21" s="1"/>
  <c r="S3" i="21" s="1"/>
  <c r="B14" i="3"/>
  <c r="C14" i="3" s="1"/>
  <c r="D14" i="3" s="1"/>
  <c r="E14" i="3" s="1"/>
  <c r="F14" i="3" s="1"/>
  <c r="G14" i="3" s="1"/>
  <c r="C43" i="13" l="1"/>
  <c r="J46" i="21"/>
  <c r="I71" i="23"/>
  <c r="I83" i="23"/>
  <c r="O46" i="21" l="1"/>
  <c r="K46" i="21"/>
  <c r="M46" i="21" s="1"/>
  <c r="H132" i="23"/>
  <c r="P155" i="23"/>
  <c r="AD155" i="23" s="1"/>
  <c r="L157" i="23" s="1"/>
  <c r="Y157" i="23" s="1"/>
  <c r="P124" i="23"/>
  <c r="AD124" i="23" s="1"/>
  <c r="L126" i="23" s="1"/>
  <c r="Y126" i="23" s="1"/>
  <c r="H98" i="23"/>
  <c r="Z9" i="21" l="1"/>
  <c r="Y10" i="21"/>
  <c r="Y12" i="21"/>
  <c r="Y14" i="21"/>
  <c r="Y16" i="21"/>
  <c r="Y18" i="21"/>
  <c r="Y20" i="21"/>
  <c r="Y22" i="21"/>
  <c r="Y24" i="21"/>
  <c r="Y26" i="21"/>
  <c r="Y28" i="21"/>
  <c r="Z15" i="21"/>
  <c r="Z21" i="21"/>
  <c r="Z29" i="21"/>
  <c r="Z10" i="21"/>
  <c r="Z12" i="21"/>
  <c r="Z14" i="21"/>
  <c r="Z16" i="21"/>
  <c r="Z18" i="21"/>
  <c r="Z20" i="21"/>
  <c r="Z22" i="21"/>
  <c r="Z24" i="21"/>
  <c r="Z26" i="21"/>
  <c r="Z28" i="21"/>
  <c r="Z13" i="21"/>
  <c r="Z19" i="21"/>
  <c r="Z25" i="21"/>
  <c r="Y11" i="21"/>
  <c r="Y13" i="21"/>
  <c r="Y15" i="21"/>
  <c r="Y17" i="21"/>
  <c r="Y19" i="21"/>
  <c r="Y21" i="21"/>
  <c r="L29" i="31" s="1"/>
  <c r="Y23" i="21"/>
  <c r="Y25" i="21"/>
  <c r="Y27" i="21"/>
  <c r="Y29" i="21"/>
  <c r="Z11" i="21"/>
  <c r="Z17" i="21"/>
  <c r="Z23" i="21"/>
  <c r="Z27" i="21"/>
  <c r="Y9" i="21"/>
  <c r="P46" i="21"/>
  <c r="N46" i="21"/>
  <c r="F194" i="23"/>
  <c r="L23" i="31" l="1"/>
  <c r="L27" i="31"/>
  <c r="L36" i="31"/>
  <c r="L26" i="31"/>
  <c r="L22" i="31"/>
  <c r="H12" i="30"/>
  <c r="L21" i="31"/>
  <c r="AB25" i="21"/>
  <c r="F25" i="30" s="1"/>
  <c r="AB24" i="21"/>
  <c r="F24" i="30" s="1"/>
  <c r="AA18" i="21"/>
  <c r="F26" i="31" s="1"/>
  <c r="AB21" i="21"/>
  <c r="F21" i="30" s="1"/>
  <c r="AD10" i="21"/>
  <c r="G10" i="30" s="1"/>
  <c r="AC19" i="21"/>
  <c r="G27" i="11" s="1"/>
  <c r="AD26" i="21"/>
  <c r="H34" i="31" s="1"/>
  <c r="AC29" i="21"/>
  <c r="K37" i="31" s="1"/>
  <c r="AA23" i="21"/>
  <c r="F31" i="31" s="1"/>
  <c r="AD17" i="21"/>
  <c r="G17" i="30" s="1"/>
  <c r="AB12" i="21"/>
  <c r="F12" i="30" s="1"/>
  <c r="AB20" i="21"/>
  <c r="F20" i="30" s="1"/>
  <c r="AC27" i="21"/>
  <c r="K35" i="31" s="1"/>
  <c r="AC22" i="21"/>
  <c r="G30" i="24" s="1"/>
  <c r="AC12" i="21"/>
  <c r="K20" i="31" s="1"/>
  <c r="AA22" i="21"/>
  <c r="F30" i="31" s="1"/>
  <c r="AC10" i="21"/>
  <c r="G18" i="11" s="1"/>
  <c r="AB11" i="21"/>
  <c r="F11" i="30" s="1"/>
  <c r="AA14" i="21"/>
  <c r="F22" i="31" s="1"/>
  <c r="AB13" i="21"/>
  <c r="F13" i="30" s="1"/>
  <c r="AA25" i="21"/>
  <c r="F33" i="31" s="1"/>
  <c r="AA11" i="21"/>
  <c r="F19" i="31" s="1"/>
  <c r="AB14" i="21"/>
  <c r="F14" i="30" s="1"/>
  <c r="AB18" i="21"/>
  <c r="F18" i="30" s="1"/>
  <c r="AA12" i="21"/>
  <c r="F20" i="31" s="1"/>
  <c r="L35" i="31"/>
  <c r="AC25" i="21"/>
  <c r="K33" i="31" s="1"/>
  <c r="AD15" i="21"/>
  <c r="H23" i="31" s="1"/>
  <c r="AA16" i="21"/>
  <c r="F24" i="31" s="1"/>
  <c r="AC28" i="21"/>
  <c r="K36" i="31" s="1"/>
  <c r="AA15" i="21"/>
  <c r="F23" i="31" s="1"/>
  <c r="AB22" i="21"/>
  <c r="J30" i="31" s="1"/>
  <c r="AB29" i="21"/>
  <c r="F29" i="30" s="1"/>
  <c r="AA28" i="21"/>
  <c r="F36" i="11" s="1"/>
  <c r="AB17" i="21"/>
  <c r="F17" i="30" s="1"/>
  <c r="AD14" i="21"/>
  <c r="G14" i="30" s="1"/>
  <c r="AC11" i="21"/>
  <c r="G19" i="11" s="1"/>
  <c r="AC20" i="21"/>
  <c r="G28" i="11" s="1"/>
  <c r="AC24" i="21"/>
  <c r="G32" i="11" s="1"/>
  <c r="AC26" i="21"/>
  <c r="K34" i="31" s="1"/>
  <c r="L18" i="31"/>
  <c r="AA13" i="21"/>
  <c r="F21" i="31" s="1"/>
  <c r="AC21" i="21"/>
  <c r="K29" i="31" s="1"/>
  <c r="AB23" i="21"/>
  <c r="J31" i="31" s="1"/>
  <c r="AA9" i="21"/>
  <c r="F17" i="31" s="1"/>
  <c r="AA21" i="21"/>
  <c r="F29" i="31" s="1"/>
  <c r="AA26" i="21"/>
  <c r="F34" i="11" s="1"/>
  <c r="AA19" i="21"/>
  <c r="F27" i="31" s="1"/>
  <c r="AA24" i="21"/>
  <c r="F32" i="31" s="1"/>
  <c r="AB10" i="21"/>
  <c r="F10" i="30" s="1"/>
  <c r="AC23" i="21"/>
  <c r="G31" i="11" s="1"/>
  <c r="AB28" i="21"/>
  <c r="F28" i="30" s="1"/>
  <c r="AA29" i="21"/>
  <c r="F37" i="11" s="1"/>
  <c r="AC9" i="21"/>
  <c r="G17" i="11" s="1"/>
  <c r="AB15" i="21"/>
  <c r="F15" i="30" s="1"/>
  <c r="AA10" i="21"/>
  <c r="F18" i="31" s="1"/>
  <c r="AB19" i="21"/>
  <c r="F19" i="30" s="1"/>
  <c r="S46" i="21"/>
  <c r="L33" i="31"/>
  <c r="AD28" i="21"/>
  <c r="G28" i="30" s="1"/>
  <c r="AD21" i="21"/>
  <c r="G21" i="30" s="1"/>
  <c r="AD25" i="21"/>
  <c r="G25" i="30" s="1"/>
  <c r="L24" i="31"/>
  <c r="AB16" i="21"/>
  <c r="F16" i="30" s="1"/>
  <c r="AC13" i="21"/>
  <c r="G21" i="11" s="1"/>
  <c r="L32" i="31"/>
  <c r="AB9" i="21"/>
  <c r="F9" i="30" s="1"/>
  <c r="AD29" i="21"/>
  <c r="G29" i="30" s="1"/>
  <c r="AD11" i="21"/>
  <c r="H19" i="31" s="1"/>
  <c r="AD23" i="21"/>
  <c r="G23" i="30" s="1"/>
  <c r="L30" i="31"/>
  <c r="AD13" i="21"/>
  <c r="G13" i="30" s="1"/>
  <c r="H26" i="30"/>
  <c r="L37" i="31"/>
  <c r="AD9" i="21"/>
  <c r="G9" i="30" s="1"/>
  <c r="L19" i="31"/>
  <c r="AD19" i="21"/>
  <c r="G19" i="30" s="1"/>
  <c r="AD12" i="21"/>
  <c r="G12" i="30" s="1"/>
  <c r="L31" i="31"/>
  <c r="AD20" i="21"/>
  <c r="G20" i="30" s="1"/>
  <c r="AD18" i="21"/>
  <c r="G18" i="30" s="1"/>
  <c r="L28" i="31"/>
  <c r="AD16" i="21"/>
  <c r="G16" i="30" s="1"/>
  <c r="AA17" i="21"/>
  <c r="F25" i="31" s="1"/>
  <c r="AC17" i="21"/>
  <c r="G25" i="24" s="1"/>
  <c r="AB27" i="21"/>
  <c r="F27" i="30" s="1"/>
  <c r="AA20" i="21"/>
  <c r="F28" i="31" s="1"/>
  <c r="AB26" i="21"/>
  <c r="F26" i="30" s="1"/>
  <c r="AD22" i="21"/>
  <c r="H30" i="31" s="1"/>
  <c r="AC18" i="21"/>
  <c r="K26" i="31" s="1"/>
  <c r="AA27" i="21"/>
  <c r="F35" i="11" s="1"/>
  <c r="AC15" i="21"/>
  <c r="G23" i="11" s="1"/>
  <c r="AC16" i="21"/>
  <c r="G24" i="24" s="1"/>
  <c r="AD24" i="21"/>
  <c r="G24" i="30" s="1"/>
  <c r="AC14" i="21"/>
  <c r="G22" i="11" s="1"/>
  <c r="AD27" i="21"/>
  <c r="H21" i="30"/>
  <c r="H28" i="30"/>
  <c r="M212" i="23"/>
  <c r="R212" i="23" s="1"/>
  <c r="J197" i="23"/>
  <c r="L17" i="31" l="1"/>
  <c r="AE8" i="21"/>
  <c r="AF29" i="21"/>
  <c r="Q37" i="31" s="1"/>
  <c r="AF28" i="21"/>
  <c r="Q36" i="31" s="1"/>
  <c r="AF24" i="21"/>
  <c r="Q32" i="31" s="1"/>
  <c r="AF20" i="21"/>
  <c r="Q28" i="31" s="1"/>
  <c r="AF16" i="21"/>
  <c r="Q24" i="31" s="1"/>
  <c r="AF27" i="21"/>
  <c r="Q35" i="31" s="1"/>
  <c r="AF23" i="21"/>
  <c r="Q31" i="31" s="1"/>
  <c r="AF19" i="21"/>
  <c r="Q27" i="31" s="1"/>
  <c r="AF15" i="21"/>
  <c r="Q23" i="31" s="1"/>
  <c r="AF11" i="21"/>
  <c r="Q19" i="31" s="1"/>
  <c r="AF26" i="21"/>
  <c r="Q34" i="31" s="1"/>
  <c r="AF22" i="21"/>
  <c r="Q30" i="31" s="1"/>
  <c r="AF18" i="21"/>
  <c r="Q26" i="31" s="1"/>
  <c r="AF14" i="21"/>
  <c r="Q22" i="31" s="1"/>
  <c r="AF10" i="21"/>
  <c r="Q18" i="31" s="1"/>
  <c r="AF25" i="21"/>
  <c r="Q33" i="31" s="1"/>
  <c r="AF21" i="21"/>
  <c r="Q29" i="31" s="1"/>
  <c r="AF17" i="21"/>
  <c r="Q25" i="31" s="1"/>
  <c r="AF13" i="21"/>
  <c r="Q21" i="31" s="1"/>
  <c r="AF9" i="21"/>
  <c r="Q17" i="31" s="1"/>
  <c r="AF12" i="21"/>
  <c r="Q20" i="31" s="1"/>
  <c r="T46" i="21"/>
  <c r="F39" i="24" s="1"/>
  <c r="H19" i="30"/>
  <c r="H15" i="30"/>
  <c r="H18" i="30"/>
  <c r="L20" i="31"/>
  <c r="G34" i="11"/>
  <c r="J37" i="31"/>
  <c r="H14" i="30"/>
  <c r="J23" i="31"/>
  <c r="J32" i="31"/>
  <c r="H18" i="31"/>
  <c r="G28" i="24"/>
  <c r="F30" i="24"/>
  <c r="H36" i="31"/>
  <c r="F31" i="24"/>
  <c r="E22" i="30"/>
  <c r="F31" i="11"/>
  <c r="E24" i="30"/>
  <c r="J28" i="31"/>
  <c r="F36" i="31"/>
  <c r="J33" i="31"/>
  <c r="F22" i="11"/>
  <c r="G20" i="11"/>
  <c r="F22" i="24"/>
  <c r="H13" i="30"/>
  <c r="G20" i="24"/>
  <c r="G34" i="24"/>
  <c r="H25" i="30"/>
  <c r="F29" i="11"/>
  <c r="J29" i="31"/>
  <c r="G37" i="24"/>
  <c r="K27" i="31"/>
  <c r="H31" i="31"/>
  <c r="F28" i="11"/>
  <c r="H16" i="30"/>
  <c r="E16" i="30"/>
  <c r="F27" i="11"/>
  <c r="F27" i="24"/>
  <c r="F20" i="11"/>
  <c r="F20" i="24"/>
  <c r="F24" i="24"/>
  <c r="F23" i="30"/>
  <c r="E14" i="30"/>
  <c r="H24" i="30"/>
  <c r="J20" i="31"/>
  <c r="G37" i="11"/>
  <c r="F24" i="11"/>
  <c r="H37" i="31"/>
  <c r="E19" i="30"/>
  <c r="E12" i="30"/>
  <c r="J22" i="31"/>
  <c r="K17" i="31"/>
  <c r="G35" i="24"/>
  <c r="G31" i="24"/>
  <c r="E18" i="30"/>
  <c r="H25" i="31"/>
  <c r="H33" i="31"/>
  <c r="E23" i="30"/>
  <c r="E9" i="30"/>
  <c r="E11" i="30"/>
  <c r="F32" i="24"/>
  <c r="G36" i="24"/>
  <c r="F30" i="11"/>
  <c r="K32" i="31"/>
  <c r="K18" i="31"/>
  <c r="K21" i="31"/>
  <c r="F21" i="11"/>
  <c r="F22" i="30"/>
  <c r="F34" i="24"/>
  <c r="K31" i="31"/>
  <c r="E29" i="30"/>
  <c r="G18" i="24"/>
  <c r="G19" i="24"/>
  <c r="K19" i="31"/>
  <c r="G21" i="24"/>
  <c r="G26" i="30"/>
  <c r="K30" i="31"/>
  <c r="J26" i="31"/>
  <c r="G29" i="24"/>
  <c r="F34" i="31"/>
  <c r="F19" i="11"/>
  <c r="J19" i="31"/>
  <c r="G29" i="11"/>
  <c r="G30" i="11"/>
  <c r="E26" i="30"/>
  <c r="G35" i="11"/>
  <c r="F19" i="24"/>
  <c r="F26" i="11"/>
  <c r="H22" i="31"/>
  <c r="G15" i="30"/>
  <c r="F26" i="24"/>
  <c r="G27" i="24"/>
  <c r="G17" i="24"/>
  <c r="J17" i="31"/>
  <c r="H20" i="30"/>
  <c r="H29" i="31"/>
  <c r="E13" i="30"/>
  <c r="F33" i="11"/>
  <c r="F33" i="24"/>
  <c r="H29" i="30"/>
  <c r="J25" i="31"/>
  <c r="J18" i="31"/>
  <c r="F37" i="31"/>
  <c r="F37" i="24"/>
  <c r="F17" i="24"/>
  <c r="F17" i="11"/>
  <c r="E15" i="30"/>
  <c r="F29" i="24"/>
  <c r="G33" i="24"/>
  <c r="H9" i="30"/>
  <c r="F32" i="11"/>
  <c r="G36" i="11"/>
  <c r="G33" i="11"/>
  <c r="J36" i="31"/>
  <c r="G32" i="24"/>
  <c r="H28" i="31"/>
  <c r="F18" i="11"/>
  <c r="J24" i="31"/>
  <c r="J27" i="31"/>
  <c r="H10" i="30"/>
  <c r="F25" i="11"/>
  <c r="F23" i="24"/>
  <c r="L34" i="31"/>
  <c r="F23" i="11"/>
  <c r="F21" i="24"/>
  <c r="H27" i="30"/>
  <c r="H11" i="30"/>
  <c r="J21" i="31"/>
  <c r="E21" i="30"/>
  <c r="E25" i="30"/>
  <c r="F36" i="24"/>
  <c r="E28" i="30"/>
  <c r="K28" i="31"/>
  <c r="E10" i="30"/>
  <c r="F18" i="24"/>
  <c r="H17" i="30"/>
  <c r="H27" i="31"/>
  <c r="G26" i="11"/>
  <c r="L25" i="31"/>
  <c r="G11" i="30"/>
  <c r="H22" i="30"/>
  <c r="H24" i="31"/>
  <c r="F25" i="24"/>
  <c r="E17" i="30"/>
  <c r="H21" i="31"/>
  <c r="H17" i="31"/>
  <c r="H20" i="31"/>
  <c r="F28" i="24"/>
  <c r="G23" i="24"/>
  <c r="H23" i="30"/>
  <c r="H26" i="31"/>
  <c r="E27" i="30"/>
  <c r="J34" i="31"/>
  <c r="F35" i="24"/>
  <c r="G25" i="11"/>
  <c r="K23" i="31"/>
  <c r="F35" i="31"/>
  <c r="G26" i="24"/>
  <c r="K25" i="31"/>
  <c r="H32" i="31"/>
  <c r="J35" i="31"/>
  <c r="E20" i="30"/>
  <c r="K24" i="31"/>
  <c r="G27" i="30"/>
  <c r="H35" i="31"/>
  <c r="G24" i="11"/>
  <c r="G22" i="30"/>
  <c r="G22" i="24"/>
  <c r="K22" i="31"/>
  <c r="T3" i="21" l="1"/>
  <c r="A50" i="13" s="1"/>
  <c r="F39" i="11"/>
</calcChain>
</file>

<file path=xl/sharedStrings.xml><?xml version="1.0" encoding="utf-8"?>
<sst xmlns="http://schemas.openxmlformats.org/spreadsheetml/2006/main" count="800" uniqueCount="570">
  <si>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</si>
  <si>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</si>
  <si>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</si>
  <si>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</si>
  <si>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</si>
  <si>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</si>
  <si>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</si>
  <si>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</si>
  <si>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</si>
  <si>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</si>
  <si>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</si>
  <si>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</si>
  <si>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</si>
  <si>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</si>
  <si>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</si>
  <si>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</si>
  <si>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</si>
  <si>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</si>
  <si>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</si>
  <si>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</si>
  <si>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</si>
  <si>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</si>
  <si>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</si>
  <si>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</si>
  <si>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</si>
  <si>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</si>
  <si>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</si>
  <si>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</si>
  <si>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</si>
  <si>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</si>
  <si>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</si>
  <si>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</si>
  <si>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</si>
  <si>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</si>
  <si>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</si>
  <si>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</si>
  <si>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</si>
  <si>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</si>
  <si>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</si>
  <si>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</si>
  <si>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</si>
  <si>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</si>
  <si>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</si>
  <si>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</si>
  <si>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</si>
  <si>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</si>
  <si>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</si>
  <si>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</si>
  <si>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</si>
  <si>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</si>
  <si>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</si>
  <si>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</si>
  <si>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</si>
  <si>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</si>
  <si>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</si>
  <si>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</si>
  <si>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</si>
  <si>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</si>
  <si>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</si>
  <si>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</si>
  <si>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</si>
  <si>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</si>
  <si>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</si>
  <si>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</si>
  <si>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</si>
  <si>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</si>
  <si>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</si>
  <si>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</si>
  <si>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</si>
  <si>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</si>
  <si>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</si>
  <si>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</si>
  <si>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</si>
  <si>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</si>
  <si>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</si>
  <si>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</si>
  <si>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</si>
  <si>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</si>
  <si>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</si>
  <si>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</si>
  <si>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</si>
  <si>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</si>
  <si>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</si>
  <si>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</si>
  <si>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</si>
  <si>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</si>
  <si>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</si>
  <si>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</si>
  <si>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</si>
  <si>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</si>
  <si>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</si>
  <si>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</si>
  <si>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</si>
  <si>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</si>
  <si>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</si>
  <si>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</si>
  <si>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</si>
  <si>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</si>
  <si>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</si>
  <si>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</si>
  <si>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</si>
  <si>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</si>
  <si>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</si>
  <si>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</si>
  <si>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</si>
  <si>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</si>
  <si>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</si>
  <si>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</si>
  <si>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</si>
  <si>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</si>
  <si>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</si>
  <si>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</si>
  <si>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</si>
  <si>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</si>
  <si>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</si>
  <si>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</si>
  <si>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</si>
  <si>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</si>
  <si>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</si>
  <si>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</si>
  <si>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</si>
  <si>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</si>
  <si>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</si>
  <si>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</si>
  <si>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</si>
  <si>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</si>
  <si>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</si>
  <si>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</si>
  <si>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</si>
  <si>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</si>
  <si>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</si>
  <si>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</si>
  <si>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</si>
  <si>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</si>
  <si>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</si>
  <si>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</si>
  <si>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</si>
  <si>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불확도 단위</t>
    <phoneticPr fontId="4" type="noConversion"/>
  </si>
  <si>
    <t>k</t>
    <phoneticPr fontId="4" type="noConversion"/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</si>
  <si>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</si>
  <si>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</si>
  <si>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</si>
  <si>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</si>
  <si>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</si>
  <si>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</si>
  <si>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</si>
  <si>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</si>
  <si>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</si>
  <si>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</si>
  <si>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</si>
  <si>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</si>
  <si>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</si>
  <si>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</si>
  <si>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열팽창계수</t>
    <phoneticPr fontId="4" type="noConversion"/>
  </si>
  <si>
    <t>온도차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</si>
  <si>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</si>
  <si>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</si>
  <si>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</si>
  <si>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</si>
  <si>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</si>
  <si>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</si>
  <si>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</si>
  <si>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</si>
  <si>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</si>
  <si>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</si>
  <si>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</si>
  <si>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</si>
  <si>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</si>
  <si>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</si>
  <si>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</si>
  <si>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</si>
  <si>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</si>
  <si>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</si>
  <si>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</si>
  <si>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</si>
  <si>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</si>
  <si>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</si>
  <si>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</si>
  <si>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</si>
  <si>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</si>
  <si>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</si>
  <si>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</si>
  <si>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</si>
  <si>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</si>
  <si>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</si>
  <si>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</si>
  <si>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</si>
  <si>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</si>
  <si>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</si>
  <si>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</si>
  <si>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</si>
  <si>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</si>
  <si>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</si>
  <si>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</si>
  <si>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</si>
  <si>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</si>
  <si>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</si>
  <si>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</si>
  <si>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</si>
  <si>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</si>
  <si>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</si>
  <si>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</si>
  <si>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</si>
  <si>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</si>
  <si>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</si>
  <si>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</si>
  <si>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</si>
  <si>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</si>
  <si>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</si>
  <si>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</si>
  <si>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</si>
  <si>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</si>
  <si>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</si>
  <si>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</si>
  <si>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불확도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</si>
  <si>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</si>
  <si>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</si>
  <si>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</si>
  <si>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</si>
  <si>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</si>
  <si>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</si>
  <si>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</si>
  <si>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</si>
  <si>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</si>
  <si>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</si>
  <si>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</si>
  <si>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</si>
  <si>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</si>
  <si>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</si>
  <si>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</si>
  <si>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</si>
  <si>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</si>
  <si>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</si>
  <si>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</si>
  <si>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</si>
  <si>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눈금값</t>
    <phoneticPr fontId="4" type="noConversion"/>
  </si>
  <si>
    <t>보정값</t>
    <phoneticPr fontId="4" type="noConversion"/>
  </si>
  <si>
    <t>(mm)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</si>
  <si>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</si>
  <si>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</si>
  <si>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</si>
  <si>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</si>
  <si>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</si>
  <si>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</si>
  <si>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</si>
  <si>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</si>
  <si>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</si>
  <si>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</si>
  <si>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</si>
  <si>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</si>
  <si>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</si>
  <si>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</si>
  <si>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</si>
  <si>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</si>
  <si>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</si>
  <si>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</si>
  <si>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</si>
  <si>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기준기의 교정값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</si>
  <si>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</si>
  <si>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기준기의 명목값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</si>
  <si>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</si>
  <si>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</si>
  <si>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</si>
  <si>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</si>
  <si>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</si>
  <si>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</si>
  <si>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</si>
  <si>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</si>
  <si>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</si>
  <si>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</si>
  <si>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</si>
  <si>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</si>
  <si>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</si>
  <si>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</si>
  <si>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</si>
  <si>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</si>
  <si>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</si>
  <si>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</si>
  <si>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</si>
  <si>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</si>
  <si>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</si>
  <si>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</si>
  <si>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</si>
  <si>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</si>
  <si>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</si>
  <si>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</si>
  <si>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</si>
  <si>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</si>
  <si>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</si>
  <si>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</si>
  <si>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</si>
  <si>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</si>
  <si>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</si>
  <si>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</si>
  <si>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</si>
  <si>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</si>
  <si>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</si>
  <si>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</si>
  <si>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</si>
  <si>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</si>
  <si>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r>
      <t>=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i/>
        <sz val="10"/>
        <rFont val="Times New Roman"/>
        <family val="1"/>
      </rPr>
      <t>+α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)/2</t>
    </r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</si>
  <si>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</si>
  <si>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</si>
  <si>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</si>
  <si>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</si>
  <si>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</si>
  <si>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</si>
  <si>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</si>
  <si>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</si>
  <si>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</si>
  <si>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</si>
  <si>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</si>
  <si>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</si>
  <si>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</si>
  <si>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</si>
  <si>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</si>
  <si>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</si>
  <si>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</si>
  <si>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</si>
  <si>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</si>
  <si>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</si>
  <si>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℃×</t>
    <phoneticPr fontId="4" type="noConversion"/>
  </si>
  <si>
    <t>=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</si>
  <si>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</si>
  <si>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×</t>
    <phoneticPr fontId="4" type="noConversion"/>
  </si>
  <si>
    <t>=</t>
    <phoneticPr fontId="4" type="noConversion"/>
  </si>
  <si>
    <t>｜</t>
    <phoneticPr fontId="4" type="noConversion"/>
  </si>
  <si>
    <t>×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</si>
  <si>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</si>
  <si>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</si>
  <si>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</si>
  <si>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</si>
  <si>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</si>
  <si>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</si>
  <si>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</si>
  <si>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</si>
  <si>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</si>
  <si>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</si>
  <si>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</si>
  <si>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</si>
  <si>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</si>
  <si>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</si>
  <si>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</si>
  <si>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</si>
  <si>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</si>
  <si>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</si>
  <si>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</si>
  <si>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</si>
  <si>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</si>
  <si>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</si>
  <si>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</si>
  <si>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</si>
  <si>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</si>
  <si>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</si>
  <si>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</si>
  <si>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</si>
  <si>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</si>
  <si>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</si>
  <si>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</si>
  <si>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</si>
  <si>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</si>
  <si>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반녀비의 비율을 구하고 사다리꼴 분포에 해당하는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</si>
  <si>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</si>
  <si>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</si>
  <si>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</si>
  <si>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</si>
  <si>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</si>
  <si>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</si>
  <si>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</si>
  <si>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교정점(최대)</t>
    <phoneticPr fontId="4" type="noConversion"/>
  </si>
  <si>
    <t>교정점(추가)</t>
    <phoneticPr fontId="4" type="noConversion"/>
  </si>
  <si>
    <t>인치?</t>
    <phoneticPr fontId="4" type="noConversion"/>
  </si>
  <si>
    <t>소계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</si>
  <si>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</si>
  <si>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</si>
  <si>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다이얼게이지 S/N</t>
    <phoneticPr fontId="4" type="noConversion"/>
  </si>
  <si>
    <t>다이얼게이지 S/N</t>
    <phoneticPr fontId="4" type="noConversion"/>
  </si>
  <si>
    <t>실린더 게이지 지시값</t>
    <phoneticPr fontId="4" type="noConversion"/>
  </si>
  <si>
    <t>실린더 게이지 지시값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</si>
  <si>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</si>
  <si>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표준온도에서 실린더 게이지의 보정값</t>
    <phoneticPr fontId="4" type="noConversion"/>
  </si>
  <si>
    <t>실린더 게이지의 지시값</t>
    <phoneticPr fontId="4" type="noConversion"/>
  </si>
  <si>
    <t>실린더 게이지와 기준기의 평균열팽창계수</t>
  </si>
  <si>
    <t>실린더 게이지와 기준기의 온도차이</t>
  </si>
  <si>
    <t>실린더 게이지와 기준기의 열팽창계수 차이</t>
  </si>
  <si>
    <t>실린더 게이지와 기준기의 평균 온도값과 기준온도와의 차</t>
  </si>
  <si>
    <t>실린더 게이지의 분해능 한계에 대한 보정값 (기대값=0)</t>
  </si>
  <si>
    <t>B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</si>
  <si>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</si>
  <si>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</si>
  <si>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A3. 확률분포 :</t>
    <phoneticPr fontId="4" type="noConversion"/>
  </si>
  <si>
    <t>실린더 게이지 설치시 여현오차에 의한 보정값 (기대값=0)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</si>
  <si>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실린더 게이지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</si>
  <si>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실린더 게이지와 기준기의 평균 열팽창계수 :</t>
    <phoneticPr fontId="4" type="noConversion"/>
  </si>
  <si>
    <r>
      <t xml:space="preserve">※ 실린더 게이지와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</si>
  <si>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※ 여현오차 :</t>
    <phoneticPr fontId="4" type="noConversion"/>
  </si>
  <si>
    <t>여현오차</t>
    <phoneticPr fontId="4" type="noConversion"/>
  </si>
  <si>
    <t>실린더 게이지의 지시값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</si>
  <si>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</si>
  <si>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</si>
  <si>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측정점 기준</t>
    <phoneticPr fontId="4" type="noConversion"/>
  </si>
  <si>
    <t>추가 측정점마다 10 % 추가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</si>
  <si>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</si>
  <si>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</si>
  <si>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</si>
  <si>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명목값</t>
    <phoneticPr fontId="4" type="noConversion"/>
  </si>
  <si>
    <t>■ 측정불확도</t>
    <phoneticPr fontId="4" type="noConversion"/>
  </si>
  <si>
    <t>사용중지?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</si>
  <si>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</si>
  <si>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</si>
  <si>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</si>
  <si>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</si>
  <si>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</si>
  <si>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</si>
  <si>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</si>
  <si>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</si>
  <si>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E</t>
    <phoneticPr fontId="4" type="noConversion"/>
  </si>
  <si>
    <t>E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</si>
  <si>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</si>
  <si>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t>D1. 추정값 :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</si>
  <si>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</si>
  <si>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</si>
  <si>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</si>
  <si>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D6. 자유도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</si>
  <si>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</si>
  <si>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</si>
  <si>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</si>
  <si>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</si>
  <si>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</si>
  <si>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</si>
  <si>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</si>
  <si>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</si>
  <si>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</si>
  <si>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</si>
  <si>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</si>
  <si>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r>
      <t xml:space="preserve">3. 실린더 게이지와 기준기의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</si>
  <si>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실린더 게이지와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</si>
  <si>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5. 실린더 게이지와 기준기의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</si>
  <si>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실린더 게이지와 기준기의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</si>
  <si>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삼각형</t>
    <phoneticPr fontId="4" type="noConversion"/>
  </si>
  <si>
    <t>삼각형</t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</si>
  <si>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</si>
  <si>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</si>
  <si>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</si>
  <si>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※ 열평형 상태에서 교정실의 온도가 변화할 경우 실린더 게이지의 온도에 변화가 발생하고,</t>
    <phoneticPr fontId="4" type="noConversion"/>
  </si>
  <si>
    <t>이때 온도 드리프트가 1 ℃정도 라고 추정하면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</si>
  <si>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</si>
  <si>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</si>
  <si>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℃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</si>
  <si>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</si>
  <si>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여기에 직사각형 확률분포를 적용하여 계산하면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</si>
  <si>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</si>
  <si>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</si>
  <si>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※ 실린더 게이지의 분해능의 반범위에 직사각형 확률분포를 적용하여 계산한다.</t>
    <phoneticPr fontId="4" type="noConversion"/>
  </si>
  <si>
    <t>d</t>
    <phoneticPr fontId="4" type="noConversion"/>
  </si>
  <si>
    <t>μm</t>
    <phoneticPr fontId="4" type="noConversion"/>
  </si>
  <si>
    <t>※ 실린더 게이지 교정시 측정면과 수직으로 설치하여야 하나 정확한 수직으로 설치하기 어렵기 때문에</t>
    <phoneticPr fontId="4" type="noConversion"/>
  </si>
  <si>
    <t>여현오차가 발생한다. 이때 발생하는 여현오차에 직사각형 확룰 분포를 적용하여 계산한다.</t>
    <phoneticPr fontId="4" type="noConversion"/>
  </si>
  <si>
    <t>×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</si>
  <si>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</si>
  <si>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</si>
  <si>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</si>
  <si>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</si>
  <si>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</si>
  <si>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</si>
  <si>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</si>
  <si>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</si>
  <si>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</si>
  <si>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</si>
  <si>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</si>
  <si>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</si>
  <si>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자리수 맞춤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</si>
  <si>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</si>
  <si>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</si>
  <si>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</si>
  <si>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</si>
  <si>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</si>
  <si>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</si>
  <si>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</si>
  <si>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</si>
  <si>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</si>
  <si>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</si>
  <si>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</si>
  <si>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</si>
  <si>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</si>
  <si>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</si>
  <si>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</si>
  <si>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</si>
  <si>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</si>
  <si>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</si>
  <si>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</si>
  <si>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</si>
  <si>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</si>
  <si>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</si>
  <si>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</si>
  <si>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</si>
  <si>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</si>
  <si>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</si>
  <si>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</si>
  <si>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</si>
  <si>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mm</t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</si>
  <si>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</si>
  <si>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</si>
  <si>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</si>
  <si>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</si>
  <si>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</si>
  <si>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</si>
  <si>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</si>
  <si>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</si>
  <si>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기타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</si>
  <si>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</si>
  <si>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</si>
  <si>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</si>
  <si>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</si>
  <si>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</si>
  <si>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</si>
  <si>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</si>
  <si>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</si>
  <si>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</si>
  <si>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</si>
  <si>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</si>
  <si>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</si>
  <si>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</si>
  <si>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</si>
  <si>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</si>
  <si>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</si>
  <si>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</si>
  <si>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</si>
  <si>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</si>
  <si>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번호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</si>
  <si>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</si>
  <si>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</si>
  <si>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</si>
  <si>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</si>
  <si>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</si>
  <si>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</si>
  <si>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</si>
  <si>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</si>
  <si>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</si>
  <si>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직사각형분포</t>
    <phoneticPr fontId="4" type="noConversion"/>
  </si>
  <si>
    <t>영향</t>
    <phoneticPr fontId="4" type="noConversion"/>
  </si>
  <si>
    <t>직사각형</t>
    <phoneticPr fontId="4" type="noConversion"/>
  </si>
  <si>
    <t>비율</t>
    <phoneticPr fontId="4" type="noConversion"/>
  </si>
  <si>
    <t>크기순</t>
    <phoneticPr fontId="4" type="noConversion"/>
  </si>
  <si>
    <t>주 기여량</t>
    <phoneticPr fontId="4" type="noConversion"/>
  </si>
  <si>
    <t>직사각형
분포 성분</t>
    <phoneticPr fontId="4" type="noConversion"/>
  </si>
  <si>
    <t>확률분포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</si>
  <si>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</si>
  <si>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</si>
  <si>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</si>
  <si>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</si>
  <si>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</si>
  <si>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</si>
  <si>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</si>
  <si>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</si>
  <si>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</si>
  <si>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</si>
  <si>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</si>
  <si>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</si>
  <si>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</si>
  <si>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</si>
  <si>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</si>
  <si>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실린더 게이지의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</si>
  <si>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</si>
  <si>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실린더 게이지 설치시 여현오차에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</si>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</sst>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###\ &quot;mm&quot;"/>
    <numFmt numFmtId="212" formatCode="0.000\ 00"/>
    <numFmt numFmtId="213" formatCode="#\ ###\ ###"/>
    <numFmt numFmtId="214" formatCode="0.0\ &quot;μm&quot;"/>
    <numFmt numFmtId="215" formatCode="0.000\ &quot;μm&quot;"/>
    <numFmt numFmtId="216" formatCode="_-* #,##0_-;\-* #,##0_-;_-* &quot;-&quot;??_-;_-@_-"/>
    <numFmt numFmtId="217" formatCode="0.00_);[Red]\(0.00\)"/>
    <numFmt numFmtId="218" formatCode="0_ "/>
    <numFmt numFmtId="219" formatCode="0.0E+00"/>
  </numFmts>
  <fonts count="103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0" applyNumberFormat="0" applyBorder="0" applyAlignment="0" applyProtection="0"/>
    <xf numFmtId="0" fontId="17" fillId="22" borderId="71" applyNumberFormat="0" applyAlignment="0" applyProtection="0">
      <alignment vertical="center"/>
    </xf>
    <xf numFmtId="0" fontId="3" fillId="23" borderId="69" applyNumberFormat="0" applyFont="0" applyAlignment="0" applyProtection="0">
      <alignment vertical="center"/>
    </xf>
    <xf numFmtId="0" fontId="24" fillId="0" borderId="72" applyNumberFormat="0" applyFill="0" applyAlignment="0" applyProtection="0">
      <alignment vertical="center"/>
    </xf>
    <xf numFmtId="0" fontId="25" fillId="7" borderId="71" applyNumberFormat="0" applyAlignment="0" applyProtection="0">
      <alignment vertical="center"/>
    </xf>
    <xf numFmtId="0" fontId="31" fillId="22" borderId="73" applyNumberFormat="0" applyAlignment="0" applyProtection="0">
      <alignment vertical="center"/>
    </xf>
    <xf numFmtId="0" fontId="6" fillId="0" borderId="0"/>
  </cellStyleXfs>
  <cellXfs count="48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8" xfId="0" applyNumberFormat="1" applyFont="1" applyBorder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8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8" xfId="78" applyNumberFormat="1" applyFont="1" applyFill="1" applyBorder="1" applyAlignment="1">
      <alignment horizontal="center" vertical="center"/>
    </xf>
    <xf numFmtId="188" fontId="81" fillId="0" borderId="48" xfId="78" applyNumberFormat="1" applyFont="1" applyFill="1" applyBorder="1" applyAlignment="1">
      <alignment horizontal="center" vertical="center"/>
    </xf>
    <xf numFmtId="188" fontId="81" fillId="0" borderId="48" xfId="0" applyNumberFormat="1" applyFont="1" applyFill="1" applyBorder="1" applyAlignment="1">
      <alignment horizontal="center" vertical="center"/>
    </xf>
    <xf numFmtId="0" fontId="81" fillId="32" borderId="48" xfId="0" applyNumberFormat="1" applyFont="1" applyFill="1" applyBorder="1" applyAlignment="1">
      <alignment horizontal="center" vertical="center"/>
    </xf>
    <xf numFmtId="0" fontId="81" fillId="29" borderId="48" xfId="0" applyNumberFormat="1" applyFont="1" applyFill="1" applyBorder="1" applyAlignment="1">
      <alignment horizontal="center" vertical="center"/>
    </xf>
    <xf numFmtId="0" fontId="81" fillId="34" borderId="48" xfId="0" applyNumberFormat="1" applyFont="1" applyFill="1" applyBorder="1" applyAlignment="1">
      <alignment horizontal="center" vertical="center"/>
    </xf>
    <xf numFmtId="189" fontId="81" fillId="36" borderId="48" xfId="0" applyNumberFormat="1" applyFont="1" applyFill="1" applyBorder="1" applyAlignment="1">
      <alignment horizontal="center" vertical="center"/>
    </xf>
    <xf numFmtId="0" fontId="81" fillId="0" borderId="48" xfId="0" applyNumberFormat="1" applyFont="1" applyFill="1" applyBorder="1" applyAlignment="1">
      <alignment horizontal="left" vertical="center"/>
    </xf>
    <xf numFmtId="49" fontId="81" fillId="0" borderId="48" xfId="0" applyNumberFormat="1" applyFont="1" applyFill="1" applyBorder="1" applyAlignment="1">
      <alignment horizontal="left" vertical="center"/>
    </xf>
    <xf numFmtId="0" fontId="81" fillId="0" borderId="54" xfId="0" applyNumberFormat="1" applyFont="1" applyFill="1" applyBorder="1" applyAlignment="1">
      <alignment horizontal="center" vertical="center"/>
    </xf>
    <xf numFmtId="199" fontId="81" fillId="29" borderId="55" xfId="0" applyNumberFormat="1" applyFont="1" applyFill="1" applyBorder="1" applyAlignment="1">
      <alignment horizontal="center" vertical="center"/>
    </xf>
    <xf numFmtId="199" fontId="81" fillId="0" borderId="57" xfId="0" applyNumberFormat="1" applyFont="1" applyFill="1" applyBorder="1" applyAlignment="1">
      <alignment horizontal="center" vertical="center"/>
    </xf>
    <xf numFmtId="200" fontId="81" fillId="0" borderId="54" xfId="0" applyNumberFormat="1" applyFont="1" applyFill="1" applyBorder="1" applyAlignment="1">
      <alignment horizontal="center" vertical="center"/>
    </xf>
    <xf numFmtId="0" fontId="81" fillId="35" borderId="54" xfId="0" applyNumberFormat="1" applyFont="1" applyFill="1" applyBorder="1" applyAlignment="1">
      <alignment horizontal="center" vertical="center"/>
    </xf>
    <xf numFmtId="201" fontId="81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Fill="1" applyBorder="1" applyAlignment="1">
      <alignment horizontal="center" vertical="center" wrapText="1"/>
    </xf>
    <xf numFmtId="0" fontId="81" fillId="0" borderId="48" xfId="0" applyNumberFormat="1" applyFont="1" applyBorder="1" applyAlignment="1">
      <alignment horizontal="center" vertical="center"/>
    </xf>
    <xf numFmtId="193" fontId="81" fillId="0" borderId="48" xfId="0" applyNumberFormat="1" applyFont="1" applyFill="1" applyBorder="1" applyAlignment="1">
      <alignment horizontal="center" vertical="center"/>
    </xf>
    <xf numFmtId="202" fontId="81" fillId="0" borderId="48" xfId="0" applyNumberFormat="1" applyFont="1" applyFill="1" applyBorder="1" applyAlignment="1">
      <alignment horizontal="center" vertical="center"/>
    </xf>
    <xf numFmtId="203" fontId="81" fillId="0" borderId="48" xfId="0" applyNumberFormat="1" applyFont="1" applyFill="1" applyBorder="1" applyAlignment="1">
      <alignment horizontal="center" vertical="center"/>
    </xf>
    <xf numFmtId="2" fontId="81" fillId="0" borderId="48" xfId="0" applyNumberFormat="1" applyFont="1" applyFill="1" applyBorder="1" applyAlignment="1">
      <alignment horizontal="center" vertical="center"/>
    </xf>
    <xf numFmtId="0" fontId="78" fillId="0" borderId="49" xfId="0" applyFont="1" applyBorder="1" applyAlignment="1">
      <alignment horizontal="center" vertical="center"/>
    </xf>
    <xf numFmtId="204" fontId="81" fillId="0" borderId="48" xfId="0" applyNumberFormat="1" applyFont="1" applyFill="1" applyBorder="1" applyAlignment="1">
      <alignment horizontal="center" vertical="center"/>
    </xf>
    <xf numFmtId="204" fontId="81" fillId="31" borderId="48" xfId="0" applyNumberFormat="1" applyFont="1" applyFill="1" applyBorder="1" applyAlignment="1">
      <alignment horizontal="center" vertical="center"/>
    </xf>
    <xf numFmtId="2" fontId="81" fillId="29" borderId="48" xfId="0" applyNumberFormat="1" applyFont="1" applyFill="1" applyBorder="1" applyAlignment="1">
      <alignment horizontal="center" vertical="center"/>
    </xf>
    <xf numFmtId="205" fontId="81" fillId="0" borderId="48" xfId="0" applyNumberFormat="1" applyFont="1" applyFill="1" applyBorder="1" applyAlignment="1">
      <alignment horizontal="center" vertical="center"/>
    </xf>
    <xf numFmtId="2" fontId="81" fillId="32" borderId="48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189" fontId="81" fillId="0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6" fillId="35" borderId="53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6" xfId="0" applyNumberFormat="1" applyFont="1" applyFill="1" applyBorder="1" applyAlignment="1">
      <alignment horizontal="center" vertical="center"/>
    </xf>
    <xf numFmtId="201" fontId="81" fillId="0" borderId="54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1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203" fontId="93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2" fontId="67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59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9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0" borderId="63" xfId="0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217" fontId="81" fillId="0" borderId="48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 shrinkToFit="1"/>
    </xf>
    <xf numFmtId="41" fontId="52" fillId="0" borderId="49" xfId="87" applyFont="1" applyBorder="1" applyAlignment="1">
      <alignment horizontal="center" vertical="center"/>
    </xf>
    <xf numFmtId="0" fontId="52" fillId="0" borderId="49" xfId="87" applyNumberFormat="1" applyFont="1" applyBorder="1" applyAlignment="1">
      <alignment horizontal="center" vertical="center"/>
    </xf>
    <xf numFmtId="41" fontId="52" fillId="0" borderId="49" xfId="0" applyNumberFormat="1" applyFont="1" applyBorder="1" applyAlignment="1">
      <alignment horizontal="center" vertical="center"/>
    </xf>
    <xf numFmtId="216" fontId="52" fillId="0" borderId="49" xfId="87" applyNumberFormat="1" applyFont="1" applyBorder="1" applyAlignment="1">
      <alignment horizontal="center" vertical="center"/>
    </xf>
    <xf numFmtId="41" fontId="52" fillId="0" borderId="49" xfId="87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9" xfId="0" applyNumberFormat="1" applyFont="1" applyFill="1" applyBorder="1" applyAlignment="1">
      <alignment horizontal="center" vertical="center"/>
    </xf>
    <xf numFmtId="0" fontId="81" fillId="0" borderId="69" xfId="0" applyNumberFormat="1" applyFont="1" applyFill="1" applyBorder="1" applyAlignment="1">
      <alignment horizontal="center" vertical="center"/>
    </xf>
    <xf numFmtId="0" fontId="97" fillId="0" borderId="69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81" fillId="34" borderId="6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39" xfId="0" applyNumberFormat="1" applyFont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shrinkToFit="1"/>
    </xf>
    <xf numFmtId="190" fontId="82" fillId="28" borderId="69" xfId="0" applyNumberFormat="1" applyFont="1" applyFill="1" applyBorder="1" applyAlignment="1">
      <alignment horizontal="center" vertical="center" wrapText="1"/>
    </xf>
    <xf numFmtId="49" fontId="82" fillId="28" borderId="69" xfId="0" applyNumberFormat="1" applyFont="1" applyFill="1" applyBorder="1" applyAlignment="1">
      <alignment horizontal="center" vertical="center"/>
    </xf>
    <xf numFmtId="190" fontId="82" fillId="28" borderId="69" xfId="0" applyNumberFormat="1" applyFont="1" applyFill="1" applyBorder="1" applyAlignment="1">
      <alignment horizontal="center" vertical="center"/>
    </xf>
    <xf numFmtId="0" fontId="82" fillId="28" borderId="69" xfId="0" quotePrefix="1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1" borderId="48" xfId="0" applyNumberFormat="1" applyFont="1" applyFill="1" applyBorder="1" applyAlignment="1">
      <alignment horizontal="center" vertical="center"/>
    </xf>
    <xf numFmtId="196" fontId="81" fillId="0" borderId="69" xfId="0" applyNumberFormat="1" applyFont="1" applyFill="1" applyBorder="1" applyAlignment="1">
      <alignment horizontal="center" vertical="center"/>
    </xf>
    <xf numFmtId="204" fontId="81" fillId="0" borderId="69" xfId="0" applyNumberFormat="1" applyFont="1" applyFill="1" applyBorder="1" applyAlignment="1">
      <alignment horizontal="center" vertical="center"/>
    </xf>
    <xf numFmtId="202" fontId="81" fillId="0" borderId="69" xfId="0" applyNumberFormat="1" applyFont="1" applyFill="1" applyBorder="1" applyAlignment="1">
      <alignment horizontal="center" vertical="center"/>
    </xf>
    <xf numFmtId="2" fontId="81" fillId="32" borderId="69" xfId="86" applyNumberFormat="1" applyFont="1" applyFill="1" applyBorder="1" applyAlignment="1">
      <alignment horizontal="center" vertical="center" wrapText="1"/>
    </xf>
    <xf numFmtId="196" fontId="81" fillId="31" borderId="69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18" fontId="100" fillId="37" borderId="39" xfId="10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1" fillId="36" borderId="69" xfId="0" applyNumberFormat="1" applyFont="1" applyFill="1" applyBorder="1" applyAlignment="1">
      <alignment horizontal="center" vertical="center"/>
    </xf>
    <xf numFmtId="189" fontId="81" fillId="0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/>
    </xf>
    <xf numFmtId="196" fontId="81" fillId="29" borderId="69" xfId="0" applyNumberFormat="1" applyFont="1" applyFill="1" applyBorder="1" applyAlignment="1">
      <alignment horizontal="center" vertical="center"/>
    </xf>
    <xf numFmtId="219" fontId="81" fillId="31" borderId="69" xfId="0" applyNumberFormat="1" applyFont="1" applyFill="1" applyBorder="1" applyAlignment="1">
      <alignment horizontal="center" vertical="center"/>
    </xf>
    <xf numFmtId="0" fontId="81" fillId="38" borderId="69" xfId="0" applyNumberFormat="1" applyFont="1" applyFill="1" applyBorder="1" applyAlignment="1">
      <alignment horizontal="center" vertical="center"/>
    </xf>
    <xf numFmtId="0" fontId="102" fillId="28" borderId="69" xfId="0" applyNumberFormat="1" applyFont="1" applyFill="1" applyBorder="1" applyAlignment="1">
      <alignment horizontal="center" vertical="center"/>
    </xf>
    <xf numFmtId="0" fontId="81" fillId="32" borderId="69" xfId="0" applyNumberFormat="1" applyFont="1" applyFill="1" applyBorder="1" applyAlignment="1">
      <alignment horizontal="center" vertical="center" wrapText="1"/>
    </xf>
    <xf numFmtId="196" fontId="81" fillId="36" borderId="69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39" xfId="0" applyNumberFormat="1" applyFont="1" applyFill="1" applyBorder="1" applyAlignment="1">
      <alignment horizontal="center" vertical="center"/>
    </xf>
    <xf numFmtId="218" fontId="100" fillId="37" borderId="0" xfId="103" applyNumberFormat="1" applyFont="1" applyFill="1" applyBorder="1" applyAlignment="1">
      <alignment horizontal="center" vertical="center" wrapText="1"/>
    </xf>
    <xf numFmtId="218" fontId="100" fillId="37" borderId="39" xfId="103" applyNumberFormat="1" applyFont="1" applyFill="1" applyBorder="1" applyAlignment="1">
      <alignment horizontal="center" vertical="center" wrapText="1"/>
    </xf>
    <xf numFmtId="218" fontId="100" fillId="37" borderId="0" xfId="103" applyNumberFormat="1" applyFont="1" applyFill="1" applyBorder="1" applyAlignment="1">
      <alignment horizontal="center" vertical="center"/>
    </xf>
    <xf numFmtId="218" fontId="100" fillId="37" borderId="39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214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left"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188" fontId="67" fillId="0" borderId="39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211" fontId="67" fillId="0" borderId="0" xfId="0" applyNumberFormat="1" applyFont="1" applyBorder="1" applyAlignment="1">
      <alignment horizontal="left" vertical="center" shrinkToFit="1"/>
    </xf>
    <xf numFmtId="203" fontId="67" fillId="0" borderId="0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 shrinkToFit="1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39" xfId="0" applyFont="1" applyBorder="1" applyAlignment="1">
      <alignment horizontal="center"/>
    </xf>
    <xf numFmtId="192" fontId="67" fillId="0" borderId="0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2" fontId="67" fillId="0" borderId="39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0" fontId="67" fillId="0" borderId="43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192" fontId="67" fillId="0" borderId="62" xfId="0" applyNumberFormat="1" applyFont="1" applyBorder="1" applyAlignment="1">
      <alignment vertical="center"/>
    </xf>
    <xf numFmtId="192" fontId="67" fillId="0" borderId="59" xfId="0" applyNumberFormat="1" applyFont="1" applyBorder="1" applyAlignment="1">
      <alignment vertical="center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62" xfId="0" applyFont="1" applyBorder="1" applyAlignment="1">
      <alignment horizontal="left" vertical="center"/>
    </xf>
    <xf numFmtId="0" fontId="67" fillId="0" borderId="59" xfId="0" applyFont="1" applyBorder="1" applyAlignment="1">
      <alignment horizontal="left" vertical="center"/>
    </xf>
    <xf numFmtId="0" fontId="67" fillId="0" borderId="50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9" fillId="0" borderId="61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189" fontId="67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2" xfId="0" applyFont="1" applyBorder="1" applyAlignment="1">
      <alignment horizontal="center" vertical="center"/>
    </xf>
    <xf numFmtId="0" fontId="52" fillId="32" borderId="49" xfId="0" applyNumberFormat="1" applyFont="1" applyFill="1" applyBorder="1" applyAlignment="1">
      <alignment horizontal="center" vertical="center" shrinkToFit="1"/>
    </xf>
    <xf numFmtId="0" fontId="52" fillId="32" borderId="49" xfId="0" applyNumberFormat="1" applyFont="1" applyFill="1" applyBorder="1" applyAlignment="1">
      <alignment horizontal="center" vertical="center"/>
    </xf>
    <xf numFmtId="0" fontId="67" fillId="0" borderId="49" xfId="0" applyNumberFormat="1" applyFont="1" applyBorder="1" applyAlignment="1">
      <alignment horizontal="center" vertical="center" shrinkToFit="1"/>
    </xf>
    <xf numFmtId="0" fontId="52" fillId="29" borderId="49" xfId="0" applyNumberFormat="1" applyFont="1" applyFill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2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left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189" fontId="81" fillId="0" borderId="69" xfId="0" applyNumberFormat="1" applyFont="1" applyFill="1" applyBorder="1" applyAlignment="1">
      <alignment horizontal="center" vertical="center"/>
    </xf>
    <xf numFmtId="188" fontId="81" fillId="32" borderId="69" xfId="86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 wrapText="1"/>
    </xf>
    <xf numFmtId="0" fontId="82" fillId="28" borderId="47" xfId="0" applyNumberFormat="1" applyFont="1" applyFill="1" applyBorder="1" applyAlignment="1">
      <alignment horizontal="center" vertical="center"/>
    </xf>
    <xf numFmtId="0" fontId="82" fillId="28" borderId="53" xfId="0" applyNumberFormat="1" applyFont="1" applyFill="1" applyBorder="1" applyAlignment="1">
      <alignment horizontal="center" vertical="center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69" xfId="0" applyNumberFormat="1" applyFont="1" applyFill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41" fontId="52" fillId="0" borderId="60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216" fontId="52" fillId="0" borderId="60" xfId="87" applyNumberFormat="1" applyFont="1" applyBorder="1" applyAlignment="1">
      <alignment horizontal="center" vertical="center"/>
    </xf>
    <xf numFmtId="216" fontId="52" fillId="0" borderId="17" xfId="87" applyNumberFormat="1" applyFont="1" applyBorder="1" applyAlignment="1">
      <alignment horizontal="center" vertical="center"/>
    </xf>
    <xf numFmtId="216" fontId="52" fillId="0" borderId="61" xfId="87" applyNumberFormat="1" applyFont="1" applyBorder="1" applyAlignment="1">
      <alignment horizontal="center" vertical="center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190" fontId="82" fillId="28" borderId="64" xfId="0" applyNumberFormat="1" applyFont="1" applyFill="1" applyBorder="1" applyAlignment="1">
      <alignment horizontal="center" vertical="center" wrapText="1"/>
    </xf>
    <xf numFmtId="190" fontId="82" fillId="28" borderId="53" xfId="0" applyNumberFormat="1" applyFont="1" applyFill="1" applyBorder="1" applyAlignment="1">
      <alignment horizontal="center" vertical="center" wrapText="1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39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39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44817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44817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85</xdr:row>
          <xdr:rowOff>9525</xdr:rowOff>
        </xdr:from>
        <xdr:to>
          <xdr:col>15</xdr:col>
          <xdr:colOff>85725</xdr:colOff>
          <xdr:row>85</xdr:row>
          <xdr:rowOff>209550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85</xdr:row>
          <xdr:rowOff>0</xdr:rowOff>
        </xdr:from>
        <xdr:to>
          <xdr:col>20</xdr:col>
          <xdr:colOff>19050</xdr:colOff>
          <xdr:row>85</xdr:row>
          <xdr:rowOff>200025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19050</xdr:rowOff>
        </xdr:from>
        <xdr:to>
          <xdr:col>4</xdr:col>
          <xdr:colOff>0</xdr:colOff>
          <xdr:row>40</xdr:row>
          <xdr:rowOff>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59</xdr:row>
          <xdr:rowOff>19050</xdr:rowOff>
        </xdr:from>
        <xdr:to>
          <xdr:col>5</xdr:col>
          <xdr:colOff>76200</xdr:colOff>
          <xdr:row>60</xdr:row>
          <xdr:rowOff>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74</xdr:row>
          <xdr:rowOff>57150</xdr:rowOff>
        </xdr:from>
        <xdr:to>
          <xdr:col>12</xdr:col>
          <xdr:colOff>9525</xdr:colOff>
          <xdr:row>75</xdr:row>
          <xdr:rowOff>200025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90</xdr:row>
          <xdr:rowOff>57150</xdr:rowOff>
        </xdr:from>
        <xdr:to>
          <xdr:col>12</xdr:col>
          <xdr:colOff>0</xdr:colOff>
          <xdr:row>91</xdr:row>
          <xdr:rowOff>200025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26</xdr:col>
      <xdr:colOff>114300</xdr:colOff>
      <xdr:row>95</xdr:row>
      <xdr:rowOff>28575</xdr:rowOff>
    </xdr:from>
    <xdr:to>
      <xdr:col>27</xdr:col>
      <xdr:colOff>104775</xdr:colOff>
      <xdr:row>95</xdr:row>
      <xdr:rowOff>219075</xdr:rowOff>
    </xdr:to>
    <xdr:pic>
      <xdr:nvPicPr>
        <xdr:cNvPr id="4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76700" y="22812375"/>
          <a:ext cx="14287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196</xdr:row>
          <xdr:rowOff>9525</xdr:rowOff>
        </xdr:from>
        <xdr:to>
          <xdr:col>8</xdr:col>
          <xdr:colOff>142875</xdr:colOff>
          <xdr:row>198</xdr:row>
          <xdr:rowOff>180975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197</xdr:row>
          <xdr:rowOff>0</xdr:rowOff>
        </xdr:from>
        <xdr:to>
          <xdr:col>18</xdr:col>
          <xdr:colOff>19050</xdr:colOff>
          <xdr:row>197</xdr:row>
          <xdr:rowOff>219075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197</xdr:row>
          <xdr:rowOff>9525</xdr:rowOff>
        </xdr:from>
        <xdr:to>
          <xdr:col>12</xdr:col>
          <xdr:colOff>133350</xdr:colOff>
          <xdr:row>197</xdr:row>
          <xdr:rowOff>228600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197</xdr:row>
          <xdr:rowOff>0</xdr:rowOff>
        </xdr:from>
        <xdr:to>
          <xdr:col>27</xdr:col>
          <xdr:colOff>142875</xdr:colOff>
          <xdr:row>197</xdr:row>
          <xdr:rowOff>219075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197</xdr:row>
          <xdr:rowOff>0</xdr:rowOff>
        </xdr:from>
        <xdr:to>
          <xdr:col>22</xdr:col>
          <xdr:colOff>142875</xdr:colOff>
          <xdr:row>197</xdr:row>
          <xdr:rowOff>219075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197</xdr:row>
          <xdr:rowOff>0</xdr:rowOff>
        </xdr:from>
        <xdr:to>
          <xdr:col>37</xdr:col>
          <xdr:colOff>142875</xdr:colOff>
          <xdr:row>197</xdr:row>
          <xdr:rowOff>219075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196</xdr:row>
          <xdr:rowOff>0</xdr:rowOff>
        </xdr:from>
        <xdr:to>
          <xdr:col>30</xdr:col>
          <xdr:colOff>57150</xdr:colOff>
          <xdr:row>196</xdr:row>
          <xdr:rowOff>219075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106</xdr:row>
          <xdr:rowOff>57150</xdr:rowOff>
        </xdr:from>
        <xdr:to>
          <xdr:col>15</xdr:col>
          <xdr:colOff>66675</xdr:colOff>
          <xdr:row>107</xdr:row>
          <xdr:rowOff>171450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98</xdr:row>
          <xdr:rowOff>85725</xdr:rowOff>
        </xdr:from>
        <xdr:to>
          <xdr:col>31</xdr:col>
          <xdr:colOff>142875</xdr:colOff>
          <xdr:row>99</xdr:row>
          <xdr:rowOff>161925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133350</xdr:colOff>
          <xdr:row>101</xdr:row>
          <xdr:rowOff>28575</xdr:rowOff>
        </xdr:from>
        <xdr:to>
          <xdr:col>29</xdr:col>
          <xdr:colOff>28575</xdr:colOff>
          <xdr:row>101</xdr:row>
          <xdr:rowOff>219075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47625</xdr:rowOff>
        </xdr:from>
        <xdr:to>
          <xdr:col>25</xdr:col>
          <xdr:colOff>114300</xdr:colOff>
          <xdr:row>104</xdr:row>
          <xdr:rowOff>152400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123</xdr:row>
          <xdr:rowOff>57150</xdr:rowOff>
        </xdr:from>
        <xdr:to>
          <xdr:col>15</xdr:col>
          <xdr:colOff>9525</xdr:colOff>
          <xdr:row>124</xdr:row>
          <xdr:rowOff>171450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137</xdr:row>
          <xdr:rowOff>57150</xdr:rowOff>
        </xdr:from>
        <xdr:to>
          <xdr:col>15</xdr:col>
          <xdr:colOff>133350</xdr:colOff>
          <xdr:row>138</xdr:row>
          <xdr:rowOff>171450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154</xdr:row>
          <xdr:rowOff>57150</xdr:rowOff>
        </xdr:from>
        <xdr:to>
          <xdr:col>15</xdr:col>
          <xdr:colOff>95250</xdr:colOff>
          <xdr:row>155</xdr:row>
          <xdr:rowOff>171450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134</xdr:row>
          <xdr:rowOff>228600</xdr:rowOff>
        </xdr:from>
        <xdr:to>
          <xdr:col>29</xdr:col>
          <xdr:colOff>76200</xdr:colOff>
          <xdr:row>135</xdr:row>
          <xdr:rowOff>209550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96</xdr:row>
          <xdr:rowOff>9525</xdr:rowOff>
        </xdr:from>
        <xdr:to>
          <xdr:col>21</xdr:col>
          <xdr:colOff>0</xdr:colOff>
          <xdr:row>96</xdr:row>
          <xdr:rowOff>228600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189</xdr:row>
          <xdr:rowOff>9525</xdr:rowOff>
        </xdr:from>
        <xdr:to>
          <xdr:col>10</xdr:col>
          <xdr:colOff>85725</xdr:colOff>
          <xdr:row>189</xdr:row>
          <xdr:rowOff>228600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121</xdr:row>
          <xdr:rowOff>9525</xdr:rowOff>
        </xdr:from>
        <xdr:to>
          <xdr:col>15</xdr:col>
          <xdr:colOff>38100</xdr:colOff>
          <xdr:row>121</xdr:row>
          <xdr:rowOff>228600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197</xdr:row>
          <xdr:rowOff>0</xdr:rowOff>
        </xdr:from>
        <xdr:to>
          <xdr:col>32</xdr:col>
          <xdr:colOff>133350</xdr:colOff>
          <xdr:row>197</xdr:row>
          <xdr:rowOff>219075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197</xdr:row>
          <xdr:rowOff>0</xdr:rowOff>
        </xdr:from>
        <xdr:to>
          <xdr:col>42</xdr:col>
          <xdr:colOff>142875</xdr:colOff>
          <xdr:row>197</xdr:row>
          <xdr:rowOff>219075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197</xdr:row>
          <xdr:rowOff>0</xdr:rowOff>
        </xdr:from>
        <xdr:to>
          <xdr:col>47</xdr:col>
          <xdr:colOff>142875</xdr:colOff>
          <xdr:row>197</xdr:row>
          <xdr:rowOff>219075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152</xdr:row>
          <xdr:rowOff>9525</xdr:rowOff>
        </xdr:from>
        <xdr:to>
          <xdr:col>16</xdr:col>
          <xdr:colOff>38100</xdr:colOff>
          <xdr:row>152</xdr:row>
          <xdr:rowOff>228600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189</xdr:row>
          <xdr:rowOff>9525</xdr:rowOff>
        </xdr:from>
        <xdr:to>
          <xdr:col>17</xdr:col>
          <xdr:colOff>85725</xdr:colOff>
          <xdr:row>189</xdr:row>
          <xdr:rowOff>228600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189</xdr:row>
          <xdr:rowOff>9525</xdr:rowOff>
        </xdr:from>
        <xdr:to>
          <xdr:col>24</xdr:col>
          <xdr:colOff>85725</xdr:colOff>
          <xdr:row>189</xdr:row>
          <xdr:rowOff>228600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189</xdr:row>
          <xdr:rowOff>9525</xdr:rowOff>
        </xdr:from>
        <xdr:to>
          <xdr:col>31</xdr:col>
          <xdr:colOff>85725</xdr:colOff>
          <xdr:row>189</xdr:row>
          <xdr:rowOff>228600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19050</xdr:colOff>
          <xdr:row>189</xdr:row>
          <xdr:rowOff>9525</xdr:rowOff>
        </xdr:from>
        <xdr:to>
          <xdr:col>38</xdr:col>
          <xdr:colOff>85725</xdr:colOff>
          <xdr:row>189</xdr:row>
          <xdr:rowOff>228600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190</xdr:row>
          <xdr:rowOff>9525</xdr:rowOff>
        </xdr:from>
        <xdr:to>
          <xdr:col>12</xdr:col>
          <xdr:colOff>85725</xdr:colOff>
          <xdr:row>190</xdr:row>
          <xdr:rowOff>228600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190</xdr:row>
          <xdr:rowOff>9525</xdr:rowOff>
        </xdr:from>
        <xdr:to>
          <xdr:col>19</xdr:col>
          <xdr:colOff>85725</xdr:colOff>
          <xdr:row>190</xdr:row>
          <xdr:rowOff>228600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190</xdr:row>
          <xdr:rowOff>9525</xdr:rowOff>
        </xdr:from>
        <xdr:to>
          <xdr:col>26</xdr:col>
          <xdr:colOff>85725</xdr:colOff>
          <xdr:row>190</xdr:row>
          <xdr:rowOff>228600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191</xdr:row>
          <xdr:rowOff>9525</xdr:rowOff>
        </xdr:from>
        <xdr:to>
          <xdr:col>10</xdr:col>
          <xdr:colOff>85725</xdr:colOff>
          <xdr:row>191</xdr:row>
          <xdr:rowOff>228600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88</xdr:row>
          <xdr:rowOff>9525</xdr:rowOff>
        </xdr:from>
        <xdr:to>
          <xdr:col>15</xdr:col>
          <xdr:colOff>114300</xdr:colOff>
          <xdr:row>88</xdr:row>
          <xdr:rowOff>209550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88</xdr:row>
          <xdr:rowOff>0</xdr:rowOff>
        </xdr:from>
        <xdr:to>
          <xdr:col>20</xdr:col>
          <xdr:colOff>85725</xdr:colOff>
          <xdr:row>88</xdr:row>
          <xdr:rowOff>200025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9525</xdr:colOff>
      <xdr:row>110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141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143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0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188</xdr:row>
      <xdr:rowOff>38100</xdr:rowOff>
    </xdr:from>
    <xdr:to>
      <xdr:col>34</xdr:col>
      <xdr:colOff>114300</xdr:colOff>
      <xdr:row>189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90500" y="44967525"/>
              <a:ext cx="51054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90500" y="44967525"/>
              <a:ext cx="51054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33</xdr:row>
      <xdr:rowOff>85725</xdr:rowOff>
    </xdr:from>
    <xdr:ext cx="501727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161925" y="8105775"/>
              <a:ext cx="501727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161925" y="8105775"/>
              <a:ext cx="501727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0</xdr:colOff>
      <xdr:row>47</xdr:row>
      <xdr:rowOff>38100</xdr:rowOff>
    </xdr:from>
    <xdr:ext cx="718683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/>
            <xdr:cNvSpPr txBox="1"/>
          </xdr:nvSpPr>
          <xdr:spPr>
            <a:xfrm>
              <a:off x="304800" y="11391900"/>
              <a:ext cx="71868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304800" y="11391900"/>
              <a:ext cx="718683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49</xdr:row>
      <xdr:rowOff>0</xdr:rowOff>
    </xdr:from>
    <xdr:ext cx="5378588" cy="7009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466725" y="11830050"/>
              <a:ext cx="5378588" cy="700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466725" y="11830050"/>
              <a:ext cx="5378588" cy="700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15</xdr:col>
      <xdr:colOff>19050</xdr:colOff>
      <xdr:row>165</xdr:row>
      <xdr:rowOff>19050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2305050" y="394716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2305050" y="394716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19050</xdr:colOff>
      <xdr:row>165</xdr:row>
      <xdr:rowOff>19050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3067050" y="394716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3067050" y="394716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167</xdr:row>
      <xdr:rowOff>57150</xdr:rowOff>
    </xdr:from>
    <xdr:ext cx="95731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28725" y="399859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28725" y="399859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170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076325" y="406527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076325" y="406527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28575</xdr:colOff>
      <xdr:row>179</xdr:row>
      <xdr:rowOff>28575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2314575" y="4281487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2314575" y="4281487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181</xdr:row>
      <xdr:rowOff>57150</xdr:rowOff>
    </xdr:from>
    <xdr:ext cx="95212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1228725" y="43319700"/>
              <a:ext cx="9521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1228725" y="43319700"/>
              <a:ext cx="9521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184</xdr:row>
      <xdr:rowOff>9525</xdr:rowOff>
    </xdr:from>
    <xdr:ext cx="220393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1076325" y="43986450"/>
              <a:ext cx="220393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1076325" y="43986450"/>
              <a:ext cx="220393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𝑙〗_𝑐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26" Type="http://schemas.openxmlformats.org/officeDocument/2006/relationships/oleObject" Target="../embeddings/oleObject15.bin"/><Relationship Id="rId39" Type="http://schemas.openxmlformats.org/officeDocument/2006/relationships/image" Target="../media/image15.emf"/><Relationship Id="rId21" Type="http://schemas.openxmlformats.org/officeDocument/2006/relationships/image" Target="../media/image6.emf"/><Relationship Id="rId34" Type="http://schemas.openxmlformats.org/officeDocument/2006/relationships/oleObject" Target="../embeddings/oleObject19.bin"/><Relationship Id="rId42" Type="http://schemas.openxmlformats.org/officeDocument/2006/relationships/oleObject" Target="../embeddings/oleObject24.bin"/><Relationship Id="rId47" Type="http://schemas.openxmlformats.org/officeDocument/2006/relationships/oleObject" Target="../embeddings/oleObject29.bin"/><Relationship Id="rId50" Type="http://schemas.openxmlformats.org/officeDocument/2006/relationships/oleObject" Target="../embeddings/oleObject32.bin"/><Relationship Id="rId55" Type="http://schemas.openxmlformats.org/officeDocument/2006/relationships/oleObject" Target="../embeddings/oleObject36.bin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8.bin"/><Relationship Id="rId29" Type="http://schemas.openxmlformats.org/officeDocument/2006/relationships/image" Target="../media/image10.e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4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4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7.bin"/><Relationship Id="rId53" Type="http://schemas.openxmlformats.org/officeDocument/2006/relationships/oleObject" Target="../embeddings/oleObject35.bin"/><Relationship Id="rId58" Type="http://schemas.openxmlformats.org/officeDocument/2006/relationships/image" Target="../media/image18.emf"/><Relationship Id="rId5" Type="http://schemas.openxmlformats.org/officeDocument/2006/relationships/image" Target="../media/image1.emf"/><Relationship Id="rId19" Type="http://schemas.openxmlformats.org/officeDocument/2006/relationships/oleObject" Target="../embeddings/oleObject11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emf"/><Relationship Id="rId22" Type="http://schemas.openxmlformats.org/officeDocument/2006/relationships/oleObject" Target="../embeddings/oleObject13.bin"/><Relationship Id="rId27" Type="http://schemas.openxmlformats.org/officeDocument/2006/relationships/image" Target="../media/image9.emf"/><Relationship Id="rId30" Type="http://schemas.openxmlformats.org/officeDocument/2006/relationships/oleObject" Target="../embeddings/oleObject17.bin"/><Relationship Id="rId35" Type="http://schemas.openxmlformats.org/officeDocument/2006/relationships/image" Target="../media/image13.emf"/><Relationship Id="rId43" Type="http://schemas.openxmlformats.org/officeDocument/2006/relationships/oleObject" Target="../embeddings/oleObject25.bin"/><Relationship Id="rId48" Type="http://schemas.openxmlformats.org/officeDocument/2006/relationships/oleObject" Target="../embeddings/oleObject30.bin"/><Relationship Id="rId56" Type="http://schemas.openxmlformats.org/officeDocument/2006/relationships/image" Target="../media/image17.emf"/><Relationship Id="rId8" Type="http://schemas.openxmlformats.org/officeDocument/2006/relationships/image" Target="../media/image2.emf"/><Relationship Id="rId51" Type="http://schemas.openxmlformats.org/officeDocument/2006/relationships/oleObject" Target="../embeddings/oleObject33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9.bin"/><Relationship Id="rId25" Type="http://schemas.openxmlformats.org/officeDocument/2006/relationships/image" Target="../media/image8.emf"/><Relationship Id="rId33" Type="http://schemas.openxmlformats.org/officeDocument/2006/relationships/image" Target="../media/image12.emf"/><Relationship Id="rId38" Type="http://schemas.openxmlformats.org/officeDocument/2006/relationships/oleObject" Target="../embeddings/oleObject21.bin"/><Relationship Id="rId46" Type="http://schemas.openxmlformats.org/officeDocument/2006/relationships/oleObject" Target="../embeddings/oleObject28.bin"/><Relationship Id="rId59" Type="http://schemas.openxmlformats.org/officeDocument/2006/relationships/oleObject" Target="../embeddings/oleObject38.bin"/><Relationship Id="rId20" Type="http://schemas.openxmlformats.org/officeDocument/2006/relationships/oleObject" Target="../embeddings/oleObject12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16.emf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7.emf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0.bin"/><Relationship Id="rId49" Type="http://schemas.openxmlformats.org/officeDocument/2006/relationships/oleObject" Target="../embeddings/oleObject31.bin"/><Relationship Id="rId57" Type="http://schemas.openxmlformats.org/officeDocument/2006/relationships/oleObject" Target="../embeddings/oleObject37.bin"/><Relationship Id="rId10" Type="http://schemas.openxmlformats.org/officeDocument/2006/relationships/image" Target="../media/image3.emf"/><Relationship Id="rId31" Type="http://schemas.openxmlformats.org/officeDocument/2006/relationships/image" Target="../media/image11.emf"/><Relationship Id="rId44" Type="http://schemas.openxmlformats.org/officeDocument/2006/relationships/oleObject" Target="../embeddings/oleObject26.bin"/><Relationship Id="rId52" Type="http://schemas.openxmlformats.org/officeDocument/2006/relationships/oleObject" Target="../embeddings/oleObject34.bin"/><Relationship Id="rId60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1" t="s">
        <v>0</v>
      </c>
      <c r="B1" s="332"/>
      <c r="C1" s="332"/>
      <c r="D1" s="332"/>
      <c r="E1" s="332"/>
      <c r="F1" s="332"/>
      <c r="G1" s="332"/>
      <c r="H1" s="333"/>
      <c r="I1" s="334"/>
      <c r="J1" s="335"/>
    </row>
    <row r="2" spans="1:13" ht="12.95" customHeight="1">
      <c r="A2" s="311" t="s">
        <v>1</v>
      </c>
      <c r="B2" s="311"/>
      <c r="C2" s="311"/>
      <c r="D2" s="311"/>
      <c r="E2" s="311"/>
      <c r="F2" s="311"/>
      <c r="G2" s="311"/>
      <c r="H2" s="311"/>
      <c r="I2" s="311"/>
      <c r="J2" s="311"/>
    </row>
    <row r="3" spans="1:13" ht="12.95" customHeight="1">
      <c r="A3" s="312" t="s">
        <v>2</v>
      </c>
      <c r="B3" s="313"/>
      <c r="C3" s="336"/>
      <c r="D3" s="336"/>
      <c r="E3" s="336"/>
      <c r="F3" s="313" t="s">
        <v>3</v>
      </c>
      <c r="G3" s="313"/>
      <c r="H3" s="327"/>
      <c r="I3" s="326"/>
      <c r="J3" s="326"/>
    </row>
    <row r="4" spans="1:13" ht="12.95" customHeight="1">
      <c r="A4" s="313" t="s">
        <v>4</v>
      </c>
      <c r="B4" s="313"/>
      <c r="C4" s="337"/>
      <c r="D4" s="313"/>
      <c r="E4" s="313"/>
      <c r="F4" s="313" t="s">
        <v>5</v>
      </c>
      <c r="G4" s="313"/>
      <c r="H4" s="313"/>
      <c r="I4" s="326"/>
      <c r="J4" s="326"/>
    </row>
    <row r="5" spans="1:13" ht="12.95" customHeight="1">
      <c r="A5" s="313" t="s">
        <v>6</v>
      </c>
      <c r="B5" s="313"/>
      <c r="C5" s="313"/>
      <c r="D5" s="326"/>
      <c r="E5" s="326"/>
      <c r="F5" s="312" t="s">
        <v>7</v>
      </c>
      <c r="G5" s="313"/>
      <c r="H5" s="314"/>
      <c r="I5" s="315"/>
      <c r="J5" s="315"/>
    </row>
    <row r="6" spans="1:13" ht="12.95" customHeight="1">
      <c r="A6" s="313" t="s">
        <v>8</v>
      </c>
      <c r="B6" s="313"/>
      <c r="C6" s="313"/>
      <c r="D6" s="326"/>
      <c r="E6" s="326"/>
      <c r="F6" s="312" t="s">
        <v>9</v>
      </c>
      <c r="G6" s="313"/>
      <c r="H6" s="314"/>
      <c r="I6" s="315"/>
      <c r="J6" s="315"/>
    </row>
    <row r="7" spans="1:13" ht="12.95" customHeight="1">
      <c r="A7" s="313" t="s">
        <v>10</v>
      </c>
      <c r="B7" s="313"/>
      <c r="C7" s="329"/>
      <c r="D7" s="326"/>
      <c r="E7" s="326"/>
      <c r="F7" s="312" t="s">
        <v>11</v>
      </c>
      <c r="G7" s="313"/>
      <c r="H7" s="313"/>
      <c r="I7" s="326"/>
      <c r="J7" s="326"/>
    </row>
    <row r="8" spans="1:13" ht="12.95" customHeight="1">
      <c r="A8" s="313" t="s">
        <v>12</v>
      </c>
      <c r="B8" s="313"/>
      <c r="C8" s="327"/>
      <c r="D8" s="328"/>
      <c r="E8" s="328"/>
      <c r="F8" s="312" t="s">
        <v>13</v>
      </c>
      <c r="G8" s="313"/>
      <c r="H8" s="313"/>
      <c r="I8" s="326"/>
      <c r="J8" s="326"/>
    </row>
    <row r="9" spans="1:13" ht="12.95" customHeight="1">
      <c r="A9" s="312" t="s">
        <v>35</v>
      </c>
      <c r="B9" s="313"/>
      <c r="C9" s="314"/>
      <c r="D9" s="315"/>
      <c r="E9" s="315"/>
      <c r="F9" s="330" t="s">
        <v>14</v>
      </c>
      <c r="G9" s="330"/>
      <c r="H9" s="314"/>
      <c r="I9" s="315"/>
      <c r="J9" s="315"/>
    </row>
    <row r="10" spans="1:13" ht="23.25" customHeight="1">
      <c r="A10" s="313" t="s">
        <v>15</v>
      </c>
      <c r="B10" s="313"/>
      <c r="C10" s="314"/>
      <c r="D10" s="315"/>
      <c r="E10" s="315"/>
      <c r="F10" s="313" t="s">
        <v>16</v>
      </c>
      <c r="G10" s="313"/>
      <c r="H10" s="34"/>
      <c r="I10" s="318" t="s">
        <v>17</v>
      </c>
      <c r="J10" s="319"/>
      <c r="K10" s="4"/>
    </row>
    <row r="11" spans="1:13" ht="12.95" customHeight="1">
      <c r="A11" s="311" t="s">
        <v>18</v>
      </c>
      <c r="B11" s="311"/>
      <c r="C11" s="311"/>
      <c r="D11" s="311"/>
      <c r="E11" s="311"/>
      <c r="F11" s="311"/>
      <c r="G11" s="311"/>
      <c r="H11" s="311"/>
      <c r="I11" s="311"/>
      <c r="J11" s="311"/>
      <c r="K11" s="5"/>
    </row>
    <row r="12" spans="1:13" ht="17.25" customHeight="1">
      <c r="A12" s="3" t="s">
        <v>19</v>
      </c>
      <c r="B12" s="87"/>
      <c r="C12" s="6" t="s">
        <v>20</v>
      </c>
      <c r="D12" s="88"/>
      <c r="E12" s="6" t="s">
        <v>21</v>
      </c>
      <c r="F12" s="89"/>
      <c r="G12" s="320" t="s">
        <v>22</v>
      </c>
      <c r="H12" s="316"/>
      <c r="I12" s="322" t="s">
        <v>23</v>
      </c>
      <c r="J12" s="323"/>
      <c r="K12" s="4"/>
      <c r="L12" s="7"/>
      <c r="M12" s="7"/>
    </row>
    <row r="13" spans="1:13" ht="17.25" customHeight="1">
      <c r="A13" s="8" t="s">
        <v>24</v>
      </c>
      <c r="B13" s="87"/>
      <c r="C13" s="8" t="s">
        <v>25</v>
      </c>
      <c r="D13" s="88"/>
      <c r="E13" s="6" t="s">
        <v>26</v>
      </c>
      <c r="F13" s="89"/>
      <c r="G13" s="321"/>
      <c r="H13" s="317"/>
      <c r="I13" s="324"/>
      <c r="J13" s="325"/>
      <c r="K13" s="5"/>
    </row>
    <row r="14" spans="1:13" ht="12.95" customHeight="1">
      <c r="A14" s="311" t="s">
        <v>27</v>
      </c>
      <c r="B14" s="311"/>
      <c r="C14" s="311"/>
      <c r="D14" s="311"/>
      <c r="E14" s="311"/>
      <c r="F14" s="311"/>
      <c r="G14" s="311"/>
      <c r="H14" s="311"/>
      <c r="I14" s="311"/>
      <c r="J14" s="311"/>
      <c r="K14" s="5"/>
    </row>
    <row r="15" spans="1:13" ht="39" customHeight="1">
      <c r="A15" s="308"/>
      <c r="B15" s="309"/>
      <c r="C15" s="309"/>
      <c r="D15" s="309"/>
      <c r="E15" s="309"/>
      <c r="F15" s="309"/>
      <c r="G15" s="309"/>
      <c r="H15" s="309"/>
      <c r="I15" s="309"/>
      <c r="J15" s="310"/>
    </row>
    <row r="16" spans="1:13" ht="12.95" customHeight="1">
      <c r="A16" s="311" t="s">
        <v>28</v>
      </c>
      <c r="B16" s="311"/>
      <c r="C16" s="311"/>
      <c r="D16" s="311"/>
      <c r="E16" s="311"/>
      <c r="F16" s="311"/>
      <c r="G16" s="311"/>
      <c r="H16" s="311"/>
      <c r="I16" s="311"/>
      <c r="J16" s="311"/>
    </row>
    <row r="17" spans="1:12" ht="12.95" customHeight="1">
      <c r="A17" s="3" t="s">
        <v>29</v>
      </c>
      <c r="B17" s="312" t="s">
        <v>30</v>
      </c>
      <c r="C17" s="313"/>
      <c r="D17" s="313"/>
      <c r="E17" s="313"/>
      <c r="F17" s="312" t="s">
        <v>31</v>
      </c>
      <c r="G17" s="31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6"/>
      <c r="C18" s="307"/>
      <c r="D18" s="307"/>
      <c r="E18" s="307"/>
      <c r="F18" s="306"/>
      <c r="G18" s="307"/>
      <c r="H18" s="40"/>
      <c r="I18" s="18"/>
      <c r="J18" s="86"/>
      <c r="L18" s="5"/>
    </row>
    <row r="19" spans="1:12" ht="12.95" customHeight="1">
      <c r="A19" s="35"/>
      <c r="B19" s="306"/>
      <c r="C19" s="307"/>
      <c r="D19" s="307"/>
      <c r="E19" s="307"/>
      <c r="F19" s="306"/>
      <c r="G19" s="307"/>
      <c r="H19" s="21"/>
      <c r="I19" s="21"/>
      <c r="J19" s="86"/>
      <c r="L19" s="5"/>
    </row>
    <row r="20" spans="1:12" ht="12.95" customHeight="1">
      <c r="A20" s="35"/>
      <c r="B20" s="306"/>
      <c r="C20" s="307"/>
      <c r="D20" s="307"/>
      <c r="E20" s="307"/>
      <c r="F20" s="306"/>
      <c r="G20" s="307"/>
      <c r="H20" s="32"/>
      <c r="I20" s="32"/>
      <c r="J20" s="86"/>
      <c r="L20" s="5"/>
    </row>
    <row r="21" spans="1:12" ht="12.95" customHeight="1">
      <c r="A21" s="35"/>
      <c r="B21" s="306"/>
      <c r="C21" s="307"/>
      <c r="D21" s="307"/>
      <c r="E21" s="307"/>
      <c r="F21" s="306"/>
      <c r="G21" s="307"/>
      <c r="H21" s="32"/>
      <c r="I21" s="9"/>
      <c r="J21" s="86"/>
      <c r="L21" s="5"/>
    </row>
    <row r="22" spans="1:12" ht="12.95" customHeight="1">
      <c r="A22" s="35"/>
      <c r="B22" s="306"/>
      <c r="C22" s="307"/>
      <c r="D22" s="307"/>
      <c r="E22" s="307"/>
      <c r="F22" s="306"/>
      <c r="G22" s="307"/>
      <c r="H22" s="20"/>
      <c r="I22" s="11"/>
      <c r="J22" s="86"/>
      <c r="L22" s="5"/>
    </row>
    <row r="23" spans="1:12" ht="12.95" customHeight="1">
      <c r="A23" s="35"/>
      <c r="B23" s="306"/>
      <c r="C23" s="307"/>
      <c r="D23" s="307"/>
      <c r="E23" s="307"/>
      <c r="F23" s="306"/>
      <c r="G23" s="307"/>
      <c r="H23" s="11"/>
      <c r="I23" s="9"/>
      <c r="J23" s="86"/>
      <c r="L23" s="5"/>
    </row>
    <row r="24" spans="1:12" ht="12.95" customHeight="1">
      <c r="A24" s="35"/>
      <c r="B24" s="306"/>
      <c r="C24" s="307"/>
      <c r="D24" s="307"/>
      <c r="E24" s="307"/>
      <c r="F24" s="306"/>
      <c r="G24" s="307"/>
      <c r="H24" s="16"/>
      <c r="I24" s="9"/>
      <c r="J24" s="86"/>
      <c r="L24" s="5"/>
    </row>
    <row r="25" spans="1:12" ht="12.95" customHeight="1">
      <c r="A25" s="35"/>
      <c r="B25" s="306"/>
      <c r="C25" s="307"/>
      <c r="D25" s="307"/>
      <c r="E25" s="307"/>
      <c r="F25" s="306"/>
      <c r="G25" s="307"/>
      <c r="H25" s="16"/>
      <c r="I25" s="9"/>
      <c r="J25" s="86"/>
      <c r="L25" s="5"/>
    </row>
    <row r="26" spans="1:12" ht="12.95" customHeight="1">
      <c r="A26" s="35"/>
      <c r="B26" s="306"/>
      <c r="C26" s="307"/>
      <c r="D26" s="307"/>
      <c r="E26" s="307"/>
      <c r="F26" s="306"/>
      <c r="G26" s="307"/>
      <c r="H26" s="16"/>
      <c r="I26" s="9"/>
      <c r="J26" s="86"/>
      <c r="L26" s="5"/>
    </row>
    <row r="27" spans="1:12" ht="12.95" customHeight="1">
      <c r="A27" s="35"/>
      <c r="B27" s="306"/>
      <c r="C27" s="307"/>
      <c r="D27" s="307"/>
      <c r="E27" s="307"/>
      <c r="F27" s="306"/>
      <c r="G27" s="307"/>
      <c r="H27" s="9"/>
      <c r="I27" s="9"/>
      <c r="J27" s="86"/>
    </row>
    <row r="28" spans="1:12" ht="12.95" customHeight="1">
      <c r="A28" s="35"/>
      <c r="B28" s="306"/>
      <c r="C28" s="307"/>
      <c r="D28" s="307"/>
      <c r="E28" s="307"/>
      <c r="F28" s="306"/>
      <c r="G28" s="307"/>
      <c r="H28" s="9"/>
      <c r="I28" s="9"/>
      <c r="J28" s="86"/>
    </row>
    <row r="29" spans="1:12" ht="12.95" customHeight="1">
      <c r="A29" s="35"/>
      <c r="B29" s="306"/>
      <c r="C29" s="307"/>
      <c r="D29" s="307"/>
      <c r="E29" s="307"/>
      <c r="F29" s="306"/>
      <c r="G29" s="307"/>
      <c r="H29" s="9"/>
      <c r="I29" s="9"/>
      <c r="J29" s="86"/>
    </row>
    <row r="30" spans="1:12" ht="12.95" customHeight="1">
      <c r="A30" s="35"/>
      <c r="B30" s="306"/>
      <c r="C30" s="307"/>
      <c r="D30" s="307"/>
      <c r="E30" s="307"/>
      <c r="F30" s="306"/>
      <c r="G30" s="307"/>
      <c r="H30" s="9"/>
      <c r="I30" s="9"/>
      <c r="J30" s="86"/>
    </row>
    <row r="31" spans="1:12" ht="12.95" customHeight="1">
      <c r="A31" s="35"/>
      <c r="B31" s="306"/>
      <c r="C31" s="307"/>
      <c r="D31" s="307"/>
      <c r="E31" s="307"/>
      <c r="F31" s="306"/>
      <c r="G31" s="307"/>
      <c r="H31" s="9"/>
      <c r="I31" s="9"/>
      <c r="J31" s="86"/>
    </row>
    <row r="32" spans="1:12" ht="12.95" customHeight="1">
      <c r="A32" s="35"/>
      <c r="B32" s="306"/>
      <c r="C32" s="307"/>
      <c r="D32" s="307"/>
      <c r="E32" s="307"/>
      <c r="F32" s="306"/>
      <c r="G32" s="307"/>
      <c r="H32" s="9"/>
      <c r="I32" s="9"/>
      <c r="J32" s="86"/>
    </row>
    <row r="33" spans="1:10" ht="12.95" customHeight="1">
      <c r="A33" s="35"/>
      <c r="B33" s="306"/>
      <c r="C33" s="307"/>
      <c r="D33" s="307"/>
      <c r="E33" s="307"/>
      <c r="F33" s="306"/>
      <c r="G33" s="307"/>
      <c r="H33" s="9"/>
      <c r="I33" s="9"/>
      <c r="J33" s="86"/>
    </row>
    <row r="34" spans="1:10" ht="12.95" customHeight="1">
      <c r="A34" s="35"/>
      <c r="B34" s="306"/>
      <c r="C34" s="307"/>
      <c r="D34" s="307"/>
      <c r="E34" s="307"/>
      <c r="F34" s="306"/>
      <c r="G34" s="307"/>
      <c r="H34" s="9"/>
      <c r="I34" s="9"/>
      <c r="J34" s="86"/>
    </row>
    <row r="35" spans="1:10" ht="12.95" customHeight="1">
      <c r="A35" s="35"/>
      <c r="B35" s="306"/>
      <c r="C35" s="307"/>
      <c r="D35" s="307"/>
      <c r="E35" s="307"/>
      <c r="F35" s="306"/>
      <c r="G35" s="307"/>
      <c r="H35" s="9"/>
      <c r="I35" s="9"/>
      <c r="J35" s="86"/>
    </row>
    <row r="36" spans="1:10" ht="12.95" customHeight="1">
      <c r="A36" s="35"/>
      <c r="B36" s="306"/>
      <c r="C36" s="307"/>
      <c r="D36" s="307"/>
      <c r="E36" s="307"/>
      <c r="F36" s="306"/>
      <c r="G36" s="307"/>
      <c r="H36" s="9"/>
      <c r="I36" s="9"/>
      <c r="J36" s="86"/>
    </row>
    <row r="37" spans="1:10" ht="12.95" customHeight="1">
      <c r="A37" s="35"/>
      <c r="B37" s="306"/>
      <c r="C37" s="307"/>
      <c r="D37" s="307"/>
      <c r="E37" s="307"/>
      <c r="F37" s="306"/>
      <c r="G37" s="307"/>
      <c r="H37" s="9"/>
      <c r="I37" s="9"/>
      <c r="J37" s="86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2" t="s">
        <v>37</v>
      </c>
      <c r="B39" s="292"/>
      <c r="C39" s="292"/>
      <c r="D39" s="292"/>
      <c r="E39" s="292"/>
      <c r="F39" s="293" t="s">
        <v>38</v>
      </c>
      <c r="G39" s="296"/>
      <c r="H39" s="297"/>
      <c r="I39" s="297"/>
      <c r="J39" s="298"/>
    </row>
    <row r="40" spans="1:10" ht="12.95" customHeight="1">
      <c r="A40" s="292" t="s">
        <v>39</v>
      </c>
      <c r="B40" s="292"/>
      <c r="C40" s="292"/>
      <c r="D40" s="292"/>
      <c r="E40" s="292"/>
      <c r="F40" s="294"/>
      <c r="G40" s="299"/>
      <c r="H40" s="300"/>
      <c r="I40" s="300"/>
      <c r="J40" s="301"/>
    </row>
    <row r="41" spans="1:10" ht="12.95" customHeight="1">
      <c r="A41" s="292" t="s">
        <v>40</v>
      </c>
      <c r="B41" s="292"/>
      <c r="C41" s="292"/>
      <c r="D41" s="292"/>
      <c r="E41" s="292"/>
      <c r="F41" s="294"/>
      <c r="G41" s="299"/>
      <c r="H41" s="300"/>
      <c r="I41" s="300"/>
      <c r="J41" s="301"/>
    </row>
    <row r="42" spans="1:10" ht="12.95" customHeight="1">
      <c r="A42" s="292" t="s">
        <v>41</v>
      </c>
      <c r="B42" s="292"/>
      <c r="C42" s="305" t="s">
        <v>42</v>
      </c>
      <c r="D42" s="305"/>
      <c r="E42" s="305"/>
      <c r="F42" s="295"/>
      <c r="G42" s="302"/>
      <c r="H42" s="303"/>
      <c r="I42" s="303"/>
      <c r="J42" s="304"/>
    </row>
    <row r="43" spans="1:10" ht="12.95" customHeight="1">
      <c r="A43" s="291" t="s">
        <v>52</v>
      </c>
      <c r="B43" s="291"/>
      <c r="C43" s="291" t="e">
        <f ca="1">Calcu!S3</f>
        <v>#DIV/0!</v>
      </c>
      <c r="D43" s="291"/>
      <c r="E43" s="291"/>
    </row>
    <row r="46" spans="1:10" ht="12.95" customHeight="1">
      <c r="B46" s="1" t="s">
        <v>412</v>
      </c>
    </row>
    <row r="47" spans="1:10" ht="12.95" customHeight="1">
      <c r="B47" s="1" t="s">
        <v>413</v>
      </c>
    </row>
    <row r="48" spans="1:10" ht="12.95" customHeight="1">
      <c r="A48" s="1">
        <f>Calcu!R64</f>
        <v>15500</v>
      </c>
      <c r="B48" s="1" t="s">
        <v>433</v>
      </c>
    </row>
    <row r="49" spans="1:2" ht="12.95" customHeight="1">
      <c r="A49" s="116"/>
    </row>
    <row r="50" spans="1:2" ht="12.95" customHeight="1">
      <c r="A50" s="1" t="str">
        <f>Calcu!T3</f>
        <v>PASS</v>
      </c>
      <c r="B50" s="1" t="s">
        <v>434</v>
      </c>
    </row>
    <row r="52" spans="1:2" ht="12.95" customHeight="1">
      <c r="B52" s="1" t="s">
        <v>533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>
      <selection activeCell="AJ1" sqref="AJ1"/>
    </sheetView>
  </sheetViews>
  <sheetFormatPr defaultColWidth="8.88671875" defaultRowHeight="12"/>
  <cols>
    <col min="1" max="1" width="5.21875" style="95" bestFit="1" customWidth="1"/>
    <col min="2" max="2" width="6.6640625" style="95" bestFit="1" customWidth="1"/>
    <col min="3" max="3" width="8.88671875" style="95"/>
    <col min="4" max="4" width="6.6640625" style="95" bestFit="1" customWidth="1"/>
    <col min="5" max="13" width="1.77734375" style="95" customWidth="1"/>
    <col min="14" max="15" width="6" style="95" bestFit="1" customWidth="1"/>
    <col min="16" max="16" width="7.5546875" style="95" bestFit="1" customWidth="1"/>
    <col min="17" max="17" width="4" style="95" bestFit="1" customWidth="1"/>
    <col min="18" max="18" width="5.33203125" style="95" bestFit="1" customWidth="1"/>
    <col min="19" max="19" width="4" style="95" bestFit="1" customWidth="1"/>
    <col min="20" max="21" width="6.5546875" style="95" bestFit="1" customWidth="1"/>
    <col min="22" max="22" width="8.44140625" style="95" bestFit="1" customWidth="1"/>
    <col min="23" max="23" width="6.6640625" style="95" bestFit="1" customWidth="1"/>
    <col min="24" max="24" width="5.33203125" style="95" bestFit="1" customWidth="1"/>
    <col min="25" max="25" width="8.33203125" style="95" bestFit="1" customWidth="1"/>
    <col min="26" max="27" width="4" style="95" bestFit="1" customWidth="1"/>
    <col min="28" max="34" width="1.77734375" style="95" customWidth="1"/>
    <col min="35" max="35" width="7.5546875" style="95" bestFit="1" customWidth="1"/>
    <col min="36" max="16384" width="8.88671875" style="95"/>
  </cols>
  <sheetData>
    <row r="1" spans="1:36">
      <c r="A1" s="123" t="s">
        <v>121</v>
      </c>
      <c r="B1" s="123" t="s">
        <v>66</v>
      </c>
      <c r="C1" s="123" t="s">
        <v>67</v>
      </c>
      <c r="D1" s="123" t="s">
        <v>122</v>
      </c>
      <c r="E1" s="123"/>
      <c r="F1" s="123"/>
      <c r="G1" s="123"/>
      <c r="H1" s="123"/>
      <c r="I1" s="123"/>
      <c r="J1" s="123"/>
      <c r="K1" s="123"/>
      <c r="L1" s="123"/>
      <c r="M1" s="123"/>
      <c r="N1" s="123" t="s">
        <v>123</v>
      </c>
      <c r="O1" s="123" t="s">
        <v>124</v>
      </c>
      <c r="P1" s="123" t="s">
        <v>68</v>
      </c>
      <c r="Q1" s="123" t="s">
        <v>125</v>
      </c>
      <c r="R1" s="123" t="s">
        <v>70</v>
      </c>
      <c r="S1" s="123" t="s">
        <v>69</v>
      </c>
      <c r="T1" s="123" t="s">
        <v>71</v>
      </c>
      <c r="U1" s="123" t="s">
        <v>126</v>
      </c>
      <c r="V1" s="123" t="s">
        <v>72</v>
      </c>
      <c r="W1" s="123" t="s">
        <v>73</v>
      </c>
      <c r="X1" s="123" t="s">
        <v>127</v>
      </c>
      <c r="Y1" s="123" t="s">
        <v>128</v>
      </c>
      <c r="Z1" s="123" t="s">
        <v>129</v>
      </c>
      <c r="AA1" s="123" t="s">
        <v>130</v>
      </c>
      <c r="AB1" s="123"/>
      <c r="AC1" s="123"/>
      <c r="AD1" s="123"/>
      <c r="AE1" s="123"/>
      <c r="AF1" s="123"/>
      <c r="AG1" s="123"/>
      <c r="AH1" s="123"/>
      <c r="AI1" s="123" t="s">
        <v>131</v>
      </c>
      <c r="AJ1" s="233" t="s">
        <v>407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8" s="12" customFormat="1" ht="33" customHeight="1">
      <c r="A1" s="15" t="s">
        <v>111</v>
      </c>
    </row>
    <row r="2" spans="1:18" s="12" customFormat="1" ht="17.100000000000001" customHeight="1">
      <c r="A2" s="17" t="s">
        <v>43</v>
      </c>
      <c r="C2" s="96" t="s">
        <v>63</v>
      </c>
      <c r="F2" s="96" t="s">
        <v>75</v>
      </c>
      <c r="K2" s="17" t="s">
        <v>44</v>
      </c>
      <c r="N2" s="17" t="s">
        <v>45</v>
      </c>
    </row>
    <row r="3" spans="1:18" s="12" customFormat="1" ht="27">
      <c r="A3" s="14" t="s">
        <v>112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375</v>
      </c>
      <c r="K3" s="14" t="s">
        <v>48</v>
      </c>
      <c r="L3" s="41" t="s">
        <v>49</v>
      </c>
      <c r="M3" s="41" t="s">
        <v>50</v>
      </c>
      <c r="N3" s="41" t="s">
        <v>64</v>
      </c>
      <c r="O3" s="41" t="s">
        <v>65</v>
      </c>
      <c r="P3" s="118" t="s">
        <v>113</v>
      </c>
      <c r="Q3" s="118" t="s">
        <v>114</v>
      </c>
      <c r="R3" s="41" t="s">
        <v>115</v>
      </c>
    </row>
    <row r="4" spans="1:18" s="12" customFormat="1" ht="17.100000000000001" customHeight="1">
      <c r="A4" s="117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23"/>
      <c r="P4" s="119"/>
      <c r="Q4" s="119"/>
      <c r="R4" s="23"/>
    </row>
    <row r="5" spans="1:18" s="12" customFormat="1" ht="17.100000000000001" customHeight="1">
      <c r="A5" s="117"/>
      <c r="B5" s="23"/>
      <c r="C5" s="23"/>
      <c r="D5" s="55"/>
      <c r="E5" s="42"/>
      <c r="F5" s="23"/>
      <c r="G5" s="23"/>
      <c r="H5" s="98"/>
      <c r="I5" s="42"/>
      <c r="J5" s="23"/>
      <c r="K5" s="23"/>
      <c r="L5" s="24"/>
      <c r="M5" s="24"/>
      <c r="N5" s="24"/>
      <c r="O5" s="24"/>
      <c r="P5" s="120"/>
      <c r="Q5" s="120"/>
      <c r="R5" s="24"/>
    </row>
    <row r="6" spans="1:18" s="12" customFormat="1" ht="17.100000000000001" customHeight="1">
      <c r="A6" s="117"/>
      <c r="B6" s="23"/>
      <c r="C6" s="23"/>
      <c r="D6" s="55"/>
      <c r="E6" s="42"/>
      <c r="F6" s="23"/>
      <c r="G6" s="23"/>
      <c r="H6" s="98"/>
      <c r="I6" s="42"/>
      <c r="J6" s="23"/>
      <c r="K6" s="23"/>
      <c r="L6" s="24"/>
      <c r="M6" s="24"/>
      <c r="N6" s="24"/>
      <c r="O6" s="24"/>
      <c r="P6" s="120"/>
      <c r="Q6" s="120"/>
      <c r="R6" s="24"/>
    </row>
    <row r="7" spans="1:18" s="12" customFormat="1" ht="17.100000000000001" customHeight="1">
      <c r="A7" s="117"/>
      <c r="B7" s="23"/>
      <c r="C7" s="23"/>
      <c r="D7" s="55"/>
      <c r="E7" s="42"/>
      <c r="F7" s="23"/>
      <c r="G7" s="23"/>
      <c r="H7" s="98"/>
      <c r="I7" s="42"/>
      <c r="J7" s="23"/>
      <c r="K7" s="23"/>
      <c r="L7" s="24"/>
      <c r="M7" s="24"/>
      <c r="N7" s="24"/>
      <c r="O7" s="24"/>
      <c r="P7" s="120"/>
      <c r="Q7" s="120"/>
      <c r="R7" s="24"/>
    </row>
    <row r="8" spans="1:18" s="12" customFormat="1" ht="17.100000000000001" customHeight="1">
      <c r="A8" s="117"/>
      <c r="B8" s="23"/>
      <c r="C8" s="23"/>
      <c r="D8" s="55"/>
      <c r="E8" s="42"/>
      <c r="F8" s="23"/>
      <c r="G8" s="23"/>
      <c r="H8" s="98"/>
      <c r="I8" s="42"/>
      <c r="J8" s="23"/>
      <c r="K8" s="23"/>
      <c r="L8" s="24"/>
      <c r="M8" s="24"/>
      <c r="N8" s="24"/>
      <c r="O8" s="24"/>
      <c r="P8" s="120"/>
      <c r="Q8" s="120"/>
      <c r="R8" s="24"/>
    </row>
    <row r="9" spans="1:18" s="12" customFormat="1" ht="17.100000000000001" customHeight="1">
      <c r="A9" s="117"/>
      <c r="B9" s="23"/>
      <c r="C9" s="23"/>
      <c r="D9" s="55"/>
      <c r="E9" s="42"/>
      <c r="F9" s="23"/>
      <c r="G9" s="23"/>
      <c r="H9" s="98"/>
      <c r="I9" s="42"/>
      <c r="J9" s="23"/>
      <c r="K9" s="23"/>
      <c r="L9" s="24"/>
      <c r="M9" s="24"/>
      <c r="N9" s="24"/>
      <c r="O9" s="24"/>
      <c r="P9" s="120"/>
      <c r="Q9" s="120"/>
      <c r="R9" s="24"/>
    </row>
    <row r="10" spans="1:18" s="12" customFormat="1" ht="17.100000000000001" customHeight="1">
      <c r="A10" s="117"/>
      <c r="B10" s="23"/>
      <c r="C10" s="23"/>
      <c r="D10" s="55"/>
      <c r="E10" s="42"/>
      <c r="F10" s="23"/>
      <c r="G10" s="23"/>
      <c r="H10" s="98"/>
      <c r="I10" s="42"/>
      <c r="J10" s="23"/>
      <c r="K10" s="23"/>
      <c r="L10" s="24"/>
      <c r="M10" s="24"/>
      <c r="N10" s="24"/>
      <c r="O10" s="24"/>
      <c r="P10" s="120"/>
      <c r="Q10" s="120"/>
      <c r="R10" s="24"/>
    </row>
    <row r="11" spans="1:18" s="12" customFormat="1" ht="17.100000000000001" customHeight="1">
      <c r="A11" s="117"/>
      <c r="B11" s="23"/>
      <c r="C11" s="23"/>
      <c r="D11" s="55"/>
      <c r="E11" s="42"/>
      <c r="F11" s="23"/>
      <c r="G11" s="23"/>
      <c r="H11" s="98"/>
      <c r="I11" s="42"/>
      <c r="J11" s="23"/>
      <c r="K11" s="23"/>
      <c r="L11" s="24"/>
      <c r="M11" s="24"/>
      <c r="N11" s="24"/>
      <c r="O11" s="24"/>
      <c r="P11" s="120"/>
      <c r="Q11" s="120"/>
      <c r="R11" s="24"/>
    </row>
    <row r="12" spans="1:18" s="12" customFormat="1" ht="17.100000000000001" customHeight="1">
      <c r="A12" s="117"/>
      <c r="B12" s="23"/>
      <c r="C12" s="23"/>
      <c r="D12" s="55"/>
      <c r="E12" s="42"/>
      <c r="F12" s="23"/>
      <c r="G12" s="23"/>
      <c r="H12" s="98"/>
      <c r="I12" s="42"/>
      <c r="J12" s="23"/>
      <c r="K12" s="23"/>
      <c r="L12" s="24"/>
      <c r="M12" s="24"/>
      <c r="N12" s="24"/>
      <c r="O12" s="24"/>
      <c r="P12" s="120"/>
      <c r="Q12" s="120"/>
      <c r="R12" s="24"/>
    </row>
    <row r="13" spans="1:18" s="12" customFormat="1" ht="17.100000000000001" customHeight="1">
      <c r="A13" s="117"/>
      <c r="B13" s="23"/>
      <c r="C13" s="23"/>
      <c r="D13" s="55"/>
      <c r="E13" s="42"/>
      <c r="F13" s="23"/>
      <c r="G13" s="23"/>
      <c r="H13" s="98"/>
      <c r="I13" s="42"/>
      <c r="J13" s="23"/>
      <c r="K13" s="23"/>
      <c r="L13" s="24"/>
      <c r="M13" s="24"/>
      <c r="N13" s="24"/>
      <c r="O13" s="24"/>
      <c r="P13" s="120"/>
      <c r="Q13" s="120"/>
      <c r="R13" s="24"/>
    </row>
    <row r="14" spans="1:18" s="12" customFormat="1" ht="17.100000000000001" customHeight="1">
      <c r="A14" s="117"/>
      <c r="B14" s="23"/>
      <c r="C14" s="23"/>
      <c r="D14" s="55"/>
      <c r="E14" s="42"/>
      <c r="F14" s="23"/>
      <c r="G14" s="23"/>
      <c r="H14" s="98"/>
      <c r="I14" s="42"/>
      <c r="J14" s="23"/>
      <c r="K14" s="23"/>
      <c r="L14" s="24"/>
      <c r="M14" s="24"/>
      <c r="N14" s="24"/>
      <c r="O14" s="24"/>
      <c r="P14" s="120"/>
      <c r="Q14" s="120"/>
      <c r="R14" s="24"/>
    </row>
    <row r="15" spans="1:18" s="12" customFormat="1" ht="17.100000000000001" customHeight="1">
      <c r="A15" s="117"/>
      <c r="B15" s="23"/>
      <c r="C15" s="23"/>
      <c r="D15" s="55"/>
      <c r="E15" s="42"/>
      <c r="F15" s="23"/>
      <c r="G15" s="23"/>
      <c r="H15" s="98"/>
      <c r="I15" s="42"/>
      <c r="J15" s="23"/>
      <c r="K15" s="24"/>
      <c r="L15" s="24"/>
      <c r="M15" s="24"/>
      <c r="N15" s="24"/>
      <c r="O15" s="24"/>
      <c r="P15" s="120"/>
      <c r="Q15" s="120"/>
      <c r="R15" s="24"/>
    </row>
    <row r="16" spans="1:18" s="12" customFormat="1" ht="17.100000000000001" customHeight="1">
      <c r="A16" s="117"/>
      <c r="B16" s="23"/>
      <c r="C16" s="23"/>
      <c r="D16" s="55"/>
      <c r="E16" s="42"/>
      <c r="F16" s="23"/>
      <c r="G16" s="23"/>
      <c r="H16" s="98"/>
      <c r="I16" s="42"/>
      <c r="J16" s="23"/>
      <c r="K16" s="24"/>
      <c r="L16" s="24"/>
      <c r="M16" s="24"/>
      <c r="N16" s="24"/>
      <c r="O16" s="24"/>
      <c r="P16" s="120"/>
      <c r="Q16" s="120"/>
      <c r="R16" s="24"/>
    </row>
    <row r="17" spans="1:26" s="12" customFormat="1" ht="17.100000000000001" customHeight="1">
      <c r="A17" s="117"/>
      <c r="B17" s="23"/>
      <c r="C17" s="23"/>
      <c r="D17" s="55"/>
      <c r="E17" s="42"/>
      <c r="F17" s="23"/>
      <c r="G17" s="23"/>
      <c r="H17" s="98"/>
      <c r="I17" s="42"/>
      <c r="J17" s="23"/>
      <c r="K17" s="24"/>
      <c r="L17" s="24"/>
      <c r="M17" s="24"/>
      <c r="N17" s="24"/>
      <c r="O17" s="24"/>
      <c r="P17" s="120"/>
      <c r="Q17" s="120"/>
      <c r="R17" s="24"/>
    </row>
    <row r="18" spans="1:26" s="12" customFormat="1" ht="17.100000000000001" customHeight="1">
      <c r="A18" s="117"/>
      <c r="B18" s="23"/>
      <c r="C18" s="23"/>
      <c r="D18" s="55"/>
      <c r="E18" s="42"/>
      <c r="F18" s="23"/>
      <c r="G18" s="23"/>
      <c r="H18" s="98"/>
      <c r="I18" s="42"/>
      <c r="J18" s="23"/>
      <c r="K18" s="24"/>
      <c r="L18" s="24"/>
      <c r="M18" s="24"/>
      <c r="N18" s="24"/>
      <c r="O18" s="24"/>
      <c r="P18" s="120"/>
      <c r="Q18" s="120"/>
      <c r="R18" s="24"/>
    </row>
    <row r="19" spans="1:26" s="12" customFormat="1" ht="17.100000000000001" customHeight="1">
      <c r="A19" s="117"/>
      <c r="B19" s="119"/>
      <c r="C19" s="119"/>
      <c r="D19" s="119"/>
      <c r="E19" s="119"/>
      <c r="F19" s="119"/>
      <c r="G19" s="119"/>
      <c r="H19" s="119"/>
      <c r="I19" s="119"/>
      <c r="J19" s="119"/>
      <c r="K19" s="120"/>
      <c r="L19" s="120"/>
      <c r="M19" s="120"/>
      <c r="N19" s="120"/>
      <c r="O19" s="120"/>
      <c r="P19" s="120"/>
      <c r="Q19" s="120"/>
      <c r="R19" s="120"/>
    </row>
    <row r="20" spans="1:26" s="12" customFormat="1" ht="17.100000000000001" customHeight="1">
      <c r="A20" s="117"/>
      <c r="B20" s="119"/>
      <c r="C20" s="119"/>
      <c r="D20" s="119"/>
      <c r="E20" s="119"/>
      <c r="F20" s="119"/>
      <c r="G20" s="119"/>
      <c r="H20" s="119"/>
      <c r="I20" s="119"/>
      <c r="J20" s="119"/>
      <c r="K20" s="120"/>
      <c r="L20" s="120"/>
      <c r="M20" s="120"/>
      <c r="N20" s="120"/>
      <c r="O20" s="120"/>
      <c r="P20" s="120"/>
      <c r="Q20" s="120"/>
      <c r="R20" s="120"/>
    </row>
    <row r="21" spans="1:26" s="12" customFormat="1" ht="17.100000000000001" customHeight="1">
      <c r="A21" s="117"/>
      <c r="B21" s="119"/>
      <c r="C21" s="119"/>
      <c r="D21" s="119"/>
      <c r="E21" s="119"/>
      <c r="F21" s="119"/>
      <c r="G21" s="119"/>
      <c r="H21" s="119"/>
      <c r="I21" s="119"/>
      <c r="J21" s="119"/>
      <c r="K21" s="120"/>
      <c r="L21" s="120"/>
      <c r="M21" s="120"/>
      <c r="N21" s="120"/>
      <c r="O21" s="120"/>
      <c r="P21" s="120"/>
      <c r="Q21" s="120"/>
      <c r="R21" s="120"/>
    </row>
    <row r="22" spans="1:26" s="12" customFormat="1" ht="17.100000000000001" customHeight="1">
      <c r="A22" s="117"/>
      <c r="B22" s="119"/>
      <c r="C22" s="119"/>
      <c r="D22" s="119"/>
      <c r="E22" s="119"/>
      <c r="F22" s="119"/>
      <c r="G22" s="119"/>
      <c r="H22" s="119"/>
      <c r="I22" s="119"/>
      <c r="J22" s="119"/>
      <c r="K22" s="120"/>
      <c r="L22" s="120"/>
      <c r="M22" s="120"/>
      <c r="N22" s="120"/>
      <c r="O22" s="120"/>
      <c r="P22" s="120"/>
      <c r="Q22" s="120"/>
      <c r="R22" s="120"/>
    </row>
    <row r="23" spans="1:26" s="12" customFormat="1" ht="17.100000000000001" customHeight="1">
      <c r="A23" s="117"/>
      <c r="B23" s="119"/>
      <c r="C23" s="119"/>
      <c r="D23" s="119"/>
      <c r="E23" s="119"/>
      <c r="F23" s="119"/>
      <c r="G23" s="119"/>
      <c r="H23" s="119"/>
      <c r="I23" s="119"/>
      <c r="J23" s="119"/>
      <c r="K23" s="120"/>
      <c r="L23" s="120"/>
      <c r="M23" s="120"/>
      <c r="N23" s="120"/>
      <c r="O23" s="120"/>
      <c r="P23" s="120"/>
      <c r="Q23" s="120"/>
      <c r="R23" s="120"/>
    </row>
    <row r="24" spans="1:26" s="12" customFormat="1" ht="17.100000000000001" customHeight="1">
      <c r="A24" s="117"/>
      <c r="B24" s="23"/>
      <c r="C24" s="23"/>
      <c r="D24" s="55"/>
      <c r="E24" s="42"/>
      <c r="F24" s="23"/>
      <c r="G24" s="23"/>
      <c r="H24" s="98"/>
      <c r="I24" s="42"/>
      <c r="J24" s="23"/>
      <c r="K24" s="24"/>
      <c r="L24" s="24"/>
      <c r="M24" s="24"/>
      <c r="N24" s="24"/>
      <c r="O24" s="24"/>
      <c r="P24" s="120"/>
      <c r="Q24" s="120"/>
      <c r="R24" s="24"/>
    </row>
    <row r="25" spans="1:26" s="12" customFormat="1" ht="17.100000000000001" customHeight="1"/>
    <row r="26" spans="1:26" s="12" customFormat="1" ht="17.100000000000001" customHeight="1">
      <c r="A26" s="17" t="s">
        <v>116</v>
      </c>
    </row>
    <row r="27" spans="1:26" s="19" customFormat="1" ht="18" customHeight="1">
      <c r="A27" s="121" t="s">
        <v>117</v>
      </c>
      <c r="B27" s="121" t="s">
        <v>118</v>
      </c>
      <c r="C27" s="121" t="s">
        <v>119</v>
      </c>
      <c r="D27" s="121" t="s">
        <v>120</v>
      </c>
      <c r="E27" s="121" t="s">
        <v>119</v>
      </c>
      <c r="F27" s="121" t="s">
        <v>205</v>
      </c>
      <c r="G27" s="121"/>
      <c r="H27" s="121" t="s">
        <v>137</v>
      </c>
      <c r="I27" s="121" t="s">
        <v>138</v>
      </c>
      <c r="J27" s="121" t="s">
        <v>441</v>
      </c>
      <c r="K27" s="121" t="s">
        <v>153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7.100000000000001" customHeight="1">
      <c r="A28" s="97"/>
      <c r="B28" s="97"/>
      <c r="C28" s="97"/>
      <c r="D28" s="97"/>
      <c r="E28" s="122"/>
      <c r="F28" s="155"/>
      <c r="G28" s="155"/>
      <c r="H28" s="155"/>
      <c r="I28" s="155"/>
      <c r="J28" s="155"/>
      <c r="K28" s="15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7.100000000000001" customHeight="1">
      <c r="A29" s="97"/>
      <c r="B29" s="97"/>
      <c r="C29" s="97"/>
      <c r="D29" s="97"/>
      <c r="E29" s="122"/>
      <c r="F29" s="155"/>
      <c r="G29" s="155"/>
      <c r="H29" s="155"/>
      <c r="I29" s="155"/>
      <c r="J29" s="155"/>
      <c r="K29" s="15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7.100000000000001" customHeight="1">
      <c r="A30" s="97"/>
      <c r="B30" s="97"/>
      <c r="C30" s="97"/>
      <c r="D30" s="97"/>
      <c r="E30" s="122"/>
      <c r="F30" s="155"/>
      <c r="G30" s="155"/>
      <c r="H30" s="155"/>
      <c r="I30" s="155"/>
      <c r="J30" s="155"/>
      <c r="K30" s="15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7.100000000000001" customHeight="1">
      <c r="A31" s="97"/>
      <c r="B31" s="97"/>
      <c r="C31" s="97"/>
      <c r="D31" s="97"/>
      <c r="E31" s="122"/>
      <c r="F31" s="155"/>
      <c r="G31" s="155"/>
      <c r="H31" s="155"/>
      <c r="I31" s="155"/>
      <c r="J31" s="155"/>
      <c r="K31" s="15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7.100000000000001" customHeight="1">
      <c r="A32" s="97"/>
      <c r="B32" s="97"/>
      <c r="C32" s="97"/>
      <c r="D32" s="97"/>
      <c r="E32" s="122"/>
      <c r="F32" s="155"/>
      <c r="G32" s="155"/>
      <c r="H32" s="155"/>
      <c r="I32" s="155"/>
      <c r="J32" s="155"/>
      <c r="K32" s="15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7.100000000000001" customHeight="1">
      <c r="A33" s="97"/>
      <c r="B33" s="97"/>
      <c r="C33" s="97"/>
      <c r="D33" s="97"/>
      <c r="E33" s="122"/>
      <c r="F33" s="155"/>
      <c r="G33" s="155"/>
      <c r="H33" s="155"/>
      <c r="I33" s="155"/>
      <c r="J33" s="155"/>
      <c r="K33" s="155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7.100000000000001" customHeight="1">
      <c r="A34" s="97"/>
      <c r="B34" s="97"/>
      <c r="C34" s="97"/>
      <c r="D34" s="97"/>
      <c r="E34" s="122"/>
      <c r="F34" s="155"/>
      <c r="G34" s="155"/>
      <c r="H34" s="155"/>
      <c r="I34" s="155"/>
      <c r="J34" s="155"/>
      <c r="K34" s="15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7.100000000000001" customHeight="1">
      <c r="A35" s="97"/>
      <c r="B35" s="97"/>
      <c r="C35" s="97"/>
      <c r="D35" s="97"/>
      <c r="E35" s="122"/>
      <c r="F35" s="155"/>
      <c r="G35" s="155"/>
      <c r="H35" s="155"/>
      <c r="I35" s="155"/>
      <c r="J35" s="155"/>
      <c r="K35" s="15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7.100000000000001" customHeight="1">
      <c r="A36" s="97"/>
      <c r="B36" s="97"/>
      <c r="C36" s="97"/>
      <c r="D36" s="97"/>
      <c r="E36" s="122"/>
      <c r="F36" s="155"/>
      <c r="G36" s="155"/>
      <c r="H36" s="155"/>
      <c r="I36" s="155"/>
      <c r="J36" s="155"/>
      <c r="K36" s="15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7.100000000000001" customHeight="1">
      <c r="A37" s="97"/>
      <c r="B37" s="97"/>
      <c r="C37" s="97"/>
      <c r="D37" s="97"/>
      <c r="E37" s="122"/>
      <c r="F37" s="155"/>
      <c r="G37" s="155"/>
      <c r="H37" s="155"/>
      <c r="I37" s="155"/>
      <c r="J37" s="155"/>
      <c r="K37" s="15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7.100000000000001" customHeight="1">
      <c r="A38" s="97"/>
      <c r="B38" s="97"/>
      <c r="C38" s="97"/>
      <c r="D38" s="97"/>
      <c r="E38" s="122"/>
      <c r="F38" s="155"/>
      <c r="G38" s="155"/>
      <c r="H38" s="155"/>
      <c r="I38" s="155"/>
      <c r="J38" s="155"/>
      <c r="K38" s="15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7.100000000000001" customHeight="1">
      <c r="A39" s="97"/>
      <c r="B39" s="97"/>
      <c r="C39" s="97"/>
      <c r="D39" s="97"/>
      <c r="E39" s="122"/>
      <c r="F39" s="122"/>
      <c r="G39" s="122"/>
      <c r="H39" s="122"/>
      <c r="I39" s="122"/>
      <c r="J39" s="122"/>
      <c r="K39" s="12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7.100000000000001" customHeight="1">
      <c r="A40" s="97"/>
      <c r="B40" s="97"/>
      <c r="C40" s="97"/>
      <c r="D40" s="97"/>
      <c r="E40" s="122"/>
      <c r="F40" s="122"/>
      <c r="G40" s="122"/>
      <c r="H40" s="122"/>
      <c r="I40" s="122"/>
      <c r="J40" s="122"/>
      <c r="K40" s="12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7.100000000000001" customHeight="1">
      <c r="A41" s="97"/>
      <c r="B41" s="97"/>
      <c r="C41" s="97"/>
      <c r="D41" s="97"/>
      <c r="E41" s="122"/>
      <c r="F41" s="122"/>
      <c r="G41" s="122"/>
      <c r="H41" s="122"/>
      <c r="I41" s="122"/>
      <c r="J41" s="122"/>
      <c r="K41" s="12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7.100000000000001" customHeight="1">
      <c r="A42" s="97"/>
      <c r="B42" s="97"/>
      <c r="C42" s="97"/>
      <c r="D42" s="97"/>
      <c r="E42" s="122"/>
      <c r="F42" s="122"/>
      <c r="G42" s="122"/>
      <c r="H42" s="122"/>
      <c r="I42" s="122"/>
      <c r="J42" s="122"/>
      <c r="K42" s="12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7.100000000000001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7.100000000000001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7.100000000000001" customHeight="1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7.100000000000001" customHeight="1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7.100000000000001" customHeight="1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7.100000000000001" customHeight="1">
      <c r="A48" s="97"/>
      <c r="B48" s="97"/>
      <c r="C48" s="97"/>
      <c r="D48" s="97"/>
      <c r="E48" s="122"/>
      <c r="F48" s="122"/>
      <c r="G48" s="122"/>
      <c r="H48" s="122"/>
      <c r="I48" s="122"/>
      <c r="J48" s="122"/>
      <c r="K48" s="12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33203125" style="37" customWidth="1"/>
    <col min="6" max="7" width="18.77734375" style="37" customWidth="1"/>
    <col min="8" max="12" width="4.33203125" style="37" customWidth="1"/>
    <col min="13" max="16384" width="10.77734375" style="37"/>
  </cols>
  <sheetData>
    <row r="1" spans="1:12" s="47" customFormat="1" ht="33" customHeight="1">
      <c r="A1" s="338" t="s">
        <v>34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 s="47" customFormat="1" ht="33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12" s="47" customFormat="1" ht="12.75" customHeight="1">
      <c r="A3" s="48" t="s">
        <v>101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0"/>
      <c r="E4" s="91"/>
      <c r="F4" s="91"/>
      <c r="G4" s="91"/>
      <c r="H4" s="101"/>
      <c r="I4" s="91"/>
      <c r="J4" s="102"/>
      <c r="K4" s="92"/>
      <c r="L4" s="101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102</v>
      </c>
      <c r="G11" s="38"/>
    </row>
    <row r="12" spans="1:12" ht="15" customHeight="1">
      <c r="F12" s="54" t="str">
        <f>"○ 교정범위 : ("&amp;Calcu!J3&amp;" ~ "&amp;Calcu!K3&amp;")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"&amp;Calcu!M3&amp;"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3"/>
      <c r="C15" s="43"/>
      <c r="D15" s="43"/>
      <c r="F15" s="172" t="s">
        <v>235</v>
      </c>
      <c r="G15" s="241" t="s">
        <v>236</v>
      </c>
    </row>
    <row r="16" spans="1:12" ht="15" customHeight="1">
      <c r="A16" s="44"/>
      <c r="B16" s="43"/>
      <c r="C16" s="43"/>
      <c r="D16" s="43"/>
      <c r="F16" s="173" t="s">
        <v>237</v>
      </c>
      <c r="G16" s="242" t="s">
        <v>237</v>
      </c>
    </row>
    <row r="17" spans="1:7" ht="15" customHeight="1">
      <c r="A17" s="44" t="str">
        <f>IF(Calcu!B9=TRUE,"","삭제")</f>
        <v>삭제</v>
      </c>
      <c r="B17" s="43"/>
      <c r="C17" s="43"/>
      <c r="D17" s="43"/>
      <c r="F17" s="176" t="e">
        <f ca="1">Calcu!AA9</f>
        <v>#DIV/0!</v>
      </c>
      <c r="G17" s="176" t="e">
        <f ca="1">Calcu!AC9</f>
        <v>#DIV/0!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76" t="e">
        <f ca="1">Calcu!AA10</f>
        <v>#DIV/0!</v>
      </c>
      <c r="G18" s="176" t="e">
        <f ca="1">Calcu!AC10</f>
        <v>#DIV/0!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76" t="e">
        <f ca="1">Calcu!AA11</f>
        <v>#DIV/0!</v>
      </c>
      <c r="G19" s="176" t="e">
        <f ca="1">Calcu!AC11</f>
        <v>#DIV/0!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76" t="e">
        <f ca="1">Calcu!AA12</f>
        <v>#DIV/0!</v>
      </c>
      <c r="G20" s="176" t="e">
        <f ca="1">Calcu!AC12</f>
        <v>#DIV/0!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76" t="e">
        <f ca="1">Calcu!AA13</f>
        <v>#DIV/0!</v>
      </c>
      <c r="G21" s="176" t="e">
        <f ca="1">Calcu!AC13</f>
        <v>#DIV/0!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76" t="e">
        <f ca="1">Calcu!AA14</f>
        <v>#DIV/0!</v>
      </c>
      <c r="G22" s="176" t="e">
        <f ca="1">Calcu!AC14</f>
        <v>#DIV/0!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76" t="e">
        <f ca="1">Calcu!AA15</f>
        <v>#DIV/0!</v>
      </c>
      <c r="G23" s="176" t="e">
        <f ca="1">Calcu!AC15</f>
        <v>#DIV/0!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76" t="e">
        <f ca="1">Calcu!AA16</f>
        <v>#DIV/0!</v>
      </c>
      <c r="G24" s="176" t="e">
        <f ca="1">Calcu!AC16</f>
        <v>#DIV/0!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76" t="e">
        <f ca="1">Calcu!AA17</f>
        <v>#DIV/0!</v>
      </c>
      <c r="G25" s="176" t="e">
        <f ca="1">Calcu!AC17</f>
        <v>#DIV/0!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76" t="e">
        <f ca="1">Calcu!AA18</f>
        <v>#DIV/0!</v>
      </c>
      <c r="G26" s="176" t="e">
        <f ca="1">Calcu!AC18</f>
        <v>#DIV/0!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76" t="e">
        <f ca="1">Calcu!AA19</f>
        <v>#DIV/0!</v>
      </c>
      <c r="G27" s="176" t="e">
        <f ca="1">Calcu!AC19</f>
        <v>#DIV/0!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76" t="e">
        <f ca="1">Calcu!AA20</f>
        <v>#DIV/0!</v>
      </c>
      <c r="G28" s="176" t="e">
        <f ca="1">Calcu!AC20</f>
        <v>#DIV/0!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76" t="e">
        <f ca="1">Calcu!AA21</f>
        <v>#DIV/0!</v>
      </c>
      <c r="G29" s="176" t="e">
        <f ca="1">Calcu!AC21</f>
        <v>#DIV/0!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76" t="e">
        <f ca="1">Calcu!AA22</f>
        <v>#DIV/0!</v>
      </c>
      <c r="G30" s="176" t="e">
        <f ca="1">Calcu!AC22</f>
        <v>#DIV/0!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76" t="e">
        <f ca="1">Calcu!AA23</f>
        <v>#DIV/0!</v>
      </c>
      <c r="G31" s="176" t="e">
        <f ca="1">Calcu!AC23</f>
        <v>#DIV/0!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76" t="e">
        <f ca="1">Calcu!AA24</f>
        <v>#DIV/0!</v>
      </c>
      <c r="G32" s="176" t="e">
        <f ca="1">Calcu!AC24</f>
        <v>#DIV/0!</v>
      </c>
    </row>
    <row r="33" spans="1:10" ht="15" customHeight="1">
      <c r="A33" s="44" t="str">
        <f>IF(Calcu!B25=TRUE,"","삭제")</f>
        <v>삭제</v>
      </c>
      <c r="B33" s="43"/>
      <c r="C33" s="43"/>
      <c r="D33" s="43"/>
      <c r="F33" s="176" t="e">
        <f ca="1">Calcu!AA25</f>
        <v>#DIV/0!</v>
      </c>
      <c r="G33" s="176" t="e">
        <f ca="1">Calcu!AC25</f>
        <v>#DIV/0!</v>
      </c>
    </row>
    <row r="34" spans="1:10" ht="15" customHeight="1">
      <c r="A34" s="44" t="str">
        <f>IF(Calcu!B26=TRUE,"","삭제")</f>
        <v>삭제</v>
      </c>
      <c r="B34" s="43"/>
      <c r="C34" s="43"/>
      <c r="D34" s="43"/>
      <c r="F34" s="176" t="e">
        <f ca="1">Calcu!AA26</f>
        <v>#DIV/0!</v>
      </c>
      <c r="G34" s="176" t="e">
        <f ca="1">Calcu!AC26</f>
        <v>#DIV/0!</v>
      </c>
    </row>
    <row r="35" spans="1:10" ht="15" customHeight="1">
      <c r="A35" s="44" t="str">
        <f>IF(Calcu!B27=TRUE,"","삭제")</f>
        <v>삭제</v>
      </c>
      <c r="B35" s="43"/>
      <c r="C35" s="43"/>
      <c r="D35" s="43"/>
      <c r="F35" s="176" t="e">
        <f ca="1">Calcu!AA27</f>
        <v>#DIV/0!</v>
      </c>
      <c r="G35" s="176" t="e">
        <f ca="1">Calcu!AC27</f>
        <v>#DIV/0!</v>
      </c>
    </row>
    <row r="36" spans="1:10" ht="15" customHeight="1">
      <c r="A36" s="44" t="str">
        <f>IF(Calcu!B28=TRUE,"","삭제")</f>
        <v>삭제</v>
      </c>
      <c r="B36" s="43"/>
      <c r="C36" s="43"/>
      <c r="D36" s="43"/>
      <c r="F36" s="176" t="e">
        <f ca="1">Calcu!AA28</f>
        <v>#DIV/0!</v>
      </c>
      <c r="G36" s="176" t="e">
        <f ca="1">Calcu!AC28</f>
        <v>#DIV/0!</v>
      </c>
    </row>
    <row r="37" spans="1:10" ht="15" customHeight="1">
      <c r="A37" s="44" t="str">
        <f>IF(Calcu!B29=TRUE,"","삭제")</f>
        <v>삭제</v>
      </c>
      <c r="B37" s="43"/>
      <c r="C37" s="43"/>
      <c r="D37" s="43"/>
      <c r="F37" s="176" t="e">
        <f ca="1">Calcu!AA29</f>
        <v>#DIV/0!</v>
      </c>
      <c r="G37" s="176" t="e">
        <f ca="1">Calcu!AC29</f>
        <v>#DIV/0!</v>
      </c>
    </row>
    <row r="38" spans="1:10" ht="15" customHeight="1">
      <c r="A38" s="44"/>
      <c r="F38" s="103"/>
      <c r="G38" s="237"/>
      <c r="H38" s="51"/>
      <c r="I38" s="51"/>
    </row>
    <row r="39" spans="1:10" ht="15" customHeight="1">
      <c r="A39" s="44"/>
      <c r="F39" s="38" t="e">
        <f ca="1">"● 측정불확도 : "&amp;Calcu!T46</f>
        <v>#DIV/0!</v>
      </c>
      <c r="G39" s="38"/>
      <c r="H39" s="38"/>
    </row>
    <row r="40" spans="1:10" ht="15" customHeight="1">
      <c r="A40" s="44"/>
      <c r="F40" s="243" t="e">
        <f>IF(Calcu!E56="사다리꼴","(신뢰수준 95 %,","(신뢰수준 약 95 %,")</f>
        <v>#DIV/0!</v>
      </c>
      <c r="G40" s="50" t="e">
        <f ca="1">Calcu!E57&amp;IF(Calcu!E56="사다리꼴",", 사다리꼴 확률분포)",")")</f>
        <v>#DIV/0!</v>
      </c>
      <c r="J40" s="50"/>
    </row>
    <row r="41" spans="1:10" ht="15" customHeight="1">
      <c r="A41" s="44"/>
      <c r="F41" s="53"/>
      <c r="G41" s="53"/>
      <c r="J41" s="50"/>
    </row>
    <row r="42" spans="1:10" ht="15" customHeight="1">
      <c r="A42" s="44"/>
      <c r="F42" s="38" t="str">
        <f>"○ 교정에 사용된 다이얼/디지털 게이지의 기기번호 : "&amp;Calcu!O3</f>
        <v>○ 교정에 사용된 다이얼/디지털 게이지의 기기번호 : 0</v>
      </c>
      <c r="G42" s="38"/>
      <c r="J42" s="50"/>
    </row>
    <row r="43" spans="1:10" ht="15" customHeight="1">
      <c r="F43" s="75"/>
      <c r="G43" s="75"/>
      <c r="H43" s="75"/>
      <c r="I43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33203125" style="37" customWidth="1"/>
    <col min="6" max="7" width="18.77734375" style="37" customWidth="1"/>
    <col min="8" max="12" width="4.33203125" style="37" customWidth="1"/>
    <col min="13" max="16384" width="10.77734375" style="37"/>
  </cols>
  <sheetData>
    <row r="1" spans="1:12" s="80" customFormat="1" ht="33" customHeight="1">
      <c r="A1" s="339" t="s">
        <v>58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80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79" t="str">
        <f>" 교   정   번   호(Calibration No) : "&amp;기본정보!H3</f>
        <v xml:space="preserve"> 교   정   번   호(Calibration No) : </v>
      </c>
      <c r="B4" s="90"/>
      <c r="C4" s="90"/>
      <c r="D4" s="90"/>
      <c r="E4" s="79"/>
      <c r="F4" s="78"/>
      <c r="G4" s="77"/>
      <c r="H4" s="78"/>
      <c r="I4" s="78"/>
      <c r="J4" s="92"/>
      <c r="K4" s="92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100</v>
      </c>
    </row>
    <row r="12" spans="1:12" ht="15" customHeight="1">
      <c r="F12" s="54" t="str">
        <f>"○ Range : ("&amp;Calcu!J3&amp;" ~ "&amp;Calcu!K3&amp;")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"&amp;Calcu!M3&amp;"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4"/>
      <c r="E15" s="43"/>
      <c r="F15" s="172" t="s">
        <v>238</v>
      </c>
      <c r="G15" s="225" t="s">
        <v>239</v>
      </c>
    </row>
    <row r="16" spans="1:12" ht="15" customHeight="1">
      <c r="A16" s="44"/>
      <c r="B16" s="44"/>
      <c r="C16" s="44"/>
      <c r="D16" s="44"/>
      <c r="E16" s="43"/>
      <c r="F16" s="173" t="s">
        <v>237</v>
      </c>
      <c r="G16" s="226" t="s">
        <v>237</v>
      </c>
    </row>
    <row r="17" spans="1:9" ht="15" customHeight="1">
      <c r="A17" s="44" t="str">
        <f>IF(Calcu!B9=TRUE,"","삭제")</f>
        <v>삭제</v>
      </c>
      <c r="B17" s="44"/>
      <c r="C17" s="44"/>
      <c r="D17" s="44"/>
      <c r="E17" s="43"/>
      <c r="F17" s="176" t="e">
        <f ca="1">Calcu!AA9</f>
        <v>#DIV/0!</v>
      </c>
      <c r="G17" s="176" t="e">
        <f ca="1">Calcu!AC9</f>
        <v>#DIV/0!</v>
      </c>
    </row>
    <row r="18" spans="1:9" ht="15" customHeight="1">
      <c r="A18" s="44" t="str">
        <f>IF(Calcu!B10=TRUE,"","삭제")</f>
        <v>삭제</v>
      </c>
      <c r="B18" s="44"/>
      <c r="C18" s="44"/>
      <c r="D18" s="44"/>
      <c r="E18" s="43"/>
      <c r="F18" s="176" t="e">
        <f ca="1">Calcu!AA10</f>
        <v>#DIV/0!</v>
      </c>
      <c r="G18" s="176" t="e">
        <f ca="1">Calcu!AC10</f>
        <v>#DIV/0!</v>
      </c>
    </row>
    <row r="19" spans="1:9" ht="15" customHeight="1">
      <c r="A19" s="44" t="str">
        <f>IF(Calcu!B11=TRUE,"","삭제")</f>
        <v>삭제</v>
      </c>
      <c r="B19" s="44"/>
      <c r="C19" s="44"/>
      <c r="D19" s="44"/>
      <c r="E19" s="43"/>
      <c r="F19" s="176" t="e">
        <f ca="1">Calcu!AA11</f>
        <v>#DIV/0!</v>
      </c>
      <c r="G19" s="176" t="e">
        <f ca="1">Calcu!AC11</f>
        <v>#DIV/0!</v>
      </c>
    </row>
    <row r="20" spans="1:9" ht="15" customHeight="1">
      <c r="A20" s="44" t="str">
        <f>IF(Calcu!B12=TRUE,"","삭제")</f>
        <v>삭제</v>
      </c>
      <c r="B20" s="44"/>
      <c r="C20" s="44"/>
      <c r="D20" s="44"/>
      <c r="E20" s="43"/>
      <c r="F20" s="176" t="e">
        <f ca="1">Calcu!AA12</f>
        <v>#DIV/0!</v>
      </c>
      <c r="G20" s="176" t="e">
        <f ca="1">Calcu!AC12</f>
        <v>#DIV/0!</v>
      </c>
    </row>
    <row r="21" spans="1:9" ht="15" customHeight="1">
      <c r="A21" s="44" t="str">
        <f>IF(Calcu!B13=TRUE,"","삭제")</f>
        <v>삭제</v>
      </c>
      <c r="B21" s="44"/>
      <c r="C21" s="44"/>
      <c r="D21" s="44"/>
      <c r="E21" s="43"/>
      <c r="F21" s="176" t="e">
        <f ca="1">Calcu!AA13</f>
        <v>#DIV/0!</v>
      </c>
      <c r="G21" s="176" t="e">
        <f ca="1">Calcu!AC13</f>
        <v>#DIV/0!</v>
      </c>
    </row>
    <row r="22" spans="1:9" ht="15" customHeight="1">
      <c r="A22" s="44" t="str">
        <f>IF(Calcu!B14=TRUE,"","삭제")</f>
        <v>삭제</v>
      </c>
      <c r="B22" s="44"/>
      <c r="C22" s="44"/>
      <c r="D22" s="44"/>
      <c r="E22" s="43"/>
      <c r="F22" s="176" t="e">
        <f ca="1">Calcu!AA14</f>
        <v>#DIV/0!</v>
      </c>
      <c r="G22" s="176" t="e">
        <f ca="1">Calcu!AC14</f>
        <v>#DIV/0!</v>
      </c>
    </row>
    <row r="23" spans="1:9" ht="15" customHeight="1">
      <c r="A23" s="44" t="str">
        <f>IF(Calcu!B15=TRUE,"","삭제")</f>
        <v>삭제</v>
      </c>
      <c r="B23" s="44"/>
      <c r="C23" s="44"/>
      <c r="D23" s="44"/>
      <c r="E23" s="43"/>
      <c r="F23" s="176" t="e">
        <f ca="1">Calcu!AA15</f>
        <v>#DIV/0!</v>
      </c>
      <c r="G23" s="176" t="e">
        <f ca="1">Calcu!AC15</f>
        <v>#DIV/0!</v>
      </c>
    </row>
    <row r="24" spans="1:9" ht="15" customHeight="1">
      <c r="A24" s="44" t="str">
        <f>IF(Calcu!B16=TRUE,"","삭제")</f>
        <v>삭제</v>
      </c>
      <c r="B24" s="44"/>
      <c r="C24" s="44"/>
      <c r="D24" s="44"/>
      <c r="E24" s="43"/>
      <c r="F24" s="176" t="e">
        <f ca="1">Calcu!AA16</f>
        <v>#DIV/0!</v>
      </c>
      <c r="G24" s="176" t="e">
        <f ca="1">Calcu!AC16</f>
        <v>#DIV/0!</v>
      </c>
    </row>
    <row r="25" spans="1:9" ht="15" customHeight="1">
      <c r="A25" s="44" t="str">
        <f>IF(Calcu!B17=TRUE,"","삭제")</f>
        <v>삭제</v>
      </c>
      <c r="B25" s="44"/>
      <c r="C25" s="44"/>
      <c r="D25" s="44"/>
      <c r="E25" s="43"/>
      <c r="F25" s="176" t="e">
        <f ca="1">Calcu!AA17</f>
        <v>#DIV/0!</v>
      </c>
      <c r="G25" s="176" t="e">
        <f ca="1">Calcu!AC17</f>
        <v>#DIV/0!</v>
      </c>
    </row>
    <row r="26" spans="1:9" ht="15" customHeight="1">
      <c r="A26" s="44" t="str">
        <f>IF(Calcu!B18=TRUE,"","삭제")</f>
        <v>삭제</v>
      </c>
      <c r="B26" s="44"/>
      <c r="C26" s="44"/>
      <c r="D26" s="44"/>
      <c r="E26" s="43"/>
      <c r="F26" s="176" t="e">
        <f ca="1">Calcu!AA18</f>
        <v>#DIV/0!</v>
      </c>
      <c r="G26" s="176" t="e">
        <f ca="1">Calcu!AC18</f>
        <v>#DIV/0!</v>
      </c>
    </row>
    <row r="27" spans="1:9" ht="15" customHeight="1">
      <c r="A27" s="44" t="str">
        <f>IF(Calcu!B19=TRUE,"","삭제")</f>
        <v>삭제</v>
      </c>
      <c r="B27" s="44"/>
      <c r="C27" s="44"/>
      <c r="D27" s="44"/>
      <c r="E27" s="43"/>
      <c r="F27" s="176" t="e">
        <f ca="1">Calcu!AA19</f>
        <v>#DIV/0!</v>
      </c>
      <c r="G27" s="176" t="e">
        <f ca="1">Calcu!AC19</f>
        <v>#DIV/0!</v>
      </c>
    </row>
    <row r="28" spans="1:9" ht="15" customHeight="1">
      <c r="A28" s="44" t="str">
        <f>IF(Calcu!B20=TRUE,"","삭제")</f>
        <v>삭제</v>
      </c>
      <c r="B28" s="44"/>
      <c r="C28" s="44"/>
      <c r="D28" s="44"/>
      <c r="E28" s="43"/>
      <c r="F28" s="176" t="e">
        <f ca="1">Calcu!AA20</f>
        <v>#DIV/0!</v>
      </c>
      <c r="G28" s="176" t="e">
        <f ca="1">Calcu!AC20</f>
        <v>#DIV/0!</v>
      </c>
    </row>
    <row r="29" spans="1:9" ht="15" customHeight="1">
      <c r="A29" s="44" t="str">
        <f>IF(Calcu!B21=TRUE,"","삭제")</f>
        <v>삭제</v>
      </c>
      <c r="B29" s="44"/>
      <c r="C29" s="44"/>
      <c r="D29" s="44"/>
      <c r="E29" s="43"/>
      <c r="F29" s="176" t="e">
        <f ca="1">Calcu!AA21</f>
        <v>#DIV/0!</v>
      </c>
      <c r="G29" s="176" t="e">
        <f ca="1">Calcu!AC21</f>
        <v>#DIV/0!</v>
      </c>
    </row>
    <row r="30" spans="1:9" ht="15" customHeight="1">
      <c r="A30" s="44" t="str">
        <f>IF(Calcu!B22=TRUE,"","삭제")</f>
        <v>삭제</v>
      </c>
      <c r="B30" s="44"/>
      <c r="C30" s="44"/>
      <c r="D30" s="44"/>
      <c r="E30" s="43"/>
      <c r="F30" s="176" t="e">
        <f ca="1">Calcu!AA22</f>
        <v>#DIV/0!</v>
      </c>
      <c r="G30" s="176" t="e">
        <f ca="1">Calcu!AC22</f>
        <v>#DIV/0!</v>
      </c>
    </row>
    <row r="31" spans="1:9" ht="15" customHeight="1">
      <c r="A31" s="44" t="str">
        <f>IF(Calcu!B23=TRUE,"","삭제")</f>
        <v>삭제</v>
      </c>
      <c r="B31" s="44"/>
      <c r="C31" s="44"/>
      <c r="D31" s="44"/>
      <c r="E31" s="43"/>
      <c r="F31" s="176" t="e">
        <f ca="1">Calcu!AA23</f>
        <v>#DIV/0!</v>
      </c>
      <c r="G31" s="176" t="e">
        <f ca="1">Calcu!AC23</f>
        <v>#DIV/0!</v>
      </c>
    </row>
    <row r="32" spans="1:9" ht="15" customHeight="1">
      <c r="A32" s="44" t="str">
        <f>IF(Calcu!B24=TRUE,"","삭제")</f>
        <v>삭제</v>
      </c>
      <c r="B32" s="44"/>
      <c r="C32" s="44"/>
      <c r="D32" s="44"/>
      <c r="E32" s="43"/>
      <c r="F32" s="176" t="e">
        <f ca="1">Calcu!AA24</f>
        <v>#DIV/0!</v>
      </c>
      <c r="G32" s="176" t="e">
        <f ca="1">Calcu!AC24</f>
        <v>#DIV/0!</v>
      </c>
      <c r="H32" s="51"/>
      <c r="I32" s="51"/>
    </row>
    <row r="33" spans="1:11" ht="15" customHeight="1">
      <c r="A33" s="44" t="str">
        <f>IF(Calcu!B25=TRUE,"","삭제")</f>
        <v>삭제</v>
      </c>
      <c r="B33" s="44"/>
      <c r="C33" s="44"/>
      <c r="D33" s="44"/>
      <c r="E33" s="43"/>
      <c r="F33" s="176" t="e">
        <f ca="1">Calcu!AA25</f>
        <v>#DIV/0!</v>
      </c>
      <c r="G33" s="176" t="e">
        <f ca="1">Calcu!AC25</f>
        <v>#DIV/0!</v>
      </c>
      <c r="H33" s="51"/>
      <c r="I33" s="51"/>
    </row>
    <row r="34" spans="1:11" ht="15" customHeight="1">
      <c r="A34" s="44" t="str">
        <f>IF(Calcu!B26=TRUE,"","삭제")</f>
        <v>삭제</v>
      </c>
      <c r="B34" s="44"/>
      <c r="C34" s="44"/>
      <c r="D34" s="44"/>
      <c r="E34" s="43"/>
      <c r="F34" s="176" t="e">
        <f ca="1">Calcu!AA26</f>
        <v>#DIV/0!</v>
      </c>
      <c r="G34" s="176" t="e">
        <f ca="1">Calcu!AC26</f>
        <v>#DIV/0!</v>
      </c>
      <c r="H34" s="51"/>
      <c r="I34" s="51"/>
    </row>
    <row r="35" spans="1:11" ht="15" customHeight="1">
      <c r="A35" s="44" t="str">
        <f>IF(Calcu!B27=TRUE,"","삭제")</f>
        <v>삭제</v>
      </c>
      <c r="B35" s="44"/>
      <c r="C35" s="44"/>
      <c r="D35" s="44"/>
      <c r="E35" s="43"/>
      <c r="F35" s="176" t="e">
        <f ca="1">Calcu!AA27</f>
        <v>#DIV/0!</v>
      </c>
      <c r="G35" s="176" t="e">
        <f ca="1">Calcu!AC27</f>
        <v>#DIV/0!</v>
      </c>
      <c r="H35" s="51"/>
      <c r="I35" s="51"/>
    </row>
    <row r="36" spans="1:11" ht="15" customHeight="1">
      <c r="A36" s="44" t="str">
        <f>IF(Calcu!B28=TRUE,"","삭제")</f>
        <v>삭제</v>
      </c>
      <c r="B36" s="44"/>
      <c r="C36" s="44"/>
      <c r="D36" s="44"/>
      <c r="E36" s="43"/>
      <c r="F36" s="176" t="e">
        <f ca="1">Calcu!AA28</f>
        <v>#DIV/0!</v>
      </c>
      <c r="G36" s="176" t="e">
        <f ca="1">Calcu!AC28</f>
        <v>#DIV/0!</v>
      </c>
      <c r="H36" s="51"/>
      <c r="I36" s="51"/>
    </row>
    <row r="37" spans="1:11" ht="15" customHeight="1">
      <c r="A37" s="44" t="str">
        <f>IF(Calcu!B29=TRUE,"","삭제")</f>
        <v>삭제</v>
      </c>
      <c r="B37" s="44"/>
      <c r="C37" s="44"/>
      <c r="D37" s="44"/>
      <c r="E37" s="43"/>
      <c r="F37" s="176" t="e">
        <f ca="1">Calcu!AA29</f>
        <v>#DIV/0!</v>
      </c>
      <c r="G37" s="176" t="e">
        <f ca="1">Calcu!AC29</f>
        <v>#DIV/0!</v>
      </c>
      <c r="H37" s="51"/>
      <c r="I37" s="51"/>
    </row>
    <row r="38" spans="1:11" ht="15" customHeight="1">
      <c r="A38" s="44"/>
      <c r="B38" s="44"/>
      <c r="C38" s="44"/>
      <c r="D38" s="44"/>
      <c r="F38" s="103"/>
      <c r="G38" s="103"/>
      <c r="H38" s="51"/>
      <c r="I38" s="51"/>
    </row>
    <row r="39" spans="1:11" ht="15" customHeight="1">
      <c r="A39" s="44"/>
      <c r="B39" s="44"/>
      <c r="C39" s="44"/>
      <c r="D39" s="44"/>
      <c r="F39" s="38" t="e">
        <f ca="1">"● Measurement uncertainty : "&amp;Calcu!T46</f>
        <v>#DIV/0!</v>
      </c>
      <c r="H39" s="38"/>
      <c r="K39" s="50"/>
    </row>
    <row r="40" spans="1:11" ht="15" customHeight="1">
      <c r="A40" s="44"/>
      <c r="B40" s="44"/>
      <c r="C40" s="44"/>
      <c r="D40" s="44"/>
      <c r="G40" s="243" t="e">
        <f>IF(Calcu!E56="사다리꼴","(Confidence level 95 %,","(Confidence level about 95 %,")</f>
        <v>#DIV/0!</v>
      </c>
      <c r="H40" s="50" t="e">
        <f ca="1">Calcu!E57&amp;")"</f>
        <v>#DIV/0!</v>
      </c>
      <c r="J40" s="50"/>
      <c r="K40" s="50"/>
    </row>
    <row r="41" spans="1:11" ht="15" customHeight="1">
      <c r="A41" s="44" t="e">
        <f>IF(Calcu!E56="사다리꼴","","삭제")</f>
        <v>#DIV/0!</v>
      </c>
      <c r="B41" s="44"/>
      <c r="C41" s="44"/>
      <c r="D41" s="44"/>
      <c r="F41" s="50" t="e">
        <f>IF(Calcu!E56="사다리꼴","※ Trapezoid probability distribution.","")</f>
        <v>#DIV/0!</v>
      </c>
      <c r="G41" s="53"/>
      <c r="J41" s="50"/>
      <c r="K41" s="50"/>
    </row>
    <row r="42" spans="1:11" ht="15" customHeight="1">
      <c r="A42" s="44"/>
      <c r="B42" s="44"/>
      <c r="C42" s="44"/>
      <c r="D42" s="44"/>
      <c r="F42" s="50"/>
      <c r="G42" s="53"/>
      <c r="J42" s="50"/>
      <c r="K42" s="50"/>
    </row>
    <row r="43" spans="1:11" ht="15" customHeight="1">
      <c r="A43" s="44"/>
      <c r="B43" s="44"/>
      <c r="C43" s="44"/>
      <c r="D43" s="44"/>
      <c r="F43" s="50" t="str">
        <f>"※ Dial/Digital gauge Serial Number : "&amp;Calcu!O3</f>
        <v>※ Dial/Digital gauge Serial Number : 0</v>
      </c>
      <c r="G43" s="53"/>
      <c r="J43" s="50"/>
      <c r="K43" s="50"/>
    </row>
    <row r="44" spans="1:11" ht="15" customHeight="1">
      <c r="F44" s="75"/>
      <c r="G44" s="75"/>
      <c r="H44" s="75"/>
      <c r="I44" s="76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6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8" t="s">
        <v>511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</row>
    <row r="2" spans="1:17" s="47" customFormat="1" ht="33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</row>
    <row r="3" spans="1:17" s="47" customFormat="1" ht="12.75" customHeight="1">
      <c r="A3" s="48" t="s">
        <v>512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0"/>
      <c r="E4" s="90"/>
      <c r="F4" s="91"/>
      <c r="G4" s="91"/>
      <c r="H4" s="91"/>
      <c r="I4" s="91"/>
      <c r="J4" s="91"/>
      <c r="K4" s="102"/>
      <c r="L4" s="92"/>
      <c r="M4" s="101"/>
      <c r="N4" s="101"/>
      <c r="O4" s="101"/>
      <c r="P4" s="101"/>
      <c r="Q4" s="101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102</v>
      </c>
      <c r="G11" s="38"/>
    </row>
    <row r="12" spans="1:17" ht="15" customHeight="1"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"&amp;Calcu!M3&amp;"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73" customFormat="1" ht="15" customHeight="1">
      <c r="B15" s="345"/>
      <c r="C15" s="347"/>
      <c r="D15" s="347"/>
      <c r="E15" s="347"/>
      <c r="F15" s="349" t="s">
        <v>513</v>
      </c>
      <c r="G15" s="351" t="s">
        <v>514</v>
      </c>
      <c r="H15" s="353" t="s">
        <v>515</v>
      </c>
      <c r="I15" s="355"/>
      <c r="J15" s="356" t="s">
        <v>516</v>
      </c>
      <c r="K15" s="356"/>
      <c r="L15" s="356"/>
      <c r="M15" s="340" t="s">
        <v>517</v>
      </c>
      <c r="N15" s="340"/>
      <c r="O15" s="340"/>
      <c r="P15" s="341"/>
      <c r="Q15" s="343" t="s">
        <v>518</v>
      </c>
    </row>
    <row r="16" spans="1:17" s="274" customFormat="1" ht="22.5">
      <c r="B16" s="346"/>
      <c r="C16" s="348"/>
      <c r="D16" s="348"/>
      <c r="E16" s="348"/>
      <c r="F16" s="350"/>
      <c r="G16" s="352"/>
      <c r="H16" s="354"/>
      <c r="I16" s="348"/>
      <c r="J16" s="276" t="s">
        <v>530</v>
      </c>
      <c r="K16" s="277" t="s">
        <v>531</v>
      </c>
      <c r="L16" s="277" t="s">
        <v>532</v>
      </c>
      <c r="M16" s="276" t="s">
        <v>530</v>
      </c>
      <c r="N16" s="277" t="s">
        <v>531</v>
      </c>
      <c r="O16" s="277" t="s">
        <v>532</v>
      </c>
      <c r="P16" s="342"/>
      <c r="Q16" s="344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Calcu!AA9</f>
        <v>#DIV/0!</v>
      </c>
      <c r="G17" s="51" t="s">
        <v>519</v>
      </c>
      <c r="H17" s="51" t="e">
        <f ca="1">Calcu!AD9</f>
        <v>#DIV/0!</v>
      </c>
      <c r="J17" s="37" t="e">
        <f ca="1">Calcu!AB9</f>
        <v>#DIV/0!</v>
      </c>
      <c r="K17" s="37" t="e">
        <f ca="1">Calcu!AC9</f>
        <v>#DIV/0!</v>
      </c>
      <c r="L17" s="37" t="str">
        <f>LEFT(Calcu!AE9)</f>
        <v/>
      </c>
      <c r="M17" s="37" t="s">
        <v>520</v>
      </c>
      <c r="N17" s="37" t="s">
        <v>521</v>
      </c>
      <c r="O17" s="37" t="s">
        <v>521</v>
      </c>
      <c r="Q17" s="37" t="e">
        <f ca="1">Calcu!AF9</f>
        <v>#DIV/0!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Calcu!AA10</f>
        <v>#DIV/0!</v>
      </c>
      <c r="G18" s="51" t="s">
        <v>522</v>
      </c>
      <c r="H18" s="51" t="e">
        <f ca="1">Calcu!AD10</f>
        <v>#DIV/0!</v>
      </c>
      <c r="J18" s="37" t="e">
        <f ca="1">Calcu!AB10</f>
        <v>#DIV/0!</v>
      </c>
      <c r="K18" s="37" t="e">
        <f ca="1">Calcu!AC10</f>
        <v>#DIV/0!</v>
      </c>
      <c r="L18" s="37" t="str">
        <f>LEFT(Calcu!AE10)</f>
        <v/>
      </c>
      <c r="M18" s="37" t="s">
        <v>520</v>
      </c>
      <c r="N18" s="37" t="s">
        <v>523</v>
      </c>
      <c r="O18" s="37" t="s">
        <v>524</v>
      </c>
      <c r="Q18" s="37" t="e">
        <f ca="1">Calcu!AF10</f>
        <v>#DIV/0!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Calcu!AA11</f>
        <v>#DIV/0!</v>
      </c>
      <c r="G19" s="51" t="s">
        <v>522</v>
      </c>
      <c r="H19" s="51" t="e">
        <f ca="1">Calcu!AD11</f>
        <v>#DIV/0!</v>
      </c>
      <c r="J19" s="37" t="e">
        <f ca="1">Calcu!AB11</f>
        <v>#DIV/0!</v>
      </c>
      <c r="K19" s="37" t="e">
        <f ca="1">Calcu!AC11</f>
        <v>#DIV/0!</v>
      </c>
      <c r="L19" s="37" t="str">
        <f>LEFT(Calcu!AE11)</f>
        <v/>
      </c>
      <c r="M19" s="37" t="s">
        <v>524</v>
      </c>
      <c r="N19" s="37" t="s">
        <v>520</v>
      </c>
      <c r="O19" s="37" t="s">
        <v>525</v>
      </c>
      <c r="Q19" s="37" t="e">
        <f ca="1">Calcu!AF11</f>
        <v>#DIV/0!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Calcu!AA12</f>
        <v>#DIV/0!</v>
      </c>
      <c r="G20" s="51" t="s">
        <v>522</v>
      </c>
      <c r="H20" s="51" t="e">
        <f ca="1">Calcu!AD12</f>
        <v>#DIV/0!</v>
      </c>
      <c r="J20" s="37" t="e">
        <f ca="1">Calcu!AB12</f>
        <v>#DIV/0!</v>
      </c>
      <c r="K20" s="37" t="e">
        <f ca="1">Calcu!AC12</f>
        <v>#DIV/0!</v>
      </c>
      <c r="L20" s="37" t="str">
        <f>LEFT(Calcu!AE12)</f>
        <v/>
      </c>
      <c r="M20" s="37" t="s">
        <v>521</v>
      </c>
      <c r="N20" s="37" t="s">
        <v>521</v>
      </c>
      <c r="O20" s="37" t="s">
        <v>525</v>
      </c>
      <c r="Q20" s="37" t="e">
        <f ca="1">Calcu!AF12</f>
        <v>#DIV/0!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Calcu!AA13</f>
        <v>#DIV/0!</v>
      </c>
      <c r="G21" s="51" t="s">
        <v>493</v>
      </c>
      <c r="H21" s="51" t="e">
        <f ca="1">Calcu!AD13</f>
        <v>#DIV/0!</v>
      </c>
      <c r="J21" s="37" t="e">
        <f ca="1">Calcu!AB13</f>
        <v>#DIV/0!</v>
      </c>
      <c r="K21" s="37" t="e">
        <f ca="1">Calcu!AC13</f>
        <v>#DIV/0!</v>
      </c>
      <c r="L21" s="37" t="str">
        <f>LEFT(Calcu!AE13)</f>
        <v/>
      </c>
      <c r="M21" s="37" t="s">
        <v>526</v>
      </c>
      <c r="N21" s="37" t="s">
        <v>526</v>
      </c>
      <c r="O21" s="37" t="s">
        <v>520</v>
      </c>
      <c r="Q21" s="37" t="e">
        <f ca="1">Calcu!AF13</f>
        <v>#DIV/0!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Calcu!AA14</f>
        <v>#DIV/0!</v>
      </c>
      <c r="G22" s="51" t="s">
        <v>522</v>
      </c>
      <c r="H22" s="51" t="e">
        <f ca="1">Calcu!AD14</f>
        <v>#DIV/0!</v>
      </c>
      <c r="J22" s="37" t="e">
        <f ca="1">Calcu!AB14</f>
        <v>#DIV/0!</v>
      </c>
      <c r="K22" s="37" t="e">
        <f ca="1">Calcu!AC14</f>
        <v>#DIV/0!</v>
      </c>
      <c r="L22" s="37" t="str">
        <f>LEFT(Calcu!AE14)</f>
        <v/>
      </c>
      <c r="M22" s="37" t="s">
        <v>520</v>
      </c>
      <c r="N22" s="37" t="s">
        <v>520</v>
      </c>
      <c r="O22" s="37" t="s">
        <v>520</v>
      </c>
      <c r="Q22" s="37" t="e">
        <f ca="1">Calcu!AF14</f>
        <v>#DIV/0!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Calcu!AA15</f>
        <v>#DIV/0!</v>
      </c>
      <c r="G23" s="51" t="s">
        <v>527</v>
      </c>
      <c r="H23" s="51" t="e">
        <f ca="1">Calcu!AD15</f>
        <v>#DIV/0!</v>
      </c>
      <c r="J23" s="37" t="e">
        <f ca="1">Calcu!AB15</f>
        <v>#DIV/0!</v>
      </c>
      <c r="K23" s="37" t="e">
        <f ca="1">Calcu!AC15</f>
        <v>#DIV/0!</v>
      </c>
      <c r="L23" s="37" t="str">
        <f>LEFT(Calcu!AE15)</f>
        <v/>
      </c>
      <c r="M23" s="37" t="s">
        <v>526</v>
      </c>
      <c r="N23" s="37" t="s">
        <v>520</v>
      </c>
      <c r="O23" s="37" t="s">
        <v>526</v>
      </c>
      <c r="Q23" s="37" t="e">
        <f ca="1">Calcu!AF15</f>
        <v>#DIV/0!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Calcu!AA16</f>
        <v>#DIV/0!</v>
      </c>
      <c r="G24" s="51" t="s">
        <v>528</v>
      </c>
      <c r="H24" s="51" t="e">
        <f ca="1">Calcu!AD16</f>
        <v>#DIV/0!</v>
      </c>
      <c r="J24" s="37" t="e">
        <f ca="1">Calcu!AB16</f>
        <v>#DIV/0!</v>
      </c>
      <c r="K24" s="37" t="e">
        <f ca="1">Calcu!AC16</f>
        <v>#DIV/0!</v>
      </c>
      <c r="L24" s="37" t="str">
        <f>LEFT(Calcu!AE16)</f>
        <v/>
      </c>
      <c r="M24" s="37" t="s">
        <v>520</v>
      </c>
      <c r="N24" s="37" t="s">
        <v>520</v>
      </c>
      <c r="O24" s="37" t="s">
        <v>520</v>
      </c>
      <c r="Q24" s="37" t="e">
        <f ca="1">Calcu!AF16</f>
        <v>#DIV/0!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Calcu!AA17</f>
        <v>#DIV/0!</v>
      </c>
      <c r="G25" s="51" t="s">
        <v>493</v>
      </c>
      <c r="H25" s="51" t="e">
        <f ca="1">Calcu!AD17</f>
        <v>#DIV/0!</v>
      </c>
      <c r="J25" s="37" t="e">
        <f ca="1">Calcu!AB17</f>
        <v>#DIV/0!</v>
      </c>
      <c r="K25" s="37" t="e">
        <f ca="1">Calcu!AC17</f>
        <v>#DIV/0!</v>
      </c>
      <c r="L25" s="37" t="str">
        <f>LEFT(Calcu!AE17)</f>
        <v/>
      </c>
      <c r="M25" s="37" t="s">
        <v>526</v>
      </c>
      <c r="N25" s="37" t="s">
        <v>525</v>
      </c>
      <c r="O25" s="37" t="s">
        <v>526</v>
      </c>
      <c r="Q25" s="37" t="e">
        <f ca="1">Calcu!AF17</f>
        <v>#DIV/0!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Calcu!AA18</f>
        <v>#DIV/0!</v>
      </c>
      <c r="G26" s="51" t="s">
        <v>527</v>
      </c>
      <c r="H26" s="51" t="e">
        <f ca="1">Calcu!AD18</f>
        <v>#DIV/0!</v>
      </c>
      <c r="J26" s="37" t="e">
        <f ca="1">Calcu!AB18</f>
        <v>#DIV/0!</v>
      </c>
      <c r="K26" s="37" t="e">
        <f ca="1">Calcu!AC18</f>
        <v>#DIV/0!</v>
      </c>
      <c r="L26" s="37" t="str">
        <f>LEFT(Calcu!AE18)</f>
        <v/>
      </c>
      <c r="M26" s="37" t="s">
        <v>526</v>
      </c>
      <c r="N26" s="37" t="s">
        <v>526</v>
      </c>
      <c r="O26" s="37" t="s">
        <v>526</v>
      </c>
      <c r="Q26" s="37" t="e">
        <f ca="1">Calcu!AF18</f>
        <v>#DIV/0!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Calcu!AA19</f>
        <v>#DIV/0!</v>
      </c>
      <c r="G27" s="51" t="s">
        <v>527</v>
      </c>
      <c r="H27" s="51" t="e">
        <f ca="1">Calcu!AD19</f>
        <v>#DIV/0!</v>
      </c>
      <c r="J27" s="37" t="e">
        <f ca="1">Calcu!AB19</f>
        <v>#DIV/0!</v>
      </c>
      <c r="K27" s="37" t="e">
        <f ca="1">Calcu!AC19</f>
        <v>#DIV/0!</v>
      </c>
      <c r="L27" s="37" t="str">
        <f>LEFT(Calcu!AE19)</f>
        <v/>
      </c>
      <c r="M27" s="37" t="s">
        <v>526</v>
      </c>
      <c r="N27" s="37" t="s">
        <v>526</v>
      </c>
      <c r="O27" s="37" t="s">
        <v>526</v>
      </c>
      <c r="Q27" s="37" t="e">
        <f ca="1">Calcu!AF19</f>
        <v>#DIV/0!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Calcu!AA20</f>
        <v>#DIV/0!</v>
      </c>
      <c r="G28" s="51" t="s">
        <v>527</v>
      </c>
      <c r="H28" s="51" t="e">
        <f ca="1">Calcu!AD20</f>
        <v>#DIV/0!</v>
      </c>
      <c r="J28" s="37" t="e">
        <f ca="1">Calcu!AB20</f>
        <v>#DIV/0!</v>
      </c>
      <c r="K28" s="37" t="e">
        <f ca="1">Calcu!AC20</f>
        <v>#DIV/0!</v>
      </c>
      <c r="L28" s="37" t="str">
        <f>LEFT(Calcu!AE20)</f>
        <v/>
      </c>
      <c r="M28" s="37" t="s">
        <v>526</v>
      </c>
      <c r="N28" s="37" t="s">
        <v>526</v>
      </c>
      <c r="O28" s="37" t="s">
        <v>526</v>
      </c>
      <c r="Q28" s="37" t="e">
        <f ca="1">Calcu!AF20</f>
        <v>#DIV/0!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Calcu!AA21</f>
        <v>#DIV/0!</v>
      </c>
      <c r="G29" s="51" t="s">
        <v>527</v>
      </c>
      <c r="H29" s="51" t="e">
        <f ca="1">Calcu!AD21</f>
        <v>#DIV/0!</v>
      </c>
      <c r="J29" s="37" t="e">
        <f ca="1">Calcu!AB21</f>
        <v>#DIV/0!</v>
      </c>
      <c r="K29" s="37" t="e">
        <f ca="1">Calcu!AC21</f>
        <v>#DIV/0!</v>
      </c>
      <c r="L29" s="37" t="str">
        <f>LEFT(Calcu!AE21)</f>
        <v/>
      </c>
      <c r="M29" s="37" t="s">
        <v>525</v>
      </c>
      <c r="N29" s="37" t="s">
        <v>525</v>
      </c>
      <c r="O29" s="37" t="s">
        <v>525</v>
      </c>
      <c r="Q29" s="37" t="e">
        <f ca="1">Calcu!AF21</f>
        <v>#DIV/0!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Calcu!AA22</f>
        <v>#DIV/0!</v>
      </c>
      <c r="G30" s="51" t="s">
        <v>527</v>
      </c>
      <c r="H30" s="51" t="e">
        <f ca="1">Calcu!AD22</f>
        <v>#DIV/0!</v>
      </c>
      <c r="J30" s="37" t="e">
        <f ca="1">Calcu!AB22</f>
        <v>#DIV/0!</v>
      </c>
      <c r="K30" s="37" t="e">
        <f ca="1">Calcu!AC22</f>
        <v>#DIV/0!</v>
      </c>
      <c r="L30" s="37" t="str">
        <f>LEFT(Calcu!AE22)</f>
        <v/>
      </c>
      <c r="M30" s="37" t="s">
        <v>526</v>
      </c>
      <c r="N30" s="37" t="s">
        <v>526</v>
      </c>
      <c r="O30" s="37" t="s">
        <v>526</v>
      </c>
      <c r="Q30" s="37" t="e">
        <f ca="1">Calcu!AF22</f>
        <v>#DIV/0!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Calcu!AA23</f>
        <v>#DIV/0!</v>
      </c>
      <c r="G31" s="51" t="s">
        <v>527</v>
      </c>
      <c r="H31" s="51" t="e">
        <f ca="1">Calcu!AD23</f>
        <v>#DIV/0!</v>
      </c>
      <c r="J31" s="37" t="e">
        <f ca="1">Calcu!AB23</f>
        <v>#DIV/0!</v>
      </c>
      <c r="K31" s="37" t="e">
        <f ca="1">Calcu!AC23</f>
        <v>#DIV/0!</v>
      </c>
      <c r="L31" s="37" t="str">
        <f>LEFT(Calcu!AE23)</f>
        <v/>
      </c>
      <c r="M31" s="37" t="s">
        <v>526</v>
      </c>
      <c r="N31" s="37" t="s">
        <v>525</v>
      </c>
      <c r="O31" s="37" t="s">
        <v>526</v>
      </c>
      <c r="Q31" s="37" t="e">
        <f ca="1">Calcu!AF23</f>
        <v>#DIV/0!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Calcu!AA24</f>
        <v>#DIV/0!</v>
      </c>
      <c r="G32" s="51" t="s">
        <v>527</v>
      </c>
      <c r="H32" s="51" t="e">
        <f ca="1">Calcu!AD24</f>
        <v>#DIV/0!</v>
      </c>
      <c r="J32" s="37" t="e">
        <f ca="1">Calcu!AB24</f>
        <v>#DIV/0!</v>
      </c>
      <c r="K32" s="37" t="e">
        <f ca="1">Calcu!AC24</f>
        <v>#DIV/0!</v>
      </c>
      <c r="L32" s="37" t="str">
        <f>LEFT(Calcu!AE24)</f>
        <v/>
      </c>
      <c r="M32" s="37" t="s">
        <v>526</v>
      </c>
      <c r="N32" s="37" t="s">
        <v>526</v>
      </c>
      <c r="O32" s="37" t="s">
        <v>526</v>
      </c>
      <c r="Q32" s="37" t="e">
        <f ca="1">Calcu!AF24</f>
        <v>#DIV/0!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Calcu!AA25</f>
        <v>#DIV/0!</v>
      </c>
      <c r="G33" s="51" t="s">
        <v>527</v>
      </c>
      <c r="H33" s="51" t="e">
        <f ca="1">Calcu!AD25</f>
        <v>#DIV/0!</v>
      </c>
      <c r="J33" s="37" t="e">
        <f ca="1">Calcu!AB25</f>
        <v>#DIV/0!</v>
      </c>
      <c r="K33" s="37" t="e">
        <f ca="1">Calcu!AC25</f>
        <v>#DIV/0!</v>
      </c>
      <c r="L33" s="37" t="str">
        <f>LEFT(Calcu!AE25)</f>
        <v/>
      </c>
      <c r="M33" s="37" t="s">
        <v>526</v>
      </c>
      <c r="N33" s="37" t="s">
        <v>525</v>
      </c>
      <c r="O33" s="37" t="s">
        <v>526</v>
      </c>
      <c r="Q33" s="37" t="e">
        <f ca="1">Calcu!AF25</f>
        <v>#DIV/0!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Calcu!AA26</f>
        <v>#DIV/0!</v>
      </c>
      <c r="G34" s="51" t="s">
        <v>527</v>
      </c>
      <c r="H34" s="51" t="e">
        <f ca="1">Calcu!AD26</f>
        <v>#DIV/0!</v>
      </c>
      <c r="J34" s="37" t="e">
        <f ca="1">Calcu!AB26</f>
        <v>#DIV/0!</v>
      </c>
      <c r="K34" s="37" t="e">
        <f ca="1">Calcu!AC26</f>
        <v>#DIV/0!</v>
      </c>
      <c r="L34" s="37" t="str">
        <f>LEFT(Calcu!AE26)</f>
        <v/>
      </c>
      <c r="M34" s="37" t="s">
        <v>526</v>
      </c>
      <c r="N34" s="37" t="s">
        <v>526</v>
      </c>
      <c r="O34" s="37" t="s">
        <v>526</v>
      </c>
      <c r="Q34" s="37" t="e">
        <f ca="1">Calcu!AF26</f>
        <v>#DIV/0!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Calcu!AA27</f>
        <v>#DIV/0!</v>
      </c>
      <c r="G35" s="51" t="s">
        <v>527</v>
      </c>
      <c r="H35" s="51" t="e">
        <f ca="1">Calcu!AD27</f>
        <v>#DIV/0!</v>
      </c>
      <c r="J35" s="37" t="e">
        <f ca="1">Calcu!AB27</f>
        <v>#DIV/0!</v>
      </c>
      <c r="K35" s="37" t="e">
        <f ca="1">Calcu!AC27</f>
        <v>#DIV/0!</v>
      </c>
      <c r="L35" s="37" t="str">
        <f>LEFT(Calcu!AE27)</f>
        <v/>
      </c>
      <c r="M35" s="37" t="s">
        <v>526</v>
      </c>
      <c r="N35" s="37" t="s">
        <v>526</v>
      </c>
      <c r="O35" s="37" t="s">
        <v>526</v>
      </c>
      <c r="Q35" s="37" t="e">
        <f ca="1">Calcu!AF27</f>
        <v>#DIV/0!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Calcu!AA28</f>
        <v>#DIV/0!</v>
      </c>
      <c r="G36" s="51" t="s">
        <v>528</v>
      </c>
      <c r="H36" s="51" t="e">
        <f ca="1">Calcu!AD28</f>
        <v>#DIV/0!</v>
      </c>
      <c r="J36" s="37" t="e">
        <f ca="1">Calcu!AB28</f>
        <v>#DIV/0!</v>
      </c>
      <c r="K36" s="37" t="e">
        <f ca="1">Calcu!AC28</f>
        <v>#DIV/0!</v>
      </c>
      <c r="L36" s="37" t="str">
        <f>LEFT(Calcu!AE28)</f>
        <v/>
      </c>
      <c r="M36" s="37" t="s">
        <v>525</v>
      </c>
      <c r="N36" s="37" t="s">
        <v>526</v>
      </c>
      <c r="O36" s="37" t="s">
        <v>525</v>
      </c>
      <c r="Q36" s="37" t="e">
        <f ca="1">Calcu!AF28</f>
        <v>#DIV/0!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Calcu!AA29</f>
        <v>#DIV/0!</v>
      </c>
      <c r="G37" s="51" t="s">
        <v>527</v>
      </c>
      <c r="H37" s="51" t="e">
        <f ca="1">Calcu!AD29</f>
        <v>#DIV/0!</v>
      </c>
      <c r="J37" s="37" t="e">
        <f ca="1">Calcu!AB29</f>
        <v>#DIV/0!</v>
      </c>
      <c r="K37" s="37" t="e">
        <f ca="1">Calcu!AC29</f>
        <v>#DIV/0!</v>
      </c>
      <c r="L37" s="37" t="str">
        <f>LEFT(Calcu!AE29)</f>
        <v/>
      </c>
      <c r="M37" s="37" t="s">
        <v>526</v>
      </c>
      <c r="N37" s="37" t="s">
        <v>526</v>
      </c>
      <c r="O37" s="37" t="s">
        <v>526</v>
      </c>
      <c r="Q37" s="37" t="e">
        <f ca="1">Calcu!AF29</f>
        <v>#DIV/0!</v>
      </c>
    </row>
    <row r="38" spans="1:17" ht="15" customHeight="1">
      <c r="A38" s="44"/>
      <c r="F38" s="51"/>
      <c r="G38" s="51"/>
      <c r="H38" s="51"/>
    </row>
    <row r="39" spans="1:17" ht="15" customHeight="1">
      <c r="A39" s="44"/>
      <c r="G39" s="53" t="e">
        <f>IF(Calcu!E56="사다리꼴","※ 신뢰수준 95 %,","※ 신뢰수준 약 95 %,")</f>
        <v>#DIV/0!</v>
      </c>
      <c r="H39" s="275" t="e">
        <f ca="1">Calcu!E57&amp;IF(Calcu!E56="사다리꼴",", 사다리꼴 확률분포","")</f>
        <v>#DIV/0!</v>
      </c>
      <c r="K39" s="50"/>
      <c r="Q39" s="53"/>
    </row>
    <row r="40" spans="1:1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3" customWidth="1"/>
    <col min="13" max="13" width="6.77734375" style="111" customWidth="1"/>
    <col min="14" max="16384" width="10.77734375" style="93"/>
  </cols>
  <sheetData>
    <row r="1" spans="1:13" s="80" customFormat="1" ht="33" customHeight="1">
      <c r="A1" s="359" t="s">
        <v>74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82"/>
    </row>
    <row r="2" spans="1:13" s="80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82"/>
    </row>
    <row r="3" spans="1:13" s="80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1"/>
      <c r="M3" s="110"/>
    </row>
    <row r="4" spans="1:13" s="82" customFormat="1" ht="13.5" customHeight="1">
      <c r="A4" s="90"/>
      <c r="B4" s="90"/>
      <c r="C4" s="90"/>
      <c r="D4" s="91"/>
      <c r="E4" s="91"/>
      <c r="F4" s="101"/>
      <c r="G4" s="91"/>
      <c r="H4" s="91"/>
      <c r="I4" s="102"/>
      <c r="J4" s="92"/>
      <c r="K4" s="101"/>
      <c r="L4" s="90"/>
      <c r="M4" s="36"/>
    </row>
    <row r="5" spans="1:13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5" customFormat="1" ht="15" customHeight="1">
      <c r="A6" s="43"/>
      <c r="D6" s="43"/>
      <c r="E6" s="38" t="s">
        <v>240</v>
      </c>
      <c r="F6" s="37"/>
      <c r="G6" s="52"/>
      <c r="H6" s="52"/>
      <c r="I6" s="52"/>
      <c r="J6" s="51"/>
      <c r="K6" s="37"/>
      <c r="L6" s="94"/>
    </row>
    <row r="7" spans="1:13" s="85" customFormat="1" ht="15" customHeight="1">
      <c r="A7" s="43"/>
      <c r="D7" s="43"/>
      <c r="E7" s="175" t="s">
        <v>179</v>
      </c>
      <c r="F7" s="175" t="s">
        <v>109</v>
      </c>
      <c r="G7" s="234" t="s">
        <v>108</v>
      </c>
      <c r="H7" s="357" t="s">
        <v>110</v>
      </c>
      <c r="I7" s="51"/>
    </row>
    <row r="8" spans="1:13" s="85" customFormat="1" ht="15" customHeight="1">
      <c r="A8" s="43"/>
      <c r="D8" s="43"/>
      <c r="E8" s="174" t="s">
        <v>241</v>
      </c>
      <c r="F8" s="174" t="s">
        <v>241</v>
      </c>
      <c r="G8" s="174" t="s">
        <v>241</v>
      </c>
      <c r="H8" s="358"/>
      <c r="I8" s="51"/>
    </row>
    <row r="9" spans="1:13" s="85" customFormat="1" ht="15" customHeight="1">
      <c r="A9" s="43" t="str">
        <f>IF(Calcu!B9=TRUE,"","삭제")</f>
        <v>삭제</v>
      </c>
      <c r="D9" s="43"/>
      <c r="E9" s="175" t="e">
        <f ca="1">Calcu!AA9</f>
        <v>#DIV/0!</v>
      </c>
      <c r="F9" s="175" t="e">
        <f ca="1">Calcu!AB9</f>
        <v>#DIV/0!</v>
      </c>
      <c r="G9" s="175" t="e">
        <f ca="1">Calcu!AD9</f>
        <v>#DIV/0!</v>
      </c>
      <c r="H9" s="177" t="str">
        <f>Calcu!AE9</f>
        <v/>
      </c>
      <c r="I9" s="51"/>
    </row>
    <row r="10" spans="1:13" s="85" customFormat="1" ht="15" customHeight="1">
      <c r="A10" s="43" t="str">
        <f>IF(Calcu!B10=TRUE,"","삭제")</f>
        <v>삭제</v>
      </c>
      <c r="D10" s="43"/>
      <c r="E10" s="175" t="e">
        <f ca="1">Calcu!AA10</f>
        <v>#DIV/0!</v>
      </c>
      <c r="F10" s="175" t="e">
        <f ca="1">Calcu!AB10</f>
        <v>#DIV/0!</v>
      </c>
      <c r="G10" s="175" t="e">
        <f ca="1">Calcu!AD10</f>
        <v>#DIV/0!</v>
      </c>
      <c r="H10" s="177" t="str">
        <f>Calcu!AE10</f>
        <v/>
      </c>
      <c r="I10" s="51"/>
    </row>
    <row r="11" spans="1:13" s="85" customFormat="1" ht="15" customHeight="1">
      <c r="A11" s="43" t="str">
        <f>IF(Calcu!B11=TRUE,"","삭제")</f>
        <v>삭제</v>
      </c>
      <c r="D11" s="43"/>
      <c r="E11" s="175" t="e">
        <f ca="1">Calcu!AA11</f>
        <v>#DIV/0!</v>
      </c>
      <c r="F11" s="175" t="e">
        <f ca="1">Calcu!AB11</f>
        <v>#DIV/0!</v>
      </c>
      <c r="G11" s="175" t="e">
        <f ca="1">Calcu!AD11</f>
        <v>#DIV/0!</v>
      </c>
      <c r="H11" s="177" t="str">
        <f>Calcu!AE11</f>
        <v/>
      </c>
      <c r="I11" s="51"/>
    </row>
    <row r="12" spans="1:13" s="85" customFormat="1" ht="15" customHeight="1">
      <c r="A12" s="43" t="str">
        <f>IF(Calcu!B12=TRUE,"","삭제")</f>
        <v>삭제</v>
      </c>
      <c r="D12" s="43"/>
      <c r="E12" s="175" t="e">
        <f ca="1">Calcu!AA12</f>
        <v>#DIV/0!</v>
      </c>
      <c r="F12" s="175" t="e">
        <f ca="1">Calcu!AB12</f>
        <v>#DIV/0!</v>
      </c>
      <c r="G12" s="175" t="e">
        <f ca="1">Calcu!AD12</f>
        <v>#DIV/0!</v>
      </c>
      <c r="H12" s="177" t="str">
        <f>Calcu!AE12</f>
        <v/>
      </c>
      <c r="I12" s="51"/>
    </row>
    <row r="13" spans="1:13" s="85" customFormat="1" ht="15" customHeight="1">
      <c r="A13" s="43" t="str">
        <f>IF(Calcu!B13=TRUE,"","삭제")</f>
        <v>삭제</v>
      </c>
      <c r="D13" s="43"/>
      <c r="E13" s="175" t="e">
        <f ca="1">Calcu!AA13</f>
        <v>#DIV/0!</v>
      </c>
      <c r="F13" s="175" t="e">
        <f ca="1">Calcu!AB13</f>
        <v>#DIV/0!</v>
      </c>
      <c r="G13" s="175" t="e">
        <f ca="1">Calcu!AD13</f>
        <v>#DIV/0!</v>
      </c>
      <c r="H13" s="177" t="str">
        <f>Calcu!AE13</f>
        <v/>
      </c>
      <c r="I13" s="51"/>
    </row>
    <row r="14" spans="1:13" s="85" customFormat="1" ht="15" customHeight="1">
      <c r="A14" s="43" t="str">
        <f>IF(Calcu!B14=TRUE,"","삭제")</f>
        <v>삭제</v>
      </c>
      <c r="D14" s="43"/>
      <c r="E14" s="175" t="e">
        <f ca="1">Calcu!AA14</f>
        <v>#DIV/0!</v>
      </c>
      <c r="F14" s="175" t="e">
        <f ca="1">Calcu!AB14</f>
        <v>#DIV/0!</v>
      </c>
      <c r="G14" s="175" t="e">
        <f ca="1">Calcu!AD14</f>
        <v>#DIV/0!</v>
      </c>
      <c r="H14" s="177" t="str">
        <f>Calcu!AE14</f>
        <v/>
      </c>
      <c r="I14" s="51"/>
    </row>
    <row r="15" spans="1:13" s="85" customFormat="1" ht="15" customHeight="1">
      <c r="A15" s="43" t="str">
        <f>IF(Calcu!B15=TRUE,"","삭제")</f>
        <v>삭제</v>
      </c>
      <c r="D15" s="43"/>
      <c r="E15" s="175" t="e">
        <f ca="1">Calcu!AA15</f>
        <v>#DIV/0!</v>
      </c>
      <c r="F15" s="175" t="e">
        <f ca="1">Calcu!AB15</f>
        <v>#DIV/0!</v>
      </c>
      <c r="G15" s="175" t="e">
        <f ca="1">Calcu!AD15</f>
        <v>#DIV/0!</v>
      </c>
      <c r="H15" s="177" t="str">
        <f>Calcu!AE15</f>
        <v/>
      </c>
      <c r="I15" s="51"/>
    </row>
    <row r="16" spans="1:13" s="85" customFormat="1" ht="15" customHeight="1">
      <c r="A16" s="43" t="str">
        <f>IF(Calcu!B16=TRUE,"","삭제")</f>
        <v>삭제</v>
      </c>
      <c r="D16" s="43"/>
      <c r="E16" s="175" t="e">
        <f ca="1">Calcu!AA16</f>
        <v>#DIV/0!</v>
      </c>
      <c r="F16" s="175" t="e">
        <f ca="1">Calcu!AB16</f>
        <v>#DIV/0!</v>
      </c>
      <c r="G16" s="175" t="e">
        <f ca="1">Calcu!AD16</f>
        <v>#DIV/0!</v>
      </c>
      <c r="H16" s="177" t="str">
        <f>Calcu!AE16</f>
        <v/>
      </c>
      <c r="I16" s="51"/>
    </row>
    <row r="17" spans="1:13" s="85" customFormat="1" ht="15" customHeight="1">
      <c r="A17" s="43" t="str">
        <f>IF(Calcu!B17=TRUE,"","삭제")</f>
        <v>삭제</v>
      </c>
      <c r="D17" s="43"/>
      <c r="E17" s="175" t="e">
        <f ca="1">Calcu!AA17</f>
        <v>#DIV/0!</v>
      </c>
      <c r="F17" s="175" t="e">
        <f ca="1">Calcu!AB17</f>
        <v>#DIV/0!</v>
      </c>
      <c r="G17" s="175" t="e">
        <f ca="1">Calcu!AD17</f>
        <v>#DIV/0!</v>
      </c>
      <c r="H17" s="177" t="str">
        <f>Calcu!AE17</f>
        <v/>
      </c>
      <c r="I17" s="51"/>
    </row>
    <row r="18" spans="1:13" s="85" customFormat="1" ht="15" customHeight="1">
      <c r="A18" s="43" t="str">
        <f>IF(Calcu!B18=TRUE,"","삭제")</f>
        <v>삭제</v>
      </c>
      <c r="D18" s="43"/>
      <c r="E18" s="175" t="e">
        <f ca="1">Calcu!AA18</f>
        <v>#DIV/0!</v>
      </c>
      <c r="F18" s="175" t="e">
        <f ca="1">Calcu!AB18</f>
        <v>#DIV/0!</v>
      </c>
      <c r="G18" s="175" t="e">
        <f ca="1">Calcu!AD18</f>
        <v>#DIV/0!</v>
      </c>
      <c r="H18" s="177" t="str">
        <f>Calcu!AE18</f>
        <v/>
      </c>
      <c r="I18" s="51"/>
    </row>
    <row r="19" spans="1:13" s="85" customFormat="1" ht="15" customHeight="1">
      <c r="A19" s="43" t="str">
        <f>IF(Calcu!B19=TRUE,"","삭제")</f>
        <v>삭제</v>
      </c>
      <c r="D19" s="43"/>
      <c r="E19" s="175" t="e">
        <f ca="1">Calcu!AA19</f>
        <v>#DIV/0!</v>
      </c>
      <c r="F19" s="175" t="e">
        <f ca="1">Calcu!AB19</f>
        <v>#DIV/0!</v>
      </c>
      <c r="G19" s="175" t="e">
        <f ca="1">Calcu!AD19</f>
        <v>#DIV/0!</v>
      </c>
      <c r="H19" s="177" t="str">
        <f>Calcu!AE19</f>
        <v/>
      </c>
      <c r="I19" s="51"/>
    </row>
    <row r="20" spans="1:13" s="85" customFormat="1" ht="15" customHeight="1">
      <c r="A20" s="43" t="str">
        <f>IF(Calcu!B20=TRUE,"","삭제")</f>
        <v>삭제</v>
      </c>
      <c r="D20" s="43"/>
      <c r="E20" s="175" t="e">
        <f ca="1">Calcu!AA20</f>
        <v>#DIV/0!</v>
      </c>
      <c r="F20" s="175" t="e">
        <f ca="1">Calcu!AB20</f>
        <v>#DIV/0!</v>
      </c>
      <c r="G20" s="175" t="e">
        <f ca="1">Calcu!AD20</f>
        <v>#DIV/0!</v>
      </c>
      <c r="H20" s="177" t="str">
        <f>Calcu!AE20</f>
        <v/>
      </c>
      <c r="I20" s="51"/>
    </row>
    <row r="21" spans="1:13" s="85" customFormat="1" ht="15" customHeight="1">
      <c r="A21" s="43" t="str">
        <f>IF(Calcu!B21=TRUE,"","삭제")</f>
        <v>삭제</v>
      </c>
      <c r="D21" s="43"/>
      <c r="E21" s="175" t="e">
        <f ca="1">Calcu!AA21</f>
        <v>#DIV/0!</v>
      </c>
      <c r="F21" s="175" t="e">
        <f ca="1">Calcu!AB21</f>
        <v>#DIV/0!</v>
      </c>
      <c r="G21" s="175" t="e">
        <f ca="1">Calcu!AD21</f>
        <v>#DIV/0!</v>
      </c>
      <c r="H21" s="177" t="str">
        <f>Calcu!AE21</f>
        <v/>
      </c>
      <c r="I21" s="51"/>
    </row>
    <row r="22" spans="1:13" s="85" customFormat="1" ht="15" customHeight="1">
      <c r="A22" s="43" t="str">
        <f>IF(Calcu!B22=TRUE,"","삭제")</f>
        <v>삭제</v>
      </c>
      <c r="D22" s="43"/>
      <c r="E22" s="175" t="e">
        <f ca="1">Calcu!AA22</f>
        <v>#DIV/0!</v>
      </c>
      <c r="F22" s="175" t="e">
        <f ca="1">Calcu!AB22</f>
        <v>#DIV/0!</v>
      </c>
      <c r="G22" s="175" t="e">
        <f ca="1">Calcu!AD22</f>
        <v>#DIV/0!</v>
      </c>
      <c r="H22" s="177" t="str">
        <f>Calcu!AE22</f>
        <v/>
      </c>
      <c r="I22" s="51"/>
    </row>
    <row r="23" spans="1:13" s="85" customFormat="1" ht="15" customHeight="1">
      <c r="A23" s="43" t="str">
        <f>IF(Calcu!B23=TRUE,"","삭제")</f>
        <v>삭제</v>
      </c>
      <c r="D23" s="43"/>
      <c r="E23" s="175" t="e">
        <f ca="1">Calcu!AA23</f>
        <v>#DIV/0!</v>
      </c>
      <c r="F23" s="175" t="e">
        <f ca="1">Calcu!AB23</f>
        <v>#DIV/0!</v>
      </c>
      <c r="G23" s="175" t="e">
        <f ca="1">Calcu!AD23</f>
        <v>#DIV/0!</v>
      </c>
      <c r="H23" s="177" t="str">
        <f>Calcu!AE23</f>
        <v/>
      </c>
      <c r="I23" s="51"/>
    </row>
    <row r="24" spans="1:13" s="85" customFormat="1" ht="15" customHeight="1">
      <c r="A24" s="43" t="str">
        <f>IF(Calcu!B24=TRUE,"","삭제")</f>
        <v>삭제</v>
      </c>
      <c r="D24" s="43"/>
      <c r="E24" s="175" t="e">
        <f ca="1">Calcu!AA24</f>
        <v>#DIV/0!</v>
      </c>
      <c r="F24" s="175" t="e">
        <f ca="1">Calcu!AB24</f>
        <v>#DIV/0!</v>
      </c>
      <c r="G24" s="175" t="e">
        <f ca="1">Calcu!AD24</f>
        <v>#DIV/0!</v>
      </c>
      <c r="H24" s="177" t="str">
        <f>Calcu!AE24</f>
        <v/>
      </c>
      <c r="I24" s="51"/>
    </row>
    <row r="25" spans="1:13" s="85" customFormat="1" ht="15" customHeight="1">
      <c r="A25" s="43" t="str">
        <f>IF(Calcu!B25=TRUE,"","삭제")</f>
        <v>삭제</v>
      </c>
      <c r="D25" s="43"/>
      <c r="E25" s="175" t="e">
        <f ca="1">Calcu!AA25</f>
        <v>#DIV/0!</v>
      </c>
      <c r="F25" s="175" t="e">
        <f ca="1">Calcu!AB25</f>
        <v>#DIV/0!</v>
      </c>
      <c r="G25" s="175" t="e">
        <f ca="1">Calcu!AD25</f>
        <v>#DIV/0!</v>
      </c>
      <c r="H25" s="177" t="str">
        <f>Calcu!AE25</f>
        <v/>
      </c>
      <c r="I25" s="51"/>
    </row>
    <row r="26" spans="1:13" s="85" customFormat="1" ht="15" customHeight="1">
      <c r="A26" s="43" t="str">
        <f>IF(Calcu!B26=TRUE,"","삭제")</f>
        <v>삭제</v>
      </c>
      <c r="D26" s="43"/>
      <c r="E26" s="175" t="e">
        <f ca="1">Calcu!AA26</f>
        <v>#DIV/0!</v>
      </c>
      <c r="F26" s="175" t="e">
        <f ca="1">Calcu!AB26</f>
        <v>#DIV/0!</v>
      </c>
      <c r="G26" s="175" t="e">
        <f ca="1">Calcu!AD26</f>
        <v>#DIV/0!</v>
      </c>
      <c r="H26" s="177" t="str">
        <f>Calcu!AE26</f>
        <v/>
      </c>
      <c r="I26" s="51"/>
    </row>
    <row r="27" spans="1:13" s="85" customFormat="1" ht="15" customHeight="1">
      <c r="A27" s="43" t="str">
        <f>IF(Calcu!B27=TRUE,"","삭제")</f>
        <v>삭제</v>
      </c>
      <c r="D27" s="43"/>
      <c r="E27" s="175" t="e">
        <f ca="1">Calcu!AA27</f>
        <v>#DIV/0!</v>
      </c>
      <c r="F27" s="175" t="e">
        <f ca="1">Calcu!AB27</f>
        <v>#DIV/0!</v>
      </c>
      <c r="G27" s="175" t="e">
        <f ca="1">Calcu!AD27</f>
        <v>#DIV/0!</v>
      </c>
      <c r="H27" s="177" t="str">
        <f>Calcu!AE27</f>
        <v/>
      </c>
      <c r="I27" s="51"/>
    </row>
    <row r="28" spans="1:13" s="85" customFormat="1" ht="15" customHeight="1">
      <c r="A28" s="43" t="str">
        <f>IF(Calcu!B28=TRUE,"","삭제")</f>
        <v>삭제</v>
      </c>
      <c r="D28" s="43"/>
      <c r="E28" s="175" t="e">
        <f ca="1">Calcu!AA28</f>
        <v>#DIV/0!</v>
      </c>
      <c r="F28" s="175" t="e">
        <f ca="1">Calcu!AB28</f>
        <v>#DIV/0!</v>
      </c>
      <c r="G28" s="175" t="e">
        <f ca="1">Calcu!AD28</f>
        <v>#DIV/0!</v>
      </c>
      <c r="H28" s="177" t="str">
        <f>Calcu!AE28</f>
        <v/>
      </c>
    </row>
    <row r="29" spans="1:13" s="85" customFormat="1" ht="15" customHeight="1">
      <c r="A29" s="43" t="str">
        <f>IF(Calcu!B29=TRUE,"","삭제")</f>
        <v>삭제</v>
      </c>
      <c r="D29" s="43"/>
      <c r="E29" s="175" t="e">
        <f ca="1">Calcu!AA29</f>
        <v>#DIV/0!</v>
      </c>
      <c r="F29" s="175" t="e">
        <f ca="1">Calcu!AB29</f>
        <v>#DIV/0!</v>
      </c>
      <c r="G29" s="175" t="e">
        <f ca="1">Calcu!AD29</f>
        <v>#DIV/0!</v>
      </c>
      <c r="H29" s="176" t="str">
        <f>Calcu!AE29</f>
        <v/>
      </c>
    </row>
    <row r="30" spans="1:13" ht="15" customHeight="1">
      <c r="B30" s="93"/>
      <c r="C30" s="93"/>
      <c r="D30" s="75"/>
      <c r="E30" s="112"/>
      <c r="F30" s="112"/>
      <c r="G30" s="112"/>
      <c r="H30" s="112"/>
      <c r="I30" s="75"/>
      <c r="J30" s="111"/>
      <c r="K30" s="93"/>
      <c r="M30" s="93"/>
    </row>
    <row r="31" spans="1:13" ht="15" customHeight="1">
      <c r="J31" s="93"/>
      <c r="K31" s="111"/>
      <c r="M31" s="93"/>
    </row>
    <row r="32" spans="1:13" ht="15" customHeight="1">
      <c r="J32" s="93"/>
      <c r="K32" s="111"/>
      <c r="M32" s="93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3" customWidth="1"/>
    <col min="13" max="16384" width="10.77734375" style="85"/>
  </cols>
  <sheetData>
    <row r="1" spans="1:12" s="80" customFormat="1" ht="33" customHeight="1">
      <c r="A1" s="359" t="s">
        <v>59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80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</row>
    <row r="3" spans="1:12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</row>
    <row r="4" spans="1:12" s="82" customFormat="1" ht="13.5" customHeight="1">
      <c r="A4" s="90"/>
      <c r="B4" s="90"/>
      <c r="C4" s="91"/>
      <c r="D4" s="91"/>
      <c r="E4" s="101"/>
      <c r="F4" s="91"/>
      <c r="G4" s="91"/>
      <c r="H4" s="102"/>
      <c r="I4" s="92"/>
      <c r="J4" s="101"/>
      <c r="K4" s="101"/>
      <c r="L4" s="90"/>
    </row>
    <row r="5" spans="1:12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3"/>
    </row>
    <row r="6" spans="1:12" s="37" customFormat="1" ht="15" customHeight="1">
      <c r="C6" s="54" t="str">
        <f>"○ 품명 : "&amp;기본정보!C$5</f>
        <v xml:space="preserve">○ 품명 : </v>
      </c>
      <c r="L6" s="93"/>
    </row>
    <row r="7" spans="1:12" s="37" customFormat="1" ht="15" customHeight="1">
      <c r="C7" s="54" t="str">
        <f>"○ 제작회사 : "&amp;기본정보!C$6</f>
        <v xml:space="preserve">○ 제작회사 : </v>
      </c>
      <c r="L7" s="93"/>
    </row>
    <row r="8" spans="1:12" s="37" customFormat="1" ht="15" customHeight="1">
      <c r="C8" s="54" t="str">
        <f>"○ 형식 : "&amp;기본정보!C$7</f>
        <v xml:space="preserve">○ 형식 : </v>
      </c>
      <c r="L8" s="93"/>
    </row>
    <row r="9" spans="1:12" s="37" customFormat="1" ht="15" customHeight="1">
      <c r="C9" s="54" t="str">
        <f>"○ 기기번호 : "&amp;기본정보!C$8</f>
        <v xml:space="preserve">○ 기기번호 : </v>
      </c>
      <c r="L9" s="93"/>
    </row>
    <row r="10" spans="1:12" s="37" customFormat="1" ht="15" customHeight="1">
      <c r="L10" s="93"/>
    </row>
    <row r="11" spans="1:12" ht="15" customHeight="1">
      <c r="B11" s="75"/>
      <c r="C11" s="112"/>
      <c r="D11" s="112"/>
      <c r="E11" s="112"/>
      <c r="F11" s="112"/>
      <c r="G11" s="112"/>
      <c r="H11" s="113"/>
      <c r="I11" s="113"/>
      <c r="J11" s="112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4" t="s">
        <v>2</v>
      </c>
      <c r="C3" s="105">
        <f>기본정보!C3</f>
        <v>0</v>
      </c>
      <c r="D3" s="104" t="s">
        <v>103</v>
      </c>
      <c r="E3" s="367">
        <f>기본정보!H3</f>
        <v>0</v>
      </c>
      <c r="F3" s="368"/>
      <c r="G3" s="104" t="s">
        <v>107</v>
      </c>
      <c r="H3" s="107">
        <f>기본정보!H8</f>
        <v>0</v>
      </c>
      <c r="I3" s="25"/>
    </row>
    <row r="4" spans="1:30" s="28" customFormat="1" ht="15" customHeight="1">
      <c r="A4" s="46"/>
      <c r="B4" s="104" t="s">
        <v>32</v>
      </c>
      <c r="C4" s="106">
        <f>기본정보!C8</f>
        <v>0</v>
      </c>
      <c r="D4" s="104" t="s">
        <v>104</v>
      </c>
      <c r="E4" s="365">
        <f>기본정보!H4</f>
        <v>0</v>
      </c>
      <c r="F4" s="366"/>
      <c r="G4" s="104" t="s">
        <v>14</v>
      </c>
      <c r="H4" s="107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105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4" t="s">
        <v>132</v>
      </c>
      <c r="C7" s="104" t="s">
        <v>62</v>
      </c>
      <c r="D7" s="104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5">
        <f>Calcu!E3</f>
        <v>0</v>
      </c>
      <c r="C8" s="105">
        <f>Calcu!F3</f>
        <v>0</v>
      </c>
      <c r="D8" s="105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8" t="s">
        <v>106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9" t="s">
        <v>232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60" t="s">
        <v>405</v>
      </c>
      <c r="C12" s="362" t="s">
        <v>397</v>
      </c>
      <c r="D12" s="363"/>
      <c r="E12" s="363"/>
      <c r="F12" s="363"/>
      <c r="G12" s="364"/>
      <c r="H12" s="25"/>
      <c r="I12" s="25"/>
      <c r="J12" s="28"/>
      <c r="K12" s="28"/>
      <c r="L12" s="28"/>
      <c r="M12" s="28"/>
    </row>
    <row r="13" spans="1:30" ht="13.5" customHeight="1">
      <c r="B13" s="361"/>
      <c r="C13" s="104" t="s">
        <v>99</v>
      </c>
      <c r="D13" s="104" t="s">
        <v>77</v>
      </c>
      <c r="E13" s="104" t="s">
        <v>78</v>
      </c>
      <c r="F13" s="104" t="s">
        <v>233</v>
      </c>
      <c r="G13" s="104" t="s">
        <v>234</v>
      </c>
      <c r="H13" s="25"/>
      <c r="I13" s="25"/>
      <c r="J13" s="28"/>
      <c r="K13" s="28"/>
      <c r="L13" s="28"/>
      <c r="M13" s="28"/>
    </row>
    <row r="14" spans="1:30" ht="13.5" customHeight="1">
      <c r="B14" s="104">
        <f>D8</f>
        <v>0</v>
      </c>
      <c r="C14" s="104">
        <f t="shared" ref="C14:G14" si="0">B14</f>
        <v>0</v>
      </c>
      <c r="D14" s="104">
        <f t="shared" si="0"/>
        <v>0</v>
      </c>
      <c r="E14" s="104">
        <f t="shared" si="0"/>
        <v>0</v>
      </c>
      <c r="F14" s="104">
        <f t="shared" si="0"/>
        <v>0</v>
      </c>
      <c r="G14" s="104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5" t="str">
        <f>Calcu!C9</f>
        <v/>
      </c>
      <c r="C15" s="105" t="str">
        <f>IF(Calcu!$B9=FALSE,"",TEXT(Calcu!E9,Calcu!$Q$46))</f>
        <v/>
      </c>
      <c r="D15" s="105" t="str">
        <f>IF(Calcu!$B9=FALSE,"",TEXT(Calcu!F9,Calcu!$Q$46))</f>
        <v/>
      </c>
      <c r="E15" s="105" t="str">
        <f>IF(Calcu!$B9=FALSE,"",TEXT(Calcu!G9,Calcu!$Q$46))</f>
        <v/>
      </c>
      <c r="F15" s="105" t="str">
        <f>IF(Calcu!$B9=FALSE,"",TEXT(Calcu!H9,Calcu!$Q$46))</f>
        <v/>
      </c>
      <c r="G15" s="105" t="str">
        <f>IF(Calcu!$B9=FALSE,"",TEXT(Calcu!I9,Calcu!$Q$46))</f>
        <v/>
      </c>
      <c r="H15" s="25"/>
      <c r="I15" s="25"/>
      <c r="J15" s="28"/>
      <c r="K15" s="28"/>
      <c r="L15" s="28"/>
      <c r="M15" s="28"/>
    </row>
    <row r="16" spans="1:30" ht="13.5" customHeight="1">
      <c r="B16" s="105" t="str">
        <f>Calcu!C10</f>
        <v/>
      </c>
      <c r="C16" s="105" t="str">
        <f>IF(Calcu!$B10=FALSE,"",TEXT(Calcu!E10,Calcu!$Q$46))</f>
        <v/>
      </c>
      <c r="D16" s="105" t="str">
        <f>IF(Calcu!$B10=FALSE,"",TEXT(Calcu!F10,Calcu!$Q$46))</f>
        <v/>
      </c>
      <c r="E16" s="105" t="str">
        <f>IF(Calcu!$B10=FALSE,"",TEXT(Calcu!G10,Calcu!$Q$46))</f>
        <v/>
      </c>
      <c r="F16" s="105" t="str">
        <f>IF(Calcu!$B10=FALSE,"",TEXT(Calcu!H10,Calcu!$Q$46))</f>
        <v/>
      </c>
      <c r="G16" s="105" t="str">
        <f>IF(Calcu!$B10=FALSE,"",TEXT(Calcu!I10,Calcu!$Q$46))</f>
        <v/>
      </c>
      <c r="H16" s="25"/>
      <c r="I16" s="25"/>
      <c r="J16" s="28"/>
      <c r="K16" s="28"/>
      <c r="L16" s="28"/>
      <c r="M16" s="28"/>
    </row>
    <row r="17" spans="2:13" ht="13.5" customHeight="1">
      <c r="B17" s="105" t="str">
        <f>Calcu!C11</f>
        <v/>
      </c>
      <c r="C17" s="105" t="str">
        <f>IF(Calcu!$B11=FALSE,"",TEXT(Calcu!E11,Calcu!$Q$46))</f>
        <v/>
      </c>
      <c r="D17" s="105" t="str">
        <f>IF(Calcu!$B11=FALSE,"",TEXT(Calcu!F11,Calcu!$Q$46))</f>
        <v/>
      </c>
      <c r="E17" s="105" t="str">
        <f>IF(Calcu!$B11=FALSE,"",TEXT(Calcu!G11,Calcu!$Q$46))</f>
        <v/>
      </c>
      <c r="F17" s="105" t="str">
        <f>IF(Calcu!$B11=FALSE,"",TEXT(Calcu!H11,Calcu!$Q$46))</f>
        <v/>
      </c>
      <c r="G17" s="105" t="str">
        <f>IF(Calcu!$B11=FALSE,"",TEXT(Calcu!I11,Calcu!$Q$46))</f>
        <v/>
      </c>
      <c r="H17" s="25"/>
      <c r="I17" s="25"/>
      <c r="J17" s="28"/>
      <c r="K17" s="28"/>
      <c r="L17" s="28"/>
      <c r="M17" s="28"/>
    </row>
    <row r="18" spans="2:13" ht="13.5" customHeight="1">
      <c r="B18" s="105" t="str">
        <f>Calcu!C12</f>
        <v/>
      </c>
      <c r="C18" s="105" t="str">
        <f>IF(Calcu!$B12=FALSE,"",TEXT(Calcu!E12,Calcu!$Q$46))</f>
        <v/>
      </c>
      <c r="D18" s="105" t="str">
        <f>IF(Calcu!$B12=FALSE,"",TEXT(Calcu!F12,Calcu!$Q$46))</f>
        <v/>
      </c>
      <c r="E18" s="105" t="str">
        <f>IF(Calcu!$B12=FALSE,"",TEXT(Calcu!G12,Calcu!$Q$46))</f>
        <v/>
      </c>
      <c r="F18" s="105" t="str">
        <f>IF(Calcu!$B12=FALSE,"",TEXT(Calcu!H12,Calcu!$Q$46))</f>
        <v/>
      </c>
      <c r="G18" s="105" t="str">
        <f>IF(Calcu!$B12=FALSE,"",TEXT(Calcu!I12,Calcu!$Q$46))</f>
        <v/>
      </c>
      <c r="H18" s="25"/>
      <c r="I18" s="25"/>
      <c r="J18" s="28"/>
      <c r="K18" s="28"/>
      <c r="L18" s="28"/>
      <c r="M18" s="28"/>
    </row>
    <row r="19" spans="2:13" ht="13.5" customHeight="1">
      <c r="B19" s="105" t="str">
        <f>Calcu!C13</f>
        <v/>
      </c>
      <c r="C19" s="105" t="str">
        <f>IF(Calcu!$B13=FALSE,"",TEXT(Calcu!E13,Calcu!$Q$46))</f>
        <v/>
      </c>
      <c r="D19" s="105" t="str">
        <f>IF(Calcu!$B13=FALSE,"",TEXT(Calcu!F13,Calcu!$Q$46))</f>
        <v/>
      </c>
      <c r="E19" s="105" t="str">
        <f>IF(Calcu!$B13=FALSE,"",TEXT(Calcu!G13,Calcu!$Q$46))</f>
        <v/>
      </c>
      <c r="F19" s="105" t="str">
        <f>IF(Calcu!$B13=FALSE,"",TEXT(Calcu!H13,Calcu!$Q$46))</f>
        <v/>
      </c>
      <c r="G19" s="105" t="str">
        <f>IF(Calcu!$B13=FALSE,"",TEXT(Calcu!I13,Calcu!$Q$46))</f>
        <v/>
      </c>
      <c r="H19" s="25"/>
      <c r="I19" s="25"/>
      <c r="J19" s="28"/>
      <c r="K19" s="28"/>
      <c r="L19" s="28"/>
      <c r="M19" s="28"/>
    </row>
    <row r="20" spans="2:13" ht="13.5" customHeight="1">
      <c r="B20" s="105" t="str">
        <f>Calcu!C14</f>
        <v/>
      </c>
      <c r="C20" s="105" t="str">
        <f>IF(Calcu!$B14=FALSE,"",TEXT(Calcu!E14,Calcu!$Q$46))</f>
        <v/>
      </c>
      <c r="D20" s="105" t="str">
        <f>IF(Calcu!$B14=FALSE,"",TEXT(Calcu!F14,Calcu!$Q$46))</f>
        <v/>
      </c>
      <c r="E20" s="105" t="str">
        <f>IF(Calcu!$B14=FALSE,"",TEXT(Calcu!G14,Calcu!$Q$46))</f>
        <v/>
      </c>
      <c r="F20" s="105" t="str">
        <f>IF(Calcu!$B14=FALSE,"",TEXT(Calcu!H14,Calcu!$Q$46))</f>
        <v/>
      </c>
      <c r="G20" s="105" t="str">
        <f>IF(Calcu!$B14=FALSE,"",TEXT(Calcu!I14,Calcu!$Q$46))</f>
        <v/>
      </c>
      <c r="H20" s="25"/>
      <c r="I20" s="25"/>
      <c r="J20" s="28"/>
      <c r="K20" s="28"/>
      <c r="L20" s="28"/>
      <c r="M20" s="28"/>
    </row>
    <row r="21" spans="2:13" ht="13.5" customHeight="1">
      <c r="B21" s="105" t="str">
        <f>Calcu!C15</f>
        <v/>
      </c>
      <c r="C21" s="105" t="str">
        <f>IF(Calcu!$B15=FALSE,"",TEXT(Calcu!E15,Calcu!$Q$46))</f>
        <v/>
      </c>
      <c r="D21" s="105" t="str">
        <f>IF(Calcu!$B15=FALSE,"",TEXT(Calcu!F15,Calcu!$Q$46))</f>
        <v/>
      </c>
      <c r="E21" s="105" t="str">
        <f>IF(Calcu!$B15=FALSE,"",TEXT(Calcu!G15,Calcu!$Q$46))</f>
        <v/>
      </c>
      <c r="F21" s="105" t="str">
        <f>IF(Calcu!$B15=FALSE,"",TEXT(Calcu!H15,Calcu!$Q$46))</f>
        <v/>
      </c>
      <c r="G21" s="105" t="str">
        <f>IF(Calcu!$B15=FALSE,"",TEXT(Calcu!I15,Calcu!$Q$46))</f>
        <v/>
      </c>
    </row>
    <row r="22" spans="2:13" ht="13.5" customHeight="1">
      <c r="B22" s="105" t="str">
        <f>Calcu!C16</f>
        <v/>
      </c>
      <c r="C22" s="105" t="str">
        <f>IF(Calcu!$B16=FALSE,"",TEXT(Calcu!E16,Calcu!$Q$46))</f>
        <v/>
      </c>
      <c r="D22" s="105" t="str">
        <f>IF(Calcu!$B16=FALSE,"",TEXT(Calcu!F16,Calcu!$Q$46))</f>
        <v/>
      </c>
      <c r="E22" s="105" t="str">
        <f>IF(Calcu!$B16=FALSE,"",TEXT(Calcu!G16,Calcu!$Q$46))</f>
        <v/>
      </c>
      <c r="F22" s="105" t="str">
        <f>IF(Calcu!$B16=FALSE,"",TEXT(Calcu!H16,Calcu!$Q$46))</f>
        <v/>
      </c>
      <c r="G22" s="105" t="str">
        <f>IF(Calcu!$B16=FALSE,"",TEXT(Calcu!I16,Calcu!$Q$46))</f>
        <v/>
      </c>
    </row>
    <row r="23" spans="2:13" ht="13.5" customHeight="1">
      <c r="B23" s="105" t="str">
        <f>Calcu!C17</f>
        <v/>
      </c>
      <c r="C23" s="105" t="str">
        <f>IF(Calcu!$B17=FALSE,"",TEXT(Calcu!E17,Calcu!$Q$46))</f>
        <v/>
      </c>
      <c r="D23" s="105" t="str">
        <f>IF(Calcu!$B17=FALSE,"",TEXT(Calcu!F17,Calcu!$Q$46))</f>
        <v/>
      </c>
      <c r="E23" s="105" t="str">
        <f>IF(Calcu!$B17=FALSE,"",TEXT(Calcu!G17,Calcu!$Q$46))</f>
        <v/>
      </c>
      <c r="F23" s="105" t="str">
        <f>IF(Calcu!$B17=FALSE,"",TEXT(Calcu!H17,Calcu!$Q$46))</f>
        <v/>
      </c>
      <c r="G23" s="105" t="str">
        <f>IF(Calcu!$B17=FALSE,"",TEXT(Calcu!I17,Calcu!$Q$46))</f>
        <v/>
      </c>
    </row>
    <row r="24" spans="2:13" ht="13.5" customHeight="1">
      <c r="B24" s="105" t="str">
        <f>Calcu!C18</f>
        <v/>
      </c>
      <c r="C24" s="105" t="str">
        <f>IF(Calcu!$B18=FALSE,"",TEXT(Calcu!E18,Calcu!$Q$46))</f>
        <v/>
      </c>
      <c r="D24" s="105" t="str">
        <f>IF(Calcu!$B18=FALSE,"",TEXT(Calcu!F18,Calcu!$Q$46))</f>
        <v/>
      </c>
      <c r="E24" s="105" t="str">
        <f>IF(Calcu!$B18=FALSE,"",TEXT(Calcu!G18,Calcu!$Q$46))</f>
        <v/>
      </c>
      <c r="F24" s="105" t="str">
        <f>IF(Calcu!$B18=FALSE,"",TEXT(Calcu!H18,Calcu!$Q$46))</f>
        <v/>
      </c>
      <c r="G24" s="105" t="str">
        <f>IF(Calcu!$B18=FALSE,"",TEXT(Calcu!I18,Calcu!$Q$46))</f>
        <v/>
      </c>
    </row>
    <row r="25" spans="2:13" ht="13.5" customHeight="1">
      <c r="B25" s="105" t="str">
        <f>Calcu!C19</f>
        <v/>
      </c>
      <c r="C25" s="105" t="str">
        <f>IF(Calcu!$B19=FALSE,"",TEXT(Calcu!E19,Calcu!$Q$46))</f>
        <v/>
      </c>
      <c r="D25" s="105" t="str">
        <f>IF(Calcu!$B19=FALSE,"",TEXT(Calcu!F19,Calcu!$Q$46))</f>
        <v/>
      </c>
      <c r="E25" s="105" t="str">
        <f>IF(Calcu!$B19=FALSE,"",TEXT(Calcu!G19,Calcu!$Q$46))</f>
        <v/>
      </c>
      <c r="F25" s="105" t="str">
        <f>IF(Calcu!$B19=FALSE,"",TEXT(Calcu!H19,Calcu!$Q$46))</f>
        <v/>
      </c>
      <c r="G25" s="105" t="str">
        <f>IF(Calcu!$B19=FALSE,"",TEXT(Calcu!I19,Calcu!$Q$46))</f>
        <v/>
      </c>
    </row>
    <row r="26" spans="2:13" ht="13.5" customHeight="1">
      <c r="B26" s="105" t="str">
        <f>Calcu!C20</f>
        <v/>
      </c>
      <c r="C26" s="105" t="str">
        <f>IF(Calcu!$B20=FALSE,"",TEXT(Calcu!E20,Calcu!$Q$46))</f>
        <v/>
      </c>
      <c r="D26" s="105" t="str">
        <f>IF(Calcu!$B20=FALSE,"",TEXT(Calcu!F20,Calcu!$Q$46))</f>
        <v/>
      </c>
      <c r="E26" s="105" t="str">
        <f>IF(Calcu!$B20=FALSE,"",TEXT(Calcu!G20,Calcu!$Q$46))</f>
        <v/>
      </c>
      <c r="F26" s="105" t="str">
        <f>IF(Calcu!$B20=FALSE,"",TEXT(Calcu!H20,Calcu!$Q$46))</f>
        <v/>
      </c>
      <c r="G26" s="105" t="str">
        <f>IF(Calcu!$B20=FALSE,"",TEXT(Calcu!I20,Calcu!$Q$46))</f>
        <v/>
      </c>
    </row>
    <row r="27" spans="2:13" ht="13.5" customHeight="1">
      <c r="B27" s="105" t="str">
        <f>Calcu!C21</f>
        <v/>
      </c>
      <c r="C27" s="105" t="str">
        <f>IF(Calcu!$B21=FALSE,"",TEXT(Calcu!E21,Calcu!$Q$46))</f>
        <v/>
      </c>
      <c r="D27" s="105" t="str">
        <f>IF(Calcu!$B21=FALSE,"",TEXT(Calcu!F21,Calcu!$Q$46))</f>
        <v/>
      </c>
      <c r="E27" s="105" t="str">
        <f>IF(Calcu!$B21=FALSE,"",TEXT(Calcu!G21,Calcu!$Q$46))</f>
        <v/>
      </c>
      <c r="F27" s="105" t="str">
        <f>IF(Calcu!$B21=FALSE,"",TEXT(Calcu!H21,Calcu!$Q$46))</f>
        <v/>
      </c>
      <c r="G27" s="105" t="str">
        <f>IF(Calcu!$B21=FALSE,"",TEXT(Calcu!I21,Calcu!$Q$46))</f>
        <v/>
      </c>
    </row>
    <row r="28" spans="2:13" ht="13.5" customHeight="1">
      <c r="B28" s="105" t="str">
        <f>Calcu!C22</f>
        <v/>
      </c>
      <c r="C28" s="105" t="str">
        <f>IF(Calcu!$B22=FALSE,"",TEXT(Calcu!E22,Calcu!$Q$46))</f>
        <v/>
      </c>
      <c r="D28" s="105" t="str">
        <f>IF(Calcu!$B22=FALSE,"",TEXT(Calcu!F22,Calcu!$Q$46))</f>
        <v/>
      </c>
      <c r="E28" s="105" t="str">
        <f>IF(Calcu!$B22=FALSE,"",TEXT(Calcu!G22,Calcu!$Q$46))</f>
        <v/>
      </c>
      <c r="F28" s="105" t="str">
        <f>IF(Calcu!$B22=FALSE,"",TEXT(Calcu!H22,Calcu!$Q$46))</f>
        <v/>
      </c>
      <c r="G28" s="105" t="str">
        <f>IF(Calcu!$B22=FALSE,"",TEXT(Calcu!I22,Calcu!$Q$46))</f>
        <v/>
      </c>
    </row>
    <row r="29" spans="2:13" ht="13.5" customHeight="1">
      <c r="B29" s="105" t="str">
        <f>Calcu!C23</f>
        <v/>
      </c>
      <c r="C29" s="105" t="str">
        <f>IF(Calcu!$B23=FALSE,"",TEXT(Calcu!E23,Calcu!$Q$46))</f>
        <v/>
      </c>
      <c r="D29" s="105" t="str">
        <f>IF(Calcu!$B23=FALSE,"",TEXT(Calcu!F23,Calcu!$Q$46))</f>
        <v/>
      </c>
      <c r="E29" s="105" t="str">
        <f>IF(Calcu!$B23=FALSE,"",TEXT(Calcu!G23,Calcu!$Q$46))</f>
        <v/>
      </c>
      <c r="F29" s="105" t="str">
        <f>IF(Calcu!$B23=FALSE,"",TEXT(Calcu!H23,Calcu!$Q$46))</f>
        <v/>
      </c>
      <c r="G29" s="105" t="str">
        <f>IF(Calcu!$B23=FALSE,"",TEXT(Calcu!I23,Calcu!$Q$46))</f>
        <v/>
      </c>
    </row>
    <row r="30" spans="2:13" ht="13.5" customHeight="1">
      <c r="B30" s="105" t="str">
        <f>Calcu!C24</f>
        <v/>
      </c>
      <c r="C30" s="105" t="str">
        <f>IF(Calcu!$B24=FALSE,"",TEXT(Calcu!E24,Calcu!$Q$46))</f>
        <v/>
      </c>
      <c r="D30" s="105" t="str">
        <f>IF(Calcu!$B24=FALSE,"",TEXT(Calcu!F24,Calcu!$Q$46))</f>
        <v/>
      </c>
      <c r="E30" s="105" t="str">
        <f>IF(Calcu!$B24=FALSE,"",TEXT(Calcu!G24,Calcu!$Q$46))</f>
        <v/>
      </c>
      <c r="F30" s="105" t="str">
        <f>IF(Calcu!$B24=FALSE,"",TEXT(Calcu!H24,Calcu!$Q$46))</f>
        <v/>
      </c>
      <c r="G30" s="105" t="str">
        <f>IF(Calcu!$B24=FALSE,"",TEXT(Calcu!I24,Calcu!$Q$46))</f>
        <v/>
      </c>
    </row>
    <row r="31" spans="2:13" ht="13.5" customHeight="1">
      <c r="B31" s="105" t="str">
        <f>Calcu!C25</f>
        <v/>
      </c>
      <c r="C31" s="105" t="str">
        <f>IF(Calcu!$B25=FALSE,"",TEXT(Calcu!E25,Calcu!$Q$46))</f>
        <v/>
      </c>
      <c r="D31" s="105" t="str">
        <f>IF(Calcu!$B25=FALSE,"",TEXT(Calcu!F25,Calcu!$Q$46))</f>
        <v/>
      </c>
      <c r="E31" s="105" t="str">
        <f>IF(Calcu!$B25=FALSE,"",TEXT(Calcu!G25,Calcu!$Q$46))</f>
        <v/>
      </c>
      <c r="F31" s="105" t="str">
        <f>IF(Calcu!$B25=FALSE,"",TEXT(Calcu!H25,Calcu!$Q$46))</f>
        <v/>
      </c>
      <c r="G31" s="105" t="str">
        <f>IF(Calcu!$B25=FALSE,"",TEXT(Calcu!I25,Calcu!$Q$46))</f>
        <v/>
      </c>
    </row>
    <row r="32" spans="2:13" ht="13.5" customHeight="1">
      <c r="B32" s="105" t="str">
        <f>Calcu!C26</f>
        <v/>
      </c>
      <c r="C32" s="105" t="str">
        <f>IF(Calcu!$B26=FALSE,"",TEXT(Calcu!E26,Calcu!$Q$46))</f>
        <v/>
      </c>
      <c r="D32" s="105" t="str">
        <f>IF(Calcu!$B26=FALSE,"",TEXT(Calcu!F26,Calcu!$Q$46))</f>
        <v/>
      </c>
      <c r="E32" s="105" t="str">
        <f>IF(Calcu!$B26=FALSE,"",TEXT(Calcu!G26,Calcu!$Q$46))</f>
        <v/>
      </c>
      <c r="F32" s="105" t="str">
        <f>IF(Calcu!$B26=FALSE,"",TEXT(Calcu!H26,Calcu!$Q$46))</f>
        <v/>
      </c>
      <c r="G32" s="105" t="str">
        <f>IF(Calcu!$B26=FALSE,"",TEXT(Calcu!I26,Calcu!$Q$46))</f>
        <v/>
      </c>
    </row>
    <row r="33" spans="2:7" ht="13.5" customHeight="1">
      <c r="B33" s="105" t="str">
        <f>Calcu!C27</f>
        <v/>
      </c>
      <c r="C33" s="105" t="str">
        <f>IF(Calcu!$B27=FALSE,"",TEXT(Calcu!E27,Calcu!$Q$46))</f>
        <v/>
      </c>
      <c r="D33" s="105" t="str">
        <f>IF(Calcu!$B27=FALSE,"",TEXT(Calcu!F27,Calcu!$Q$46))</f>
        <v/>
      </c>
      <c r="E33" s="105" t="str">
        <f>IF(Calcu!$B27=FALSE,"",TEXT(Calcu!G27,Calcu!$Q$46))</f>
        <v/>
      </c>
      <c r="F33" s="105" t="str">
        <f>IF(Calcu!$B27=FALSE,"",TEXT(Calcu!H27,Calcu!$Q$46))</f>
        <v/>
      </c>
      <c r="G33" s="105" t="str">
        <f>IF(Calcu!$B27=FALSE,"",TEXT(Calcu!I27,Calcu!$Q$46))</f>
        <v/>
      </c>
    </row>
    <row r="34" spans="2:7" ht="13.5" customHeight="1">
      <c r="B34" s="105" t="str">
        <f>Calcu!C28</f>
        <v/>
      </c>
      <c r="C34" s="105" t="str">
        <f>IF(Calcu!$B28=FALSE,"",TEXT(Calcu!E28,Calcu!$Q$46))</f>
        <v/>
      </c>
      <c r="D34" s="105" t="str">
        <f>IF(Calcu!$B28=FALSE,"",TEXT(Calcu!F28,Calcu!$Q$46))</f>
        <v/>
      </c>
      <c r="E34" s="105" t="str">
        <f>IF(Calcu!$B28=FALSE,"",TEXT(Calcu!G28,Calcu!$Q$46))</f>
        <v/>
      </c>
      <c r="F34" s="105" t="str">
        <f>IF(Calcu!$B28=FALSE,"",TEXT(Calcu!H28,Calcu!$Q$46))</f>
        <v/>
      </c>
      <c r="G34" s="105" t="str">
        <f>IF(Calcu!$B28=FALSE,"",TEXT(Calcu!I28,Calcu!$Q$46))</f>
        <v/>
      </c>
    </row>
    <row r="35" spans="2:7" ht="13.5" customHeight="1">
      <c r="B35" s="105" t="str">
        <f>Calcu!C29</f>
        <v/>
      </c>
      <c r="C35" s="105" t="str">
        <f>IF(Calcu!$B29=FALSE,"",TEXT(Calcu!E29,Calcu!$Q$46))</f>
        <v/>
      </c>
      <c r="D35" s="105" t="str">
        <f>IF(Calcu!$B29=FALSE,"",TEXT(Calcu!F29,Calcu!$Q$46))</f>
        <v/>
      </c>
      <c r="E35" s="105" t="str">
        <f>IF(Calcu!$B29=FALSE,"",TEXT(Calcu!G29,Calcu!$Q$46))</f>
        <v/>
      </c>
      <c r="F35" s="105" t="str">
        <f>IF(Calcu!$B29=FALSE,"",TEXT(Calcu!H29,Calcu!$Q$46))</f>
        <v/>
      </c>
      <c r="G35" s="105" t="str">
        <f>IF(Calcu!$B29=FALSE,"",TEXT(Calcu!I29,Calcu!$Q$46))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1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242</v>
      </c>
    </row>
    <row r="4" spans="1:44" s="70" customFormat="1" ht="18.75" customHeight="1">
      <c r="B4" s="448" t="s">
        <v>243</v>
      </c>
      <c r="C4" s="448"/>
      <c r="D4" s="448"/>
      <c r="E4" s="448"/>
      <c r="F4" s="448"/>
      <c r="G4" s="448"/>
      <c r="H4" s="449" t="s">
        <v>80</v>
      </c>
      <c r="I4" s="449"/>
      <c r="J4" s="449"/>
      <c r="K4" s="449"/>
      <c r="L4" s="449"/>
      <c r="M4" s="449"/>
    </row>
    <row r="5" spans="1:44" s="70" customFormat="1" ht="18.75" customHeight="1">
      <c r="B5" s="450">
        <f>Calcu!H3</f>
        <v>0</v>
      </c>
      <c r="C5" s="450"/>
      <c r="D5" s="450"/>
      <c r="E5" s="450"/>
      <c r="F5" s="450"/>
      <c r="G5" s="450"/>
      <c r="H5" s="451">
        <f>Calcu!I3</f>
        <v>1</v>
      </c>
      <c r="I5" s="451"/>
      <c r="J5" s="451"/>
      <c r="K5" s="451"/>
      <c r="L5" s="451"/>
      <c r="M5" s="451"/>
    </row>
    <row r="6" spans="1:44" s="70" customFormat="1" ht="18.75" customHeight="1"/>
    <row r="7" spans="1:44" ht="18.75" customHeight="1">
      <c r="A7" s="58" t="s">
        <v>244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</row>
    <row r="8" spans="1:44" ht="18.75" customHeight="1">
      <c r="A8" s="58"/>
      <c r="B8" s="433" t="s">
        <v>118</v>
      </c>
      <c r="C8" s="434"/>
      <c r="D8" s="434"/>
      <c r="E8" s="434"/>
      <c r="F8" s="435"/>
      <c r="G8" s="439" t="s">
        <v>378</v>
      </c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/>
      <c r="V8" s="440"/>
      <c r="W8" s="440"/>
      <c r="X8" s="440"/>
      <c r="Y8" s="440"/>
      <c r="Z8" s="440"/>
      <c r="AA8" s="440"/>
      <c r="AB8" s="440"/>
      <c r="AC8" s="440"/>
      <c r="AD8" s="440"/>
      <c r="AE8" s="441"/>
      <c r="AF8" s="433" t="s">
        <v>245</v>
      </c>
      <c r="AG8" s="434"/>
      <c r="AH8" s="434"/>
      <c r="AI8" s="434"/>
      <c r="AJ8" s="435"/>
      <c r="AK8" s="433" t="s">
        <v>81</v>
      </c>
      <c r="AL8" s="434"/>
      <c r="AM8" s="434"/>
      <c r="AN8" s="434"/>
      <c r="AO8" s="435"/>
    </row>
    <row r="9" spans="1:44" ht="18.75" customHeight="1">
      <c r="A9" s="58"/>
      <c r="B9" s="436"/>
      <c r="C9" s="437"/>
      <c r="D9" s="437"/>
      <c r="E9" s="437"/>
      <c r="F9" s="438"/>
      <c r="G9" s="439" t="s">
        <v>246</v>
      </c>
      <c r="H9" s="440"/>
      <c r="I9" s="440"/>
      <c r="J9" s="440"/>
      <c r="K9" s="441"/>
      <c r="L9" s="439" t="s">
        <v>247</v>
      </c>
      <c r="M9" s="440"/>
      <c r="N9" s="440"/>
      <c r="O9" s="440"/>
      <c r="P9" s="441"/>
      <c r="Q9" s="439" t="s">
        <v>248</v>
      </c>
      <c r="R9" s="440"/>
      <c r="S9" s="440"/>
      <c r="T9" s="440"/>
      <c r="U9" s="441"/>
      <c r="V9" s="439" t="s">
        <v>249</v>
      </c>
      <c r="W9" s="440"/>
      <c r="X9" s="440"/>
      <c r="Y9" s="440"/>
      <c r="Z9" s="441"/>
      <c r="AA9" s="439" t="s">
        <v>250</v>
      </c>
      <c r="AB9" s="440"/>
      <c r="AC9" s="440"/>
      <c r="AD9" s="440"/>
      <c r="AE9" s="441"/>
      <c r="AF9" s="436"/>
      <c r="AG9" s="437"/>
      <c r="AH9" s="437"/>
      <c r="AI9" s="437"/>
      <c r="AJ9" s="438"/>
      <c r="AK9" s="436"/>
      <c r="AL9" s="437"/>
      <c r="AM9" s="437"/>
      <c r="AN9" s="437"/>
      <c r="AO9" s="438"/>
    </row>
    <row r="10" spans="1:44" ht="18.75" customHeight="1">
      <c r="A10" s="58"/>
      <c r="B10" s="439" t="s">
        <v>251</v>
      </c>
      <c r="C10" s="440"/>
      <c r="D10" s="440"/>
      <c r="E10" s="440"/>
      <c r="F10" s="441"/>
      <c r="G10" s="439" t="str">
        <f>B10</f>
        <v>mm</v>
      </c>
      <c r="H10" s="440"/>
      <c r="I10" s="440"/>
      <c r="J10" s="440"/>
      <c r="K10" s="441"/>
      <c r="L10" s="439" t="str">
        <f>G10</f>
        <v>mm</v>
      </c>
      <c r="M10" s="440"/>
      <c r="N10" s="440"/>
      <c r="O10" s="440"/>
      <c r="P10" s="441"/>
      <c r="Q10" s="439" t="str">
        <f>L10</f>
        <v>mm</v>
      </c>
      <c r="R10" s="440"/>
      <c r="S10" s="440"/>
      <c r="T10" s="440"/>
      <c r="U10" s="441"/>
      <c r="V10" s="439" t="str">
        <f>Q10</f>
        <v>mm</v>
      </c>
      <c r="W10" s="440"/>
      <c r="X10" s="440"/>
      <c r="Y10" s="440"/>
      <c r="Z10" s="441"/>
      <c r="AA10" s="439" t="str">
        <f>V10</f>
        <v>mm</v>
      </c>
      <c r="AB10" s="440"/>
      <c r="AC10" s="440"/>
      <c r="AD10" s="440"/>
      <c r="AE10" s="441"/>
      <c r="AF10" s="439" t="s">
        <v>252</v>
      </c>
      <c r="AG10" s="440"/>
      <c r="AH10" s="440"/>
      <c r="AI10" s="440"/>
      <c r="AJ10" s="441"/>
      <c r="AK10" s="439" t="s">
        <v>200</v>
      </c>
      <c r="AL10" s="440"/>
      <c r="AM10" s="440"/>
      <c r="AN10" s="440"/>
      <c r="AO10" s="441"/>
    </row>
    <row r="11" spans="1:44" ht="18.75" customHeight="1">
      <c r="A11" s="58"/>
      <c r="B11" s="430" t="str">
        <f>Calcu!T9</f>
        <v/>
      </c>
      <c r="C11" s="431"/>
      <c r="D11" s="431"/>
      <c r="E11" s="431"/>
      <c r="F11" s="432"/>
      <c r="G11" s="430" t="str">
        <f>IF(Calcu!B9=TRUE,Calcu!E9*$H$5,"")</f>
        <v/>
      </c>
      <c r="H11" s="431"/>
      <c r="I11" s="431"/>
      <c r="J11" s="431"/>
      <c r="K11" s="432"/>
      <c r="L11" s="430" t="str">
        <f>IF(Calcu!B9=TRUE,Calcu!F9*H$5,"")</f>
        <v/>
      </c>
      <c r="M11" s="431"/>
      <c r="N11" s="431"/>
      <c r="O11" s="431"/>
      <c r="P11" s="432"/>
      <c r="Q11" s="430" t="str">
        <f>IF(Calcu!B9=TRUE,Calcu!G9*H$5,"")</f>
        <v/>
      </c>
      <c r="R11" s="431"/>
      <c r="S11" s="431"/>
      <c r="T11" s="431"/>
      <c r="U11" s="432"/>
      <c r="V11" s="430" t="str">
        <f>IF(Calcu!B9=TRUE,Calcu!H9*H$5,"")</f>
        <v/>
      </c>
      <c r="W11" s="431"/>
      <c r="X11" s="431"/>
      <c r="Y11" s="431"/>
      <c r="Z11" s="432"/>
      <c r="AA11" s="430" t="str">
        <f>IF(Calcu!B9=TRUE,Calcu!I9*H$5,"")</f>
        <v/>
      </c>
      <c r="AB11" s="431"/>
      <c r="AC11" s="431"/>
      <c r="AD11" s="431"/>
      <c r="AE11" s="432"/>
      <c r="AF11" s="430" t="str">
        <f>Calcu!M9</f>
        <v/>
      </c>
      <c r="AG11" s="431"/>
      <c r="AH11" s="431"/>
      <c r="AI11" s="431"/>
      <c r="AJ11" s="432"/>
      <c r="AK11" s="430" t="str">
        <f>Calcu!K9</f>
        <v/>
      </c>
      <c r="AL11" s="431"/>
      <c r="AM11" s="431"/>
      <c r="AN11" s="431"/>
      <c r="AO11" s="432"/>
    </row>
    <row r="12" spans="1:44" ht="18.75" customHeight="1">
      <c r="A12" s="58"/>
      <c r="B12" s="430" t="str">
        <f>Calcu!T10</f>
        <v/>
      </c>
      <c r="C12" s="431"/>
      <c r="D12" s="431"/>
      <c r="E12" s="431"/>
      <c r="F12" s="432"/>
      <c r="G12" s="430" t="str">
        <f>IF(Calcu!B10=TRUE,Calcu!E10*$H$5,"")</f>
        <v/>
      </c>
      <c r="H12" s="431"/>
      <c r="I12" s="431"/>
      <c r="J12" s="431"/>
      <c r="K12" s="432"/>
      <c r="L12" s="430" t="str">
        <f>IF(Calcu!B10=TRUE,Calcu!F10*H$5,"")</f>
        <v/>
      </c>
      <c r="M12" s="431"/>
      <c r="N12" s="431"/>
      <c r="O12" s="431"/>
      <c r="P12" s="432"/>
      <c r="Q12" s="430" t="str">
        <f>IF(Calcu!B10=TRUE,Calcu!G10*H$5,"")</f>
        <v/>
      </c>
      <c r="R12" s="431"/>
      <c r="S12" s="431"/>
      <c r="T12" s="431"/>
      <c r="U12" s="432"/>
      <c r="V12" s="430" t="str">
        <f>IF(Calcu!B10=TRUE,Calcu!H10*H$5,"")</f>
        <v/>
      </c>
      <c r="W12" s="431"/>
      <c r="X12" s="431"/>
      <c r="Y12" s="431"/>
      <c r="Z12" s="432"/>
      <c r="AA12" s="430" t="str">
        <f>IF(Calcu!B10=TRUE,Calcu!I10*H$5,"")</f>
        <v/>
      </c>
      <c r="AB12" s="431"/>
      <c r="AC12" s="431"/>
      <c r="AD12" s="431"/>
      <c r="AE12" s="432"/>
      <c r="AF12" s="430" t="str">
        <f>Calcu!M10</f>
        <v/>
      </c>
      <c r="AG12" s="431"/>
      <c r="AH12" s="431"/>
      <c r="AI12" s="431"/>
      <c r="AJ12" s="432"/>
      <c r="AK12" s="430" t="str">
        <f>Calcu!K10</f>
        <v/>
      </c>
      <c r="AL12" s="431"/>
      <c r="AM12" s="431"/>
      <c r="AN12" s="431"/>
      <c r="AO12" s="432"/>
    </row>
    <row r="13" spans="1:44" ht="18.75" customHeight="1">
      <c r="A13" s="58"/>
      <c r="B13" s="430" t="str">
        <f>Calcu!T11</f>
        <v/>
      </c>
      <c r="C13" s="431"/>
      <c r="D13" s="431"/>
      <c r="E13" s="431"/>
      <c r="F13" s="432"/>
      <c r="G13" s="430" t="str">
        <f>IF(Calcu!B11=TRUE,Calcu!E11*$H$5,"")</f>
        <v/>
      </c>
      <c r="H13" s="431"/>
      <c r="I13" s="431"/>
      <c r="J13" s="431"/>
      <c r="K13" s="432"/>
      <c r="L13" s="430" t="str">
        <f>IF(Calcu!B11=TRUE,Calcu!F11*H$5,"")</f>
        <v/>
      </c>
      <c r="M13" s="431"/>
      <c r="N13" s="431"/>
      <c r="O13" s="431"/>
      <c r="P13" s="432"/>
      <c r="Q13" s="430" t="str">
        <f>IF(Calcu!B11=TRUE,Calcu!G11*H$5,"")</f>
        <v/>
      </c>
      <c r="R13" s="431"/>
      <c r="S13" s="431"/>
      <c r="T13" s="431"/>
      <c r="U13" s="432"/>
      <c r="V13" s="430" t="str">
        <f>IF(Calcu!B11=TRUE,Calcu!H11*H$5,"")</f>
        <v/>
      </c>
      <c r="W13" s="431"/>
      <c r="X13" s="431"/>
      <c r="Y13" s="431"/>
      <c r="Z13" s="432"/>
      <c r="AA13" s="430" t="str">
        <f>IF(Calcu!B11=TRUE,Calcu!I11*H$5,"")</f>
        <v/>
      </c>
      <c r="AB13" s="431"/>
      <c r="AC13" s="431"/>
      <c r="AD13" s="431"/>
      <c r="AE13" s="432"/>
      <c r="AF13" s="430" t="str">
        <f>Calcu!M11</f>
        <v/>
      </c>
      <c r="AG13" s="431"/>
      <c r="AH13" s="431"/>
      <c r="AI13" s="431"/>
      <c r="AJ13" s="432"/>
      <c r="AK13" s="430" t="str">
        <f>Calcu!K11</f>
        <v/>
      </c>
      <c r="AL13" s="431"/>
      <c r="AM13" s="431"/>
      <c r="AN13" s="431"/>
      <c r="AO13" s="432"/>
    </row>
    <row r="14" spans="1:44" ht="18.75" customHeight="1">
      <c r="A14" s="58"/>
      <c r="B14" s="430" t="str">
        <f>Calcu!T12</f>
        <v/>
      </c>
      <c r="C14" s="431"/>
      <c r="D14" s="431"/>
      <c r="E14" s="431"/>
      <c r="F14" s="432"/>
      <c r="G14" s="430" t="str">
        <f>IF(Calcu!B12=TRUE,Calcu!E12*$H$5,"")</f>
        <v/>
      </c>
      <c r="H14" s="431"/>
      <c r="I14" s="431"/>
      <c r="J14" s="431"/>
      <c r="K14" s="432"/>
      <c r="L14" s="430" t="str">
        <f>IF(Calcu!B12=TRUE,Calcu!F12*H$5,"")</f>
        <v/>
      </c>
      <c r="M14" s="431"/>
      <c r="N14" s="431"/>
      <c r="O14" s="431"/>
      <c r="P14" s="432"/>
      <c r="Q14" s="430" t="str">
        <f>IF(Calcu!B12=TRUE,Calcu!G12*H$5,"")</f>
        <v/>
      </c>
      <c r="R14" s="431"/>
      <c r="S14" s="431"/>
      <c r="T14" s="431"/>
      <c r="U14" s="432"/>
      <c r="V14" s="430" t="str">
        <f>IF(Calcu!B12=TRUE,Calcu!H12*H$5,"")</f>
        <v/>
      </c>
      <c r="W14" s="431"/>
      <c r="X14" s="431"/>
      <c r="Y14" s="431"/>
      <c r="Z14" s="432"/>
      <c r="AA14" s="430" t="str">
        <f>IF(Calcu!B12=TRUE,Calcu!I12*H$5,"")</f>
        <v/>
      </c>
      <c r="AB14" s="431"/>
      <c r="AC14" s="431"/>
      <c r="AD14" s="431"/>
      <c r="AE14" s="432"/>
      <c r="AF14" s="430" t="str">
        <f>Calcu!M12</f>
        <v/>
      </c>
      <c r="AG14" s="431"/>
      <c r="AH14" s="431"/>
      <c r="AI14" s="431"/>
      <c r="AJ14" s="432"/>
      <c r="AK14" s="430" t="str">
        <f>Calcu!K12</f>
        <v/>
      </c>
      <c r="AL14" s="431"/>
      <c r="AM14" s="431"/>
      <c r="AN14" s="431"/>
      <c r="AO14" s="432"/>
    </row>
    <row r="15" spans="1:44" ht="18.75" customHeight="1">
      <c r="A15" s="58"/>
      <c r="B15" s="430" t="str">
        <f>Calcu!T13</f>
        <v/>
      </c>
      <c r="C15" s="431"/>
      <c r="D15" s="431"/>
      <c r="E15" s="431"/>
      <c r="F15" s="432"/>
      <c r="G15" s="430" t="str">
        <f>IF(Calcu!B13=TRUE,Calcu!E13*$H$5,"")</f>
        <v/>
      </c>
      <c r="H15" s="431"/>
      <c r="I15" s="431"/>
      <c r="J15" s="431"/>
      <c r="K15" s="432"/>
      <c r="L15" s="430" t="str">
        <f>IF(Calcu!B13=TRUE,Calcu!F13*H$5,"")</f>
        <v/>
      </c>
      <c r="M15" s="431"/>
      <c r="N15" s="431"/>
      <c r="O15" s="431"/>
      <c r="P15" s="432"/>
      <c r="Q15" s="430" t="str">
        <f>IF(Calcu!B13=TRUE,Calcu!G13*H$5,"")</f>
        <v/>
      </c>
      <c r="R15" s="431"/>
      <c r="S15" s="431"/>
      <c r="T15" s="431"/>
      <c r="U15" s="432"/>
      <c r="V15" s="430" t="str">
        <f>IF(Calcu!B13=TRUE,Calcu!H13*H$5,"")</f>
        <v/>
      </c>
      <c r="W15" s="431"/>
      <c r="X15" s="431"/>
      <c r="Y15" s="431"/>
      <c r="Z15" s="432"/>
      <c r="AA15" s="430" t="str">
        <f>IF(Calcu!B13=TRUE,Calcu!I13*H$5,"")</f>
        <v/>
      </c>
      <c r="AB15" s="431"/>
      <c r="AC15" s="431"/>
      <c r="AD15" s="431"/>
      <c r="AE15" s="432"/>
      <c r="AF15" s="430" t="str">
        <f>Calcu!M13</f>
        <v/>
      </c>
      <c r="AG15" s="431"/>
      <c r="AH15" s="431"/>
      <c r="AI15" s="431"/>
      <c r="AJ15" s="432"/>
      <c r="AK15" s="430" t="str">
        <f>Calcu!K13</f>
        <v/>
      </c>
      <c r="AL15" s="431"/>
      <c r="AM15" s="431"/>
      <c r="AN15" s="431"/>
      <c r="AO15" s="432"/>
    </row>
    <row r="16" spans="1:44" ht="18.75" customHeight="1">
      <c r="A16" s="58"/>
      <c r="B16" s="430" t="str">
        <f>Calcu!T14</f>
        <v/>
      </c>
      <c r="C16" s="431"/>
      <c r="D16" s="431"/>
      <c r="E16" s="431"/>
      <c r="F16" s="432"/>
      <c r="G16" s="430" t="str">
        <f>IF(Calcu!B14=TRUE,Calcu!E14*$H$5,"")</f>
        <v/>
      </c>
      <c r="H16" s="431"/>
      <c r="I16" s="431"/>
      <c r="J16" s="431"/>
      <c r="K16" s="432"/>
      <c r="L16" s="430" t="str">
        <f>IF(Calcu!B14=TRUE,Calcu!F14*H$5,"")</f>
        <v/>
      </c>
      <c r="M16" s="431"/>
      <c r="N16" s="431"/>
      <c r="O16" s="431"/>
      <c r="P16" s="432"/>
      <c r="Q16" s="430" t="str">
        <f>IF(Calcu!B14=TRUE,Calcu!G14*H$5,"")</f>
        <v/>
      </c>
      <c r="R16" s="431"/>
      <c r="S16" s="431"/>
      <c r="T16" s="431"/>
      <c r="U16" s="432"/>
      <c r="V16" s="430" t="str">
        <f>IF(Calcu!B14=TRUE,Calcu!H14*H$5,"")</f>
        <v/>
      </c>
      <c r="W16" s="431"/>
      <c r="X16" s="431"/>
      <c r="Y16" s="431"/>
      <c r="Z16" s="432"/>
      <c r="AA16" s="430" t="str">
        <f>IF(Calcu!B14=TRUE,Calcu!I14*H$5,"")</f>
        <v/>
      </c>
      <c r="AB16" s="431"/>
      <c r="AC16" s="431"/>
      <c r="AD16" s="431"/>
      <c r="AE16" s="432"/>
      <c r="AF16" s="430" t="str">
        <f>Calcu!M14</f>
        <v/>
      </c>
      <c r="AG16" s="431"/>
      <c r="AH16" s="431"/>
      <c r="AI16" s="431"/>
      <c r="AJ16" s="432"/>
      <c r="AK16" s="430" t="str">
        <f>Calcu!K14</f>
        <v/>
      </c>
      <c r="AL16" s="431"/>
      <c r="AM16" s="431"/>
      <c r="AN16" s="431"/>
      <c r="AO16" s="432"/>
    </row>
    <row r="17" spans="1:46" ht="18.75" customHeight="1">
      <c r="A17" s="58"/>
      <c r="B17" s="430" t="str">
        <f>Calcu!T15</f>
        <v/>
      </c>
      <c r="C17" s="431"/>
      <c r="D17" s="431"/>
      <c r="E17" s="431"/>
      <c r="F17" s="432"/>
      <c r="G17" s="430" t="str">
        <f>IF(Calcu!B15=TRUE,Calcu!E15*$H$5,"")</f>
        <v/>
      </c>
      <c r="H17" s="431"/>
      <c r="I17" s="431"/>
      <c r="J17" s="431"/>
      <c r="K17" s="432"/>
      <c r="L17" s="430" t="str">
        <f>IF(Calcu!B15=TRUE,Calcu!F15*H$5,"")</f>
        <v/>
      </c>
      <c r="M17" s="431"/>
      <c r="N17" s="431"/>
      <c r="O17" s="431"/>
      <c r="P17" s="432"/>
      <c r="Q17" s="430" t="str">
        <f>IF(Calcu!B15=TRUE,Calcu!G15*H$5,"")</f>
        <v/>
      </c>
      <c r="R17" s="431"/>
      <c r="S17" s="431"/>
      <c r="T17" s="431"/>
      <c r="U17" s="432"/>
      <c r="V17" s="430" t="str">
        <f>IF(Calcu!B15=TRUE,Calcu!H15*H$5,"")</f>
        <v/>
      </c>
      <c r="W17" s="431"/>
      <c r="X17" s="431"/>
      <c r="Y17" s="431"/>
      <c r="Z17" s="432"/>
      <c r="AA17" s="430" t="str">
        <f>IF(Calcu!B15=TRUE,Calcu!I15*H$5,"")</f>
        <v/>
      </c>
      <c r="AB17" s="431"/>
      <c r="AC17" s="431"/>
      <c r="AD17" s="431"/>
      <c r="AE17" s="432"/>
      <c r="AF17" s="430" t="str">
        <f>Calcu!M15</f>
        <v/>
      </c>
      <c r="AG17" s="431"/>
      <c r="AH17" s="431"/>
      <c r="AI17" s="431"/>
      <c r="AJ17" s="432"/>
      <c r="AK17" s="430" t="str">
        <f>Calcu!K15</f>
        <v/>
      </c>
      <c r="AL17" s="431"/>
      <c r="AM17" s="431"/>
      <c r="AN17" s="431"/>
      <c r="AO17" s="432"/>
    </row>
    <row r="18" spans="1:46" ht="18.75" customHeight="1">
      <c r="A18" s="58"/>
      <c r="B18" s="430" t="str">
        <f>Calcu!T16</f>
        <v/>
      </c>
      <c r="C18" s="431"/>
      <c r="D18" s="431"/>
      <c r="E18" s="431"/>
      <c r="F18" s="432"/>
      <c r="G18" s="430" t="str">
        <f>IF(Calcu!B16=TRUE,Calcu!E16*$H$5,"")</f>
        <v/>
      </c>
      <c r="H18" s="431"/>
      <c r="I18" s="431"/>
      <c r="J18" s="431"/>
      <c r="K18" s="432"/>
      <c r="L18" s="430" t="str">
        <f>IF(Calcu!B16=TRUE,Calcu!F16*H$5,"")</f>
        <v/>
      </c>
      <c r="M18" s="431"/>
      <c r="N18" s="431"/>
      <c r="O18" s="431"/>
      <c r="P18" s="432"/>
      <c r="Q18" s="430" t="str">
        <f>IF(Calcu!B16=TRUE,Calcu!G16*H$5,"")</f>
        <v/>
      </c>
      <c r="R18" s="431"/>
      <c r="S18" s="431"/>
      <c r="T18" s="431"/>
      <c r="U18" s="432"/>
      <c r="V18" s="430" t="str">
        <f>IF(Calcu!B16=TRUE,Calcu!H16*H$5,"")</f>
        <v/>
      </c>
      <c r="W18" s="431"/>
      <c r="X18" s="431"/>
      <c r="Y18" s="431"/>
      <c r="Z18" s="432"/>
      <c r="AA18" s="430" t="str">
        <f>IF(Calcu!B16=TRUE,Calcu!I16*H$5,"")</f>
        <v/>
      </c>
      <c r="AB18" s="431"/>
      <c r="AC18" s="431"/>
      <c r="AD18" s="431"/>
      <c r="AE18" s="432"/>
      <c r="AF18" s="430" t="str">
        <f>Calcu!M16</f>
        <v/>
      </c>
      <c r="AG18" s="431"/>
      <c r="AH18" s="431"/>
      <c r="AI18" s="431"/>
      <c r="AJ18" s="432"/>
      <c r="AK18" s="430" t="str">
        <f>Calcu!K16</f>
        <v/>
      </c>
      <c r="AL18" s="431"/>
      <c r="AM18" s="431"/>
      <c r="AN18" s="431"/>
      <c r="AO18" s="432"/>
    </row>
    <row r="19" spans="1:46" ht="18.75" customHeight="1">
      <c r="A19" s="58"/>
      <c r="B19" s="430" t="str">
        <f>Calcu!T17</f>
        <v/>
      </c>
      <c r="C19" s="431"/>
      <c r="D19" s="431"/>
      <c r="E19" s="431"/>
      <c r="F19" s="432"/>
      <c r="G19" s="430" t="str">
        <f>IF(Calcu!B17=TRUE,Calcu!E17*$H$5,"")</f>
        <v/>
      </c>
      <c r="H19" s="431"/>
      <c r="I19" s="431"/>
      <c r="J19" s="431"/>
      <c r="K19" s="432"/>
      <c r="L19" s="430" t="str">
        <f>IF(Calcu!B17=TRUE,Calcu!F17*H$5,"")</f>
        <v/>
      </c>
      <c r="M19" s="431"/>
      <c r="N19" s="431"/>
      <c r="O19" s="431"/>
      <c r="P19" s="432"/>
      <c r="Q19" s="430" t="str">
        <f>IF(Calcu!B17=TRUE,Calcu!G17*H$5,"")</f>
        <v/>
      </c>
      <c r="R19" s="431"/>
      <c r="S19" s="431"/>
      <c r="T19" s="431"/>
      <c r="U19" s="432"/>
      <c r="V19" s="430" t="str">
        <f>IF(Calcu!B17=TRUE,Calcu!H17*H$5,"")</f>
        <v/>
      </c>
      <c r="W19" s="431"/>
      <c r="X19" s="431"/>
      <c r="Y19" s="431"/>
      <c r="Z19" s="432"/>
      <c r="AA19" s="430" t="str">
        <f>IF(Calcu!B17=TRUE,Calcu!I17*H$5,"")</f>
        <v/>
      </c>
      <c r="AB19" s="431"/>
      <c r="AC19" s="431"/>
      <c r="AD19" s="431"/>
      <c r="AE19" s="432"/>
      <c r="AF19" s="430" t="str">
        <f>Calcu!M17</f>
        <v/>
      </c>
      <c r="AG19" s="431"/>
      <c r="AH19" s="431"/>
      <c r="AI19" s="431"/>
      <c r="AJ19" s="432"/>
      <c r="AK19" s="430" t="str">
        <f>Calcu!K17</f>
        <v/>
      </c>
      <c r="AL19" s="431"/>
      <c r="AM19" s="431"/>
      <c r="AN19" s="431"/>
      <c r="AO19" s="432"/>
    </row>
    <row r="20" spans="1:46" ht="18.75" customHeight="1">
      <c r="A20" s="58"/>
      <c r="B20" s="430" t="str">
        <f>Calcu!T18</f>
        <v/>
      </c>
      <c r="C20" s="431"/>
      <c r="D20" s="431"/>
      <c r="E20" s="431"/>
      <c r="F20" s="432"/>
      <c r="G20" s="430" t="str">
        <f>IF(Calcu!B18=TRUE,Calcu!E18*$H$5,"")</f>
        <v/>
      </c>
      <c r="H20" s="431"/>
      <c r="I20" s="431"/>
      <c r="J20" s="431"/>
      <c r="K20" s="432"/>
      <c r="L20" s="430" t="str">
        <f>IF(Calcu!B18=TRUE,Calcu!F18*H$5,"")</f>
        <v/>
      </c>
      <c r="M20" s="431"/>
      <c r="N20" s="431"/>
      <c r="O20" s="431"/>
      <c r="P20" s="432"/>
      <c r="Q20" s="430" t="str">
        <f>IF(Calcu!B18=TRUE,Calcu!G18*H$5,"")</f>
        <v/>
      </c>
      <c r="R20" s="431"/>
      <c r="S20" s="431"/>
      <c r="T20" s="431"/>
      <c r="U20" s="432"/>
      <c r="V20" s="430" t="str">
        <f>IF(Calcu!B18=TRUE,Calcu!H18*H$5,"")</f>
        <v/>
      </c>
      <c r="W20" s="431"/>
      <c r="X20" s="431"/>
      <c r="Y20" s="431"/>
      <c r="Z20" s="432"/>
      <c r="AA20" s="430" t="str">
        <f>IF(Calcu!B18=TRUE,Calcu!I18*H$5,"")</f>
        <v/>
      </c>
      <c r="AB20" s="431"/>
      <c r="AC20" s="431"/>
      <c r="AD20" s="431"/>
      <c r="AE20" s="432"/>
      <c r="AF20" s="430" t="str">
        <f>Calcu!M18</f>
        <v/>
      </c>
      <c r="AG20" s="431"/>
      <c r="AH20" s="431"/>
      <c r="AI20" s="431"/>
      <c r="AJ20" s="432"/>
      <c r="AK20" s="430" t="str">
        <f>Calcu!K18</f>
        <v/>
      </c>
      <c r="AL20" s="431"/>
      <c r="AM20" s="431"/>
      <c r="AN20" s="431"/>
      <c r="AO20" s="432"/>
    </row>
    <row r="21" spans="1:46" ht="18.75" customHeight="1">
      <c r="A21" s="58"/>
      <c r="B21" s="430" t="str">
        <f>Calcu!T19</f>
        <v/>
      </c>
      <c r="C21" s="431"/>
      <c r="D21" s="431"/>
      <c r="E21" s="431"/>
      <c r="F21" s="432"/>
      <c r="G21" s="430" t="str">
        <f>IF(Calcu!B19=TRUE,Calcu!E19*$H$5,"")</f>
        <v/>
      </c>
      <c r="H21" s="431"/>
      <c r="I21" s="431"/>
      <c r="J21" s="431"/>
      <c r="K21" s="432"/>
      <c r="L21" s="430" t="str">
        <f>IF(Calcu!B19=TRUE,Calcu!F19*H$5,"")</f>
        <v/>
      </c>
      <c r="M21" s="431"/>
      <c r="N21" s="431"/>
      <c r="O21" s="431"/>
      <c r="P21" s="432"/>
      <c r="Q21" s="430" t="str">
        <f>IF(Calcu!B19=TRUE,Calcu!G19*H$5,"")</f>
        <v/>
      </c>
      <c r="R21" s="431"/>
      <c r="S21" s="431"/>
      <c r="T21" s="431"/>
      <c r="U21" s="432"/>
      <c r="V21" s="430" t="str">
        <f>IF(Calcu!B19=TRUE,Calcu!H19*H$5,"")</f>
        <v/>
      </c>
      <c r="W21" s="431"/>
      <c r="X21" s="431"/>
      <c r="Y21" s="431"/>
      <c r="Z21" s="432"/>
      <c r="AA21" s="430" t="str">
        <f>IF(Calcu!B19=TRUE,Calcu!I19*H$5,"")</f>
        <v/>
      </c>
      <c r="AB21" s="431"/>
      <c r="AC21" s="431"/>
      <c r="AD21" s="431"/>
      <c r="AE21" s="432"/>
      <c r="AF21" s="430" t="str">
        <f>Calcu!M19</f>
        <v/>
      </c>
      <c r="AG21" s="431"/>
      <c r="AH21" s="431"/>
      <c r="AI21" s="431"/>
      <c r="AJ21" s="432"/>
      <c r="AK21" s="430" t="str">
        <f>Calcu!K19</f>
        <v/>
      </c>
      <c r="AL21" s="431"/>
      <c r="AM21" s="431"/>
      <c r="AN21" s="431"/>
      <c r="AO21" s="432"/>
    </row>
    <row r="22" spans="1:46" ht="18.75" customHeight="1">
      <c r="A22" s="58"/>
      <c r="B22" s="430" t="str">
        <f>Calcu!T20</f>
        <v/>
      </c>
      <c r="C22" s="431"/>
      <c r="D22" s="431"/>
      <c r="E22" s="431"/>
      <c r="F22" s="432"/>
      <c r="G22" s="430" t="str">
        <f>IF(Calcu!B20=TRUE,Calcu!E20*$H$5,"")</f>
        <v/>
      </c>
      <c r="H22" s="431"/>
      <c r="I22" s="431"/>
      <c r="J22" s="431"/>
      <c r="K22" s="432"/>
      <c r="L22" s="430" t="str">
        <f>IF(Calcu!B20=TRUE,Calcu!F20*H$5,"")</f>
        <v/>
      </c>
      <c r="M22" s="431"/>
      <c r="N22" s="431"/>
      <c r="O22" s="431"/>
      <c r="P22" s="432"/>
      <c r="Q22" s="430" t="str">
        <f>IF(Calcu!B20=TRUE,Calcu!G20*H$5,"")</f>
        <v/>
      </c>
      <c r="R22" s="431"/>
      <c r="S22" s="431"/>
      <c r="T22" s="431"/>
      <c r="U22" s="432"/>
      <c r="V22" s="430" t="str">
        <f>IF(Calcu!B20=TRUE,Calcu!H20*H$5,"")</f>
        <v/>
      </c>
      <c r="W22" s="431"/>
      <c r="X22" s="431"/>
      <c r="Y22" s="431"/>
      <c r="Z22" s="432"/>
      <c r="AA22" s="430" t="str">
        <f>IF(Calcu!B20=TRUE,Calcu!I20*H$5,"")</f>
        <v/>
      </c>
      <c r="AB22" s="431"/>
      <c r="AC22" s="431"/>
      <c r="AD22" s="431"/>
      <c r="AE22" s="432"/>
      <c r="AF22" s="430" t="str">
        <f>Calcu!M20</f>
        <v/>
      </c>
      <c r="AG22" s="431"/>
      <c r="AH22" s="431"/>
      <c r="AI22" s="431"/>
      <c r="AJ22" s="432"/>
      <c r="AK22" s="430" t="str">
        <f>Calcu!K20</f>
        <v/>
      </c>
      <c r="AL22" s="431"/>
      <c r="AM22" s="431"/>
      <c r="AN22" s="431"/>
      <c r="AO22" s="432"/>
    </row>
    <row r="23" spans="1:46" ht="18.75" customHeight="1">
      <c r="A23" s="58"/>
      <c r="B23" s="430" t="str">
        <f>Calcu!T21</f>
        <v/>
      </c>
      <c r="C23" s="431"/>
      <c r="D23" s="431"/>
      <c r="E23" s="431"/>
      <c r="F23" s="432"/>
      <c r="G23" s="430" t="str">
        <f>IF(Calcu!B21=TRUE,Calcu!E21*$H$5,"")</f>
        <v/>
      </c>
      <c r="H23" s="431"/>
      <c r="I23" s="431"/>
      <c r="J23" s="431"/>
      <c r="K23" s="432"/>
      <c r="L23" s="430" t="str">
        <f>IF(Calcu!B21=TRUE,Calcu!F21*H$5,"")</f>
        <v/>
      </c>
      <c r="M23" s="431"/>
      <c r="N23" s="431"/>
      <c r="O23" s="431"/>
      <c r="P23" s="432"/>
      <c r="Q23" s="430" t="str">
        <f>IF(Calcu!B21=TRUE,Calcu!G21*H$5,"")</f>
        <v/>
      </c>
      <c r="R23" s="431"/>
      <c r="S23" s="431"/>
      <c r="T23" s="431"/>
      <c r="U23" s="432"/>
      <c r="V23" s="430" t="str">
        <f>IF(Calcu!B21=TRUE,Calcu!H21*H$5,"")</f>
        <v/>
      </c>
      <c r="W23" s="431"/>
      <c r="X23" s="431"/>
      <c r="Y23" s="431"/>
      <c r="Z23" s="432"/>
      <c r="AA23" s="430" t="str">
        <f>IF(Calcu!B21=TRUE,Calcu!I21*H$5,"")</f>
        <v/>
      </c>
      <c r="AB23" s="431"/>
      <c r="AC23" s="431"/>
      <c r="AD23" s="431"/>
      <c r="AE23" s="432"/>
      <c r="AF23" s="430" t="str">
        <f>Calcu!M21</f>
        <v/>
      </c>
      <c r="AG23" s="431"/>
      <c r="AH23" s="431"/>
      <c r="AI23" s="431"/>
      <c r="AJ23" s="432"/>
      <c r="AK23" s="430" t="str">
        <f>Calcu!K21</f>
        <v/>
      </c>
      <c r="AL23" s="431"/>
      <c r="AM23" s="431"/>
      <c r="AN23" s="431"/>
      <c r="AO23" s="432"/>
    </row>
    <row r="24" spans="1:46" ht="18.75" customHeight="1">
      <c r="A24" s="58"/>
      <c r="B24" s="430" t="str">
        <f>Calcu!T22</f>
        <v/>
      </c>
      <c r="C24" s="431"/>
      <c r="D24" s="431"/>
      <c r="E24" s="431"/>
      <c r="F24" s="432"/>
      <c r="G24" s="430" t="str">
        <f>IF(Calcu!B22=TRUE,Calcu!E22*$H$5,"")</f>
        <v/>
      </c>
      <c r="H24" s="431"/>
      <c r="I24" s="431"/>
      <c r="J24" s="431"/>
      <c r="K24" s="432"/>
      <c r="L24" s="430" t="str">
        <f>IF(Calcu!B22=TRUE,Calcu!F22*H$5,"")</f>
        <v/>
      </c>
      <c r="M24" s="431"/>
      <c r="N24" s="431"/>
      <c r="O24" s="431"/>
      <c r="P24" s="432"/>
      <c r="Q24" s="430" t="str">
        <f>IF(Calcu!B22=TRUE,Calcu!G22*H$5,"")</f>
        <v/>
      </c>
      <c r="R24" s="431"/>
      <c r="S24" s="431"/>
      <c r="T24" s="431"/>
      <c r="U24" s="432"/>
      <c r="V24" s="430" t="str">
        <f>IF(Calcu!B22=TRUE,Calcu!H22*H$5,"")</f>
        <v/>
      </c>
      <c r="W24" s="431"/>
      <c r="X24" s="431"/>
      <c r="Y24" s="431"/>
      <c r="Z24" s="432"/>
      <c r="AA24" s="430" t="str">
        <f>IF(Calcu!B22=TRUE,Calcu!I22*H$5,"")</f>
        <v/>
      </c>
      <c r="AB24" s="431"/>
      <c r="AC24" s="431"/>
      <c r="AD24" s="431"/>
      <c r="AE24" s="432"/>
      <c r="AF24" s="430" t="str">
        <f>Calcu!M22</f>
        <v/>
      </c>
      <c r="AG24" s="431"/>
      <c r="AH24" s="431"/>
      <c r="AI24" s="431"/>
      <c r="AJ24" s="432"/>
      <c r="AK24" s="430" t="str">
        <f>Calcu!K22</f>
        <v/>
      </c>
      <c r="AL24" s="431"/>
      <c r="AM24" s="431"/>
      <c r="AN24" s="431"/>
      <c r="AO24" s="432"/>
    </row>
    <row r="25" spans="1:46" ht="18.75" customHeight="1">
      <c r="A25" s="58"/>
      <c r="B25" s="430" t="str">
        <f>Calcu!T23</f>
        <v/>
      </c>
      <c r="C25" s="431"/>
      <c r="D25" s="431"/>
      <c r="E25" s="431"/>
      <c r="F25" s="432"/>
      <c r="G25" s="430" t="str">
        <f>IF(Calcu!B23=TRUE,Calcu!E23*$H$5,"")</f>
        <v/>
      </c>
      <c r="H25" s="431"/>
      <c r="I25" s="431"/>
      <c r="J25" s="431"/>
      <c r="K25" s="432"/>
      <c r="L25" s="430" t="str">
        <f>IF(Calcu!B23=TRUE,Calcu!F23*H$5,"")</f>
        <v/>
      </c>
      <c r="M25" s="431"/>
      <c r="N25" s="431"/>
      <c r="O25" s="431"/>
      <c r="P25" s="432"/>
      <c r="Q25" s="430" t="str">
        <f>IF(Calcu!B23=TRUE,Calcu!G23*H$5,"")</f>
        <v/>
      </c>
      <c r="R25" s="431"/>
      <c r="S25" s="431"/>
      <c r="T25" s="431"/>
      <c r="U25" s="432"/>
      <c r="V25" s="430" t="str">
        <f>IF(Calcu!B23=TRUE,Calcu!H23*H$5,"")</f>
        <v/>
      </c>
      <c r="W25" s="431"/>
      <c r="X25" s="431"/>
      <c r="Y25" s="431"/>
      <c r="Z25" s="432"/>
      <c r="AA25" s="430" t="str">
        <f>IF(Calcu!B23=TRUE,Calcu!I23*H$5,"")</f>
        <v/>
      </c>
      <c r="AB25" s="431"/>
      <c r="AC25" s="431"/>
      <c r="AD25" s="431"/>
      <c r="AE25" s="432"/>
      <c r="AF25" s="430" t="str">
        <f>Calcu!M23</f>
        <v/>
      </c>
      <c r="AG25" s="431"/>
      <c r="AH25" s="431"/>
      <c r="AI25" s="431"/>
      <c r="AJ25" s="432"/>
      <c r="AK25" s="430" t="str">
        <f>Calcu!K23</f>
        <v/>
      </c>
      <c r="AL25" s="431"/>
      <c r="AM25" s="431"/>
      <c r="AN25" s="431"/>
      <c r="AO25" s="432"/>
    </row>
    <row r="26" spans="1:46" ht="18.75" customHeight="1">
      <c r="A26" s="58"/>
      <c r="B26" s="430" t="str">
        <f>Calcu!T24</f>
        <v/>
      </c>
      <c r="C26" s="431"/>
      <c r="D26" s="431"/>
      <c r="E26" s="431"/>
      <c r="F26" s="432"/>
      <c r="G26" s="430" t="str">
        <f>IF(Calcu!B24=TRUE,Calcu!E24*$H$5,"")</f>
        <v/>
      </c>
      <c r="H26" s="431"/>
      <c r="I26" s="431"/>
      <c r="J26" s="431"/>
      <c r="K26" s="432"/>
      <c r="L26" s="430" t="str">
        <f>IF(Calcu!B24=TRUE,Calcu!F24*H$5,"")</f>
        <v/>
      </c>
      <c r="M26" s="431"/>
      <c r="N26" s="431"/>
      <c r="O26" s="431"/>
      <c r="P26" s="432"/>
      <c r="Q26" s="430" t="str">
        <f>IF(Calcu!B24=TRUE,Calcu!G24*H$5,"")</f>
        <v/>
      </c>
      <c r="R26" s="431"/>
      <c r="S26" s="431"/>
      <c r="T26" s="431"/>
      <c r="U26" s="432"/>
      <c r="V26" s="430" t="str">
        <f>IF(Calcu!B24=TRUE,Calcu!H24*H$5,"")</f>
        <v/>
      </c>
      <c r="W26" s="431"/>
      <c r="X26" s="431"/>
      <c r="Y26" s="431"/>
      <c r="Z26" s="432"/>
      <c r="AA26" s="430" t="str">
        <f>IF(Calcu!B24=TRUE,Calcu!I24*H$5,"")</f>
        <v/>
      </c>
      <c r="AB26" s="431"/>
      <c r="AC26" s="431"/>
      <c r="AD26" s="431"/>
      <c r="AE26" s="432"/>
      <c r="AF26" s="430" t="str">
        <f>Calcu!M24</f>
        <v/>
      </c>
      <c r="AG26" s="431"/>
      <c r="AH26" s="431"/>
      <c r="AI26" s="431"/>
      <c r="AJ26" s="432"/>
      <c r="AK26" s="430" t="str">
        <f>Calcu!K24</f>
        <v/>
      </c>
      <c r="AL26" s="431"/>
      <c r="AM26" s="431"/>
      <c r="AN26" s="431"/>
      <c r="AO26" s="432"/>
    </row>
    <row r="27" spans="1:46" ht="18.75" customHeight="1">
      <c r="A27" s="58"/>
      <c r="B27" s="430" t="str">
        <f>Calcu!T25</f>
        <v/>
      </c>
      <c r="C27" s="431"/>
      <c r="D27" s="431"/>
      <c r="E27" s="431"/>
      <c r="F27" s="432"/>
      <c r="G27" s="430" t="str">
        <f>IF(Calcu!B25=TRUE,Calcu!E25*$H$5,"")</f>
        <v/>
      </c>
      <c r="H27" s="431"/>
      <c r="I27" s="431"/>
      <c r="J27" s="431"/>
      <c r="K27" s="432"/>
      <c r="L27" s="430" t="str">
        <f>IF(Calcu!B25=TRUE,Calcu!F25*H$5,"")</f>
        <v/>
      </c>
      <c r="M27" s="431"/>
      <c r="N27" s="431"/>
      <c r="O27" s="431"/>
      <c r="P27" s="432"/>
      <c r="Q27" s="430" t="str">
        <f>IF(Calcu!B25=TRUE,Calcu!G25*H$5,"")</f>
        <v/>
      </c>
      <c r="R27" s="431"/>
      <c r="S27" s="431"/>
      <c r="T27" s="431"/>
      <c r="U27" s="432"/>
      <c r="V27" s="430" t="str">
        <f>IF(Calcu!B25=TRUE,Calcu!H25*H$5,"")</f>
        <v/>
      </c>
      <c r="W27" s="431"/>
      <c r="X27" s="431"/>
      <c r="Y27" s="431"/>
      <c r="Z27" s="432"/>
      <c r="AA27" s="430" t="str">
        <f>IF(Calcu!B25=TRUE,Calcu!I25*H$5,"")</f>
        <v/>
      </c>
      <c r="AB27" s="431"/>
      <c r="AC27" s="431"/>
      <c r="AD27" s="431"/>
      <c r="AE27" s="432"/>
      <c r="AF27" s="430" t="str">
        <f>Calcu!M25</f>
        <v/>
      </c>
      <c r="AG27" s="431"/>
      <c r="AH27" s="431"/>
      <c r="AI27" s="431"/>
      <c r="AJ27" s="432"/>
      <c r="AK27" s="430" t="str">
        <f>Calcu!K25</f>
        <v/>
      </c>
      <c r="AL27" s="431"/>
      <c r="AM27" s="431"/>
      <c r="AN27" s="431"/>
      <c r="AO27" s="432"/>
    </row>
    <row r="28" spans="1:46" ht="18.75" customHeight="1">
      <c r="A28" s="58"/>
      <c r="B28" s="430" t="str">
        <f>Calcu!T26</f>
        <v/>
      </c>
      <c r="C28" s="431"/>
      <c r="D28" s="431"/>
      <c r="E28" s="431"/>
      <c r="F28" s="432"/>
      <c r="G28" s="430" t="str">
        <f>IF(Calcu!B26=TRUE,Calcu!E26*$H$5,"")</f>
        <v/>
      </c>
      <c r="H28" s="431"/>
      <c r="I28" s="431"/>
      <c r="J28" s="431"/>
      <c r="K28" s="432"/>
      <c r="L28" s="430" t="str">
        <f>IF(Calcu!B26=TRUE,Calcu!F26*H$5,"")</f>
        <v/>
      </c>
      <c r="M28" s="431"/>
      <c r="N28" s="431"/>
      <c r="O28" s="431"/>
      <c r="P28" s="432"/>
      <c r="Q28" s="430" t="str">
        <f>IF(Calcu!B26=TRUE,Calcu!G26*H$5,"")</f>
        <v/>
      </c>
      <c r="R28" s="431"/>
      <c r="S28" s="431"/>
      <c r="T28" s="431"/>
      <c r="U28" s="432"/>
      <c r="V28" s="430" t="str">
        <f>IF(Calcu!B26=TRUE,Calcu!H26*H$5,"")</f>
        <v/>
      </c>
      <c r="W28" s="431"/>
      <c r="X28" s="431"/>
      <c r="Y28" s="431"/>
      <c r="Z28" s="432"/>
      <c r="AA28" s="430" t="str">
        <f>IF(Calcu!B26=TRUE,Calcu!I26*H$5,"")</f>
        <v/>
      </c>
      <c r="AB28" s="431"/>
      <c r="AC28" s="431"/>
      <c r="AD28" s="431"/>
      <c r="AE28" s="432"/>
      <c r="AF28" s="430" t="str">
        <f>Calcu!M26</f>
        <v/>
      </c>
      <c r="AG28" s="431"/>
      <c r="AH28" s="431"/>
      <c r="AI28" s="431"/>
      <c r="AJ28" s="432"/>
      <c r="AK28" s="430" t="str">
        <f>Calcu!K26</f>
        <v/>
      </c>
      <c r="AL28" s="431"/>
      <c r="AM28" s="431"/>
      <c r="AN28" s="431"/>
      <c r="AO28" s="432"/>
    </row>
    <row r="29" spans="1:46" ht="18.75" customHeight="1">
      <c r="A29" s="58"/>
      <c r="B29" s="430" t="str">
        <f>Calcu!T27</f>
        <v/>
      </c>
      <c r="C29" s="431"/>
      <c r="D29" s="431"/>
      <c r="E29" s="431"/>
      <c r="F29" s="432"/>
      <c r="G29" s="430" t="str">
        <f>IF(Calcu!B27=TRUE,Calcu!E27*$H$5,"")</f>
        <v/>
      </c>
      <c r="H29" s="431"/>
      <c r="I29" s="431"/>
      <c r="J29" s="431"/>
      <c r="K29" s="432"/>
      <c r="L29" s="430" t="str">
        <f>IF(Calcu!B27=TRUE,Calcu!F27*H$5,"")</f>
        <v/>
      </c>
      <c r="M29" s="431"/>
      <c r="N29" s="431"/>
      <c r="O29" s="431"/>
      <c r="P29" s="432"/>
      <c r="Q29" s="430" t="str">
        <f>IF(Calcu!B27=TRUE,Calcu!G27*H$5,"")</f>
        <v/>
      </c>
      <c r="R29" s="431"/>
      <c r="S29" s="431"/>
      <c r="T29" s="431"/>
      <c r="U29" s="432"/>
      <c r="V29" s="430" t="str">
        <f>IF(Calcu!B27=TRUE,Calcu!H27*H$5,"")</f>
        <v/>
      </c>
      <c r="W29" s="431"/>
      <c r="X29" s="431"/>
      <c r="Y29" s="431"/>
      <c r="Z29" s="432"/>
      <c r="AA29" s="430" t="str">
        <f>IF(Calcu!B27=TRUE,Calcu!I27*H$5,"")</f>
        <v/>
      </c>
      <c r="AB29" s="431"/>
      <c r="AC29" s="431"/>
      <c r="AD29" s="431"/>
      <c r="AE29" s="432"/>
      <c r="AF29" s="430" t="str">
        <f>Calcu!M27</f>
        <v/>
      </c>
      <c r="AG29" s="431"/>
      <c r="AH29" s="431"/>
      <c r="AI29" s="431"/>
      <c r="AJ29" s="432"/>
      <c r="AK29" s="430" t="str">
        <f>Calcu!K27</f>
        <v/>
      </c>
      <c r="AL29" s="431"/>
      <c r="AM29" s="431"/>
      <c r="AN29" s="431"/>
      <c r="AO29" s="432"/>
    </row>
    <row r="30" spans="1:46" ht="18.75" customHeight="1">
      <c r="A30" s="58"/>
      <c r="B30" s="430" t="str">
        <f>Calcu!T28</f>
        <v/>
      </c>
      <c r="C30" s="431"/>
      <c r="D30" s="431"/>
      <c r="E30" s="431"/>
      <c r="F30" s="432"/>
      <c r="G30" s="430" t="str">
        <f>IF(Calcu!B28=TRUE,Calcu!E28*$H$5,"")</f>
        <v/>
      </c>
      <c r="H30" s="431"/>
      <c r="I30" s="431"/>
      <c r="J30" s="431"/>
      <c r="K30" s="432"/>
      <c r="L30" s="430" t="str">
        <f>IF(Calcu!B28=TRUE,Calcu!F28*H$5,"")</f>
        <v/>
      </c>
      <c r="M30" s="431"/>
      <c r="N30" s="431"/>
      <c r="O30" s="431"/>
      <c r="P30" s="432"/>
      <c r="Q30" s="430" t="str">
        <f>IF(Calcu!B28=TRUE,Calcu!G28*H$5,"")</f>
        <v/>
      </c>
      <c r="R30" s="431"/>
      <c r="S30" s="431"/>
      <c r="T30" s="431"/>
      <c r="U30" s="432"/>
      <c r="V30" s="430" t="str">
        <f>IF(Calcu!B28=TRUE,Calcu!H28*H$5,"")</f>
        <v/>
      </c>
      <c r="W30" s="431"/>
      <c r="X30" s="431"/>
      <c r="Y30" s="431"/>
      <c r="Z30" s="432"/>
      <c r="AA30" s="430" t="str">
        <f>IF(Calcu!B28=TRUE,Calcu!I28*H$5,"")</f>
        <v/>
      </c>
      <c r="AB30" s="431"/>
      <c r="AC30" s="431"/>
      <c r="AD30" s="431"/>
      <c r="AE30" s="432"/>
      <c r="AF30" s="430" t="str">
        <f>Calcu!M28</f>
        <v/>
      </c>
      <c r="AG30" s="431"/>
      <c r="AH30" s="431"/>
      <c r="AI30" s="431"/>
      <c r="AJ30" s="432"/>
      <c r="AK30" s="430" t="str">
        <f>Calcu!K28</f>
        <v/>
      </c>
      <c r="AL30" s="431"/>
      <c r="AM30" s="431"/>
      <c r="AN30" s="431"/>
      <c r="AO30" s="432"/>
    </row>
    <row r="31" spans="1:46" ht="18.75" customHeight="1">
      <c r="A31" s="58"/>
      <c r="B31" s="430" t="str">
        <f>Calcu!T29</f>
        <v/>
      </c>
      <c r="C31" s="431"/>
      <c r="D31" s="431"/>
      <c r="E31" s="431"/>
      <c r="F31" s="432"/>
      <c r="G31" s="430" t="str">
        <f>IF(Calcu!B29=TRUE,Calcu!E29*$H$5,"")</f>
        <v/>
      </c>
      <c r="H31" s="431"/>
      <c r="I31" s="431"/>
      <c r="J31" s="431"/>
      <c r="K31" s="432"/>
      <c r="L31" s="430" t="str">
        <f>IF(Calcu!B29=TRUE,Calcu!F29*H$5,"")</f>
        <v/>
      </c>
      <c r="M31" s="431"/>
      <c r="N31" s="431"/>
      <c r="O31" s="431"/>
      <c r="P31" s="432"/>
      <c r="Q31" s="430" t="str">
        <f>IF(Calcu!B29=TRUE,Calcu!G29*H$5,"")</f>
        <v/>
      </c>
      <c r="R31" s="431"/>
      <c r="S31" s="431"/>
      <c r="T31" s="431"/>
      <c r="U31" s="432"/>
      <c r="V31" s="430" t="str">
        <f>IF(Calcu!B29=TRUE,Calcu!H29*H$5,"")</f>
        <v/>
      </c>
      <c r="W31" s="431"/>
      <c r="X31" s="431"/>
      <c r="Y31" s="431"/>
      <c r="Z31" s="432"/>
      <c r="AA31" s="430" t="str">
        <f>IF(Calcu!B29=TRUE,Calcu!I29*H$5,"")</f>
        <v/>
      </c>
      <c r="AB31" s="431"/>
      <c r="AC31" s="431"/>
      <c r="AD31" s="431"/>
      <c r="AE31" s="432"/>
      <c r="AF31" s="430" t="str">
        <f>Calcu!M29</f>
        <v/>
      </c>
      <c r="AG31" s="431"/>
      <c r="AH31" s="431"/>
      <c r="AI31" s="431"/>
      <c r="AJ31" s="432"/>
      <c r="AK31" s="430" t="str">
        <f>Calcu!K29</f>
        <v/>
      </c>
      <c r="AL31" s="431"/>
      <c r="AM31" s="431"/>
      <c r="AN31" s="431"/>
      <c r="AO31" s="432"/>
    </row>
    <row r="32" spans="1:46" ht="18.75" customHeight="1">
      <c r="A32" s="5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</row>
    <row r="33" spans="1:69" ht="18.75" customHeight="1">
      <c r="A33" s="58" t="s">
        <v>253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69" ht="18.75" customHeight="1">
      <c r="A34" s="7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69" ht="18.75" customHeight="1">
      <c r="A35" s="7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69" ht="18.75" customHeight="1">
      <c r="A36" s="72"/>
      <c r="B36" s="57"/>
      <c r="C36" s="396" t="s">
        <v>379</v>
      </c>
      <c r="D36" s="396"/>
      <c r="E36" s="396"/>
      <c r="F36" s="178" t="s">
        <v>254</v>
      </c>
      <c r="G36" s="57" t="s">
        <v>380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69" ht="18.75" customHeight="1">
      <c r="A37" s="72"/>
      <c r="B37" s="57"/>
      <c r="C37" s="396" t="s">
        <v>256</v>
      </c>
      <c r="D37" s="396"/>
      <c r="E37" s="396"/>
      <c r="F37" s="178" t="s">
        <v>254</v>
      </c>
      <c r="G37" s="57" t="s">
        <v>257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</row>
    <row r="38" spans="1:69" ht="18.75" customHeight="1">
      <c r="A38" s="72"/>
      <c r="B38" s="57"/>
      <c r="C38" s="396" t="s">
        <v>255</v>
      </c>
      <c r="D38" s="396"/>
      <c r="E38" s="396"/>
      <c r="F38" s="178" t="s">
        <v>254</v>
      </c>
      <c r="G38" s="57" t="s">
        <v>381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</row>
    <row r="39" spans="1:69" ht="18.75" customHeight="1">
      <c r="A39" s="72"/>
      <c r="B39" s="57"/>
      <c r="C39" s="396" t="s">
        <v>258</v>
      </c>
      <c r="D39" s="396"/>
      <c r="E39" s="396"/>
      <c r="F39" s="178" t="s">
        <v>254</v>
      </c>
      <c r="G39" s="57" t="s">
        <v>259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69" ht="18.75" customHeight="1">
      <c r="A40" s="72"/>
      <c r="B40" s="57"/>
      <c r="C40" s="396"/>
      <c r="D40" s="396"/>
      <c r="E40" s="396"/>
      <c r="F40" s="178" t="s">
        <v>254</v>
      </c>
      <c r="G40" s="57" t="s">
        <v>382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69" ht="18.75" customHeight="1">
      <c r="A41" s="72"/>
      <c r="B41" s="57"/>
      <c r="C41" s="396" t="s">
        <v>260</v>
      </c>
      <c r="D41" s="396"/>
      <c r="E41" s="396"/>
      <c r="F41" s="178" t="s">
        <v>254</v>
      </c>
      <c r="G41" s="57" t="s">
        <v>383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</row>
    <row r="42" spans="1:69" ht="18.75" customHeight="1">
      <c r="A42" s="72"/>
      <c r="B42" s="57"/>
      <c r="C42" s="396" t="s">
        <v>261</v>
      </c>
      <c r="D42" s="396"/>
      <c r="E42" s="396"/>
      <c r="F42" s="178" t="s">
        <v>254</v>
      </c>
      <c r="G42" s="57" t="s">
        <v>384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</row>
    <row r="43" spans="1:69" ht="18.75" customHeight="1">
      <c r="A43" s="72"/>
      <c r="B43" s="57"/>
      <c r="C43" s="396" t="s">
        <v>262</v>
      </c>
      <c r="D43" s="396"/>
      <c r="E43" s="396"/>
      <c r="F43" s="178" t="s">
        <v>254</v>
      </c>
      <c r="G43" s="57" t="s">
        <v>385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</row>
    <row r="44" spans="1:69" ht="18.75" customHeight="1">
      <c r="A44" s="72"/>
      <c r="B44" s="57"/>
      <c r="C44" s="396" t="s">
        <v>558</v>
      </c>
      <c r="D44" s="396"/>
      <c r="E44" s="396"/>
      <c r="F44" s="178" t="s">
        <v>254</v>
      </c>
      <c r="G44" s="57" t="s">
        <v>386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</row>
    <row r="45" spans="1:69" ht="18.75" customHeight="1">
      <c r="A45" s="72"/>
      <c r="B45" s="57"/>
      <c r="C45" s="396" t="s">
        <v>559</v>
      </c>
      <c r="D45" s="396"/>
      <c r="E45" s="396"/>
      <c r="F45" s="224" t="s">
        <v>254</v>
      </c>
      <c r="G45" s="57" t="s">
        <v>391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</row>
    <row r="46" spans="1:69" ht="18.75" customHeight="1">
      <c r="A46" s="72"/>
      <c r="B46" s="57"/>
      <c r="C46" s="396"/>
      <c r="D46" s="396"/>
      <c r="E46" s="396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</row>
    <row r="47" spans="1:69" ht="18.75" customHeight="1">
      <c r="A47" s="58" t="s">
        <v>263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</row>
    <row r="48" spans="1:69" ht="18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46" ht="18.75" customHeight="1">
      <c r="A49" s="57"/>
      <c r="B49" s="57"/>
      <c r="C49" s="57" t="s">
        <v>264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46" ht="18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46" ht="18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46" ht="18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46" ht="18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46" ht="18.75" customHeight="1">
      <c r="A54" s="61" t="s">
        <v>265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46" ht="18.75" customHeight="1">
      <c r="A55" s="57"/>
      <c r="B55" s="420"/>
      <c r="C55" s="421"/>
      <c r="D55" s="406"/>
      <c r="E55" s="407"/>
      <c r="F55" s="407"/>
      <c r="G55" s="408"/>
      <c r="H55" s="400">
        <v>1</v>
      </c>
      <c r="I55" s="400"/>
      <c r="J55" s="400"/>
      <c r="K55" s="400"/>
      <c r="L55" s="400"/>
      <c r="M55" s="400"/>
      <c r="N55" s="400"/>
      <c r="O55" s="400">
        <v>2</v>
      </c>
      <c r="P55" s="400"/>
      <c r="Q55" s="400"/>
      <c r="R55" s="400"/>
      <c r="S55" s="400"/>
      <c r="T55" s="400"/>
      <c r="U55" s="400"/>
      <c r="V55" s="400">
        <v>3</v>
      </c>
      <c r="W55" s="400"/>
      <c r="X55" s="400"/>
      <c r="Y55" s="400"/>
      <c r="Z55" s="400"/>
      <c r="AA55" s="406">
        <v>4</v>
      </c>
      <c r="AB55" s="407"/>
      <c r="AC55" s="407"/>
      <c r="AD55" s="407"/>
      <c r="AE55" s="407"/>
      <c r="AF55" s="407"/>
      <c r="AG55" s="408"/>
      <c r="AH55" s="400">
        <v>5</v>
      </c>
      <c r="AI55" s="400"/>
      <c r="AJ55" s="400"/>
      <c r="AK55" s="400"/>
      <c r="AL55" s="400"/>
      <c r="AM55" s="400"/>
      <c r="AN55" s="400"/>
      <c r="AO55" s="400"/>
      <c r="AP55" s="400">
        <v>6</v>
      </c>
      <c r="AQ55" s="400"/>
      <c r="AR55" s="400"/>
      <c r="AS55" s="400"/>
      <c r="AT55" s="57"/>
    </row>
    <row r="56" spans="1:46" ht="18.75" customHeight="1">
      <c r="A56" s="57"/>
      <c r="B56" s="422"/>
      <c r="C56" s="423"/>
      <c r="D56" s="420" t="s">
        <v>266</v>
      </c>
      <c r="E56" s="398"/>
      <c r="F56" s="398"/>
      <c r="G56" s="421"/>
      <c r="H56" s="426" t="s">
        <v>267</v>
      </c>
      <c r="I56" s="426"/>
      <c r="J56" s="426"/>
      <c r="K56" s="426"/>
      <c r="L56" s="426"/>
      <c r="M56" s="426"/>
      <c r="N56" s="426"/>
      <c r="O56" s="426" t="s">
        <v>268</v>
      </c>
      <c r="P56" s="426"/>
      <c r="Q56" s="426"/>
      <c r="R56" s="426"/>
      <c r="S56" s="426"/>
      <c r="T56" s="426"/>
      <c r="U56" s="426"/>
      <c r="V56" s="426" t="s">
        <v>269</v>
      </c>
      <c r="W56" s="426"/>
      <c r="X56" s="426"/>
      <c r="Y56" s="426"/>
      <c r="Z56" s="426"/>
      <c r="AA56" s="420" t="s">
        <v>270</v>
      </c>
      <c r="AB56" s="398"/>
      <c r="AC56" s="398"/>
      <c r="AD56" s="398"/>
      <c r="AE56" s="398"/>
      <c r="AF56" s="398"/>
      <c r="AG56" s="421"/>
      <c r="AH56" s="426" t="s">
        <v>271</v>
      </c>
      <c r="AI56" s="426"/>
      <c r="AJ56" s="426"/>
      <c r="AK56" s="426"/>
      <c r="AL56" s="426"/>
      <c r="AM56" s="426"/>
      <c r="AN56" s="426"/>
      <c r="AO56" s="426"/>
      <c r="AP56" s="426" t="s">
        <v>272</v>
      </c>
      <c r="AQ56" s="426"/>
      <c r="AR56" s="426"/>
      <c r="AS56" s="426"/>
      <c r="AT56" s="57"/>
    </row>
    <row r="57" spans="1:46" ht="18.75" customHeight="1">
      <c r="A57" s="57"/>
      <c r="B57" s="424"/>
      <c r="C57" s="425"/>
      <c r="D57" s="427" t="s">
        <v>273</v>
      </c>
      <c r="E57" s="399"/>
      <c r="F57" s="399"/>
      <c r="G57" s="428"/>
      <c r="H57" s="429" t="s">
        <v>408</v>
      </c>
      <c r="I57" s="429"/>
      <c r="J57" s="429"/>
      <c r="K57" s="429"/>
      <c r="L57" s="429"/>
      <c r="M57" s="429"/>
      <c r="N57" s="429"/>
      <c r="O57" s="429" t="s">
        <v>409</v>
      </c>
      <c r="P57" s="429"/>
      <c r="Q57" s="429"/>
      <c r="R57" s="429"/>
      <c r="S57" s="429"/>
      <c r="T57" s="429"/>
      <c r="U57" s="429"/>
      <c r="V57" s="429"/>
      <c r="W57" s="429"/>
      <c r="X57" s="429"/>
      <c r="Y57" s="429"/>
      <c r="Z57" s="429"/>
      <c r="AA57" s="445" t="s">
        <v>410</v>
      </c>
      <c r="AB57" s="446"/>
      <c r="AC57" s="446"/>
      <c r="AD57" s="446"/>
      <c r="AE57" s="446"/>
      <c r="AF57" s="446"/>
      <c r="AG57" s="447"/>
      <c r="AH57" s="429" t="s">
        <v>411</v>
      </c>
      <c r="AI57" s="429"/>
      <c r="AJ57" s="429"/>
      <c r="AK57" s="429"/>
      <c r="AL57" s="429"/>
      <c r="AM57" s="429"/>
      <c r="AN57" s="429"/>
      <c r="AO57" s="429"/>
      <c r="AP57" s="429"/>
      <c r="AQ57" s="429"/>
      <c r="AR57" s="429"/>
      <c r="AS57" s="429"/>
      <c r="AT57" s="57"/>
    </row>
    <row r="58" spans="1:46" ht="18.75" customHeight="1">
      <c r="A58" s="57"/>
      <c r="B58" s="400" t="s">
        <v>180</v>
      </c>
      <c r="C58" s="400"/>
      <c r="D58" s="401" t="s">
        <v>274</v>
      </c>
      <c r="E58" s="402"/>
      <c r="F58" s="402"/>
      <c r="G58" s="403"/>
      <c r="H58" s="404" t="e">
        <f ca="1">Calcu!E34</f>
        <v>#N/A</v>
      </c>
      <c r="I58" s="405"/>
      <c r="J58" s="405"/>
      <c r="K58" s="405"/>
      <c r="L58" s="405"/>
      <c r="M58" s="413" t="str">
        <f>Calcu!F34</f>
        <v>mm</v>
      </c>
      <c r="N58" s="414"/>
      <c r="O58" s="409" t="e">
        <f>Calcu!J34</f>
        <v>#DIV/0!</v>
      </c>
      <c r="P58" s="410"/>
      <c r="Q58" s="410"/>
      <c r="R58" s="410"/>
      <c r="S58" s="411" t="str">
        <f>Calcu!K34</f>
        <v>μm</v>
      </c>
      <c r="T58" s="413"/>
      <c r="U58" s="414"/>
      <c r="V58" s="400" t="str">
        <f>Calcu!L34</f>
        <v>정규</v>
      </c>
      <c r="W58" s="400"/>
      <c r="X58" s="400"/>
      <c r="Y58" s="400"/>
      <c r="Z58" s="400"/>
      <c r="AA58" s="406">
        <f>Calcu!O34</f>
        <v>1</v>
      </c>
      <c r="AB58" s="407"/>
      <c r="AC58" s="407"/>
      <c r="AD58" s="407"/>
      <c r="AE58" s="407"/>
      <c r="AF58" s="407"/>
      <c r="AG58" s="408"/>
      <c r="AH58" s="409" t="e">
        <f>Calcu!Q34</f>
        <v>#DIV/0!</v>
      </c>
      <c r="AI58" s="410"/>
      <c r="AJ58" s="410"/>
      <c r="AK58" s="410"/>
      <c r="AL58" s="410"/>
      <c r="AM58" s="411" t="str">
        <f>Calcu!R34</f>
        <v>μm</v>
      </c>
      <c r="AN58" s="411"/>
      <c r="AO58" s="412"/>
      <c r="AP58" s="400" t="str">
        <f>Calcu!S34</f>
        <v>∞</v>
      </c>
      <c r="AQ58" s="400"/>
      <c r="AR58" s="400"/>
      <c r="AS58" s="400"/>
      <c r="AT58" s="57"/>
    </row>
    <row r="59" spans="1:46" ht="18.75" customHeight="1">
      <c r="A59" s="57"/>
      <c r="B59" s="400" t="s">
        <v>387</v>
      </c>
      <c r="C59" s="400"/>
      <c r="D59" s="401" t="s">
        <v>255</v>
      </c>
      <c r="E59" s="402"/>
      <c r="F59" s="402"/>
      <c r="G59" s="403"/>
      <c r="H59" s="404" t="e">
        <f ca="1">Calcu!E35</f>
        <v>#N/A</v>
      </c>
      <c r="I59" s="405"/>
      <c r="J59" s="405"/>
      <c r="K59" s="405"/>
      <c r="L59" s="405"/>
      <c r="M59" s="413" t="str">
        <f>Calcu!F35</f>
        <v>mm</v>
      </c>
      <c r="N59" s="414"/>
      <c r="O59" s="409">
        <f>Calcu!J35</f>
        <v>0</v>
      </c>
      <c r="P59" s="410"/>
      <c r="Q59" s="410"/>
      <c r="R59" s="410"/>
      <c r="S59" s="411" t="str">
        <f>Calcu!K35</f>
        <v>μm</v>
      </c>
      <c r="T59" s="413"/>
      <c r="U59" s="414"/>
      <c r="V59" s="400" t="str">
        <f>Calcu!L35</f>
        <v>직사각형</v>
      </c>
      <c r="W59" s="400"/>
      <c r="X59" s="400"/>
      <c r="Y59" s="400"/>
      <c r="Z59" s="400"/>
      <c r="AA59" s="406">
        <f>Calcu!O35</f>
        <v>-1</v>
      </c>
      <c r="AB59" s="407"/>
      <c r="AC59" s="407"/>
      <c r="AD59" s="407"/>
      <c r="AE59" s="407"/>
      <c r="AF59" s="407"/>
      <c r="AG59" s="408"/>
      <c r="AH59" s="409">
        <f>Calcu!Q35</f>
        <v>0</v>
      </c>
      <c r="AI59" s="410"/>
      <c r="AJ59" s="410"/>
      <c r="AK59" s="410"/>
      <c r="AL59" s="410"/>
      <c r="AM59" s="411" t="str">
        <f>Calcu!R35</f>
        <v>μm</v>
      </c>
      <c r="AN59" s="411"/>
      <c r="AO59" s="412"/>
      <c r="AP59" s="400" t="str">
        <f>Calcu!S35</f>
        <v>∞</v>
      </c>
      <c r="AQ59" s="400"/>
      <c r="AR59" s="400"/>
      <c r="AS59" s="400"/>
      <c r="AT59" s="57"/>
    </row>
    <row r="60" spans="1:46" ht="18.75" customHeight="1">
      <c r="A60" s="57"/>
      <c r="B60" s="400" t="s">
        <v>275</v>
      </c>
      <c r="C60" s="400"/>
      <c r="D60" s="401"/>
      <c r="E60" s="402"/>
      <c r="F60" s="402"/>
      <c r="G60" s="403"/>
      <c r="H60" s="404" t="e">
        <f ca="1">Calcu!E36</f>
        <v>#N/A</v>
      </c>
      <c r="I60" s="405"/>
      <c r="J60" s="405"/>
      <c r="K60" s="405"/>
      <c r="L60" s="405"/>
      <c r="M60" s="413" t="str">
        <f>Calcu!F36</f>
        <v>/℃</v>
      </c>
      <c r="N60" s="414"/>
      <c r="O60" s="417">
        <f>Calcu!J36</f>
        <v>4.0824829046386305E-7</v>
      </c>
      <c r="P60" s="413"/>
      <c r="Q60" s="413"/>
      <c r="R60" s="413"/>
      <c r="S60" s="411" t="str">
        <f>Calcu!K36</f>
        <v>/℃</v>
      </c>
      <c r="T60" s="413"/>
      <c r="U60" s="414"/>
      <c r="V60" s="400" t="str">
        <f>Calcu!L36</f>
        <v>삼각형</v>
      </c>
      <c r="W60" s="400"/>
      <c r="X60" s="400"/>
      <c r="Y60" s="400"/>
      <c r="Z60" s="400"/>
      <c r="AA60" s="415" t="e">
        <f>Calcu!O36</f>
        <v>#VALUE!</v>
      </c>
      <c r="AB60" s="416"/>
      <c r="AC60" s="416"/>
      <c r="AD60" s="416"/>
      <c r="AE60" s="418" t="str">
        <f>Calcu!P36</f>
        <v>℃·μm</v>
      </c>
      <c r="AF60" s="418"/>
      <c r="AG60" s="419"/>
      <c r="AH60" s="409" t="e">
        <f>Calcu!Q36</f>
        <v>#VALUE!</v>
      </c>
      <c r="AI60" s="410"/>
      <c r="AJ60" s="410"/>
      <c r="AK60" s="410"/>
      <c r="AL60" s="410"/>
      <c r="AM60" s="411" t="str">
        <f>Calcu!R36</f>
        <v>μm</v>
      </c>
      <c r="AN60" s="411"/>
      <c r="AO60" s="412"/>
      <c r="AP60" s="400">
        <f>Calcu!S36</f>
        <v>100</v>
      </c>
      <c r="AQ60" s="400"/>
      <c r="AR60" s="400"/>
      <c r="AS60" s="400"/>
      <c r="AT60" s="57"/>
    </row>
    <row r="61" spans="1:46" ht="18.75" customHeight="1">
      <c r="A61" s="57"/>
      <c r="B61" s="400" t="s">
        <v>83</v>
      </c>
      <c r="C61" s="400"/>
      <c r="D61" s="401" t="s">
        <v>277</v>
      </c>
      <c r="E61" s="402"/>
      <c r="F61" s="402"/>
      <c r="G61" s="403"/>
      <c r="H61" s="404" t="str">
        <f>Calcu!E37</f>
        <v/>
      </c>
      <c r="I61" s="405"/>
      <c r="J61" s="405"/>
      <c r="K61" s="405"/>
      <c r="L61" s="405"/>
      <c r="M61" s="413" t="str">
        <f>Calcu!F37</f>
        <v>℃</v>
      </c>
      <c r="N61" s="414"/>
      <c r="O61" s="409">
        <f>Calcu!J37</f>
        <v>0.28867513459481292</v>
      </c>
      <c r="P61" s="410"/>
      <c r="Q61" s="410"/>
      <c r="R61" s="410"/>
      <c r="S61" s="411" t="str">
        <f>Calcu!K37</f>
        <v>℃</v>
      </c>
      <c r="T61" s="413"/>
      <c r="U61" s="414"/>
      <c r="V61" s="400" t="str">
        <f>Calcu!L37</f>
        <v>직사각형</v>
      </c>
      <c r="W61" s="400"/>
      <c r="X61" s="400"/>
      <c r="Y61" s="400"/>
      <c r="Z61" s="400"/>
      <c r="AA61" s="415" t="e">
        <f ca="1">Calcu!O37</f>
        <v>#N/A</v>
      </c>
      <c r="AB61" s="416"/>
      <c r="AC61" s="416"/>
      <c r="AD61" s="416"/>
      <c r="AE61" s="418" t="str">
        <f>Calcu!P37</f>
        <v>/℃·μm</v>
      </c>
      <c r="AF61" s="418"/>
      <c r="AG61" s="419"/>
      <c r="AH61" s="409" t="e">
        <f ca="1">Calcu!Q37</f>
        <v>#N/A</v>
      </c>
      <c r="AI61" s="410"/>
      <c r="AJ61" s="410"/>
      <c r="AK61" s="410"/>
      <c r="AL61" s="410"/>
      <c r="AM61" s="411" t="str">
        <f>Calcu!R37</f>
        <v>μm</v>
      </c>
      <c r="AN61" s="411"/>
      <c r="AO61" s="412"/>
      <c r="AP61" s="400">
        <f>Calcu!S37</f>
        <v>12</v>
      </c>
      <c r="AQ61" s="400"/>
      <c r="AR61" s="400"/>
      <c r="AS61" s="400"/>
      <c r="AT61" s="57"/>
    </row>
    <row r="62" spans="1:46" ht="18.75" customHeight="1">
      <c r="A62" s="57"/>
      <c r="B62" s="400" t="s">
        <v>417</v>
      </c>
      <c r="C62" s="400"/>
      <c r="D62" s="401" t="s">
        <v>276</v>
      </c>
      <c r="E62" s="402"/>
      <c r="F62" s="402"/>
      <c r="G62" s="403"/>
      <c r="H62" s="404" t="e">
        <f ca="1">Calcu!E38</f>
        <v>#N/A</v>
      </c>
      <c r="I62" s="405"/>
      <c r="J62" s="405"/>
      <c r="K62" s="405"/>
      <c r="L62" s="405"/>
      <c r="M62" s="413" t="str">
        <f>Calcu!F38</f>
        <v>/℃</v>
      </c>
      <c r="N62" s="414"/>
      <c r="O62" s="417">
        <f>Calcu!J38</f>
        <v>8.1649658092772609E-7</v>
      </c>
      <c r="P62" s="413"/>
      <c r="Q62" s="413"/>
      <c r="R62" s="413"/>
      <c r="S62" s="411" t="str">
        <f>Calcu!K38</f>
        <v>/℃</v>
      </c>
      <c r="T62" s="413"/>
      <c r="U62" s="414"/>
      <c r="V62" s="400" t="str">
        <f>Calcu!L38</f>
        <v>삼각형</v>
      </c>
      <c r="W62" s="400"/>
      <c r="X62" s="400"/>
      <c r="Y62" s="400"/>
      <c r="Z62" s="400"/>
      <c r="AA62" s="415" t="e">
        <f>Calcu!O38</f>
        <v>#VALUE!</v>
      </c>
      <c r="AB62" s="416"/>
      <c r="AC62" s="416"/>
      <c r="AD62" s="416"/>
      <c r="AE62" s="418" t="str">
        <f>Calcu!P38</f>
        <v>℃·μm</v>
      </c>
      <c r="AF62" s="418"/>
      <c r="AG62" s="419"/>
      <c r="AH62" s="409" t="e">
        <f>Calcu!Q38</f>
        <v>#VALUE!</v>
      </c>
      <c r="AI62" s="410"/>
      <c r="AJ62" s="410"/>
      <c r="AK62" s="410"/>
      <c r="AL62" s="410"/>
      <c r="AM62" s="411" t="str">
        <f>Calcu!R38</f>
        <v>μm</v>
      </c>
      <c r="AN62" s="411"/>
      <c r="AO62" s="412"/>
      <c r="AP62" s="400">
        <f>Calcu!S38</f>
        <v>100</v>
      </c>
      <c r="AQ62" s="400"/>
      <c r="AR62" s="400"/>
      <c r="AS62" s="400"/>
      <c r="AT62" s="57"/>
    </row>
    <row r="63" spans="1:46" ht="18.75" customHeight="1">
      <c r="A63" s="57"/>
      <c r="B63" s="400" t="s">
        <v>278</v>
      </c>
      <c r="C63" s="400"/>
      <c r="D63" s="401" t="s">
        <v>279</v>
      </c>
      <c r="E63" s="402"/>
      <c r="F63" s="402"/>
      <c r="G63" s="403"/>
      <c r="H63" s="404" t="str">
        <f>Calcu!E39</f>
        <v/>
      </c>
      <c r="I63" s="405"/>
      <c r="J63" s="405"/>
      <c r="K63" s="405"/>
      <c r="L63" s="405"/>
      <c r="M63" s="413" t="str">
        <f>Calcu!F39</f>
        <v>℃</v>
      </c>
      <c r="N63" s="414"/>
      <c r="O63" s="409">
        <f>Calcu!J39</f>
        <v>0.57735026918962584</v>
      </c>
      <c r="P63" s="410"/>
      <c r="Q63" s="410"/>
      <c r="R63" s="410"/>
      <c r="S63" s="411" t="str">
        <f>Calcu!K39</f>
        <v>℃</v>
      </c>
      <c r="T63" s="413"/>
      <c r="U63" s="414"/>
      <c r="V63" s="400" t="str">
        <f>Calcu!L39</f>
        <v>직사각형</v>
      </c>
      <c r="W63" s="400"/>
      <c r="X63" s="400"/>
      <c r="Y63" s="400"/>
      <c r="Z63" s="400"/>
      <c r="AA63" s="415" t="e">
        <f ca="1">Calcu!O39</f>
        <v>#N/A</v>
      </c>
      <c r="AB63" s="416"/>
      <c r="AC63" s="416"/>
      <c r="AD63" s="416"/>
      <c r="AE63" s="418" t="str">
        <f>Calcu!P39</f>
        <v>/℃·μm</v>
      </c>
      <c r="AF63" s="418"/>
      <c r="AG63" s="419"/>
      <c r="AH63" s="409" t="e">
        <f ca="1">Calcu!Q39</f>
        <v>#N/A</v>
      </c>
      <c r="AI63" s="410"/>
      <c r="AJ63" s="410"/>
      <c r="AK63" s="410"/>
      <c r="AL63" s="410"/>
      <c r="AM63" s="411" t="str">
        <f>Calcu!R39</f>
        <v>μm</v>
      </c>
      <c r="AN63" s="411"/>
      <c r="AO63" s="412"/>
      <c r="AP63" s="400">
        <f>Calcu!S39</f>
        <v>12</v>
      </c>
      <c r="AQ63" s="400"/>
      <c r="AR63" s="400"/>
      <c r="AS63" s="400"/>
      <c r="AT63" s="57"/>
    </row>
    <row r="64" spans="1:46" ht="18.75" customHeight="1">
      <c r="A64" s="57"/>
      <c r="B64" s="400" t="s">
        <v>280</v>
      </c>
      <c r="C64" s="400"/>
      <c r="D64" s="401" t="s">
        <v>560</v>
      </c>
      <c r="E64" s="402"/>
      <c r="F64" s="402"/>
      <c r="G64" s="403"/>
      <c r="H64" s="404">
        <f>Calcu!E40</f>
        <v>0</v>
      </c>
      <c r="I64" s="405"/>
      <c r="J64" s="405"/>
      <c r="K64" s="405"/>
      <c r="L64" s="405"/>
      <c r="M64" s="413" t="str">
        <f>Calcu!F40</f>
        <v>mm</v>
      </c>
      <c r="N64" s="414"/>
      <c r="O64" s="409">
        <f>Calcu!J40</f>
        <v>0</v>
      </c>
      <c r="P64" s="410"/>
      <c r="Q64" s="410"/>
      <c r="R64" s="410"/>
      <c r="S64" s="411" t="str">
        <f>Calcu!K40</f>
        <v>μm</v>
      </c>
      <c r="T64" s="413"/>
      <c r="U64" s="414"/>
      <c r="V64" s="400" t="str">
        <f>Calcu!L40</f>
        <v>직사각형</v>
      </c>
      <c r="W64" s="400"/>
      <c r="X64" s="400"/>
      <c r="Y64" s="400"/>
      <c r="Z64" s="400"/>
      <c r="AA64" s="406">
        <f>Calcu!O40</f>
        <v>1</v>
      </c>
      <c r="AB64" s="407"/>
      <c r="AC64" s="407"/>
      <c r="AD64" s="407"/>
      <c r="AE64" s="407"/>
      <c r="AF64" s="407"/>
      <c r="AG64" s="408"/>
      <c r="AH64" s="409">
        <f>Calcu!Q40</f>
        <v>0</v>
      </c>
      <c r="AI64" s="410"/>
      <c r="AJ64" s="410"/>
      <c r="AK64" s="410"/>
      <c r="AL64" s="410"/>
      <c r="AM64" s="411" t="str">
        <f>Calcu!R40</f>
        <v>μm</v>
      </c>
      <c r="AN64" s="411"/>
      <c r="AO64" s="412"/>
      <c r="AP64" s="400" t="str">
        <f>Calcu!S40</f>
        <v>∞</v>
      </c>
      <c r="AQ64" s="400"/>
      <c r="AR64" s="400"/>
      <c r="AS64" s="400"/>
      <c r="AT64" s="57"/>
    </row>
    <row r="65" spans="1:46" ht="18.75" customHeight="1">
      <c r="A65" s="57"/>
      <c r="B65" s="400" t="s">
        <v>199</v>
      </c>
      <c r="C65" s="400"/>
      <c r="D65" s="401" t="s">
        <v>561</v>
      </c>
      <c r="E65" s="402"/>
      <c r="F65" s="402"/>
      <c r="G65" s="403"/>
      <c r="H65" s="404">
        <f>Calcu!E41</f>
        <v>0</v>
      </c>
      <c r="I65" s="405"/>
      <c r="J65" s="405"/>
      <c r="K65" s="405"/>
      <c r="L65" s="405"/>
      <c r="M65" s="413" t="str">
        <f>Calcu!F41</f>
        <v>mm</v>
      </c>
      <c r="N65" s="414"/>
      <c r="O65" s="409">
        <f>Calcu!J41</f>
        <v>0</v>
      </c>
      <c r="P65" s="410"/>
      <c r="Q65" s="410"/>
      <c r="R65" s="410"/>
      <c r="S65" s="411" t="str">
        <f>Calcu!K41</f>
        <v>μm</v>
      </c>
      <c r="T65" s="413"/>
      <c r="U65" s="414"/>
      <c r="V65" s="400" t="str">
        <f>Calcu!L41</f>
        <v>직사각형</v>
      </c>
      <c r="W65" s="400"/>
      <c r="X65" s="400"/>
      <c r="Y65" s="400"/>
      <c r="Z65" s="400"/>
      <c r="AA65" s="406">
        <f>Calcu!O41</f>
        <v>1</v>
      </c>
      <c r="AB65" s="407"/>
      <c r="AC65" s="407"/>
      <c r="AD65" s="407"/>
      <c r="AE65" s="407"/>
      <c r="AF65" s="407"/>
      <c r="AG65" s="408"/>
      <c r="AH65" s="409">
        <f>Calcu!Q41</f>
        <v>0</v>
      </c>
      <c r="AI65" s="410"/>
      <c r="AJ65" s="410"/>
      <c r="AK65" s="410"/>
      <c r="AL65" s="410"/>
      <c r="AM65" s="411" t="str">
        <f>Calcu!R41</f>
        <v>μm</v>
      </c>
      <c r="AN65" s="411"/>
      <c r="AO65" s="412"/>
      <c r="AP65" s="400" t="str">
        <f>Calcu!S41</f>
        <v>∞</v>
      </c>
      <c r="AQ65" s="400"/>
      <c r="AR65" s="400"/>
      <c r="AS65" s="400"/>
      <c r="AT65" s="57"/>
    </row>
    <row r="66" spans="1:46" ht="18.75" customHeight="1">
      <c r="A66" s="57"/>
      <c r="B66" s="400" t="s">
        <v>281</v>
      </c>
      <c r="C66" s="400"/>
      <c r="D66" s="401" t="s">
        <v>404</v>
      </c>
      <c r="E66" s="402"/>
      <c r="F66" s="402"/>
      <c r="G66" s="403"/>
      <c r="H66" s="404" t="e">
        <f ca="1">Calcu!E42</f>
        <v>#N/A</v>
      </c>
      <c r="I66" s="405"/>
      <c r="J66" s="405"/>
      <c r="K66" s="405"/>
      <c r="L66" s="405"/>
      <c r="M66" s="413" t="str">
        <f>Calcu!F42</f>
        <v>mm</v>
      </c>
      <c r="N66" s="414"/>
      <c r="O66" s="406"/>
      <c r="P66" s="407"/>
      <c r="Q66" s="407"/>
      <c r="R66" s="407"/>
      <c r="S66" s="407"/>
      <c r="T66" s="407"/>
      <c r="U66" s="408"/>
      <c r="V66" s="400"/>
      <c r="W66" s="400"/>
      <c r="X66" s="400"/>
      <c r="Y66" s="400"/>
      <c r="Z66" s="400"/>
      <c r="AA66" s="406"/>
      <c r="AB66" s="407"/>
      <c r="AC66" s="407"/>
      <c r="AD66" s="407"/>
      <c r="AE66" s="407"/>
      <c r="AF66" s="407"/>
      <c r="AG66" s="408"/>
      <c r="AH66" s="409" t="e">
        <f>Calcu!Q42</f>
        <v>#DIV/0!</v>
      </c>
      <c r="AI66" s="410"/>
      <c r="AJ66" s="410"/>
      <c r="AK66" s="410"/>
      <c r="AL66" s="410"/>
      <c r="AM66" s="411" t="str">
        <f>Calcu!R42</f>
        <v>μm</v>
      </c>
      <c r="AN66" s="411"/>
      <c r="AO66" s="412"/>
      <c r="AP66" s="400" t="e">
        <f>Calcu!S42</f>
        <v>#VALUE!</v>
      </c>
      <c r="AQ66" s="400"/>
      <c r="AR66" s="400"/>
      <c r="AS66" s="400"/>
      <c r="AT66" s="57"/>
    </row>
    <row r="67" spans="1:46" ht="18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46" ht="18.75" customHeight="1">
      <c r="A68" s="58" t="s">
        <v>282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46" ht="18.75" customHeight="1">
      <c r="A69" s="57"/>
      <c r="B69" s="61" t="s">
        <v>388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46" ht="18.75" customHeight="1">
      <c r="A70" s="57"/>
      <c r="B70" s="61"/>
      <c r="C70" s="57" t="s">
        <v>294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46" ht="18.75" customHeight="1">
      <c r="A71" s="57"/>
      <c r="B71" s="57"/>
      <c r="C71" s="57" t="s">
        <v>389</v>
      </c>
      <c r="D71" s="57"/>
      <c r="E71" s="57"/>
      <c r="F71" s="57"/>
      <c r="G71" s="57"/>
      <c r="H71" s="57"/>
      <c r="I71" s="444" t="e">
        <f ca="1">H58</f>
        <v>#N/A</v>
      </c>
      <c r="J71" s="444"/>
      <c r="K71" s="444"/>
      <c r="L71" s="444"/>
      <c r="M71" s="444"/>
      <c r="N71" s="386" t="str">
        <f>M58</f>
        <v>mm</v>
      </c>
      <c r="O71" s="386"/>
      <c r="P71" s="181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46" ht="18.75" customHeight="1">
      <c r="A72" s="57"/>
      <c r="B72" s="57"/>
      <c r="C72" s="57" t="s">
        <v>285</v>
      </c>
      <c r="D72" s="57"/>
      <c r="E72" s="57"/>
      <c r="F72" s="57"/>
      <c r="G72" s="57"/>
      <c r="H72" s="57"/>
      <c r="I72" s="57"/>
      <c r="J72" s="396" t="s">
        <v>442</v>
      </c>
      <c r="K72" s="396"/>
      <c r="L72" s="396"/>
      <c r="M72" s="396" t="s">
        <v>289</v>
      </c>
      <c r="N72" s="399" t="s">
        <v>88</v>
      </c>
      <c r="O72" s="399"/>
      <c r="P72" s="396" t="s">
        <v>289</v>
      </c>
      <c r="Q72" s="395">
        <f>Calcu!G34</f>
        <v>0</v>
      </c>
      <c r="R72" s="395"/>
      <c r="S72" s="395"/>
      <c r="T72" s="100" t="s">
        <v>147</v>
      </c>
      <c r="U72" s="100"/>
      <c r="V72" s="396" t="s">
        <v>289</v>
      </c>
      <c r="W72" s="378">
        <f>Q72/2</f>
        <v>0</v>
      </c>
      <c r="X72" s="378"/>
      <c r="Y72" s="378"/>
      <c r="Z72" s="393" t="str">
        <f>T72</f>
        <v>μm</v>
      </c>
      <c r="AA72" s="393"/>
      <c r="AB72" s="181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6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396"/>
      <c r="K73" s="396"/>
      <c r="L73" s="396"/>
      <c r="M73" s="396"/>
      <c r="N73" s="394" t="s">
        <v>89</v>
      </c>
      <c r="O73" s="394"/>
      <c r="P73" s="396"/>
      <c r="Q73" s="398">
        <v>2</v>
      </c>
      <c r="R73" s="398"/>
      <c r="S73" s="398"/>
      <c r="T73" s="398"/>
      <c r="U73" s="398"/>
      <c r="V73" s="396"/>
      <c r="W73" s="378"/>
      <c r="X73" s="378"/>
      <c r="Y73" s="378"/>
      <c r="Z73" s="393"/>
      <c r="AA73" s="393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6" ht="18.75" customHeight="1">
      <c r="A74" s="57"/>
      <c r="B74" s="57"/>
      <c r="C74" s="57" t="s">
        <v>390</v>
      </c>
      <c r="D74" s="57"/>
      <c r="E74" s="57"/>
      <c r="F74" s="57"/>
      <c r="G74" s="57"/>
      <c r="H74" s="57"/>
      <c r="I74" s="379" t="str">
        <f>V58</f>
        <v>정규</v>
      </c>
      <c r="J74" s="379"/>
      <c r="K74" s="379"/>
      <c r="L74" s="379"/>
      <c r="M74" s="379"/>
      <c r="N74" s="379"/>
      <c r="O74" s="379"/>
      <c r="P74" s="379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46" ht="18.75" customHeight="1">
      <c r="A75" s="57"/>
      <c r="B75" s="57"/>
      <c r="C75" s="375" t="s">
        <v>291</v>
      </c>
      <c r="D75" s="375"/>
      <c r="E75" s="375"/>
      <c r="F75" s="375"/>
      <c r="G75" s="375"/>
      <c r="H75" s="375"/>
      <c r="I75" s="180"/>
      <c r="J75" s="180"/>
      <c r="K75" s="57"/>
      <c r="L75" s="57"/>
      <c r="M75" s="379">
        <f>AA58</f>
        <v>1</v>
      </c>
      <c r="N75" s="379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7"/>
      <c r="B76" s="57"/>
      <c r="C76" s="375"/>
      <c r="D76" s="375"/>
      <c r="E76" s="375"/>
      <c r="F76" s="375"/>
      <c r="G76" s="375"/>
      <c r="H76" s="375"/>
      <c r="I76" s="183"/>
      <c r="J76" s="183"/>
      <c r="K76" s="57"/>
      <c r="L76" s="57"/>
      <c r="M76" s="379"/>
      <c r="N76" s="379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s="57" customFormat="1" ht="18.75" customHeight="1">
      <c r="C77" s="57" t="s">
        <v>84</v>
      </c>
      <c r="K77" s="185" t="s">
        <v>85</v>
      </c>
      <c r="L77" s="454">
        <f>M75</f>
        <v>1</v>
      </c>
      <c r="M77" s="454"/>
      <c r="N77" s="180" t="s">
        <v>86</v>
      </c>
      <c r="O77" s="378">
        <f>W72</f>
        <v>0</v>
      </c>
      <c r="P77" s="378"/>
      <c r="Q77" s="378"/>
      <c r="R77" s="393" t="str">
        <f>Z72</f>
        <v>μm</v>
      </c>
      <c r="S77" s="386"/>
      <c r="T77" s="185" t="s">
        <v>85</v>
      </c>
      <c r="U77" s="74" t="s">
        <v>289</v>
      </c>
      <c r="V77" s="378">
        <f>O77</f>
        <v>0</v>
      </c>
      <c r="W77" s="378"/>
      <c r="X77" s="378"/>
      <c r="Y77" s="393" t="str">
        <f>R77</f>
        <v>μm</v>
      </c>
      <c r="Z77" s="386"/>
      <c r="AA77" s="181"/>
      <c r="AB77" s="180"/>
      <c r="AC77" s="180"/>
    </row>
    <row r="78" spans="1:46" ht="18.75" customHeight="1">
      <c r="A78" s="57"/>
      <c r="B78" s="57"/>
      <c r="C78" s="244" t="s">
        <v>87</v>
      </c>
      <c r="D78" s="244"/>
      <c r="E78" s="244"/>
      <c r="F78" s="244"/>
      <c r="G78" s="244"/>
      <c r="I78" s="114" t="s">
        <v>415</v>
      </c>
      <c r="J78" s="57"/>
      <c r="K78" s="57"/>
      <c r="L78" s="57"/>
      <c r="M78" s="57"/>
      <c r="N78" s="57"/>
      <c r="O78" s="57"/>
      <c r="P78" s="57"/>
      <c r="Q78" s="57"/>
      <c r="R78" s="57"/>
      <c r="S78" s="247"/>
      <c r="T78" s="24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s="57" customFormat="1" ht="18.75" customHeight="1"/>
    <row r="80" spans="1:46" ht="18.75" customHeight="1">
      <c r="A80" s="57"/>
      <c r="B80" s="61" t="s">
        <v>392</v>
      </c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65" ht="18.75" customHeight="1">
      <c r="A81" s="57"/>
      <c r="C81" s="57" t="s">
        <v>283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65" ht="18.75" customHeight="1">
      <c r="A82" s="57"/>
      <c r="C82" s="61"/>
      <c r="D82" s="57" t="s">
        <v>284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65" ht="18.75" customHeight="1">
      <c r="B83" s="57"/>
      <c r="C83" s="57" t="s">
        <v>295</v>
      </c>
      <c r="D83" s="57"/>
      <c r="E83" s="57"/>
      <c r="F83" s="57"/>
      <c r="G83" s="57"/>
      <c r="H83" s="57"/>
      <c r="I83" s="386" t="e">
        <f ca="1">H59</f>
        <v>#N/A</v>
      </c>
      <c r="J83" s="386"/>
      <c r="K83" s="386"/>
      <c r="L83" s="386"/>
      <c r="M83" s="386"/>
      <c r="N83" s="386" t="str">
        <f>M59</f>
        <v>mm</v>
      </c>
      <c r="O83" s="386"/>
      <c r="P83" s="181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</row>
    <row r="84" spans="1:65" ht="18.75" customHeight="1">
      <c r="B84" s="57"/>
      <c r="C84" s="57" t="s">
        <v>90</v>
      </c>
      <c r="D84" s="57"/>
      <c r="E84" s="57"/>
      <c r="F84" s="57"/>
      <c r="G84" s="57"/>
      <c r="H84" s="57"/>
      <c r="I84" s="57"/>
      <c r="J84" s="62" t="s">
        <v>286</v>
      </c>
      <c r="K84" s="57"/>
      <c r="L84" s="57"/>
      <c r="M84" s="57"/>
      <c r="N84" s="57"/>
      <c r="O84" s="57"/>
      <c r="P84" s="57"/>
      <c r="Q84" s="386">
        <f>MAX(AK11:AO31)*1000</f>
        <v>0</v>
      </c>
      <c r="R84" s="386"/>
      <c r="S84" s="386"/>
      <c r="T84" s="442" t="s">
        <v>287</v>
      </c>
      <c r="U84" s="442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</row>
    <row r="85" spans="1:65" ht="18.75" customHeight="1">
      <c r="B85" s="57"/>
      <c r="C85" s="57"/>
      <c r="D85" s="57"/>
      <c r="E85" s="57"/>
      <c r="F85" s="57"/>
      <c r="G85" s="57"/>
      <c r="H85" s="57"/>
      <c r="I85" s="57"/>
      <c r="J85" s="57"/>
      <c r="K85" s="396" t="s">
        <v>443</v>
      </c>
      <c r="L85" s="396"/>
      <c r="M85" s="396"/>
      <c r="N85" s="396" t="s">
        <v>290</v>
      </c>
      <c r="O85" s="399" t="s">
        <v>288</v>
      </c>
      <c r="P85" s="399"/>
      <c r="Q85" s="396" t="s">
        <v>290</v>
      </c>
      <c r="R85" s="388">
        <f>Q84</f>
        <v>0</v>
      </c>
      <c r="S85" s="388"/>
      <c r="T85" s="388"/>
      <c r="U85" s="397" t="str">
        <f>T84</f>
        <v>μm</v>
      </c>
      <c r="V85" s="397"/>
      <c r="W85" s="396" t="s">
        <v>289</v>
      </c>
      <c r="X85" s="378">
        <f>R85/SQRT(5)</f>
        <v>0</v>
      </c>
      <c r="Y85" s="378"/>
      <c r="Z85" s="378"/>
      <c r="AA85" s="393" t="str">
        <f>T84</f>
        <v>μm</v>
      </c>
      <c r="AB85" s="393"/>
      <c r="AC85" s="179"/>
      <c r="AD85" s="179"/>
      <c r="AE85" s="179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</row>
    <row r="86" spans="1:65" ht="18.75" customHeight="1">
      <c r="B86" s="57"/>
      <c r="C86" s="57"/>
      <c r="D86" s="57"/>
      <c r="E86" s="57"/>
      <c r="F86" s="57"/>
      <c r="G86" s="57"/>
      <c r="H86" s="57"/>
      <c r="I86" s="57"/>
      <c r="J86" s="57"/>
      <c r="K86" s="396"/>
      <c r="L86" s="396"/>
      <c r="M86" s="396"/>
      <c r="N86" s="396"/>
      <c r="O86" s="394"/>
      <c r="P86" s="394"/>
      <c r="Q86" s="396"/>
      <c r="R86" s="398"/>
      <c r="S86" s="398"/>
      <c r="T86" s="398"/>
      <c r="U86" s="398"/>
      <c r="V86" s="398"/>
      <c r="W86" s="396"/>
      <c r="X86" s="378"/>
      <c r="Y86" s="378"/>
      <c r="Z86" s="378"/>
      <c r="AA86" s="393"/>
      <c r="AB86" s="393"/>
      <c r="AC86" s="179"/>
      <c r="AD86" s="179"/>
      <c r="AE86" s="179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65" ht="18.75" customHeight="1">
      <c r="B87" s="57"/>
      <c r="C87" s="220" t="s">
        <v>373</v>
      </c>
      <c r="D87" s="57"/>
      <c r="F87" s="57"/>
      <c r="G87" s="57"/>
      <c r="H87" s="57"/>
      <c r="I87" s="210"/>
      <c r="J87" s="210"/>
      <c r="K87" s="210"/>
      <c r="L87" s="210"/>
      <c r="M87" s="211"/>
      <c r="N87" s="211"/>
      <c r="O87" s="211"/>
      <c r="P87" s="207"/>
      <c r="Q87" s="207"/>
      <c r="R87" s="207"/>
      <c r="S87" s="207"/>
      <c r="T87" s="207"/>
      <c r="U87" s="211"/>
      <c r="V87" s="208"/>
      <c r="W87" s="208"/>
      <c r="X87" s="208"/>
      <c r="Y87" s="209"/>
      <c r="Z87" s="209"/>
      <c r="AA87" s="209"/>
      <c r="AB87" s="209"/>
      <c r="AC87" s="209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</row>
    <row r="88" spans="1:65" ht="18.75" customHeight="1">
      <c r="B88" s="57"/>
      <c r="C88" s="57"/>
      <c r="D88" s="57"/>
      <c r="E88" s="220"/>
      <c r="F88" s="57"/>
      <c r="G88" s="57"/>
      <c r="H88" s="57"/>
      <c r="I88" s="57"/>
      <c r="J88" s="57"/>
      <c r="K88" s="396" t="s">
        <v>443</v>
      </c>
      <c r="L88" s="396"/>
      <c r="M88" s="396"/>
      <c r="N88" s="396" t="s">
        <v>290</v>
      </c>
      <c r="O88" s="399" t="s">
        <v>374</v>
      </c>
      <c r="P88" s="399"/>
      <c r="Q88" s="396" t="s">
        <v>289</v>
      </c>
      <c r="R88" s="388">
        <f>Calcu!N3*1000</f>
        <v>0</v>
      </c>
      <c r="S88" s="388"/>
      <c r="T88" s="388"/>
      <c r="U88" s="397" t="str">
        <f>T84</f>
        <v>μm</v>
      </c>
      <c r="V88" s="397"/>
      <c r="W88" s="396" t="s">
        <v>289</v>
      </c>
      <c r="X88" s="378">
        <f>R88/(2*SQRT(3))</f>
        <v>0</v>
      </c>
      <c r="Y88" s="378"/>
      <c r="Z88" s="378"/>
      <c r="AA88" s="393" t="str">
        <f>T84</f>
        <v>μm</v>
      </c>
      <c r="AB88" s="393"/>
      <c r="AC88" s="209"/>
      <c r="AD88" s="209"/>
      <c r="AE88" s="209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</row>
    <row r="89" spans="1:65" ht="18.75" customHeight="1">
      <c r="B89" s="57"/>
      <c r="C89" s="57"/>
      <c r="D89" s="57"/>
      <c r="E89" s="220"/>
      <c r="F89" s="57"/>
      <c r="G89" s="57"/>
      <c r="H89" s="57"/>
      <c r="I89" s="57"/>
      <c r="J89" s="57"/>
      <c r="K89" s="396"/>
      <c r="L89" s="396"/>
      <c r="M89" s="396"/>
      <c r="N89" s="396"/>
      <c r="O89" s="394"/>
      <c r="P89" s="394"/>
      <c r="Q89" s="396"/>
      <c r="R89" s="398"/>
      <c r="S89" s="398"/>
      <c r="T89" s="398"/>
      <c r="U89" s="398"/>
      <c r="V89" s="398"/>
      <c r="W89" s="396"/>
      <c r="X89" s="378"/>
      <c r="Y89" s="378"/>
      <c r="Z89" s="378"/>
      <c r="AA89" s="393"/>
      <c r="AB89" s="393"/>
      <c r="AC89" s="209"/>
      <c r="AD89" s="209"/>
      <c r="AE89" s="209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</row>
    <row r="90" spans="1:65" ht="18.75" customHeight="1">
      <c r="B90" s="57"/>
      <c r="C90" s="57" t="s">
        <v>91</v>
      </c>
      <c r="D90" s="57"/>
      <c r="E90" s="57"/>
      <c r="F90" s="57"/>
      <c r="G90" s="57"/>
      <c r="H90" s="57"/>
      <c r="I90" s="379" t="str">
        <f>V59</f>
        <v>직사각형</v>
      </c>
      <c r="J90" s="379"/>
      <c r="K90" s="379"/>
      <c r="L90" s="379"/>
      <c r="M90" s="379"/>
      <c r="N90" s="379"/>
      <c r="O90" s="379"/>
      <c r="P90" s="379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</row>
    <row r="91" spans="1:65" ht="18.75" customHeight="1">
      <c r="B91" s="57"/>
      <c r="C91" s="375" t="s">
        <v>92</v>
      </c>
      <c r="D91" s="375"/>
      <c r="E91" s="375"/>
      <c r="F91" s="375"/>
      <c r="G91" s="375"/>
      <c r="H91" s="375"/>
      <c r="I91" s="180"/>
      <c r="J91" s="180"/>
      <c r="K91" s="57"/>
      <c r="L91" s="57"/>
      <c r="M91" s="379">
        <f>AA59</f>
        <v>-1</v>
      </c>
      <c r="N91" s="379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</row>
    <row r="92" spans="1:65" ht="18.75" customHeight="1">
      <c r="B92" s="57"/>
      <c r="C92" s="375"/>
      <c r="D92" s="375"/>
      <c r="E92" s="375"/>
      <c r="F92" s="375"/>
      <c r="G92" s="375"/>
      <c r="H92" s="375"/>
      <c r="I92" s="183"/>
      <c r="J92" s="183"/>
      <c r="K92" s="57"/>
      <c r="L92" s="57"/>
      <c r="M92" s="379"/>
      <c r="N92" s="379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</row>
    <row r="93" spans="1:65" ht="18.75" customHeight="1">
      <c r="B93" s="57"/>
      <c r="C93" s="57" t="s">
        <v>296</v>
      </c>
      <c r="D93" s="57"/>
      <c r="E93" s="57"/>
      <c r="F93" s="57"/>
      <c r="G93" s="57"/>
      <c r="H93" s="57"/>
      <c r="I93" s="57"/>
      <c r="J93" s="57"/>
      <c r="K93" s="185" t="s">
        <v>85</v>
      </c>
      <c r="L93" s="454">
        <f>M91</f>
        <v>-1</v>
      </c>
      <c r="M93" s="454"/>
      <c r="N93" s="180" t="s">
        <v>292</v>
      </c>
      <c r="O93" s="378">
        <f>AH59</f>
        <v>0</v>
      </c>
      <c r="P93" s="378"/>
      <c r="Q93" s="378"/>
      <c r="R93" s="393" t="str">
        <f>AA85</f>
        <v>μm</v>
      </c>
      <c r="S93" s="386"/>
      <c r="T93" s="185" t="s">
        <v>85</v>
      </c>
      <c r="U93" s="74" t="s">
        <v>290</v>
      </c>
      <c r="V93" s="378">
        <f>O93</f>
        <v>0</v>
      </c>
      <c r="W93" s="378"/>
      <c r="X93" s="378"/>
      <c r="Y93" s="393" t="str">
        <f>R93</f>
        <v>μm</v>
      </c>
      <c r="Z93" s="386"/>
      <c r="AA93" s="181"/>
      <c r="AB93" s="57"/>
      <c r="AC93" s="57"/>
      <c r="AD93" s="57"/>
      <c r="AE93" s="57"/>
      <c r="AF93" s="57"/>
      <c r="AP93" s="57"/>
      <c r="AQ93" s="57"/>
      <c r="AR93" s="57"/>
      <c r="AS93" s="57"/>
      <c r="AT93" s="57"/>
      <c r="AU93" s="57"/>
      <c r="AV93" s="57"/>
    </row>
    <row r="94" spans="1:65" ht="18.75" customHeight="1">
      <c r="B94" s="57"/>
      <c r="C94" s="57" t="s">
        <v>93</v>
      </c>
      <c r="D94" s="57"/>
      <c r="E94" s="57"/>
      <c r="F94" s="57"/>
      <c r="G94" s="57"/>
      <c r="H94" s="57"/>
      <c r="I94" s="114" t="s">
        <v>293</v>
      </c>
      <c r="J94" s="114"/>
      <c r="K94" s="114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57"/>
      <c r="AB94" s="57"/>
      <c r="AC94" s="57"/>
      <c r="AD94" s="57"/>
      <c r="AE94" s="57"/>
      <c r="AF94" s="57"/>
    </row>
    <row r="95" spans="1:65" ht="18.75" customHeight="1">
      <c r="B95" s="57"/>
      <c r="C95" s="57"/>
      <c r="D95" s="57"/>
      <c r="E95" s="57"/>
      <c r="F95" s="57"/>
      <c r="G95" s="57"/>
      <c r="H95" s="57"/>
      <c r="I95" s="114"/>
      <c r="J95" s="99"/>
      <c r="K95" s="114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57"/>
      <c r="AB95" s="57"/>
      <c r="AC95" s="57"/>
      <c r="AD95" s="57"/>
      <c r="AE95" s="57"/>
      <c r="AF95" s="57"/>
    </row>
    <row r="96" spans="1:65" s="186" customFormat="1" ht="18.75" customHeight="1">
      <c r="A96" s="178"/>
      <c r="B96" s="58" t="s">
        <v>435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78"/>
      <c r="AM96" s="178"/>
      <c r="AN96" s="178"/>
      <c r="AO96" s="178"/>
      <c r="AP96" s="178"/>
      <c r="AQ96" s="178"/>
      <c r="AR96" s="178"/>
      <c r="AS96" s="178"/>
      <c r="AT96" s="178"/>
      <c r="AU96" s="178"/>
      <c r="AV96" s="178"/>
      <c r="AW96" s="178"/>
      <c r="AX96" s="178"/>
      <c r="AY96" s="180"/>
      <c r="AZ96" s="180"/>
      <c r="BA96" s="180"/>
      <c r="BB96" s="180"/>
      <c r="BC96" s="180"/>
      <c r="BD96" s="180"/>
      <c r="BE96" s="180"/>
      <c r="BF96" s="180"/>
      <c r="BG96" s="59"/>
      <c r="BH96" s="59"/>
      <c r="BI96" s="59"/>
      <c r="BJ96" s="59"/>
      <c r="BK96" s="59"/>
      <c r="BL96" s="59"/>
      <c r="BM96" s="59"/>
    </row>
    <row r="97" spans="1:83" s="186" customFormat="1" ht="18.75" customHeight="1">
      <c r="A97" s="251"/>
      <c r="B97" s="58"/>
      <c r="C97" s="455" t="s">
        <v>393</v>
      </c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187" t="s">
        <v>300</v>
      </c>
      <c r="W97" s="60"/>
      <c r="X97" s="180"/>
      <c r="Y97" s="60"/>
      <c r="Z97" s="178"/>
      <c r="AA97" s="180"/>
      <c r="AB97" s="178"/>
      <c r="AC97" s="178"/>
      <c r="AD97" s="188"/>
      <c r="AE97" s="178"/>
      <c r="AF97" s="178"/>
      <c r="AG97" s="180"/>
      <c r="AH97" s="180"/>
      <c r="AI97" s="180"/>
      <c r="AJ97" s="180"/>
      <c r="AK97" s="180"/>
      <c r="AL97" s="180"/>
      <c r="AM97" s="180"/>
      <c r="AN97" s="180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0"/>
      <c r="AZ97" s="250"/>
      <c r="BA97" s="250"/>
      <c r="BB97" s="250"/>
      <c r="BC97" s="250"/>
      <c r="BD97" s="250"/>
      <c r="BE97" s="250"/>
      <c r="BF97" s="250"/>
      <c r="BG97" s="59"/>
      <c r="BH97" s="59"/>
      <c r="BI97" s="59"/>
      <c r="BJ97" s="59"/>
      <c r="BK97" s="59"/>
      <c r="BL97" s="59"/>
      <c r="BM97" s="59"/>
    </row>
    <row r="98" spans="1:83" s="186" customFormat="1" ht="18.75" customHeight="1">
      <c r="B98" s="178"/>
      <c r="C98" s="183" t="s">
        <v>297</v>
      </c>
      <c r="D98" s="178"/>
      <c r="E98" s="178"/>
      <c r="F98" s="178"/>
      <c r="G98" s="178"/>
      <c r="H98" s="391" t="e">
        <f ca="1">H60*10^6</f>
        <v>#N/A</v>
      </c>
      <c r="I98" s="391"/>
      <c r="J98" s="391"/>
      <c r="K98" s="181" t="s">
        <v>298</v>
      </c>
      <c r="L98" s="178"/>
      <c r="M98" s="178"/>
      <c r="N98" s="181"/>
      <c r="O98" s="181"/>
      <c r="P98" s="181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60"/>
      <c r="AG98" s="180"/>
      <c r="AH98" s="180"/>
      <c r="AI98" s="180"/>
      <c r="AJ98" s="180"/>
      <c r="AK98" s="180"/>
      <c r="AL98" s="180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80"/>
      <c r="BA98" s="180"/>
      <c r="BB98" s="180"/>
      <c r="BC98" s="180"/>
      <c r="BD98" s="180"/>
      <c r="BE98" s="180"/>
      <c r="BF98" s="180"/>
      <c r="BG98" s="180"/>
      <c r="BH98" s="59"/>
      <c r="BI98" s="59"/>
      <c r="BJ98" s="59"/>
      <c r="BK98" s="59"/>
      <c r="BL98" s="59"/>
      <c r="BM98" s="59"/>
    </row>
    <row r="99" spans="1:83" s="186" customFormat="1" ht="18.75" customHeight="1">
      <c r="B99" s="178"/>
      <c r="C99" s="375" t="s">
        <v>299</v>
      </c>
      <c r="D99" s="375"/>
      <c r="E99" s="375"/>
      <c r="F99" s="375"/>
      <c r="G99" s="375"/>
      <c r="H99" s="375"/>
      <c r="I99" s="375"/>
      <c r="J99" s="379" t="s">
        <v>301</v>
      </c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78"/>
      <c r="AL99" s="178"/>
      <c r="AM99" s="178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  <c r="AX99" s="180"/>
      <c r="AY99" s="180"/>
      <c r="AZ99" s="180"/>
      <c r="BA99" s="180"/>
      <c r="BB99" s="180"/>
      <c r="BC99" s="180"/>
      <c r="BD99" s="180"/>
      <c r="BE99" s="180"/>
      <c r="BF99" s="180"/>
      <c r="BG99" s="180"/>
      <c r="BH99" s="59"/>
      <c r="BI99" s="59"/>
      <c r="BJ99" s="59"/>
      <c r="BK99" s="59"/>
      <c r="BL99" s="59"/>
      <c r="BM99" s="59"/>
      <c r="BN99" s="59"/>
    </row>
    <row r="100" spans="1:83" s="186" customFormat="1" ht="18.75" customHeight="1">
      <c r="B100" s="178"/>
      <c r="C100" s="375"/>
      <c r="D100" s="375"/>
      <c r="E100" s="375"/>
      <c r="F100" s="375"/>
      <c r="G100" s="375"/>
      <c r="H100" s="375"/>
      <c r="I100" s="375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180"/>
      <c r="Y100" s="180"/>
      <c r="Z100" s="180"/>
      <c r="AA100" s="180"/>
      <c r="AB100" s="180"/>
      <c r="AC100" s="180"/>
      <c r="AD100" s="180"/>
      <c r="AE100" s="180"/>
      <c r="AF100" s="178"/>
      <c r="AG100" s="180"/>
      <c r="AH100" s="180"/>
      <c r="AI100" s="180"/>
      <c r="AJ100" s="180"/>
      <c r="AK100" s="178"/>
      <c r="AL100" s="178"/>
      <c r="AM100" s="178"/>
      <c r="AN100" s="180"/>
      <c r="AO100" s="180"/>
      <c r="AP100" s="180"/>
      <c r="AQ100" s="180"/>
      <c r="AR100" s="180"/>
      <c r="AS100" s="178"/>
      <c r="AT100" s="180"/>
      <c r="AU100" s="180"/>
      <c r="AV100" s="180"/>
      <c r="AW100" s="180"/>
      <c r="AX100" s="180"/>
      <c r="AY100" s="180"/>
      <c r="AZ100" s="180"/>
      <c r="BA100" s="180"/>
      <c r="BB100" s="180"/>
      <c r="BC100" s="180"/>
      <c r="BD100" s="180"/>
      <c r="BE100" s="180"/>
      <c r="BF100" s="180"/>
      <c r="BG100" s="180"/>
      <c r="BH100" s="59"/>
      <c r="BI100" s="59"/>
      <c r="BJ100" s="59"/>
      <c r="BK100" s="59"/>
      <c r="BL100" s="59"/>
      <c r="BM100" s="59"/>
      <c r="BN100" s="59"/>
    </row>
    <row r="101" spans="1:83" s="186" customFormat="1" ht="18.75" customHeight="1">
      <c r="B101" s="178"/>
      <c r="C101" s="180"/>
      <c r="D101" s="180"/>
      <c r="E101" s="180"/>
      <c r="F101" s="180"/>
      <c r="G101" s="180"/>
      <c r="H101" s="180"/>
      <c r="I101" s="178"/>
      <c r="J101" s="379" t="s">
        <v>302</v>
      </c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92" t="s">
        <v>303</v>
      </c>
      <c r="AB101" s="392"/>
      <c r="AC101" s="392"/>
      <c r="AD101" s="392"/>
      <c r="AE101" s="392"/>
      <c r="AF101" s="370" t="s">
        <v>289</v>
      </c>
      <c r="AG101" s="379" t="s">
        <v>304</v>
      </c>
      <c r="AH101" s="379"/>
      <c r="AI101" s="379"/>
      <c r="AJ101" s="379"/>
      <c r="AK101" s="379"/>
      <c r="AL101" s="379"/>
      <c r="AM101" s="178"/>
      <c r="AN101" s="180"/>
      <c r="AO101" s="180"/>
      <c r="AP101" s="180"/>
      <c r="AQ101" s="180"/>
      <c r="AR101" s="180"/>
      <c r="AS101" s="178"/>
      <c r="AT101" s="180"/>
      <c r="AU101" s="180"/>
      <c r="AV101" s="180"/>
      <c r="AW101" s="180"/>
      <c r="AX101" s="180"/>
      <c r="AY101" s="180"/>
      <c r="AZ101" s="180"/>
      <c r="BA101" s="180"/>
      <c r="BB101" s="180"/>
      <c r="BC101" s="180"/>
      <c r="BD101" s="180"/>
      <c r="BE101" s="180"/>
      <c r="BF101" s="180"/>
      <c r="BG101" s="180"/>
      <c r="BH101" s="59"/>
      <c r="BI101" s="59"/>
      <c r="BJ101" s="59"/>
      <c r="BK101" s="59"/>
      <c r="BL101" s="59"/>
      <c r="BM101" s="59"/>
      <c r="BN101" s="59"/>
    </row>
    <row r="102" spans="1:83" s="186" customFormat="1" ht="18.75" customHeight="1">
      <c r="B102" s="178"/>
      <c r="C102" s="180"/>
      <c r="D102" s="180"/>
      <c r="E102" s="180"/>
      <c r="F102" s="180"/>
      <c r="G102" s="180"/>
      <c r="H102" s="180"/>
      <c r="I102" s="178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180"/>
      <c r="AB102" s="178"/>
      <c r="AC102" s="178"/>
      <c r="AD102" s="178"/>
      <c r="AE102" s="178"/>
      <c r="AF102" s="370"/>
      <c r="AG102" s="379"/>
      <c r="AH102" s="379"/>
      <c r="AI102" s="379"/>
      <c r="AJ102" s="379"/>
      <c r="AK102" s="379"/>
      <c r="AL102" s="379"/>
      <c r="AM102" s="178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  <c r="AX102" s="180"/>
      <c r="AY102" s="180"/>
      <c r="AZ102" s="180"/>
      <c r="BA102" s="180"/>
      <c r="BB102" s="180"/>
      <c r="BC102" s="180"/>
      <c r="BD102" s="180"/>
      <c r="BE102" s="180"/>
      <c r="BF102" s="180"/>
      <c r="BG102" s="180"/>
      <c r="BH102" s="59"/>
      <c r="BI102" s="59"/>
      <c r="BJ102" s="59"/>
      <c r="BK102" s="59"/>
      <c r="BL102" s="59"/>
      <c r="BM102" s="59"/>
      <c r="BN102" s="59"/>
    </row>
    <row r="103" spans="1:83" s="186" customFormat="1" ht="18.75" customHeight="1">
      <c r="B103" s="178"/>
      <c r="C103" s="180"/>
      <c r="D103" s="180"/>
      <c r="E103" s="180"/>
      <c r="F103" s="180"/>
      <c r="G103" s="180"/>
      <c r="H103" s="250"/>
      <c r="I103" s="180"/>
      <c r="J103" s="178"/>
      <c r="K103" s="183" t="s">
        <v>305</v>
      </c>
      <c r="L103" s="183"/>
      <c r="M103" s="183"/>
      <c r="N103" s="183"/>
      <c r="O103" s="183"/>
      <c r="P103" s="183"/>
      <c r="Q103" s="183"/>
      <c r="R103" s="183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78"/>
      <c r="AH103" s="180"/>
      <c r="AI103" s="180"/>
      <c r="AJ103" s="180"/>
      <c r="AK103" s="178"/>
      <c r="AL103" s="178"/>
      <c r="AM103" s="178"/>
      <c r="AN103" s="178"/>
      <c r="AO103" s="180"/>
      <c r="AP103" s="180"/>
      <c r="AQ103" s="180"/>
      <c r="AR103" s="180"/>
      <c r="AS103" s="180"/>
      <c r="AT103" s="180"/>
      <c r="AU103" s="180"/>
      <c r="AV103" s="180"/>
      <c r="AW103" s="180"/>
      <c r="AX103" s="180"/>
      <c r="AY103" s="180"/>
      <c r="AZ103" s="180"/>
      <c r="BA103" s="180"/>
      <c r="BB103" s="180"/>
      <c r="BC103" s="180"/>
      <c r="BD103" s="180"/>
      <c r="BE103" s="180"/>
      <c r="BF103" s="180"/>
      <c r="BG103" s="180"/>
      <c r="BH103" s="178"/>
      <c r="BN103" s="59"/>
      <c r="BO103" s="59"/>
      <c r="BP103" s="59"/>
      <c r="BQ103" s="59"/>
      <c r="BR103" s="59"/>
      <c r="BS103" s="59"/>
      <c r="BX103" s="59"/>
      <c r="CE103" s="59"/>
    </row>
    <row r="104" spans="1:83" s="186" customFormat="1" ht="18.75" customHeight="1">
      <c r="B104" s="178"/>
      <c r="C104" s="180"/>
      <c r="D104" s="180"/>
      <c r="E104" s="180"/>
      <c r="F104" s="180"/>
      <c r="G104" s="180"/>
      <c r="H104" s="250"/>
      <c r="I104" s="180"/>
      <c r="J104" s="114"/>
      <c r="K104" s="114"/>
      <c r="L104" s="114"/>
      <c r="M104" s="178"/>
      <c r="N104" s="114"/>
      <c r="O104" s="114"/>
      <c r="P104" s="114"/>
      <c r="Q104" s="114"/>
      <c r="R104" s="114"/>
      <c r="S104" s="114"/>
      <c r="T104" s="114"/>
      <c r="U104" s="114"/>
      <c r="V104" s="178"/>
      <c r="W104" s="189"/>
      <c r="X104" s="189"/>
      <c r="Y104" s="189"/>
      <c r="Z104" s="178"/>
      <c r="AA104" s="379" t="s">
        <v>306</v>
      </c>
      <c r="AB104" s="379"/>
      <c r="AC104" s="379"/>
      <c r="AD104" s="379"/>
      <c r="AE104" s="379"/>
      <c r="AF104" s="178"/>
      <c r="AG104" s="178"/>
      <c r="AH104" s="178"/>
      <c r="AI104" s="189"/>
      <c r="AJ104" s="189"/>
      <c r="AK104" s="178"/>
      <c r="AL104" s="190"/>
      <c r="AM104" s="190"/>
      <c r="AN104" s="178"/>
      <c r="AO104" s="178"/>
      <c r="AP104" s="178"/>
      <c r="AQ104" s="178"/>
      <c r="AR104" s="178"/>
      <c r="AS104" s="180"/>
      <c r="AT104" s="180"/>
      <c r="AU104" s="178"/>
      <c r="AV104" s="178"/>
      <c r="AW104" s="178"/>
      <c r="AX104" s="178"/>
      <c r="AY104" s="178"/>
      <c r="AZ104" s="180"/>
      <c r="BA104" s="180"/>
      <c r="BB104" s="180"/>
      <c r="BC104" s="180"/>
      <c r="BD104" s="180"/>
      <c r="BE104" s="180"/>
      <c r="BF104" s="180"/>
      <c r="BG104" s="180"/>
      <c r="BH104" s="178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CE104" s="59"/>
    </row>
    <row r="105" spans="1:83" s="186" customFormat="1" ht="18.75" customHeight="1">
      <c r="B105" s="178"/>
      <c r="C105" s="180"/>
      <c r="D105" s="180"/>
      <c r="E105" s="180"/>
      <c r="F105" s="180"/>
      <c r="G105" s="180"/>
      <c r="H105" s="250"/>
      <c r="I105" s="180"/>
      <c r="J105" s="114"/>
      <c r="K105" s="114"/>
      <c r="L105" s="114"/>
      <c r="M105" s="178"/>
      <c r="N105" s="114"/>
      <c r="O105" s="114"/>
      <c r="P105" s="114"/>
      <c r="Q105" s="114"/>
      <c r="R105" s="114"/>
      <c r="S105" s="114"/>
      <c r="T105" s="114"/>
      <c r="U105" s="114"/>
      <c r="V105" s="178"/>
      <c r="W105" s="189"/>
      <c r="X105" s="189"/>
      <c r="Y105" s="189"/>
      <c r="Z105" s="178"/>
      <c r="AA105" s="379"/>
      <c r="AB105" s="379"/>
      <c r="AC105" s="379"/>
      <c r="AD105" s="379"/>
      <c r="AE105" s="379"/>
      <c r="AF105" s="178"/>
      <c r="AG105" s="178"/>
      <c r="AH105" s="178"/>
      <c r="AI105" s="189"/>
      <c r="AJ105" s="189"/>
      <c r="AK105" s="178"/>
      <c r="AL105" s="190"/>
      <c r="AM105" s="190"/>
      <c r="AN105" s="178"/>
      <c r="AO105" s="178"/>
      <c r="AP105" s="178"/>
      <c r="AQ105" s="178"/>
      <c r="AR105" s="178"/>
      <c r="AS105" s="180"/>
      <c r="AT105" s="180"/>
      <c r="AU105" s="178"/>
      <c r="AV105" s="178"/>
      <c r="AW105" s="178"/>
      <c r="AX105" s="178"/>
      <c r="AY105" s="178"/>
      <c r="AZ105" s="180"/>
      <c r="BA105" s="180"/>
      <c r="BB105" s="180"/>
      <c r="BC105" s="180"/>
      <c r="BD105" s="180"/>
      <c r="BE105" s="180"/>
      <c r="BF105" s="180"/>
      <c r="BG105" s="180"/>
      <c r="BH105" s="180"/>
      <c r="BI105" s="59"/>
      <c r="BJ105" s="59"/>
      <c r="BK105" s="59"/>
      <c r="BL105" s="59"/>
      <c r="BM105" s="59"/>
    </row>
    <row r="106" spans="1:83" s="186" customFormat="1" ht="18.75" customHeight="1">
      <c r="B106" s="178"/>
      <c r="C106" s="180" t="s">
        <v>95</v>
      </c>
      <c r="D106" s="180"/>
      <c r="E106" s="180"/>
      <c r="F106" s="180"/>
      <c r="G106" s="180"/>
      <c r="H106" s="180"/>
      <c r="I106" s="379" t="str">
        <f>V60</f>
        <v>삼각형</v>
      </c>
      <c r="J106" s="379"/>
      <c r="K106" s="379"/>
      <c r="L106" s="379"/>
      <c r="M106" s="379"/>
      <c r="N106" s="379"/>
      <c r="O106" s="379"/>
      <c r="P106" s="379"/>
      <c r="Q106" s="180"/>
      <c r="R106" s="180"/>
      <c r="S106" s="180"/>
      <c r="T106" s="180"/>
      <c r="U106" s="180"/>
      <c r="V106" s="180"/>
      <c r="W106" s="180"/>
      <c r="X106" s="180"/>
      <c r="Y106" s="180"/>
      <c r="Z106" s="178"/>
      <c r="AA106" s="178"/>
      <c r="AB106" s="178"/>
      <c r="AC106" s="178"/>
      <c r="AD106" s="178"/>
      <c r="AE106" s="178"/>
      <c r="AF106" s="178"/>
      <c r="AG106" s="178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  <c r="AX106" s="180"/>
      <c r="AY106" s="180"/>
      <c r="AZ106" s="180"/>
      <c r="BA106" s="180"/>
      <c r="BB106" s="180"/>
      <c r="BC106" s="180"/>
      <c r="BD106" s="180"/>
      <c r="BE106" s="180"/>
      <c r="BF106" s="180"/>
      <c r="BG106" s="180"/>
      <c r="BH106" s="59"/>
      <c r="BI106" s="59"/>
      <c r="BJ106" s="59"/>
      <c r="BK106" s="59"/>
      <c r="BL106" s="59"/>
      <c r="BM106" s="59"/>
      <c r="BN106" s="59"/>
    </row>
    <row r="107" spans="1:83" s="186" customFormat="1" ht="18.75" customHeight="1">
      <c r="B107" s="178"/>
      <c r="C107" s="375" t="s">
        <v>96</v>
      </c>
      <c r="D107" s="375"/>
      <c r="E107" s="375"/>
      <c r="F107" s="375"/>
      <c r="G107" s="375"/>
      <c r="H107" s="375"/>
      <c r="I107" s="180"/>
      <c r="J107" s="180"/>
      <c r="K107" s="180"/>
      <c r="L107" s="180"/>
      <c r="M107" s="180"/>
      <c r="N107" s="180"/>
      <c r="O107" s="180"/>
      <c r="P107" s="376" t="e">
        <f>-H61</f>
        <v>#VALUE!</v>
      </c>
      <c r="Q107" s="376"/>
      <c r="R107" s="375" t="s">
        <v>307</v>
      </c>
      <c r="S107" s="375"/>
      <c r="T107" s="389">
        <f>Calcu!N36</f>
        <v>0</v>
      </c>
      <c r="U107" s="389"/>
      <c r="V107" s="389"/>
      <c r="W107" s="375" t="s">
        <v>309</v>
      </c>
      <c r="X107" s="375"/>
      <c r="Y107" s="370" t="s">
        <v>289</v>
      </c>
      <c r="Z107" s="386" t="e">
        <f>P107*T107</f>
        <v>#VALUE!</v>
      </c>
      <c r="AA107" s="386"/>
      <c r="AB107" s="386"/>
      <c r="AC107" s="386"/>
      <c r="AD107" s="375" t="s">
        <v>310</v>
      </c>
      <c r="AE107" s="375"/>
      <c r="AF107" s="375"/>
      <c r="AG107" s="375"/>
      <c r="AH107" s="375"/>
      <c r="AI107" s="375"/>
      <c r="AJ107" s="375"/>
      <c r="AK107" s="180"/>
      <c r="AL107" s="180"/>
      <c r="AM107" s="180"/>
      <c r="AN107" s="180"/>
      <c r="AO107" s="180"/>
      <c r="AP107" s="180"/>
      <c r="AQ107" s="180"/>
      <c r="AR107" s="178"/>
      <c r="AS107" s="178"/>
      <c r="AT107" s="178"/>
      <c r="AU107" s="178"/>
      <c r="AV107" s="178"/>
      <c r="AW107" s="178"/>
      <c r="AX107" s="178"/>
      <c r="AY107" s="178"/>
      <c r="AZ107" s="178"/>
      <c r="BA107" s="178"/>
      <c r="BB107" s="178"/>
      <c r="BC107" s="178"/>
      <c r="BD107" s="178"/>
      <c r="BE107" s="178"/>
      <c r="BF107" s="178"/>
      <c r="BG107" s="178"/>
      <c r="BH107" s="59"/>
      <c r="BI107" s="59"/>
      <c r="BJ107" s="59"/>
      <c r="BK107" s="59"/>
      <c r="BL107" s="59"/>
      <c r="BM107" s="59"/>
    </row>
    <row r="108" spans="1:83" s="186" customFormat="1" ht="18.75" customHeight="1">
      <c r="B108" s="178"/>
      <c r="C108" s="375"/>
      <c r="D108" s="375"/>
      <c r="E108" s="375"/>
      <c r="F108" s="375"/>
      <c r="G108" s="375"/>
      <c r="H108" s="375"/>
      <c r="I108" s="180"/>
      <c r="J108" s="180"/>
      <c r="K108" s="180"/>
      <c r="L108" s="180"/>
      <c r="M108" s="180"/>
      <c r="N108" s="180"/>
      <c r="O108" s="180"/>
      <c r="P108" s="376"/>
      <c r="Q108" s="376"/>
      <c r="R108" s="375"/>
      <c r="S108" s="375"/>
      <c r="T108" s="389"/>
      <c r="U108" s="389"/>
      <c r="V108" s="389"/>
      <c r="W108" s="375"/>
      <c r="X108" s="375"/>
      <c r="Y108" s="370"/>
      <c r="Z108" s="386"/>
      <c r="AA108" s="386"/>
      <c r="AB108" s="386"/>
      <c r="AC108" s="386"/>
      <c r="AD108" s="375"/>
      <c r="AE108" s="375"/>
      <c r="AF108" s="375"/>
      <c r="AG108" s="375"/>
      <c r="AH108" s="375"/>
      <c r="AI108" s="375"/>
      <c r="AJ108" s="375"/>
      <c r="AK108" s="180"/>
      <c r="AL108" s="180"/>
      <c r="AM108" s="180"/>
      <c r="AN108" s="180"/>
      <c r="AO108" s="180"/>
      <c r="AP108" s="180"/>
      <c r="AQ108" s="180"/>
      <c r="AR108" s="178"/>
      <c r="AS108" s="178"/>
      <c r="AT108" s="178"/>
      <c r="AU108" s="178"/>
      <c r="AV108" s="178"/>
      <c r="AW108" s="178"/>
      <c r="AX108" s="178"/>
      <c r="AY108" s="178"/>
      <c r="AZ108" s="178"/>
      <c r="BA108" s="178"/>
      <c r="BB108" s="178"/>
      <c r="BC108" s="178"/>
      <c r="BD108" s="178"/>
      <c r="BE108" s="178"/>
      <c r="BF108" s="178"/>
      <c r="BG108" s="178"/>
      <c r="BH108" s="59"/>
      <c r="BI108" s="59"/>
      <c r="BJ108" s="59"/>
      <c r="BK108" s="59"/>
      <c r="BL108" s="59"/>
      <c r="BM108" s="59"/>
    </row>
    <row r="109" spans="1:83" s="186" customFormat="1" ht="18.75" customHeight="1">
      <c r="B109" s="178"/>
      <c r="C109" s="180" t="s">
        <v>311</v>
      </c>
      <c r="D109" s="180"/>
      <c r="E109" s="180"/>
      <c r="F109" s="180"/>
      <c r="G109" s="180"/>
      <c r="H109" s="180"/>
      <c r="I109" s="180"/>
      <c r="J109" s="178"/>
      <c r="K109" s="57" t="s">
        <v>312</v>
      </c>
      <c r="L109" s="376" t="e">
        <f>Z107</f>
        <v>#VALUE!</v>
      </c>
      <c r="M109" s="376"/>
      <c r="N109" s="376"/>
      <c r="O109" s="376"/>
      <c r="P109" s="190" t="s">
        <v>313</v>
      </c>
      <c r="Q109" s="178"/>
      <c r="R109" s="178"/>
      <c r="S109" s="178"/>
      <c r="T109" s="178"/>
      <c r="U109" s="178"/>
      <c r="V109" s="178"/>
      <c r="W109" s="178"/>
      <c r="X109" s="178"/>
      <c r="Y109" s="57" t="s">
        <v>314</v>
      </c>
      <c r="Z109" s="178" t="s">
        <v>289</v>
      </c>
      <c r="AA109" s="378" t="e">
        <f>ABS(L109*O60)</f>
        <v>#VALUE!</v>
      </c>
      <c r="AB109" s="378"/>
      <c r="AC109" s="378"/>
      <c r="AD109" s="183" t="s">
        <v>315</v>
      </c>
      <c r="AE109" s="183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91"/>
      <c r="AV109" s="190"/>
      <c r="AW109" s="180"/>
      <c r="AX109" s="178"/>
      <c r="AY109" s="178"/>
      <c r="AZ109" s="178"/>
      <c r="BA109" s="178"/>
      <c r="BB109" s="178"/>
      <c r="BC109" s="178"/>
      <c r="BD109" s="178"/>
      <c r="BE109" s="178"/>
      <c r="BF109" s="178"/>
      <c r="BG109" s="178"/>
      <c r="BH109" s="59"/>
      <c r="BI109" s="59"/>
      <c r="BP109" s="183"/>
      <c r="BQ109" s="192"/>
    </row>
    <row r="110" spans="1:83" s="186" customFormat="1" ht="18.75" customHeight="1">
      <c r="B110" s="178"/>
      <c r="C110" s="246" t="s">
        <v>97</v>
      </c>
      <c r="D110" s="246"/>
      <c r="E110" s="246"/>
      <c r="F110" s="246"/>
      <c r="G110" s="246"/>
      <c r="H110" s="246" t="s">
        <v>418</v>
      </c>
      <c r="J110" s="246"/>
      <c r="K110" s="246"/>
      <c r="L110" s="246"/>
      <c r="M110" s="246"/>
      <c r="N110" s="246"/>
      <c r="O110" s="246"/>
      <c r="P110" s="246"/>
      <c r="Q110" s="246"/>
      <c r="R110" s="190"/>
      <c r="S110" s="246"/>
      <c r="T110" s="246"/>
      <c r="U110" s="246"/>
      <c r="W110" s="57"/>
      <c r="X110" s="246"/>
      <c r="Y110" s="246"/>
      <c r="Z110" s="246"/>
      <c r="AA110" s="246"/>
      <c r="AB110" s="246"/>
      <c r="AC110" s="246"/>
      <c r="AD110" s="246"/>
      <c r="AE110" s="245"/>
      <c r="AF110" s="245"/>
      <c r="AG110" s="245"/>
      <c r="AH110" s="245"/>
      <c r="AI110" s="245"/>
      <c r="AJ110" s="245"/>
      <c r="AK110" s="245"/>
      <c r="AL110" s="245"/>
      <c r="AM110" s="245"/>
      <c r="AN110" s="178"/>
      <c r="AO110" s="178"/>
      <c r="AP110" s="178"/>
      <c r="AQ110" s="178"/>
      <c r="AR110" s="178"/>
      <c r="AS110" s="178"/>
      <c r="AT110" s="178"/>
      <c r="AU110" s="178"/>
      <c r="AV110" s="178"/>
      <c r="AW110" s="178"/>
      <c r="AX110" s="178"/>
      <c r="AY110" s="178"/>
      <c r="AZ110" s="178"/>
      <c r="BA110" s="178"/>
      <c r="BB110" s="178"/>
      <c r="BC110" s="178"/>
      <c r="BD110" s="178"/>
      <c r="BE110" s="178"/>
      <c r="BF110" s="178"/>
      <c r="BG110" s="178"/>
      <c r="BH110" s="59"/>
      <c r="BI110" s="59"/>
      <c r="BJ110" s="59"/>
      <c r="BK110" s="59"/>
      <c r="BL110" s="59"/>
    </row>
    <row r="111" spans="1:83" s="186" customFormat="1" ht="18.75" customHeight="1">
      <c r="B111" s="178"/>
      <c r="C111" s="246"/>
      <c r="D111" s="246"/>
      <c r="E111" s="246"/>
      <c r="F111" s="246"/>
      <c r="G111" s="246"/>
      <c r="H111" s="246"/>
      <c r="J111" s="246"/>
      <c r="K111" s="246"/>
      <c r="L111" s="246"/>
      <c r="M111" s="246"/>
      <c r="N111" s="246"/>
      <c r="O111" s="246"/>
      <c r="P111" s="246"/>
      <c r="Q111" s="246"/>
      <c r="R111" s="190"/>
      <c r="S111" s="246"/>
      <c r="T111" s="246"/>
      <c r="U111" s="246"/>
      <c r="W111" s="57"/>
      <c r="X111" s="246"/>
      <c r="Y111" s="246"/>
      <c r="Z111" s="246"/>
      <c r="AA111" s="246"/>
      <c r="AB111" s="246"/>
      <c r="AC111" s="246"/>
      <c r="AD111" s="246"/>
      <c r="AE111" s="245"/>
      <c r="AF111" s="245"/>
      <c r="AG111" s="245"/>
      <c r="AH111" s="245"/>
      <c r="AI111" s="245"/>
      <c r="AJ111" s="245"/>
      <c r="AK111" s="245"/>
      <c r="AL111" s="245"/>
      <c r="AM111" s="245"/>
      <c r="AN111" s="178"/>
      <c r="AO111" s="178"/>
      <c r="AP111" s="178"/>
      <c r="AQ111" s="178"/>
      <c r="AR111" s="178"/>
      <c r="AS111" s="178"/>
      <c r="AT111" s="178"/>
      <c r="AU111" s="178"/>
      <c r="AV111" s="178"/>
      <c r="AW111" s="178"/>
      <c r="AX111" s="178"/>
      <c r="AY111" s="178"/>
      <c r="AZ111" s="178"/>
      <c r="BA111" s="178"/>
      <c r="BB111" s="178"/>
      <c r="BC111" s="178"/>
      <c r="BD111" s="178"/>
      <c r="BE111" s="178"/>
      <c r="BF111" s="178"/>
      <c r="BG111" s="178"/>
      <c r="BH111" s="59"/>
      <c r="BI111" s="59"/>
      <c r="BJ111" s="59"/>
      <c r="BK111" s="59"/>
      <c r="BL111" s="59"/>
    </row>
    <row r="112" spans="1:83" s="186" customFormat="1" ht="18.75" customHeight="1">
      <c r="B112" s="245"/>
      <c r="C112" s="246"/>
      <c r="D112" s="246"/>
      <c r="E112" s="246"/>
      <c r="F112" s="246"/>
      <c r="G112" s="246"/>
      <c r="H112" s="246"/>
      <c r="J112" s="246"/>
      <c r="K112" s="246"/>
      <c r="L112" s="246"/>
      <c r="M112" s="246"/>
      <c r="N112" s="246"/>
      <c r="O112" s="246"/>
      <c r="P112" s="246"/>
      <c r="Q112" s="246"/>
      <c r="R112" s="190"/>
      <c r="S112" s="246"/>
      <c r="T112" s="246"/>
      <c r="U112" s="246"/>
      <c r="W112" s="57"/>
      <c r="X112" s="246"/>
      <c r="Y112" s="246"/>
      <c r="Z112" s="246"/>
      <c r="AA112" s="246"/>
      <c r="AB112" s="246"/>
      <c r="AC112" s="246"/>
      <c r="AD112" s="246"/>
      <c r="AE112" s="245"/>
      <c r="AF112" s="245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245"/>
      <c r="BA112" s="245"/>
      <c r="BB112" s="245"/>
      <c r="BC112" s="245"/>
      <c r="BD112" s="245"/>
      <c r="BE112" s="245"/>
      <c r="BF112" s="245"/>
      <c r="BG112" s="245"/>
      <c r="BH112" s="59"/>
      <c r="BI112" s="59"/>
      <c r="BJ112" s="59"/>
      <c r="BK112" s="59"/>
      <c r="BL112" s="59"/>
    </row>
    <row r="113" spans="2:67" s="186" customFormat="1" ht="18.75" customHeight="1">
      <c r="B113" s="245"/>
      <c r="C113" s="246"/>
      <c r="D113" s="246"/>
      <c r="E113" s="246"/>
      <c r="F113" s="246"/>
      <c r="G113" s="246"/>
      <c r="H113" s="246"/>
      <c r="J113" s="246"/>
      <c r="K113" s="246"/>
      <c r="L113" s="246"/>
      <c r="M113" s="246"/>
      <c r="N113" s="246"/>
      <c r="O113" s="246"/>
      <c r="P113" s="246"/>
      <c r="Q113" s="246"/>
      <c r="R113" s="190"/>
      <c r="S113" s="246"/>
      <c r="T113" s="246"/>
      <c r="U113" s="246"/>
      <c r="W113" s="57"/>
      <c r="X113" s="246"/>
      <c r="Y113" s="246"/>
      <c r="Z113" s="246"/>
      <c r="AA113" s="246"/>
      <c r="AB113" s="246"/>
      <c r="AC113" s="246"/>
      <c r="AD113" s="246"/>
      <c r="AE113" s="245"/>
      <c r="AF113" s="245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45"/>
      <c r="BA113" s="245"/>
      <c r="BB113" s="245"/>
      <c r="BC113" s="245"/>
      <c r="BD113" s="245"/>
      <c r="BE113" s="245"/>
      <c r="BF113" s="245"/>
      <c r="BG113" s="245"/>
      <c r="BH113" s="59"/>
      <c r="BI113" s="59"/>
      <c r="BJ113" s="59"/>
      <c r="BK113" s="59"/>
      <c r="BL113" s="59"/>
    </row>
    <row r="114" spans="2:67" s="186" customFormat="1" ht="18.75" customHeight="1">
      <c r="B114" s="245"/>
      <c r="C114" s="246"/>
      <c r="D114" s="246"/>
      <c r="E114" s="246"/>
      <c r="F114" s="246"/>
      <c r="G114" s="246"/>
      <c r="H114" s="246"/>
      <c r="J114" s="246"/>
      <c r="K114" s="246"/>
      <c r="L114" s="246"/>
      <c r="M114" s="246"/>
      <c r="N114" s="246"/>
      <c r="O114" s="246"/>
      <c r="P114" s="246"/>
      <c r="Q114" s="246"/>
      <c r="R114" s="190"/>
      <c r="S114" s="246"/>
      <c r="T114" s="246"/>
      <c r="U114" s="246"/>
      <c r="W114" s="57"/>
      <c r="X114" s="246"/>
      <c r="Y114" s="246"/>
      <c r="Z114" s="246"/>
      <c r="AA114" s="246"/>
      <c r="AB114" s="246"/>
      <c r="AC114" s="246"/>
      <c r="AD114" s="246"/>
      <c r="AE114" s="245"/>
      <c r="AF114" s="245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245"/>
      <c r="BA114" s="245"/>
      <c r="BB114" s="245"/>
      <c r="BC114" s="245"/>
      <c r="BD114" s="245"/>
      <c r="BE114" s="245"/>
      <c r="BF114" s="245"/>
      <c r="BG114" s="245"/>
      <c r="BH114" s="59"/>
      <c r="BI114" s="59"/>
      <c r="BJ114" s="59"/>
      <c r="BK114" s="59"/>
      <c r="BL114" s="59"/>
    </row>
    <row r="115" spans="2:67" s="186" customFormat="1" ht="18.75" customHeight="1">
      <c r="B115" s="245"/>
      <c r="C115" s="246"/>
      <c r="D115" s="246"/>
      <c r="E115" s="246"/>
      <c r="F115" s="246"/>
      <c r="G115" s="246"/>
      <c r="H115" s="246"/>
      <c r="J115" s="246"/>
      <c r="K115" s="246"/>
      <c r="L115" s="246"/>
      <c r="M115" s="246"/>
      <c r="N115" s="246"/>
      <c r="O115" s="246"/>
      <c r="P115" s="246"/>
      <c r="Q115" s="246"/>
      <c r="R115" s="190"/>
      <c r="S115" s="246"/>
      <c r="T115" s="246"/>
      <c r="U115" s="246"/>
      <c r="W115" s="57"/>
      <c r="X115" s="246"/>
      <c r="Y115" s="246"/>
      <c r="Z115" s="246"/>
      <c r="AA115" s="246"/>
      <c r="AB115" s="246"/>
      <c r="AC115" s="246"/>
      <c r="AD115" s="246"/>
      <c r="AE115" s="245"/>
      <c r="AF115" s="245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  <c r="BE115" s="245"/>
      <c r="BF115" s="245"/>
      <c r="BG115" s="245"/>
      <c r="BH115" s="59"/>
      <c r="BI115" s="59"/>
      <c r="BJ115" s="59"/>
      <c r="BK115" s="59"/>
      <c r="BL115" s="59"/>
    </row>
    <row r="116" spans="2:67" s="186" customFormat="1" ht="18.75" customHeight="1">
      <c r="B116" s="178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9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8"/>
      <c r="AX116" s="178"/>
      <c r="AY116" s="178"/>
      <c r="AZ116" s="178"/>
      <c r="BA116" s="178"/>
      <c r="BB116" s="178"/>
      <c r="BC116" s="178"/>
      <c r="BD116" s="178"/>
      <c r="BE116" s="178"/>
      <c r="BF116" s="178"/>
      <c r="BG116" s="178"/>
      <c r="BH116" s="180"/>
      <c r="BI116" s="180"/>
      <c r="BJ116" s="180"/>
      <c r="BK116" s="180"/>
    </row>
    <row r="117" spans="2:67" s="186" customFormat="1" ht="18.75" customHeight="1">
      <c r="B117" s="58" t="s">
        <v>436</v>
      </c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78"/>
      <c r="AI117" s="178"/>
      <c r="AJ117" s="178"/>
      <c r="AK117" s="178"/>
      <c r="AL117" s="178"/>
      <c r="AM117" s="178"/>
      <c r="AN117" s="178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0"/>
      <c r="AZ117" s="180"/>
      <c r="BA117" s="180"/>
      <c r="BB117" s="180"/>
      <c r="BC117" s="180"/>
      <c r="BD117" s="180"/>
      <c r="BE117" s="180"/>
      <c r="BF117" s="180"/>
      <c r="BG117" s="180"/>
      <c r="BH117" s="59"/>
      <c r="BI117" s="59"/>
      <c r="BJ117" s="59"/>
      <c r="BK117" s="59"/>
      <c r="BL117" s="59"/>
      <c r="BM117" s="59"/>
      <c r="BN117" s="59"/>
    </row>
    <row r="118" spans="2:67" s="186" customFormat="1" ht="18.75" customHeight="1">
      <c r="B118" s="58"/>
      <c r="C118" s="250" t="s">
        <v>444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  <c r="AA118" s="250"/>
      <c r="AB118" s="250"/>
      <c r="AC118" s="250"/>
      <c r="AD118" s="250"/>
      <c r="AE118" s="250"/>
      <c r="AF118" s="250"/>
      <c r="AG118" s="250"/>
      <c r="AH118" s="250"/>
      <c r="AI118" s="250"/>
      <c r="AJ118" s="250"/>
      <c r="AK118" s="250"/>
      <c r="AL118" s="250"/>
      <c r="AM118" s="251"/>
      <c r="AN118" s="251"/>
      <c r="AO118" s="250"/>
      <c r="AP118" s="250"/>
      <c r="AQ118" s="250"/>
      <c r="AR118" s="250"/>
      <c r="AS118" s="250"/>
      <c r="AT118" s="250"/>
      <c r="AU118" s="250"/>
      <c r="AV118" s="250"/>
      <c r="AW118" s="250"/>
      <c r="AX118" s="250"/>
      <c r="AY118" s="250"/>
      <c r="AZ118" s="250"/>
      <c r="BA118" s="250"/>
      <c r="BB118" s="250"/>
      <c r="BC118" s="250"/>
      <c r="BD118" s="250"/>
      <c r="BE118" s="250"/>
      <c r="BF118" s="250"/>
      <c r="BG118" s="250"/>
      <c r="BH118" s="59"/>
      <c r="BI118" s="59"/>
      <c r="BJ118" s="59"/>
      <c r="BK118" s="59"/>
      <c r="BL118" s="59"/>
      <c r="BM118" s="59"/>
      <c r="BN118" s="59"/>
    </row>
    <row r="119" spans="2:67" s="186" customFormat="1" ht="18.75" customHeight="1">
      <c r="B119" s="58"/>
      <c r="C119" s="250"/>
      <c r="D119" s="250" t="s">
        <v>445</v>
      </c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  <c r="AA119" s="250"/>
      <c r="AB119" s="250"/>
      <c r="AC119" s="250"/>
      <c r="AD119" s="250"/>
      <c r="AE119" s="250"/>
      <c r="AF119" s="250"/>
      <c r="AG119" s="250"/>
      <c r="AH119" s="250"/>
      <c r="AI119" s="250"/>
      <c r="AJ119" s="250"/>
      <c r="AK119" s="250"/>
      <c r="AL119" s="250"/>
      <c r="AM119" s="251"/>
      <c r="AN119" s="251"/>
      <c r="AO119" s="250"/>
      <c r="AP119" s="250"/>
      <c r="AQ119" s="250"/>
      <c r="AR119" s="250"/>
      <c r="AS119" s="250"/>
      <c r="AT119" s="250"/>
      <c r="AU119" s="250"/>
      <c r="AV119" s="250"/>
      <c r="AW119" s="250"/>
      <c r="AX119" s="250"/>
      <c r="AY119" s="250"/>
      <c r="AZ119" s="250"/>
      <c r="BA119" s="250"/>
      <c r="BB119" s="250"/>
      <c r="BC119" s="250"/>
      <c r="BD119" s="250"/>
      <c r="BE119" s="250"/>
      <c r="BF119" s="250"/>
      <c r="BG119" s="250"/>
      <c r="BH119" s="59"/>
      <c r="BI119" s="59"/>
      <c r="BJ119" s="59"/>
      <c r="BK119" s="59"/>
      <c r="BL119" s="59"/>
      <c r="BM119" s="59"/>
      <c r="BN119" s="59"/>
    </row>
    <row r="120" spans="2:67" s="186" customFormat="1" ht="18.75" customHeight="1">
      <c r="B120" s="178"/>
      <c r="C120" s="183" t="s">
        <v>419</v>
      </c>
      <c r="D120" s="178"/>
      <c r="E120" s="178"/>
      <c r="F120" s="178"/>
      <c r="G120" s="178"/>
      <c r="H120" s="390" t="str">
        <f>H61</f>
        <v/>
      </c>
      <c r="I120" s="390"/>
      <c r="J120" s="390"/>
      <c r="K120" s="390"/>
      <c r="L120" s="390"/>
      <c r="M120" s="390"/>
      <c r="N120" s="390"/>
      <c r="O120" s="390"/>
      <c r="P120" s="181"/>
      <c r="Q120" s="180"/>
      <c r="R120" s="180"/>
      <c r="S120" s="180"/>
      <c r="T120" s="180"/>
      <c r="U120" s="180"/>
      <c r="V120" s="180"/>
      <c r="W120" s="178"/>
      <c r="X120" s="178"/>
      <c r="Y120" s="178"/>
      <c r="Z120" s="180"/>
      <c r="AA120" s="180"/>
      <c r="AB120" s="180"/>
      <c r="AC120" s="180"/>
      <c r="AD120" s="180"/>
      <c r="AE120" s="180"/>
      <c r="AF120" s="180"/>
      <c r="AG120" s="180"/>
      <c r="AH120" s="178"/>
      <c r="AI120" s="178"/>
      <c r="AJ120" s="178"/>
      <c r="AK120" s="178"/>
      <c r="AL120" s="178"/>
      <c r="AM120" s="178"/>
      <c r="AN120" s="178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59"/>
      <c r="BI120" s="59"/>
      <c r="BJ120" s="59"/>
      <c r="BK120" s="59"/>
      <c r="BL120" s="59"/>
      <c r="BM120" s="59"/>
    </row>
    <row r="121" spans="2:67" s="186" customFormat="1" ht="18.75" customHeight="1">
      <c r="B121" s="178"/>
      <c r="C121" s="375" t="s">
        <v>317</v>
      </c>
      <c r="D121" s="375"/>
      <c r="E121" s="375"/>
      <c r="F121" s="375"/>
      <c r="G121" s="375"/>
      <c r="H121" s="375"/>
      <c r="I121" s="375"/>
      <c r="J121" s="443" t="s">
        <v>446</v>
      </c>
      <c r="K121" s="443"/>
      <c r="L121" s="443"/>
      <c r="M121" s="370" t="s">
        <v>289</v>
      </c>
      <c r="N121" s="388">
        <f>Calcu!G37</f>
        <v>0.5</v>
      </c>
      <c r="O121" s="388"/>
      <c r="P121" s="254" t="s">
        <v>447</v>
      </c>
      <c r="Q121" s="257"/>
      <c r="R121" s="370" t="s">
        <v>289</v>
      </c>
      <c r="S121" s="378">
        <f>N121/SQRT(3)</f>
        <v>0.28867513459481292</v>
      </c>
      <c r="T121" s="378"/>
      <c r="U121" s="378"/>
      <c r="V121" s="386" t="s">
        <v>448</v>
      </c>
      <c r="W121" s="386"/>
      <c r="X121" s="252"/>
      <c r="Y121" s="180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178"/>
      <c r="AT121" s="178"/>
      <c r="AU121" s="178"/>
      <c r="AV121" s="178"/>
      <c r="AW121" s="180"/>
      <c r="AX121" s="180"/>
      <c r="AY121" s="180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59"/>
      <c r="BJ121" s="59"/>
      <c r="BK121" s="59"/>
      <c r="BL121" s="59"/>
      <c r="BM121" s="59"/>
      <c r="BN121" s="59"/>
      <c r="BO121" s="59"/>
    </row>
    <row r="122" spans="2:67" s="186" customFormat="1" ht="18.75" customHeight="1">
      <c r="B122" s="178"/>
      <c r="C122" s="375"/>
      <c r="D122" s="375"/>
      <c r="E122" s="375"/>
      <c r="F122" s="375"/>
      <c r="G122" s="375"/>
      <c r="H122" s="375"/>
      <c r="I122" s="375"/>
      <c r="J122" s="443"/>
      <c r="K122" s="443"/>
      <c r="L122" s="443"/>
      <c r="M122" s="370"/>
      <c r="N122" s="251"/>
      <c r="O122" s="251"/>
      <c r="P122" s="251"/>
      <c r="Q122" s="251"/>
      <c r="R122" s="370"/>
      <c r="S122" s="378"/>
      <c r="T122" s="378"/>
      <c r="U122" s="378"/>
      <c r="V122" s="386"/>
      <c r="W122" s="386"/>
      <c r="X122" s="252"/>
      <c r="Y122" s="180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59"/>
      <c r="BJ122" s="59"/>
      <c r="BK122" s="59"/>
      <c r="BL122" s="59"/>
      <c r="BM122" s="59"/>
      <c r="BN122" s="59"/>
      <c r="BO122" s="59"/>
    </row>
    <row r="123" spans="2:67" s="186" customFormat="1" ht="18.75" customHeight="1">
      <c r="B123" s="178"/>
      <c r="C123" s="180" t="s">
        <v>420</v>
      </c>
      <c r="D123" s="180"/>
      <c r="E123" s="180"/>
      <c r="F123" s="180"/>
      <c r="G123" s="180"/>
      <c r="H123" s="180"/>
      <c r="I123" s="379" t="str">
        <f>V61</f>
        <v>직사각형</v>
      </c>
      <c r="J123" s="379"/>
      <c r="K123" s="379"/>
      <c r="L123" s="379"/>
      <c r="M123" s="379"/>
      <c r="N123" s="379"/>
      <c r="O123" s="379"/>
      <c r="P123" s="379"/>
      <c r="Q123" s="180"/>
      <c r="R123" s="180"/>
      <c r="S123" s="180"/>
      <c r="T123" s="180"/>
      <c r="U123" s="180"/>
      <c r="V123" s="180"/>
      <c r="W123" s="180"/>
      <c r="X123" s="180"/>
      <c r="Y123" s="180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59"/>
      <c r="BI123" s="59"/>
      <c r="BJ123" s="59"/>
      <c r="BK123" s="59"/>
      <c r="BL123" s="59"/>
    </row>
    <row r="124" spans="2:67" s="186" customFormat="1" ht="18.75" customHeight="1">
      <c r="B124" s="178"/>
      <c r="C124" s="375" t="s">
        <v>421</v>
      </c>
      <c r="D124" s="375"/>
      <c r="E124" s="375"/>
      <c r="F124" s="375"/>
      <c r="G124" s="375"/>
      <c r="H124" s="375"/>
      <c r="I124" s="180"/>
      <c r="J124" s="180"/>
      <c r="K124" s="180"/>
      <c r="L124" s="180"/>
      <c r="M124" s="180"/>
      <c r="N124" s="180"/>
      <c r="O124" s="178"/>
      <c r="P124" s="375" t="e">
        <f ca="1">-H60*10^6</f>
        <v>#N/A</v>
      </c>
      <c r="Q124" s="375"/>
      <c r="R124" s="375"/>
      <c r="S124" s="375" t="s">
        <v>298</v>
      </c>
      <c r="T124" s="375"/>
      <c r="U124" s="375"/>
      <c r="V124" s="375"/>
      <c r="W124" s="370" t="s">
        <v>324</v>
      </c>
      <c r="X124" s="389">
        <f>Calcu!N37</f>
        <v>0</v>
      </c>
      <c r="Y124" s="389"/>
      <c r="Z124" s="389"/>
      <c r="AA124" s="375" t="s">
        <v>309</v>
      </c>
      <c r="AB124" s="375"/>
      <c r="AC124" s="370" t="s">
        <v>325</v>
      </c>
      <c r="AD124" s="376" t="e">
        <f ca="1">P124*10^-6*X124</f>
        <v>#N/A</v>
      </c>
      <c r="AE124" s="376"/>
      <c r="AF124" s="376"/>
      <c r="AG124" s="375" t="s">
        <v>194</v>
      </c>
      <c r="AH124" s="375"/>
      <c r="AI124" s="375"/>
      <c r="AJ124" s="375"/>
      <c r="AK124" s="375"/>
      <c r="AL124" s="375"/>
      <c r="AM124" s="375"/>
      <c r="AN124" s="194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0"/>
      <c r="AZ124" s="180"/>
      <c r="BA124" s="180"/>
      <c r="BB124" s="180"/>
      <c r="BC124" s="178"/>
      <c r="BD124" s="178"/>
      <c r="BE124" s="178"/>
      <c r="BF124" s="178"/>
      <c r="BG124" s="178"/>
      <c r="BH124" s="178"/>
    </row>
    <row r="125" spans="2:67" s="186" customFormat="1" ht="18.75" customHeight="1">
      <c r="B125" s="178"/>
      <c r="C125" s="375"/>
      <c r="D125" s="375"/>
      <c r="E125" s="375"/>
      <c r="F125" s="375"/>
      <c r="G125" s="375"/>
      <c r="H125" s="375"/>
      <c r="I125" s="180"/>
      <c r="J125" s="180"/>
      <c r="K125" s="180"/>
      <c r="L125" s="180"/>
      <c r="M125" s="180"/>
      <c r="N125" s="180"/>
      <c r="O125" s="178"/>
      <c r="P125" s="375"/>
      <c r="Q125" s="375"/>
      <c r="R125" s="375"/>
      <c r="S125" s="375"/>
      <c r="T125" s="375"/>
      <c r="U125" s="375"/>
      <c r="V125" s="375"/>
      <c r="W125" s="370"/>
      <c r="X125" s="389"/>
      <c r="Y125" s="389"/>
      <c r="Z125" s="389"/>
      <c r="AA125" s="375"/>
      <c r="AB125" s="375"/>
      <c r="AC125" s="370"/>
      <c r="AD125" s="376"/>
      <c r="AE125" s="376"/>
      <c r="AF125" s="376"/>
      <c r="AG125" s="375"/>
      <c r="AH125" s="375"/>
      <c r="AI125" s="375"/>
      <c r="AJ125" s="375"/>
      <c r="AK125" s="375"/>
      <c r="AL125" s="375"/>
      <c r="AM125" s="375"/>
      <c r="AN125" s="194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0"/>
      <c r="AZ125" s="180"/>
      <c r="BA125" s="180"/>
      <c r="BB125" s="180"/>
      <c r="BC125" s="178"/>
      <c r="BD125" s="178"/>
      <c r="BE125" s="178"/>
      <c r="BF125" s="178"/>
      <c r="BG125" s="178"/>
      <c r="BH125" s="178"/>
    </row>
    <row r="126" spans="2:67" s="186" customFormat="1" ht="18.75" customHeight="1">
      <c r="B126" s="178"/>
      <c r="C126" s="180" t="s">
        <v>422</v>
      </c>
      <c r="D126" s="180"/>
      <c r="E126" s="180"/>
      <c r="F126" s="180"/>
      <c r="G126" s="180"/>
      <c r="H126" s="180"/>
      <c r="I126" s="180"/>
      <c r="J126" s="178"/>
      <c r="K126" s="57" t="s">
        <v>326</v>
      </c>
      <c r="L126" s="376" t="e">
        <f ca="1">AD124</f>
        <v>#N/A</v>
      </c>
      <c r="M126" s="376"/>
      <c r="N126" s="376"/>
      <c r="O126" s="190" t="s">
        <v>194</v>
      </c>
      <c r="P126" s="178"/>
      <c r="Q126" s="178"/>
      <c r="R126" s="178" t="s">
        <v>327</v>
      </c>
      <c r="S126" s="377">
        <f>S121</f>
        <v>0.28867513459481292</v>
      </c>
      <c r="T126" s="377"/>
      <c r="U126" s="377"/>
      <c r="V126" s="377"/>
      <c r="W126" s="57" t="s">
        <v>312</v>
      </c>
      <c r="X126" s="178" t="s">
        <v>289</v>
      </c>
      <c r="Y126" s="378" t="e">
        <f ca="1">ABS(L126*S126)</f>
        <v>#N/A</v>
      </c>
      <c r="Z126" s="378"/>
      <c r="AA126" s="378"/>
      <c r="AB126" s="183" t="s">
        <v>147</v>
      </c>
      <c r="AC126" s="183"/>
      <c r="AD126" s="178"/>
      <c r="AE126" s="178"/>
      <c r="AF126" s="194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95"/>
      <c r="AQ126" s="195"/>
      <c r="AR126" s="195"/>
      <c r="AS126" s="180"/>
      <c r="AT126" s="180"/>
      <c r="AU126" s="180"/>
      <c r="AV126" s="196"/>
      <c r="AW126" s="196"/>
      <c r="AX126" s="196"/>
      <c r="AY126" s="196"/>
      <c r="AZ126" s="196"/>
      <c r="BA126" s="196"/>
      <c r="BB126" s="178"/>
      <c r="BC126" s="178"/>
      <c r="BD126" s="178"/>
      <c r="BE126" s="178"/>
      <c r="BF126" s="178"/>
      <c r="BG126" s="178"/>
    </row>
    <row r="127" spans="2:67" s="186" customFormat="1" ht="18.75" customHeight="1">
      <c r="B127" s="178"/>
      <c r="C127" s="375" t="s">
        <v>423</v>
      </c>
      <c r="D127" s="375"/>
      <c r="E127" s="375"/>
      <c r="F127" s="375"/>
      <c r="G127" s="375"/>
      <c r="H127" s="248"/>
      <c r="J127" s="248"/>
      <c r="K127" s="248"/>
      <c r="L127" s="248"/>
      <c r="M127" s="248"/>
      <c r="N127" s="248"/>
      <c r="O127" s="248"/>
      <c r="P127" s="248"/>
      <c r="Q127" s="248"/>
      <c r="R127" s="190"/>
      <c r="S127" s="248"/>
      <c r="T127" s="248"/>
      <c r="U127" s="248"/>
      <c r="W127" s="57" t="s">
        <v>431</v>
      </c>
      <c r="X127" s="248"/>
      <c r="Y127" s="248"/>
      <c r="Z127" s="248"/>
      <c r="AA127" s="248"/>
      <c r="AB127" s="180"/>
      <c r="AC127" s="180"/>
      <c r="AD127" s="180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  <c r="AS127" s="178"/>
      <c r="AT127" s="178"/>
      <c r="AU127" s="180"/>
      <c r="AV127" s="178"/>
      <c r="AW127" s="178"/>
      <c r="AX127" s="178"/>
      <c r="AY127" s="178"/>
      <c r="AZ127" s="178"/>
      <c r="BA127" s="178"/>
      <c r="BB127" s="178"/>
      <c r="BC127" s="178"/>
      <c r="BD127" s="178"/>
      <c r="BE127" s="178"/>
      <c r="BF127" s="178"/>
      <c r="BG127" s="178"/>
    </row>
    <row r="128" spans="2:67" s="186" customFormat="1" ht="18.75" customHeight="1">
      <c r="B128" s="178"/>
      <c r="C128" s="375"/>
      <c r="D128" s="375"/>
      <c r="E128" s="375"/>
      <c r="F128" s="375"/>
      <c r="G128" s="375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190"/>
      <c r="S128" s="248"/>
      <c r="T128" s="248"/>
      <c r="U128" s="248"/>
      <c r="V128" s="248"/>
      <c r="W128" s="248"/>
      <c r="X128" s="248"/>
      <c r="Y128" s="248"/>
      <c r="Z128" s="248"/>
      <c r="AA128" s="248"/>
      <c r="AB128" s="180"/>
      <c r="AC128" s="178"/>
      <c r="AD128" s="178"/>
      <c r="AE128" s="178"/>
      <c r="AF128" s="178"/>
      <c r="AG128" s="178"/>
      <c r="AH128" s="178"/>
      <c r="AI128" s="178"/>
      <c r="AJ128" s="178"/>
      <c r="AK128" s="178"/>
      <c r="AL128" s="178"/>
      <c r="AM128" s="178"/>
      <c r="AN128" s="178"/>
      <c r="AO128" s="178"/>
      <c r="AP128" s="178"/>
      <c r="AQ128" s="178"/>
      <c r="AR128" s="178"/>
      <c r="AS128" s="178"/>
      <c r="AT128" s="178"/>
      <c r="AU128" s="178"/>
      <c r="AV128" s="178"/>
      <c r="AW128" s="178"/>
      <c r="AX128" s="178"/>
      <c r="AY128" s="178"/>
      <c r="AZ128" s="178"/>
      <c r="BA128" s="178"/>
      <c r="BB128" s="178"/>
      <c r="BC128" s="178"/>
      <c r="BD128" s="178"/>
      <c r="BE128" s="178"/>
      <c r="BF128" s="178"/>
      <c r="BG128" s="178"/>
    </row>
    <row r="129" spans="2:76" s="186" customFormat="1" ht="18.75" customHeight="1">
      <c r="B129" s="178"/>
      <c r="C129" s="180"/>
      <c r="D129" s="180"/>
      <c r="E129" s="180"/>
      <c r="F129" s="180"/>
      <c r="G129" s="178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78"/>
      <c r="AB129" s="178"/>
      <c r="AC129" s="178"/>
      <c r="AD129" s="178"/>
      <c r="AE129" s="178"/>
      <c r="AF129" s="178"/>
      <c r="AG129" s="178"/>
      <c r="AH129" s="178"/>
      <c r="AI129" s="178"/>
      <c r="AJ129" s="178"/>
      <c r="AK129" s="178"/>
      <c r="AL129" s="178"/>
      <c r="AM129" s="178"/>
      <c r="AN129" s="178"/>
      <c r="AO129" s="178"/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178"/>
      <c r="BA129" s="178"/>
      <c r="BB129" s="178"/>
      <c r="BC129" s="178"/>
      <c r="BD129" s="178"/>
      <c r="BE129" s="178"/>
      <c r="BF129" s="178"/>
      <c r="BG129" s="178"/>
    </row>
    <row r="130" spans="2:76" s="186" customFormat="1" ht="18.75" customHeight="1">
      <c r="B130" s="58" t="s">
        <v>437</v>
      </c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0"/>
      <c r="AZ130" s="180"/>
      <c r="BA130" s="180"/>
      <c r="BB130" s="178"/>
      <c r="BC130" s="178"/>
      <c r="BD130" s="178"/>
      <c r="BE130" s="178"/>
      <c r="BF130" s="178"/>
      <c r="BG130" s="178"/>
    </row>
    <row r="131" spans="2:76" s="186" customFormat="1" ht="18.75" customHeight="1">
      <c r="B131" s="58"/>
      <c r="C131" s="180" t="s">
        <v>394</v>
      </c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78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78"/>
      <c r="AE131" s="178"/>
      <c r="AF131" s="178"/>
      <c r="AG131" s="178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250"/>
      <c r="AS131" s="250"/>
      <c r="AT131" s="250"/>
      <c r="AU131" s="250"/>
      <c r="AV131" s="250"/>
      <c r="AW131" s="250"/>
      <c r="AX131" s="250"/>
      <c r="AY131" s="250"/>
      <c r="AZ131" s="250"/>
      <c r="BA131" s="250"/>
      <c r="BB131" s="251"/>
      <c r="BC131" s="251"/>
      <c r="BD131" s="251"/>
      <c r="BE131" s="251"/>
      <c r="BF131" s="251"/>
      <c r="BG131" s="251"/>
    </row>
    <row r="132" spans="2:76" s="186" customFormat="1" ht="18.75" customHeight="1">
      <c r="B132" s="178"/>
      <c r="C132" s="183" t="s">
        <v>424</v>
      </c>
      <c r="D132" s="178"/>
      <c r="E132" s="178"/>
      <c r="F132" s="178"/>
      <c r="G132" s="178"/>
      <c r="H132" s="391" t="e">
        <f ca="1">H62*10^6</f>
        <v>#N/A</v>
      </c>
      <c r="I132" s="391"/>
      <c r="J132" s="391"/>
      <c r="K132" s="181" t="s">
        <v>316</v>
      </c>
      <c r="L132" s="181"/>
      <c r="M132" s="181"/>
      <c r="N132" s="181"/>
      <c r="O132" s="181"/>
      <c r="P132" s="181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78"/>
      <c r="AU132" s="178"/>
      <c r="AV132" s="178"/>
      <c r="AW132" s="178"/>
      <c r="AX132" s="178"/>
      <c r="AY132" s="178"/>
      <c r="AZ132" s="178"/>
      <c r="BA132" s="178"/>
      <c r="BB132" s="178"/>
      <c r="BC132" s="178"/>
      <c r="BD132" s="178"/>
      <c r="BE132" s="178"/>
      <c r="BF132" s="178"/>
      <c r="BG132" s="178"/>
    </row>
    <row r="133" spans="2:76" s="186" customFormat="1" ht="18.75" customHeight="1">
      <c r="B133" s="178"/>
      <c r="C133" s="180" t="s">
        <v>425</v>
      </c>
      <c r="D133" s="180"/>
      <c r="E133" s="180"/>
      <c r="F133" s="180"/>
      <c r="G133" s="180"/>
      <c r="H133" s="180"/>
      <c r="I133" s="178"/>
      <c r="J133" s="180" t="s">
        <v>318</v>
      </c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78"/>
      <c r="V133" s="178"/>
      <c r="W133" s="6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78"/>
      <c r="AM133" s="178"/>
      <c r="AN133" s="178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59"/>
      <c r="BI133" s="59"/>
      <c r="BJ133" s="59"/>
      <c r="BK133" s="59"/>
      <c r="BL133" s="59"/>
      <c r="BM133" s="59"/>
    </row>
    <row r="134" spans="2:76" s="186" customFormat="1" ht="18.75" customHeight="1">
      <c r="B134" s="178"/>
      <c r="C134" s="180"/>
      <c r="D134" s="180"/>
      <c r="E134" s="180"/>
      <c r="F134" s="180"/>
      <c r="G134" s="180"/>
      <c r="H134" s="180"/>
      <c r="I134" s="178"/>
      <c r="J134" s="180" t="s">
        <v>319</v>
      </c>
      <c r="K134" s="180"/>
      <c r="L134" s="180"/>
      <c r="M134" s="180"/>
      <c r="N134" s="180"/>
      <c r="O134" s="180"/>
      <c r="P134" s="180"/>
      <c r="Q134" s="180"/>
      <c r="R134" s="180"/>
      <c r="S134" s="180"/>
      <c r="T134" s="178"/>
      <c r="U134" s="180"/>
      <c r="V134" s="60"/>
      <c r="W134" s="180"/>
      <c r="X134" s="180"/>
      <c r="Y134" s="180"/>
      <c r="Z134" s="180"/>
      <c r="AA134" s="180"/>
      <c r="AB134" s="180"/>
      <c r="AC134" s="180"/>
      <c r="AD134" s="178"/>
      <c r="AE134" s="180"/>
      <c r="AF134" s="180"/>
      <c r="AG134" s="180"/>
      <c r="AH134" s="180"/>
      <c r="AI134" s="180"/>
      <c r="AJ134" s="180"/>
      <c r="AK134" s="178"/>
      <c r="AL134" s="178"/>
      <c r="AM134" s="178"/>
      <c r="AN134" s="178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0"/>
      <c r="BC134" s="180"/>
      <c r="BD134" s="180"/>
      <c r="BE134" s="180"/>
      <c r="BF134" s="180"/>
      <c r="BG134" s="180"/>
      <c r="BH134" s="59"/>
      <c r="BI134" s="59"/>
      <c r="BJ134" s="59"/>
      <c r="BK134" s="59"/>
      <c r="BL134" s="59"/>
      <c r="BM134" s="59"/>
      <c r="BN134" s="59"/>
    </row>
    <row r="135" spans="2:76" s="186" customFormat="1" ht="18.75" customHeight="1">
      <c r="B135" s="178"/>
      <c r="C135" s="180"/>
      <c r="D135" s="180"/>
      <c r="E135" s="180"/>
      <c r="F135" s="180"/>
      <c r="G135" s="180"/>
      <c r="H135" s="256"/>
      <c r="I135" s="180"/>
      <c r="J135" s="178"/>
      <c r="K135" s="183" t="s">
        <v>320</v>
      </c>
      <c r="L135" s="183"/>
      <c r="M135" s="183"/>
      <c r="N135" s="183"/>
      <c r="O135" s="183"/>
      <c r="P135" s="183"/>
      <c r="Q135" s="183"/>
      <c r="R135" s="183"/>
      <c r="S135" s="183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9"/>
      <c r="AH135" s="180"/>
      <c r="AI135" s="180"/>
      <c r="AJ135" s="180"/>
      <c r="AK135" s="180"/>
      <c r="AL135" s="178"/>
      <c r="AM135" s="178"/>
      <c r="AN135" s="178"/>
      <c r="AO135" s="178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59"/>
      <c r="BJ135" s="59"/>
      <c r="BK135" s="59"/>
      <c r="BL135" s="59"/>
      <c r="BM135" s="59"/>
      <c r="BN135" s="59"/>
      <c r="BO135" s="59"/>
    </row>
    <row r="136" spans="2:76" s="186" customFormat="1" ht="18.75" customHeight="1">
      <c r="B136" s="178"/>
      <c r="C136" s="180"/>
      <c r="D136" s="180"/>
      <c r="E136" s="180"/>
      <c r="F136" s="180"/>
      <c r="G136" s="180"/>
      <c r="H136" s="256"/>
      <c r="I136" s="180"/>
      <c r="J136" s="178"/>
      <c r="K136" s="178"/>
      <c r="L136" s="114"/>
      <c r="M136" s="114"/>
      <c r="N136" s="178"/>
      <c r="O136" s="178"/>
      <c r="P136" s="178"/>
      <c r="Q136" s="178"/>
      <c r="R136" s="178"/>
      <c r="S136" s="178"/>
      <c r="T136" s="379"/>
      <c r="U136" s="379"/>
      <c r="V136" s="379"/>
      <c r="W136" s="379"/>
      <c r="X136" s="379"/>
      <c r="Y136" s="379"/>
      <c r="Z136" s="178"/>
      <c r="AA136" s="180"/>
      <c r="AB136" s="189"/>
      <c r="AC136" s="189"/>
      <c r="AD136" s="189"/>
      <c r="AE136" s="189"/>
      <c r="AF136" s="189"/>
      <c r="AG136" s="178"/>
      <c r="AH136" s="189"/>
      <c r="AI136" s="189"/>
      <c r="AJ136" s="189"/>
      <c r="AK136" s="189"/>
      <c r="AL136" s="178"/>
      <c r="AM136" s="190"/>
      <c r="AN136" s="190"/>
      <c r="AO136" s="190"/>
      <c r="AP136" s="19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59"/>
      <c r="BJ136" s="59"/>
      <c r="BK136" s="59"/>
      <c r="BL136" s="59"/>
      <c r="BM136" s="59"/>
    </row>
    <row r="137" spans="2:76" s="186" customFormat="1" ht="18.75" customHeight="1">
      <c r="B137" s="178"/>
      <c r="C137" s="180" t="s">
        <v>426</v>
      </c>
      <c r="D137" s="180"/>
      <c r="E137" s="180"/>
      <c r="F137" s="180"/>
      <c r="G137" s="180"/>
      <c r="H137" s="180"/>
      <c r="I137" s="379" t="str">
        <f>V62</f>
        <v>삼각형</v>
      </c>
      <c r="J137" s="379"/>
      <c r="K137" s="379"/>
      <c r="L137" s="379"/>
      <c r="M137" s="379"/>
      <c r="N137" s="379"/>
      <c r="O137" s="379"/>
      <c r="P137" s="379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78"/>
      <c r="AB137" s="178"/>
      <c r="AC137" s="178"/>
      <c r="AD137" s="178"/>
      <c r="AE137" s="178"/>
      <c r="AF137" s="115"/>
      <c r="AG137" s="178"/>
      <c r="AH137" s="178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59"/>
      <c r="BI137" s="59"/>
      <c r="BJ137" s="59"/>
      <c r="BK137" s="59"/>
      <c r="BL137" s="59"/>
      <c r="BM137" s="59"/>
      <c r="BN137" s="59"/>
    </row>
    <row r="138" spans="2:76" s="186" customFormat="1" ht="18.75" customHeight="1">
      <c r="B138" s="178"/>
      <c r="C138" s="375" t="s">
        <v>427</v>
      </c>
      <c r="D138" s="375"/>
      <c r="E138" s="375"/>
      <c r="F138" s="375"/>
      <c r="G138" s="375"/>
      <c r="H138" s="375"/>
      <c r="I138" s="180"/>
      <c r="J138" s="178"/>
      <c r="K138" s="180"/>
      <c r="L138" s="180"/>
      <c r="M138" s="180"/>
      <c r="N138" s="180"/>
      <c r="O138" s="180"/>
      <c r="P138" s="180"/>
      <c r="Q138" s="386" t="e">
        <f>-H63</f>
        <v>#VALUE!</v>
      </c>
      <c r="R138" s="386"/>
      <c r="S138" s="375" t="s">
        <v>321</v>
      </c>
      <c r="T138" s="375"/>
      <c r="U138" s="389">
        <f>Calcu!N38</f>
        <v>0</v>
      </c>
      <c r="V138" s="389"/>
      <c r="W138" s="389"/>
      <c r="X138" s="375" t="s">
        <v>308</v>
      </c>
      <c r="Y138" s="375"/>
      <c r="Z138" s="370" t="s">
        <v>322</v>
      </c>
      <c r="AA138" s="376" t="e">
        <f>Q138*U138</f>
        <v>#VALUE!</v>
      </c>
      <c r="AB138" s="376"/>
      <c r="AC138" s="376"/>
      <c r="AD138" s="376"/>
      <c r="AE138" s="375" t="s">
        <v>150</v>
      </c>
      <c r="AF138" s="375"/>
      <c r="AG138" s="375"/>
      <c r="AH138" s="375"/>
      <c r="AI138" s="375"/>
      <c r="AJ138" s="375"/>
      <c r="AK138" s="375"/>
      <c r="AL138" s="180"/>
      <c r="AM138" s="178"/>
      <c r="AN138" s="178"/>
      <c r="AO138" s="178"/>
      <c r="AP138" s="178"/>
      <c r="AQ138" s="178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80"/>
      <c r="BB138" s="180"/>
      <c r="BC138" s="180"/>
      <c r="BD138" s="180"/>
      <c r="BE138" s="180"/>
      <c r="BF138" s="180"/>
      <c r="BG138" s="180"/>
      <c r="BH138" s="59"/>
      <c r="BI138" s="59"/>
      <c r="BJ138" s="59"/>
      <c r="BK138" s="59"/>
      <c r="BL138" s="59"/>
      <c r="BM138" s="59"/>
      <c r="BN138" s="59"/>
    </row>
    <row r="139" spans="2:76" s="186" customFormat="1" ht="18.75" customHeight="1">
      <c r="B139" s="178"/>
      <c r="C139" s="375"/>
      <c r="D139" s="375"/>
      <c r="E139" s="375"/>
      <c r="F139" s="375"/>
      <c r="G139" s="375"/>
      <c r="H139" s="375"/>
      <c r="I139" s="180"/>
      <c r="J139" s="180"/>
      <c r="K139" s="180"/>
      <c r="L139" s="180"/>
      <c r="M139" s="180"/>
      <c r="N139" s="180"/>
      <c r="O139" s="180"/>
      <c r="P139" s="178"/>
      <c r="Q139" s="386"/>
      <c r="R139" s="386"/>
      <c r="S139" s="375"/>
      <c r="T139" s="375"/>
      <c r="U139" s="389"/>
      <c r="V139" s="389"/>
      <c r="W139" s="389"/>
      <c r="X139" s="375"/>
      <c r="Y139" s="375"/>
      <c r="Z139" s="370"/>
      <c r="AA139" s="376"/>
      <c r="AB139" s="376"/>
      <c r="AC139" s="376"/>
      <c r="AD139" s="376"/>
      <c r="AE139" s="375"/>
      <c r="AF139" s="375"/>
      <c r="AG139" s="375"/>
      <c r="AH139" s="375"/>
      <c r="AI139" s="375"/>
      <c r="AJ139" s="375"/>
      <c r="AK139" s="375"/>
      <c r="AL139" s="180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78"/>
      <c r="AX139" s="178"/>
      <c r="AY139" s="178"/>
      <c r="AZ139" s="178"/>
      <c r="BA139" s="180"/>
      <c r="BB139" s="180"/>
      <c r="BC139" s="180"/>
      <c r="BD139" s="180"/>
      <c r="BE139" s="180"/>
      <c r="BF139" s="180"/>
      <c r="BG139" s="180"/>
      <c r="BH139" s="59"/>
      <c r="BI139" s="59"/>
      <c r="BJ139" s="59"/>
    </row>
    <row r="140" spans="2:76" s="186" customFormat="1" ht="18.75" customHeight="1">
      <c r="B140" s="178"/>
      <c r="C140" s="180" t="s">
        <v>428</v>
      </c>
      <c r="D140" s="180"/>
      <c r="E140" s="180"/>
      <c r="F140" s="180"/>
      <c r="G140" s="180"/>
      <c r="H140" s="180"/>
      <c r="I140" s="180"/>
      <c r="J140" s="178"/>
      <c r="K140" s="57" t="s">
        <v>314</v>
      </c>
      <c r="L140" s="376" t="e">
        <f>AA138</f>
        <v>#VALUE!</v>
      </c>
      <c r="M140" s="376"/>
      <c r="N140" s="376"/>
      <c r="O140" s="376"/>
      <c r="P140" s="190" t="s">
        <v>323</v>
      </c>
      <c r="Q140" s="178"/>
      <c r="R140" s="178"/>
      <c r="S140" s="178"/>
      <c r="T140" s="178"/>
      <c r="U140" s="178"/>
      <c r="V140" s="178"/>
      <c r="W140" s="178"/>
      <c r="X140" s="178"/>
      <c r="Y140" s="57" t="s">
        <v>312</v>
      </c>
      <c r="Z140" s="178" t="s">
        <v>322</v>
      </c>
      <c r="AA140" s="378" t="e">
        <f>ABS(L140*O62)</f>
        <v>#VALUE!</v>
      </c>
      <c r="AB140" s="378"/>
      <c r="AC140" s="378"/>
      <c r="AD140" s="183" t="s">
        <v>147</v>
      </c>
      <c r="AE140" s="183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90"/>
      <c r="AT140" s="180"/>
      <c r="AU140" s="180"/>
      <c r="AV140" s="180"/>
      <c r="AW140" s="191"/>
      <c r="AX140" s="190"/>
      <c r="AY140" s="180"/>
      <c r="AZ140" s="180"/>
      <c r="BA140" s="180"/>
      <c r="BB140" s="180"/>
      <c r="BC140" s="180"/>
      <c r="BD140" s="180"/>
      <c r="BE140" s="178"/>
      <c r="BF140" s="180"/>
      <c r="BG140" s="180"/>
      <c r="BH140" s="59"/>
      <c r="BI140" s="59"/>
      <c r="BJ140" s="59"/>
    </row>
    <row r="141" spans="2:76" s="186" customFormat="1" ht="18.75" customHeight="1">
      <c r="B141" s="178"/>
      <c r="C141" s="246" t="s">
        <v>429</v>
      </c>
      <c r="D141" s="246"/>
      <c r="E141" s="246"/>
      <c r="F141" s="246"/>
      <c r="G141" s="246"/>
      <c r="H141" s="246" t="s">
        <v>430</v>
      </c>
      <c r="I141" s="246"/>
      <c r="J141" s="246"/>
      <c r="K141" s="246"/>
      <c r="L141" s="246"/>
      <c r="M141" s="246"/>
      <c r="N141" s="246"/>
      <c r="O141" s="246"/>
      <c r="P141" s="246"/>
      <c r="Q141" s="246"/>
      <c r="R141" s="190"/>
      <c r="S141" s="246"/>
      <c r="T141" s="246"/>
      <c r="U141" s="246"/>
      <c r="V141" s="57"/>
      <c r="W141" s="246"/>
      <c r="X141" s="246"/>
      <c r="Y141" s="246"/>
      <c r="Z141" s="246"/>
      <c r="AA141" s="246"/>
      <c r="AB141" s="246"/>
      <c r="AC141" s="246"/>
      <c r="AD141" s="246"/>
      <c r="AE141" s="245"/>
      <c r="AF141" s="245"/>
      <c r="AG141" s="245"/>
      <c r="AH141" s="245"/>
      <c r="AI141" s="245"/>
      <c r="AJ141" s="245"/>
      <c r="AK141" s="245"/>
      <c r="AL141" s="245"/>
      <c r="AM141" s="245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78"/>
      <c r="AX141" s="178"/>
      <c r="AY141" s="178"/>
      <c r="AZ141" s="178"/>
      <c r="BA141" s="178"/>
      <c r="BB141" s="178"/>
      <c r="BC141" s="178"/>
      <c r="BD141" s="178"/>
      <c r="BE141" s="178"/>
      <c r="BF141" s="178"/>
      <c r="BG141" s="178"/>
      <c r="BO141" s="192"/>
      <c r="BP141" s="192"/>
      <c r="BQ141" s="192"/>
      <c r="BR141" s="192"/>
      <c r="BS141" s="192"/>
      <c r="BT141" s="192"/>
      <c r="BU141" s="192"/>
      <c r="BV141" s="193"/>
      <c r="BW141" s="193"/>
      <c r="BX141" s="193"/>
    </row>
    <row r="142" spans="2:76" s="186" customFormat="1" ht="18.75" customHeight="1">
      <c r="B142" s="178"/>
      <c r="C142" s="246"/>
      <c r="D142" s="246"/>
      <c r="E142" s="246"/>
      <c r="F142" s="246"/>
      <c r="G142" s="246"/>
      <c r="H142" s="114"/>
      <c r="I142" s="246"/>
      <c r="J142" s="246"/>
      <c r="K142" s="246"/>
      <c r="L142" s="246"/>
      <c r="M142" s="246"/>
      <c r="N142" s="246"/>
      <c r="O142" s="246"/>
      <c r="P142" s="246"/>
      <c r="Q142" s="246"/>
      <c r="R142" s="190"/>
      <c r="S142" s="246"/>
      <c r="T142" s="246"/>
      <c r="U142" s="246"/>
      <c r="V142" s="57"/>
      <c r="W142" s="246"/>
      <c r="X142" s="246"/>
      <c r="Y142" s="246"/>
      <c r="Z142" s="246"/>
      <c r="AA142" s="246"/>
      <c r="AB142" s="246"/>
      <c r="AC142" s="246"/>
      <c r="AD142" s="246"/>
      <c r="AE142" s="245"/>
      <c r="AF142" s="245"/>
      <c r="AG142" s="245"/>
      <c r="AH142" s="245"/>
      <c r="AI142" s="245"/>
      <c r="AJ142" s="245"/>
      <c r="AK142" s="245"/>
      <c r="AL142" s="245"/>
      <c r="AM142" s="245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/>
      <c r="AZ142" s="178"/>
      <c r="BA142" s="178"/>
      <c r="BB142" s="178"/>
      <c r="BC142" s="178"/>
      <c r="BD142" s="178"/>
      <c r="BE142" s="178"/>
      <c r="BF142" s="178"/>
      <c r="BG142" s="178"/>
    </row>
    <row r="143" spans="2:76" s="186" customFormat="1" ht="18.75" customHeight="1">
      <c r="B143" s="245"/>
      <c r="C143" s="246"/>
      <c r="D143" s="246"/>
      <c r="E143" s="246"/>
      <c r="F143" s="246"/>
      <c r="G143" s="246"/>
      <c r="H143" s="114"/>
      <c r="I143" s="246"/>
      <c r="J143" s="246"/>
      <c r="K143" s="246"/>
      <c r="L143" s="246"/>
      <c r="M143" s="246"/>
      <c r="N143" s="246"/>
      <c r="O143" s="246"/>
      <c r="P143" s="246"/>
      <c r="Q143" s="246"/>
      <c r="R143" s="190"/>
      <c r="S143" s="246"/>
      <c r="T143" s="246"/>
      <c r="U143" s="246"/>
      <c r="V143" s="57"/>
      <c r="W143" s="246"/>
      <c r="X143" s="246"/>
      <c r="Y143" s="246"/>
      <c r="Z143" s="246"/>
      <c r="AA143" s="246"/>
      <c r="AB143" s="246"/>
      <c r="AC143" s="246"/>
      <c r="AD143" s="246"/>
      <c r="AE143" s="245"/>
      <c r="AF143" s="245"/>
      <c r="AG143" s="245"/>
      <c r="AH143" s="245"/>
      <c r="AI143" s="245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  <c r="BE143" s="245"/>
      <c r="BF143" s="245"/>
      <c r="BG143" s="245"/>
    </row>
    <row r="144" spans="2:76" s="186" customFormat="1" ht="18.75" customHeight="1">
      <c r="B144" s="245"/>
      <c r="C144" s="246"/>
      <c r="D144" s="246"/>
      <c r="E144" s="246"/>
      <c r="F144" s="246"/>
      <c r="G144" s="246"/>
      <c r="H144" s="114"/>
      <c r="I144" s="246"/>
      <c r="J144" s="246"/>
      <c r="K144" s="246"/>
      <c r="L144" s="246"/>
      <c r="M144" s="246"/>
      <c r="N144" s="246"/>
      <c r="O144" s="246"/>
      <c r="P144" s="246"/>
      <c r="Q144" s="246"/>
      <c r="R144" s="190"/>
      <c r="S144" s="246"/>
      <c r="T144" s="246"/>
      <c r="U144" s="246"/>
      <c r="V144" s="57"/>
      <c r="W144" s="246"/>
      <c r="X144" s="246"/>
      <c r="Y144" s="246"/>
      <c r="Z144" s="246"/>
      <c r="AA144" s="246"/>
      <c r="AB144" s="246"/>
      <c r="AC144" s="246"/>
      <c r="AD144" s="246"/>
      <c r="AE144" s="245"/>
      <c r="AF144" s="245"/>
      <c r="AG144" s="245"/>
      <c r="AH144" s="245"/>
      <c r="AI144" s="245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  <c r="BE144" s="245"/>
      <c r="BF144" s="245"/>
      <c r="BG144" s="245"/>
    </row>
    <row r="145" spans="2:74" s="186" customFormat="1" ht="18.75" customHeight="1">
      <c r="B145" s="245"/>
      <c r="C145" s="246"/>
      <c r="D145" s="246"/>
      <c r="E145" s="246"/>
      <c r="F145" s="246"/>
      <c r="G145" s="246"/>
      <c r="H145" s="114"/>
      <c r="I145" s="246"/>
      <c r="J145" s="246"/>
      <c r="K145" s="246"/>
      <c r="L145" s="246"/>
      <c r="M145" s="246"/>
      <c r="N145" s="246"/>
      <c r="O145" s="246"/>
      <c r="P145" s="246"/>
      <c r="Q145" s="246"/>
      <c r="R145" s="190"/>
      <c r="S145" s="246"/>
      <c r="T145" s="246"/>
      <c r="U145" s="246"/>
      <c r="V145" s="57"/>
      <c r="W145" s="246"/>
      <c r="X145" s="246"/>
      <c r="Y145" s="246"/>
      <c r="Z145" s="246"/>
      <c r="AA145" s="246"/>
      <c r="AB145" s="246"/>
      <c r="AC145" s="246"/>
      <c r="AD145" s="246"/>
      <c r="AE145" s="245"/>
      <c r="AF145" s="245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  <c r="AX145" s="245"/>
      <c r="AY145" s="245"/>
      <c r="AZ145" s="245"/>
      <c r="BA145" s="245"/>
      <c r="BB145" s="245"/>
      <c r="BC145" s="245"/>
      <c r="BD145" s="245"/>
      <c r="BE145" s="245"/>
      <c r="BF145" s="245"/>
      <c r="BG145" s="245"/>
    </row>
    <row r="146" spans="2:74" s="186" customFormat="1" ht="18.75" customHeight="1">
      <c r="B146" s="245"/>
      <c r="C146" s="246"/>
      <c r="D146" s="246"/>
      <c r="E146" s="246"/>
      <c r="F146" s="246"/>
      <c r="G146" s="246"/>
      <c r="H146" s="114"/>
      <c r="I146" s="246"/>
      <c r="J146" s="246"/>
      <c r="K146" s="246"/>
      <c r="L146" s="246"/>
      <c r="M146" s="246"/>
      <c r="N146" s="246"/>
      <c r="O146" s="246"/>
      <c r="P146" s="246"/>
      <c r="Q146" s="246"/>
      <c r="R146" s="190"/>
      <c r="S146" s="246"/>
      <c r="T146" s="246"/>
      <c r="U146" s="246"/>
      <c r="V146" s="57"/>
      <c r="W146" s="246"/>
      <c r="X146" s="246"/>
      <c r="Y146" s="246"/>
      <c r="Z146" s="246"/>
      <c r="AA146" s="246"/>
      <c r="AB146" s="246"/>
      <c r="AC146" s="246"/>
      <c r="AD146" s="246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  <c r="BE146" s="245"/>
      <c r="BF146" s="245"/>
      <c r="BG146" s="245"/>
    </row>
    <row r="147" spans="2:74" s="186" customFormat="1" ht="18.75" customHeight="1">
      <c r="B147" s="178"/>
      <c r="C147" s="180"/>
      <c r="D147" s="180"/>
      <c r="E147" s="180"/>
      <c r="F147" s="180"/>
      <c r="G147" s="178"/>
      <c r="H147" s="114"/>
      <c r="I147" s="180"/>
      <c r="J147" s="180"/>
      <c r="K147" s="180"/>
      <c r="L147" s="180"/>
      <c r="M147" s="180"/>
      <c r="N147" s="180"/>
      <c r="O147" s="180"/>
      <c r="P147" s="180"/>
      <c r="Q147" s="180"/>
      <c r="R147" s="19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78"/>
      <c r="AF147" s="178"/>
      <c r="AG147" s="178"/>
      <c r="AH147" s="178"/>
      <c r="AI147" s="178"/>
      <c r="AJ147" s="178"/>
      <c r="AK147" s="178"/>
      <c r="AL147" s="178"/>
      <c r="AM147" s="178"/>
      <c r="AN147" s="178"/>
      <c r="AO147" s="178"/>
      <c r="AP147" s="178"/>
      <c r="AQ147" s="178"/>
      <c r="AR147" s="178"/>
      <c r="AS147" s="178"/>
      <c r="AT147" s="178"/>
      <c r="AU147" s="178"/>
      <c r="AV147" s="178"/>
      <c r="AW147" s="178"/>
      <c r="AX147" s="178"/>
      <c r="AY147" s="178"/>
      <c r="AZ147" s="178"/>
      <c r="BA147" s="178"/>
      <c r="BB147" s="178"/>
      <c r="BC147" s="178"/>
      <c r="BD147" s="178"/>
      <c r="BE147" s="178"/>
      <c r="BF147" s="178"/>
      <c r="BG147" s="178"/>
    </row>
    <row r="148" spans="2:74" s="186" customFormat="1" ht="18.75" customHeight="1">
      <c r="B148" s="58" t="s">
        <v>438</v>
      </c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  <c r="AX148" s="180"/>
      <c r="AY148" s="180"/>
      <c r="AZ148" s="180"/>
      <c r="BA148" s="180"/>
      <c r="BB148" s="180"/>
      <c r="BC148" s="180"/>
      <c r="BD148" s="180"/>
      <c r="BE148" s="180"/>
      <c r="BF148" s="180"/>
      <c r="BG148" s="180"/>
      <c r="BH148" s="59"/>
      <c r="BI148" s="59"/>
      <c r="BJ148" s="59"/>
      <c r="BK148" s="59"/>
      <c r="BL148" s="59"/>
      <c r="BM148" s="59"/>
      <c r="BN148" s="59"/>
    </row>
    <row r="149" spans="2:74" s="186" customFormat="1" ht="18.75" customHeight="1">
      <c r="B149" s="58"/>
      <c r="C149" s="250" t="str">
        <f>"※ 측정실 공기중의 온도를 측정하였고, 측정에 사용된 온도계의 불확도가 "&amp;O152&amp;" ℃를 넘지 않으므로,"</f>
        <v>※ 측정실 공기중의 온도를 측정하였고, 측정에 사용된 온도계의 불확도가 1 ℃를 넘지 않으므로,</v>
      </c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250"/>
      <c r="AB149" s="250"/>
      <c r="AC149" s="250"/>
      <c r="AD149" s="250"/>
      <c r="AE149" s="250"/>
      <c r="AF149" s="250"/>
      <c r="AG149" s="250"/>
      <c r="AH149" s="250"/>
      <c r="AI149" s="250"/>
      <c r="AJ149" s="250"/>
      <c r="AK149" s="250"/>
      <c r="AL149" s="250"/>
      <c r="AM149" s="250"/>
      <c r="AN149" s="250"/>
      <c r="AO149" s="250"/>
      <c r="AP149" s="250"/>
      <c r="AQ149" s="250"/>
      <c r="AR149" s="250"/>
      <c r="AS149" s="250"/>
      <c r="AT149" s="250"/>
      <c r="AU149" s="250"/>
      <c r="AV149" s="250"/>
      <c r="AW149" s="250"/>
      <c r="AX149" s="250"/>
      <c r="AY149" s="250"/>
      <c r="AZ149" s="250"/>
      <c r="BA149" s="250"/>
      <c r="BB149" s="250"/>
      <c r="BC149" s="250"/>
      <c r="BD149" s="250"/>
      <c r="BE149" s="250"/>
      <c r="BF149" s="250"/>
      <c r="BG149" s="250"/>
      <c r="BH149" s="59"/>
      <c r="BI149" s="59"/>
      <c r="BJ149" s="59"/>
      <c r="BK149" s="59"/>
      <c r="BL149" s="59"/>
      <c r="BM149" s="59"/>
      <c r="BN149" s="59"/>
    </row>
    <row r="150" spans="2:74" s="186" customFormat="1" ht="18.75" customHeight="1">
      <c r="B150" s="58"/>
      <c r="C150" s="250"/>
      <c r="D150" s="250" t="s">
        <v>450</v>
      </c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250"/>
      <c r="AB150" s="250"/>
      <c r="AC150" s="250"/>
      <c r="AD150" s="250"/>
      <c r="AE150" s="250"/>
      <c r="AF150" s="250"/>
      <c r="AG150" s="250"/>
      <c r="AH150" s="250"/>
      <c r="AI150" s="250"/>
      <c r="AJ150" s="250"/>
      <c r="AK150" s="250"/>
      <c r="AL150" s="250"/>
      <c r="AM150" s="250"/>
      <c r="AN150" s="250"/>
      <c r="AO150" s="250"/>
      <c r="AP150" s="250"/>
      <c r="AQ150" s="250"/>
      <c r="AR150" s="250"/>
      <c r="AS150" s="250"/>
      <c r="AT150" s="250"/>
      <c r="AU150" s="250"/>
      <c r="AV150" s="250"/>
      <c r="AW150" s="250"/>
      <c r="AX150" s="250"/>
      <c r="AY150" s="250"/>
      <c r="AZ150" s="250"/>
      <c r="BA150" s="250"/>
      <c r="BB150" s="250"/>
      <c r="BC150" s="250"/>
      <c r="BD150" s="250"/>
      <c r="BE150" s="250"/>
      <c r="BF150" s="250"/>
      <c r="BG150" s="250"/>
      <c r="BH150" s="59"/>
      <c r="BI150" s="59"/>
      <c r="BJ150" s="59"/>
      <c r="BK150" s="59"/>
      <c r="BL150" s="59"/>
      <c r="BM150" s="59"/>
      <c r="BN150" s="59"/>
    </row>
    <row r="151" spans="2:74" s="186" customFormat="1" ht="18.75" customHeight="1">
      <c r="B151" s="178"/>
      <c r="C151" s="183" t="s">
        <v>328</v>
      </c>
      <c r="D151" s="178"/>
      <c r="E151" s="178"/>
      <c r="F151" s="178"/>
      <c r="G151" s="178"/>
      <c r="H151" s="390" t="str">
        <f>H63</f>
        <v/>
      </c>
      <c r="I151" s="390"/>
      <c r="J151" s="390"/>
      <c r="K151" s="390"/>
      <c r="L151" s="390"/>
      <c r="M151" s="390"/>
      <c r="N151" s="390"/>
      <c r="O151" s="390"/>
      <c r="P151" s="181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0"/>
      <c r="AZ151" s="180"/>
      <c r="BA151" s="180"/>
      <c r="BB151" s="180"/>
      <c r="BC151" s="180"/>
      <c r="BD151" s="180"/>
      <c r="BE151" s="180"/>
      <c r="BF151" s="180"/>
      <c r="BG151" s="180"/>
      <c r="BH151" s="59"/>
      <c r="BI151" s="59"/>
      <c r="BJ151" s="59"/>
      <c r="BK151" s="59"/>
      <c r="BL151" s="59"/>
      <c r="BM151" s="59"/>
    </row>
    <row r="152" spans="2:74" s="186" customFormat="1" ht="18.75" customHeight="1">
      <c r="B152" s="178"/>
      <c r="C152" s="180" t="s">
        <v>329</v>
      </c>
      <c r="D152" s="180"/>
      <c r="E152" s="180"/>
      <c r="F152" s="180"/>
      <c r="G152" s="180"/>
      <c r="H152" s="180"/>
      <c r="I152" s="178"/>
      <c r="J152" s="180"/>
      <c r="K152" s="443" t="s">
        <v>449</v>
      </c>
      <c r="L152" s="443"/>
      <c r="M152" s="443"/>
      <c r="N152" s="370" t="s">
        <v>289</v>
      </c>
      <c r="O152" s="388">
        <f>Calcu!G39</f>
        <v>1</v>
      </c>
      <c r="P152" s="388"/>
      <c r="Q152" s="254" t="s">
        <v>448</v>
      </c>
      <c r="R152" s="257"/>
      <c r="S152" s="370" t="s">
        <v>289</v>
      </c>
      <c r="T152" s="456">
        <f>O152/SQRT(3)</f>
        <v>0.57735026918962584</v>
      </c>
      <c r="U152" s="456"/>
      <c r="V152" s="456"/>
      <c r="W152" s="456"/>
      <c r="X152" s="456"/>
      <c r="Y152" s="456"/>
      <c r="Z152" s="197"/>
      <c r="AA152" s="198"/>
      <c r="AB152" s="198"/>
      <c r="AC152" s="198"/>
      <c r="AD152" s="180"/>
      <c r="AE152" s="180"/>
      <c r="AF152" s="180"/>
      <c r="AG152" s="180"/>
      <c r="AH152" s="180"/>
      <c r="AI152" s="180"/>
      <c r="AJ152" s="180"/>
      <c r="AN152" s="180"/>
      <c r="AO152" s="180"/>
      <c r="AP152" s="178"/>
      <c r="AQ152" s="178"/>
      <c r="AR152" s="178"/>
      <c r="AS152" s="178"/>
      <c r="AT152" s="180"/>
      <c r="AU152" s="180"/>
      <c r="AV152" s="180"/>
      <c r="AW152" s="180"/>
      <c r="AX152" s="180"/>
      <c r="AY152" s="180"/>
      <c r="AZ152" s="180"/>
      <c r="BA152" s="180"/>
      <c r="BB152" s="180"/>
      <c r="BC152" s="180"/>
      <c r="BD152" s="180"/>
      <c r="BE152" s="180"/>
      <c r="BF152" s="180"/>
      <c r="BG152" s="180"/>
      <c r="BH152" s="59"/>
      <c r="BI152" s="59"/>
      <c r="BJ152" s="59"/>
      <c r="BK152" s="59"/>
      <c r="BL152" s="59"/>
      <c r="BM152" s="59"/>
      <c r="BN152" s="59"/>
    </row>
    <row r="153" spans="2:74" s="186" customFormat="1" ht="18.75" customHeight="1">
      <c r="B153" s="178"/>
      <c r="C153" s="180"/>
      <c r="D153" s="180"/>
      <c r="E153" s="180"/>
      <c r="F153" s="180"/>
      <c r="G153" s="180"/>
      <c r="H153" s="180"/>
      <c r="I153" s="178"/>
      <c r="J153" s="180"/>
      <c r="K153" s="443"/>
      <c r="L153" s="443"/>
      <c r="M153" s="443"/>
      <c r="N153" s="370"/>
      <c r="O153" s="251"/>
      <c r="P153" s="251"/>
      <c r="Q153" s="251"/>
      <c r="R153" s="251"/>
      <c r="S153" s="370"/>
      <c r="T153" s="456"/>
      <c r="U153" s="456"/>
      <c r="V153" s="456"/>
      <c r="W153" s="456"/>
      <c r="X153" s="456"/>
      <c r="Y153" s="456"/>
      <c r="Z153" s="197"/>
      <c r="AA153" s="198"/>
      <c r="AB153" s="198"/>
      <c r="AC153" s="198"/>
      <c r="AD153" s="180"/>
      <c r="AE153" s="180"/>
      <c r="AF153" s="180"/>
      <c r="AG153" s="180"/>
      <c r="AH153" s="180"/>
      <c r="AI153" s="180"/>
      <c r="AJ153" s="180"/>
      <c r="AK153" s="180"/>
      <c r="AL153" s="178"/>
      <c r="AM153" s="180"/>
      <c r="AN153" s="180"/>
      <c r="AO153" s="180"/>
      <c r="AP153" s="178"/>
      <c r="AQ153" s="178"/>
      <c r="AR153" s="178"/>
      <c r="AS153" s="178"/>
      <c r="AT153" s="180"/>
      <c r="AU153" s="180"/>
      <c r="AV153" s="180"/>
      <c r="AW153" s="180"/>
      <c r="AX153" s="180"/>
      <c r="AY153" s="180"/>
      <c r="AZ153" s="180"/>
      <c r="BA153" s="180"/>
      <c r="BB153" s="180"/>
      <c r="BC153" s="180"/>
      <c r="BD153" s="180"/>
      <c r="BE153" s="180"/>
      <c r="BF153" s="180"/>
      <c r="BG153" s="180"/>
      <c r="BH153" s="59"/>
      <c r="BI153" s="59"/>
      <c r="BJ153" s="59"/>
      <c r="BK153" s="59"/>
      <c r="BL153" s="59"/>
      <c r="BM153" s="59"/>
      <c r="BN153" s="59"/>
    </row>
    <row r="154" spans="2:74" s="186" customFormat="1" ht="18.75" customHeight="1">
      <c r="B154" s="178"/>
      <c r="C154" s="180" t="s">
        <v>330</v>
      </c>
      <c r="D154" s="180"/>
      <c r="E154" s="180"/>
      <c r="F154" s="180"/>
      <c r="G154" s="180"/>
      <c r="H154" s="180"/>
      <c r="I154" s="379" t="str">
        <f>V63</f>
        <v>직사각형</v>
      </c>
      <c r="J154" s="379"/>
      <c r="K154" s="379"/>
      <c r="L154" s="379"/>
      <c r="M154" s="379"/>
      <c r="N154" s="379"/>
      <c r="O154" s="379"/>
      <c r="P154" s="379"/>
      <c r="Q154" s="180"/>
      <c r="R154" s="180"/>
      <c r="S154" s="180"/>
      <c r="T154" s="180"/>
      <c r="U154" s="180"/>
      <c r="V154" s="180"/>
      <c r="W154" s="180"/>
      <c r="X154" s="180"/>
      <c r="Y154" s="180"/>
      <c r="Z154" s="178"/>
      <c r="AA154" s="178"/>
      <c r="AB154" s="178"/>
      <c r="AC154" s="178"/>
      <c r="AD154" s="178"/>
      <c r="AE154" s="178"/>
      <c r="AF154" s="178"/>
      <c r="AG154" s="178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0"/>
      <c r="AZ154" s="180"/>
      <c r="BA154" s="180"/>
      <c r="BB154" s="180"/>
      <c r="BC154" s="180"/>
      <c r="BD154" s="180"/>
      <c r="BE154" s="180"/>
      <c r="BF154" s="178"/>
      <c r="BG154" s="180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</row>
    <row r="155" spans="2:74" s="186" customFormat="1" ht="18.75" customHeight="1">
      <c r="B155" s="178"/>
      <c r="C155" s="375" t="s">
        <v>331</v>
      </c>
      <c r="D155" s="375"/>
      <c r="E155" s="375"/>
      <c r="F155" s="375"/>
      <c r="G155" s="375"/>
      <c r="H155" s="375"/>
      <c r="I155" s="180"/>
      <c r="J155" s="180"/>
      <c r="K155" s="180"/>
      <c r="L155" s="180"/>
      <c r="M155" s="180"/>
      <c r="N155" s="180"/>
      <c r="O155" s="178"/>
      <c r="P155" s="391" t="e">
        <f ca="1">-H62*10^6</f>
        <v>#N/A</v>
      </c>
      <c r="Q155" s="391"/>
      <c r="R155" s="391"/>
      <c r="S155" s="375" t="s">
        <v>316</v>
      </c>
      <c r="T155" s="375"/>
      <c r="U155" s="375"/>
      <c r="V155" s="375"/>
      <c r="W155" s="370" t="s">
        <v>327</v>
      </c>
      <c r="X155" s="389">
        <f>Calcu!N39</f>
        <v>0</v>
      </c>
      <c r="Y155" s="389"/>
      <c r="Z155" s="389"/>
      <c r="AA155" s="375" t="s">
        <v>308</v>
      </c>
      <c r="AB155" s="375"/>
      <c r="AC155" s="370" t="s">
        <v>290</v>
      </c>
      <c r="AD155" s="376" t="e">
        <f ca="1">P155*10^-6*X155</f>
        <v>#N/A</v>
      </c>
      <c r="AE155" s="376"/>
      <c r="AF155" s="376"/>
      <c r="AG155" s="375" t="s">
        <v>194</v>
      </c>
      <c r="AH155" s="375"/>
      <c r="AI155" s="375"/>
      <c r="AJ155" s="375"/>
      <c r="AK155" s="375"/>
      <c r="AL155" s="375"/>
      <c r="AM155" s="375"/>
      <c r="AN155" s="194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0"/>
      <c r="AZ155" s="180"/>
      <c r="BA155" s="180"/>
      <c r="BB155" s="180"/>
      <c r="BC155" s="180"/>
      <c r="BD155" s="180"/>
      <c r="BE155" s="180"/>
      <c r="BF155" s="180"/>
      <c r="BG155" s="180"/>
      <c r="BH155" s="59"/>
      <c r="BI155" s="59"/>
      <c r="BJ155" s="59"/>
      <c r="BK155" s="59"/>
      <c r="BL155" s="59"/>
      <c r="BM155" s="59"/>
    </row>
    <row r="156" spans="2:74" s="186" customFormat="1" ht="18.75" customHeight="1">
      <c r="B156" s="178"/>
      <c r="C156" s="375"/>
      <c r="D156" s="375"/>
      <c r="E156" s="375"/>
      <c r="F156" s="375"/>
      <c r="G156" s="375"/>
      <c r="H156" s="375"/>
      <c r="I156" s="180"/>
      <c r="J156" s="180"/>
      <c r="K156" s="180"/>
      <c r="L156" s="180"/>
      <c r="M156" s="180"/>
      <c r="N156" s="180"/>
      <c r="O156" s="180"/>
      <c r="P156" s="391"/>
      <c r="Q156" s="391"/>
      <c r="R156" s="391"/>
      <c r="S156" s="375"/>
      <c r="T156" s="375"/>
      <c r="U156" s="375"/>
      <c r="V156" s="375"/>
      <c r="W156" s="370"/>
      <c r="X156" s="389"/>
      <c r="Y156" s="389"/>
      <c r="Z156" s="389"/>
      <c r="AA156" s="375"/>
      <c r="AB156" s="375"/>
      <c r="AC156" s="370"/>
      <c r="AD156" s="376"/>
      <c r="AE156" s="376"/>
      <c r="AF156" s="376"/>
      <c r="AG156" s="375"/>
      <c r="AH156" s="375"/>
      <c r="AI156" s="375"/>
      <c r="AJ156" s="375"/>
      <c r="AK156" s="375"/>
      <c r="AL156" s="375"/>
      <c r="AM156" s="375"/>
      <c r="AN156" s="194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0"/>
      <c r="AZ156" s="180"/>
      <c r="BA156" s="180"/>
      <c r="BB156" s="180"/>
      <c r="BC156" s="180"/>
      <c r="BD156" s="180"/>
      <c r="BE156" s="180"/>
      <c r="BF156" s="180"/>
      <c r="BG156" s="180"/>
      <c r="BH156" s="59"/>
      <c r="BI156" s="59"/>
      <c r="BJ156" s="59"/>
      <c r="BK156" s="59"/>
      <c r="BL156" s="59"/>
      <c r="BM156" s="59"/>
    </row>
    <row r="157" spans="2:74" s="186" customFormat="1" ht="18.75" customHeight="1">
      <c r="B157" s="178"/>
      <c r="C157" s="180" t="s">
        <v>332</v>
      </c>
      <c r="D157" s="180"/>
      <c r="E157" s="180"/>
      <c r="F157" s="180"/>
      <c r="G157" s="180"/>
      <c r="H157" s="180"/>
      <c r="I157" s="180"/>
      <c r="J157" s="178"/>
      <c r="K157" s="57" t="s">
        <v>333</v>
      </c>
      <c r="L157" s="376" t="e">
        <f ca="1">AD155</f>
        <v>#N/A</v>
      </c>
      <c r="M157" s="376"/>
      <c r="N157" s="376"/>
      <c r="O157" s="190" t="s">
        <v>334</v>
      </c>
      <c r="P157" s="178"/>
      <c r="Q157" s="178"/>
      <c r="R157" s="178" t="s">
        <v>335</v>
      </c>
      <c r="S157" s="377">
        <f>T152</f>
        <v>0.57735026918962584</v>
      </c>
      <c r="T157" s="377"/>
      <c r="U157" s="377"/>
      <c r="V157" s="377"/>
      <c r="W157" s="57" t="s">
        <v>333</v>
      </c>
      <c r="X157" s="178" t="s">
        <v>289</v>
      </c>
      <c r="Y157" s="378" t="e">
        <f ca="1">ABS(L157*S157)</f>
        <v>#N/A</v>
      </c>
      <c r="Z157" s="378"/>
      <c r="AA157" s="378"/>
      <c r="AB157" s="183" t="s">
        <v>336</v>
      </c>
      <c r="AC157" s="183"/>
      <c r="AD157" s="178"/>
      <c r="AE157" s="178"/>
      <c r="AF157" s="194"/>
      <c r="AG157" s="178"/>
      <c r="AH157" s="178"/>
      <c r="AI157" s="180"/>
      <c r="AJ157" s="178"/>
      <c r="AK157" s="180"/>
      <c r="AL157" s="178"/>
      <c r="AM157" s="178"/>
      <c r="AN157" s="178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0"/>
      <c r="AZ157" s="180"/>
      <c r="BA157" s="180"/>
      <c r="BB157" s="180"/>
      <c r="BC157" s="180"/>
      <c r="BD157" s="180"/>
      <c r="BE157" s="180"/>
      <c r="BF157" s="180"/>
      <c r="BG157" s="180"/>
      <c r="BH157" s="59"/>
      <c r="BI157" s="59"/>
      <c r="BJ157" s="59"/>
      <c r="BK157" s="59"/>
    </row>
    <row r="158" spans="2:74" s="186" customFormat="1" ht="18.75" customHeight="1">
      <c r="B158" s="178"/>
      <c r="C158" s="375" t="s">
        <v>337</v>
      </c>
      <c r="D158" s="375"/>
      <c r="E158" s="375"/>
      <c r="F158" s="375"/>
      <c r="G158" s="375"/>
      <c r="H158" s="248"/>
      <c r="J158" s="248"/>
      <c r="K158" s="248"/>
      <c r="L158" s="248"/>
      <c r="M158" s="248"/>
      <c r="N158" s="248"/>
      <c r="O158" s="248"/>
      <c r="P158" s="248"/>
      <c r="Q158" s="248"/>
      <c r="R158" s="190"/>
      <c r="S158" s="248"/>
      <c r="T158" s="248"/>
      <c r="U158" s="248"/>
      <c r="W158" s="57" t="s">
        <v>432</v>
      </c>
      <c r="X158" s="248"/>
      <c r="Y158" s="248"/>
      <c r="Z158" s="248"/>
      <c r="AA158" s="248"/>
      <c r="AB158" s="180"/>
      <c r="AC158" s="180"/>
      <c r="AD158" s="180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  <c r="AO158" s="178"/>
      <c r="AP158" s="178"/>
      <c r="AQ158" s="178"/>
      <c r="AR158" s="178"/>
      <c r="AS158" s="178"/>
      <c r="AT158" s="178"/>
      <c r="AU158" s="178"/>
      <c r="AV158" s="178"/>
      <c r="AW158" s="178"/>
      <c r="AX158" s="178"/>
      <c r="AY158" s="178"/>
      <c r="AZ158" s="178"/>
      <c r="BA158" s="178"/>
      <c r="BB158" s="178"/>
      <c r="BC158" s="178"/>
      <c r="BD158" s="178"/>
      <c r="BE158" s="178"/>
      <c r="BF158" s="178"/>
      <c r="BG158" s="178"/>
      <c r="BH158" s="59"/>
      <c r="BI158" s="59"/>
      <c r="BJ158" s="59"/>
      <c r="BK158" s="59"/>
      <c r="BP158" s="59"/>
      <c r="BS158" s="59"/>
      <c r="BT158" s="59"/>
      <c r="BU158" s="59"/>
    </row>
    <row r="159" spans="2:74" s="186" customFormat="1" ht="18.75" customHeight="1">
      <c r="B159" s="178"/>
      <c r="C159" s="375"/>
      <c r="D159" s="375"/>
      <c r="E159" s="375"/>
      <c r="F159" s="375"/>
      <c r="G159" s="375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190"/>
      <c r="S159" s="248"/>
      <c r="T159" s="248"/>
      <c r="U159" s="248"/>
      <c r="V159" s="248"/>
      <c r="W159" s="248"/>
      <c r="X159" s="248"/>
      <c r="Y159" s="248"/>
      <c r="Z159" s="248"/>
      <c r="AA159" s="248"/>
      <c r="AB159" s="180"/>
      <c r="AC159" s="178"/>
      <c r="AD159" s="178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  <c r="AO159" s="178"/>
      <c r="AP159" s="178"/>
      <c r="AQ159" s="178"/>
      <c r="AR159" s="178"/>
      <c r="AS159" s="178"/>
      <c r="AT159" s="178"/>
      <c r="AU159" s="178"/>
      <c r="AV159" s="178"/>
      <c r="AW159" s="178"/>
      <c r="AX159" s="178"/>
      <c r="AY159" s="178"/>
      <c r="AZ159" s="178"/>
      <c r="BA159" s="178"/>
      <c r="BB159" s="178"/>
      <c r="BC159" s="178"/>
      <c r="BD159" s="178"/>
      <c r="BE159" s="178"/>
      <c r="BF159" s="178"/>
      <c r="BG159" s="178"/>
      <c r="BH159" s="59"/>
      <c r="BI159" s="59"/>
      <c r="BJ159" s="59"/>
      <c r="BK159" s="59"/>
      <c r="BP159" s="59"/>
      <c r="BS159" s="59"/>
      <c r="BT159" s="59"/>
      <c r="BU159" s="59"/>
    </row>
    <row r="160" spans="2:74" s="186" customFormat="1" ht="18.75" customHeight="1">
      <c r="B160" s="178"/>
      <c r="C160" s="180"/>
      <c r="D160" s="180"/>
      <c r="E160" s="180"/>
      <c r="F160" s="180"/>
      <c r="G160" s="178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</row>
    <row r="161" spans="2:60" s="186" customFormat="1" ht="18.75" customHeight="1">
      <c r="B161" s="58" t="s">
        <v>562</v>
      </c>
      <c r="D161" s="180"/>
      <c r="E161" s="180"/>
      <c r="F161" s="180"/>
      <c r="G161" s="178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78"/>
      <c r="AF161" s="180"/>
      <c r="AG161" s="178"/>
      <c r="AH161" s="178"/>
      <c r="AI161" s="178"/>
      <c r="AJ161" s="178"/>
      <c r="AK161" s="178"/>
      <c r="AL161" s="178"/>
      <c r="AM161" s="178"/>
      <c r="AN161" s="178"/>
      <c r="AO161" s="178"/>
      <c r="AP161" s="178"/>
      <c r="AQ161" s="178"/>
      <c r="AR161" s="178"/>
      <c r="AS161" s="178"/>
      <c r="AT161" s="178"/>
      <c r="AU161" s="178"/>
      <c r="AV161" s="178"/>
      <c r="AW161" s="178"/>
      <c r="AX161" s="178"/>
      <c r="AY161" s="178"/>
      <c r="AZ161" s="178"/>
      <c r="BA161" s="178"/>
      <c r="BB161" s="178"/>
      <c r="BC161" s="178"/>
      <c r="BD161" s="178"/>
      <c r="BE161" s="178"/>
      <c r="BF161" s="178"/>
      <c r="BG161" s="178"/>
    </row>
    <row r="162" spans="2:60" s="186" customFormat="1" ht="18.75" customHeight="1">
      <c r="B162" s="58"/>
      <c r="C162" s="180" t="s">
        <v>453</v>
      </c>
      <c r="D162" s="250"/>
      <c r="E162" s="250"/>
      <c r="F162" s="250"/>
      <c r="G162" s="251"/>
      <c r="H162" s="250"/>
      <c r="I162" s="250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250"/>
      <c r="AA162" s="250"/>
      <c r="AB162" s="250"/>
      <c r="AC162" s="250"/>
      <c r="AD162" s="250"/>
      <c r="AE162" s="251"/>
      <c r="AF162" s="250"/>
      <c r="AG162" s="251"/>
      <c r="AH162" s="251"/>
      <c r="AI162" s="251"/>
      <c r="AJ162" s="251"/>
      <c r="AK162" s="251"/>
      <c r="AL162" s="251"/>
      <c r="AM162" s="251"/>
      <c r="AN162" s="251"/>
      <c r="AO162" s="251"/>
      <c r="AP162" s="251"/>
      <c r="AQ162" s="251"/>
      <c r="AR162" s="251"/>
      <c r="AS162" s="251"/>
      <c r="AT162" s="251"/>
      <c r="AU162" s="251"/>
      <c r="AV162" s="251"/>
      <c r="AW162" s="251"/>
      <c r="AX162" s="251"/>
      <c r="AY162" s="251"/>
      <c r="AZ162" s="251"/>
      <c r="BA162" s="251"/>
      <c r="BB162" s="251"/>
      <c r="BC162" s="251"/>
      <c r="BD162" s="251"/>
      <c r="BE162" s="251"/>
      <c r="BF162" s="251"/>
      <c r="BG162" s="251"/>
    </row>
    <row r="163" spans="2:60" s="186" customFormat="1" ht="18.75" customHeight="1">
      <c r="B163" s="178"/>
      <c r="C163" s="183" t="s">
        <v>339</v>
      </c>
      <c r="D163" s="178"/>
      <c r="E163" s="178"/>
      <c r="F163" s="178"/>
      <c r="G163" s="178"/>
      <c r="H163" s="452">
        <v>0</v>
      </c>
      <c r="I163" s="452"/>
      <c r="J163" s="452"/>
      <c r="K163" s="452"/>
      <c r="L163" s="452"/>
      <c r="M163" s="452"/>
      <c r="N163" s="452"/>
      <c r="O163" s="452"/>
      <c r="P163" s="181"/>
      <c r="Q163" s="180"/>
      <c r="R163" s="180"/>
      <c r="S163" s="180"/>
      <c r="T163" s="180"/>
      <c r="U163" s="180"/>
      <c r="V163" s="180"/>
      <c r="W163" s="180"/>
      <c r="AC163" s="180"/>
      <c r="AD163" s="180"/>
      <c r="AE163" s="180"/>
      <c r="AF163" s="180"/>
      <c r="AG163" s="180"/>
      <c r="AH163" s="180"/>
      <c r="AI163" s="178"/>
      <c r="AJ163" s="178"/>
      <c r="AK163" s="178"/>
      <c r="AL163" s="178"/>
      <c r="AM163" s="178"/>
      <c r="AN163" s="178"/>
      <c r="AO163" s="178"/>
      <c r="AP163" s="178"/>
      <c r="AQ163" s="178"/>
      <c r="AR163" s="178"/>
      <c r="AS163" s="180"/>
      <c r="AT163" s="180"/>
      <c r="AU163" s="180"/>
      <c r="AV163" s="180"/>
      <c r="AW163" s="180"/>
      <c r="AX163" s="180"/>
      <c r="AY163" s="178"/>
      <c r="AZ163" s="178"/>
      <c r="BA163" s="178"/>
      <c r="BB163" s="178"/>
      <c r="BC163" s="178"/>
      <c r="BD163" s="178"/>
      <c r="BE163" s="178"/>
      <c r="BF163" s="178"/>
      <c r="BG163" s="178"/>
    </row>
    <row r="164" spans="2:60" s="186" customFormat="1" ht="18.75" customHeight="1">
      <c r="B164" s="178"/>
      <c r="C164" s="180" t="s">
        <v>340</v>
      </c>
      <c r="D164" s="180"/>
      <c r="E164" s="180"/>
      <c r="F164" s="180"/>
      <c r="G164" s="180"/>
      <c r="H164" s="180"/>
      <c r="I164" s="178"/>
      <c r="J164" s="250" t="s">
        <v>451</v>
      </c>
      <c r="K164" s="180"/>
      <c r="L164" s="180"/>
      <c r="M164" s="180"/>
      <c r="N164" s="180"/>
      <c r="O164" s="180"/>
      <c r="P164" s="386">
        <f>T165/1000</f>
        <v>0</v>
      </c>
      <c r="Q164" s="386"/>
      <c r="R164" s="386"/>
      <c r="S164" s="252" t="s">
        <v>452</v>
      </c>
      <c r="T164" s="252"/>
      <c r="U164" s="180"/>
      <c r="V164" s="178"/>
      <c r="AC164" s="180"/>
      <c r="AD164" s="180"/>
      <c r="AE164" s="180"/>
      <c r="AF164" s="178"/>
      <c r="AG164" s="178"/>
      <c r="AH164" s="178"/>
      <c r="AI164" s="178"/>
      <c r="AJ164" s="178"/>
      <c r="AK164" s="178"/>
      <c r="AL164" s="178"/>
      <c r="AM164" s="178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  <c r="AX164" s="180"/>
      <c r="AY164" s="178"/>
      <c r="AZ164" s="178"/>
      <c r="BA164" s="178"/>
      <c r="BB164" s="178"/>
      <c r="BC164" s="178"/>
      <c r="BD164" s="178"/>
      <c r="BE164" s="178"/>
      <c r="BF164" s="178"/>
      <c r="BG164" s="178"/>
    </row>
    <row r="165" spans="2:60" s="186" customFormat="1" ht="18.75" customHeight="1">
      <c r="B165" s="178"/>
      <c r="C165" s="180"/>
      <c r="D165" s="180"/>
      <c r="E165" s="180"/>
      <c r="K165" s="387" t="s">
        <v>563</v>
      </c>
      <c r="L165" s="387"/>
      <c r="M165" s="387"/>
      <c r="N165" s="370" t="s">
        <v>289</v>
      </c>
      <c r="O165" s="384" t="s">
        <v>454</v>
      </c>
      <c r="P165" s="385"/>
      <c r="Q165" s="385"/>
      <c r="R165" s="385"/>
      <c r="S165" s="370" t="s">
        <v>289</v>
      </c>
      <c r="T165" s="388">
        <f>Calcu!G40</f>
        <v>0</v>
      </c>
      <c r="U165" s="388"/>
      <c r="V165" s="254" t="s">
        <v>455</v>
      </c>
      <c r="W165" s="254"/>
      <c r="X165" s="381" t="s">
        <v>289</v>
      </c>
      <c r="Y165" s="378">
        <f>T165/2/SQRT(3)</f>
        <v>0</v>
      </c>
      <c r="Z165" s="378"/>
      <c r="AA165" s="378"/>
      <c r="AB165" s="386" t="str">
        <f>V165</f>
        <v>μm</v>
      </c>
      <c r="AC165" s="386"/>
      <c r="AD165" s="180"/>
      <c r="AE165" s="178"/>
      <c r="AF165" s="178"/>
      <c r="AG165" s="178"/>
      <c r="AH165" s="178"/>
      <c r="AI165" s="178"/>
      <c r="AJ165" s="178"/>
      <c r="AK165" s="178"/>
      <c r="AL165" s="178"/>
      <c r="AM165" s="178"/>
      <c r="AN165" s="178"/>
      <c r="AO165" s="178"/>
      <c r="AP165" s="178"/>
      <c r="AQ165" s="178"/>
      <c r="AR165" s="180"/>
      <c r="AS165" s="180"/>
      <c r="AT165" s="180"/>
      <c r="AU165" s="180"/>
      <c r="AV165" s="180"/>
      <c r="AW165" s="180"/>
      <c r="AX165" s="180"/>
      <c r="AY165" s="180"/>
      <c r="AZ165" s="178"/>
      <c r="BA165" s="178"/>
      <c r="BB165" s="178"/>
      <c r="BC165" s="178"/>
      <c r="BD165" s="178"/>
      <c r="BE165" s="178"/>
      <c r="BF165" s="178"/>
      <c r="BG165" s="178"/>
      <c r="BH165" s="178"/>
    </row>
    <row r="166" spans="2:60" s="186" customFormat="1" ht="18.75" customHeight="1">
      <c r="B166" s="178"/>
      <c r="C166" s="180"/>
      <c r="D166" s="180"/>
      <c r="E166" s="180"/>
      <c r="K166" s="387"/>
      <c r="L166" s="387"/>
      <c r="M166" s="387"/>
      <c r="N166" s="370"/>
      <c r="O166" s="382"/>
      <c r="P166" s="382"/>
      <c r="Q166" s="382"/>
      <c r="R166" s="382"/>
      <c r="S166" s="370"/>
      <c r="T166" s="382"/>
      <c r="U166" s="382"/>
      <c r="V166" s="382"/>
      <c r="W166" s="382"/>
      <c r="X166" s="381"/>
      <c r="Y166" s="378"/>
      <c r="Z166" s="378"/>
      <c r="AA166" s="378"/>
      <c r="AB166" s="386"/>
      <c r="AC166" s="386"/>
      <c r="AD166" s="180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  <c r="AO166" s="178"/>
      <c r="AP166" s="178"/>
      <c r="AQ166" s="178"/>
      <c r="AR166" s="180"/>
      <c r="AS166" s="180"/>
      <c r="AT166" s="180"/>
      <c r="AU166" s="180"/>
      <c r="AV166" s="180"/>
      <c r="AW166" s="180"/>
      <c r="AX166" s="180"/>
      <c r="AY166" s="180"/>
      <c r="AZ166" s="178"/>
      <c r="BA166" s="178"/>
      <c r="BB166" s="178"/>
      <c r="BC166" s="178"/>
      <c r="BD166" s="178"/>
      <c r="BE166" s="178"/>
      <c r="BF166" s="178"/>
      <c r="BG166" s="178"/>
      <c r="BH166" s="178"/>
    </row>
    <row r="167" spans="2:60" s="186" customFormat="1" ht="18.75" customHeight="1">
      <c r="B167" s="178"/>
      <c r="C167" s="180" t="s">
        <v>341</v>
      </c>
      <c r="D167" s="180"/>
      <c r="E167" s="180"/>
      <c r="F167" s="180"/>
      <c r="G167" s="180"/>
      <c r="H167" s="180"/>
      <c r="I167" s="379" t="str">
        <f>V64</f>
        <v>직사각형</v>
      </c>
      <c r="J167" s="379"/>
      <c r="K167" s="379"/>
      <c r="L167" s="379"/>
      <c r="M167" s="379"/>
      <c r="N167" s="379"/>
      <c r="O167" s="379"/>
      <c r="P167" s="379"/>
      <c r="Q167" s="180"/>
      <c r="R167" s="180"/>
      <c r="S167" s="180"/>
      <c r="T167" s="180"/>
      <c r="U167" s="180"/>
      <c r="V167" s="180"/>
      <c r="W167" s="180"/>
      <c r="X167" s="180"/>
      <c r="Y167" s="180"/>
      <c r="Z167" s="178"/>
      <c r="AA167" s="178"/>
      <c r="AB167" s="178"/>
      <c r="AC167" s="178"/>
      <c r="AD167" s="178"/>
      <c r="AE167" s="178"/>
      <c r="AF167" s="178"/>
      <c r="AG167" s="178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  <c r="AX167" s="180"/>
      <c r="AY167" s="178"/>
      <c r="AZ167" s="178"/>
      <c r="BA167" s="178"/>
      <c r="BB167" s="178"/>
      <c r="BC167" s="178"/>
      <c r="BD167" s="178"/>
      <c r="BE167" s="178"/>
      <c r="BF167" s="178"/>
      <c r="BG167" s="178"/>
    </row>
    <row r="168" spans="2:60" s="186" customFormat="1" ht="18.75" customHeight="1">
      <c r="B168" s="178"/>
      <c r="C168" s="375" t="s">
        <v>342</v>
      </c>
      <c r="D168" s="375"/>
      <c r="E168" s="375"/>
      <c r="F168" s="375"/>
      <c r="G168" s="375"/>
      <c r="H168" s="375"/>
      <c r="I168" s="180"/>
      <c r="J168" s="180"/>
      <c r="K168" s="180"/>
      <c r="L168" s="180"/>
      <c r="M168" s="180"/>
      <c r="N168" s="180"/>
      <c r="O168" s="178"/>
      <c r="P168" s="199"/>
      <c r="Q168" s="199"/>
      <c r="R168" s="199"/>
      <c r="S168" s="180"/>
      <c r="T168" s="180"/>
      <c r="U168" s="180"/>
      <c r="V168" s="180"/>
      <c r="W168" s="180"/>
      <c r="X168" s="180"/>
      <c r="Y168" s="180"/>
      <c r="Z168" s="200"/>
      <c r="AA168" s="20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78"/>
      <c r="AM168" s="178"/>
      <c r="AN168" s="178"/>
      <c r="AO168" s="180"/>
      <c r="AP168" s="180"/>
      <c r="AQ168" s="180"/>
      <c r="AR168" s="180"/>
      <c r="AS168" s="180"/>
      <c r="AT168" s="180"/>
      <c r="AU168" s="180"/>
      <c r="AV168" s="180"/>
      <c r="AW168" s="180"/>
      <c r="AX168" s="180"/>
      <c r="AY168" s="178"/>
      <c r="AZ168" s="178"/>
      <c r="BA168" s="178"/>
      <c r="BB168" s="178"/>
      <c r="BC168" s="178"/>
      <c r="BD168" s="178"/>
      <c r="BE168" s="178"/>
      <c r="BF168" s="178"/>
      <c r="BG168" s="178"/>
    </row>
    <row r="169" spans="2:60" s="186" customFormat="1" ht="18.75" customHeight="1">
      <c r="B169" s="178"/>
      <c r="C169" s="375"/>
      <c r="D169" s="375"/>
      <c r="E169" s="375"/>
      <c r="F169" s="375"/>
      <c r="G169" s="375"/>
      <c r="H169" s="375"/>
      <c r="I169" s="180"/>
      <c r="J169" s="180"/>
      <c r="K169" s="180"/>
      <c r="L169" s="180"/>
      <c r="M169" s="180"/>
      <c r="N169" s="180"/>
      <c r="O169" s="180"/>
      <c r="P169" s="199"/>
      <c r="Q169" s="199"/>
      <c r="R169" s="199"/>
      <c r="S169" s="180"/>
      <c r="T169" s="180"/>
      <c r="U169" s="180"/>
      <c r="V169" s="180"/>
      <c r="W169" s="180"/>
      <c r="X169" s="180"/>
      <c r="Y169" s="180"/>
      <c r="Z169" s="200"/>
      <c r="AA169" s="20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78"/>
      <c r="AM169" s="178"/>
      <c r="AN169" s="178"/>
      <c r="AO169" s="180"/>
      <c r="AP169" s="180"/>
      <c r="AQ169" s="180"/>
      <c r="AR169" s="180"/>
      <c r="AS169" s="180"/>
      <c r="AT169" s="180"/>
      <c r="AU169" s="180"/>
      <c r="AV169" s="180"/>
      <c r="AW169" s="180"/>
      <c r="AX169" s="180"/>
      <c r="AY169" s="178"/>
      <c r="AZ169" s="178"/>
      <c r="BA169" s="178"/>
      <c r="BB169" s="178"/>
      <c r="BC169" s="178"/>
      <c r="BD169" s="178"/>
      <c r="BE169" s="178"/>
      <c r="BF169" s="178"/>
      <c r="BG169" s="178"/>
    </row>
    <row r="170" spans="2:60" s="186" customFormat="1" ht="18.75" customHeight="1">
      <c r="B170" s="178"/>
      <c r="C170" s="180" t="s">
        <v>343</v>
      </c>
      <c r="D170" s="180"/>
      <c r="E170" s="180"/>
      <c r="F170" s="180"/>
      <c r="G170" s="180"/>
      <c r="H170" s="180"/>
      <c r="I170" s="180"/>
      <c r="J170" s="178"/>
      <c r="K170" s="178" t="s">
        <v>333</v>
      </c>
      <c r="L170" s="370">
        <v>1</v>
      </c>
      <c r="M170" s="370"/>
      <c r="N170" s="255" t="s">
        <v>458</v>
      </c>
      <c r="O170" s="383">
        <f>Y165</f>
        <v>0</v>
      </c>
      <c r="P170" s="383"/>
      <c r="Q170" s="383"/>
      <c r="R170" s="252" t="str">
        <f>AB165</f>
        <v>μm</v>
      </c>
      <c r="S170" s="253"/>
      <c r="T170" s="178" t="s">
        <v>333</v>
      </c>
      <c r="U170" s="178" t="s">
        <v>290</v>
      </c>
      <c r="V170" s="378">
        <f>L170*O170</f>
        <v>0</v>
      </c>
      <c r="W170" s="378"/>
      <c r="X170" s="378"/>
      <c r="Y170" s="252" t="str">
        <f>AB165</f>
        <v>μm</v>
      </c>
      <c r="Z170" s="252"/>
      <c r="AA170" s="201"/>
      <c r="AB170" s="201"/>
      <c r="AC170" s="190"/>
      <c r="AD170" s="178"/>
      <c r="AE170" s="180"/>
      <c r="AF170" s="178"/>
      <c r="AG170" s="178"/>
      <c r="AH170" s="178"/>
      <c r="AI170" s="178"/>
      <c r="AJ170" s="178"/>
      <c r="AK170" s="180"/>
      <c r="AL170" s="178"/>
      <c r="AM170" s="178"/>
      <c r="AN170" s="178"/>
      <c r="AO170" s="180"/>
      <c r="AP170" s="180"/>
      <c r="AQ170" s="180"/>
      <c r="AR170" s="180"/>
      <c r="AS170" s="180"/>
      <c r="AT170" s="180"/>
      <c r="AU170" s="180"/>
      <c r="AV170" s="180"/>
      <c r="AW170" s="180"/>
      <c r="AX170" s="180"/>
      <c r="AY170" s="178"/>
      <c r="AZ170" s="178"/>
      <c r="BA170" s="178"/>
      <c r="BB170" s="178"/>
      <c r="BC170" s="178"/>
      <c r="BD170" s="178"/>
      <c r="BE170" s="178"/>
      <c r="BF170" s="178"/>
      <c r="BG170" s="178"/>
    </row>
    <row r="171" spans="2:60" s="186" customFormat="1" ht="18.75" customHeight="1">
      <c r="B171" s="178"/>
      <c r="C171" s="375" t="s">
        <v>344</v>
      </c>
      <c r="D171" s="375"/>
      <c r="E171" s="375"/>
      <c r="F171" s="375"/>
      <c r="G171" s="375"/>
      <c r="H171" s="180"/>
      <c r="J171" s="180"/>
      <c r="K171" s="180"/>
      <c r="L171" s="180"/>
      <c r="M171" s="180"/>
      <c r="N171" s="180"/>
      <c r="O171" s="180"/>
      <c r="P171" s="180"/>
      <c r="Q171" s="180"/>
      <c r="R171" s="190"/>
      <c r="S171" s="180"/>
      <c r="T171" s="180"/>
      <c r="U171" s="180"/>
      <c r="W171" s="180"/>
      <c r="X171" s="57" t="s">
        <v>338</v>
      </c>
      <c r="Y171" s="180"/>
      <c r="Z171" s="180"/>
      <c r="AA171" s="180"/>
      <c r="AB171" s="180"/>
      <c r="AC171" s="180"/>
      <c r="AD171" s="180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  <c r="AO171" s="178"/>
      <c r="AP171" s="178"/>
      <c r="AQ171" s="178"/>
      <c r="AR171" s="178"/>
      <c r="AS171" s="178"/>
      <c r="AT171" s="178"/>
      <c r="AU171" s="178"/>
      <c r="AV171" s="178"/>
      <c r="AW171" s="178"/>
      <c r="AX171" s="178"/>
      <c r="AY171" s="178"/>
      <c r="AZ171" s="178"/>
      <c r="BA171" s="178"/>
      <c r="BB171" s="178"/>
      <c r="BC171" s="178"/>
      <c r="BD171" s="178"/>
      <c r="BE171" s="178"/>
      <c r="BF171" s="178"/>
      <c r="BG171" s="178"/>
    </row>
    <row r="172" spans="2:60" s="186" customFormat="1" ht="18.75" customHeight="1">
      <c r="B172" s="178"/>
      <c r="C172" s="375"/>
      <c r="D172" s="375"/>
      <c r="E172" s="375"/>
      <c r="F172" s="375"/>
      <c r="G172" s="375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9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  <c r="AO172" s="178"/>
      <c r="AP172" s="178"/>
      <c r="AQ172" s="178"/>
      <c r="AR172" s="178"/>
      <c r="AS172" s="178"/>
      <c r="AT172" s="178"/>
      <c r="AU172" s="178"/>
      <c r="AV172" s="178"/>
      <c r="AW172" s="178"/>
      <c r="AX172" s="178"/>
      <c r="AY172" s="178"/>
      <c r="AZ172" s="178"/>
      <c r="BA172" s="178"/>
      <c r="BB172" s="178"/>
      <c r="BC172" s="178"/>
      <c r="BD172" s="178"/>
      <c r="BE172" s="178"/>
      <c r="BF172" s="178"/>
      <c r="BG172" s="178"/>
    </row>
    <row r="173" spans="2:60" s="186" customFormat="1" ht="18.75" customHeight="1">
      <c r="B173" s="178"/>
      <c r="C173" s="58"/>
      <c r="D173" s="180"/>
      <c r="E173" s="180"/>
      <c r="F173" s="180"/>
      <c r="G173" s="178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78"/>
      <c r="AF173" s="180"/>
      <c r="AG173" s="178"/>
      <c r="AH173" s="178"/>
      <c r="AI173" s="178"/>
      <c r="AJ173" s="178"/>
      <c r="AK173" s="178"/>
      <c r="AL173" s="178"/>
      <c r="AM173" s="178"/>
      <c r="AN173" s="178"/>
      <c r="AO173" s="178"/>
      <c r="AP173" s="178"/>
      <c r="AQ173" s="178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</row>
    <row r="174" spans="2:60" s="186" customFormat="1" ht="18.75" customHeight="1">
      <c r="B174" s="58" t="s">
        <v>564</v>
      </c>
      <c r="C174" s="180"/>
      <c r="E174" s="180"/>
      <c r="F174" s="180"/>
      <c r="G174" s="178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78"/>
      <c r="AF174" s="180"/>
      <c r="AG174" s="178"/>
      <c r="AH174" s="178"/>
      <c r="AI174" s="178"/>
      <c r="AJ174" s="178"/>
      <c r="AK174" s="178"/>
      <c r="AL174" s="178"/>
      <c r="AM174" s="178"/>
      <c r="AN174" s="178"/>
      <c r="AO174" s="178"/>
      <c r="AP174" s="178"/>
      <c r="AQ174" s="178"/>
      <c r="AR174" s="178"/>
      <c r="AS174" s="178"/>
      <c r="AT174" s="178"/>
      <c r="AU174" s="178"/>
      <c r="AV174" s="178"/>
      <c r="AW174" s="178"/>
      <c r="AX174" s="178"/>
      <c r="AY174" s="178"/>
      <c r="AZ174" s="178"/>
      <c r="BA174" s="178"/>
      <c r="BB174" s="178"/>
      <c r="BC174" s="178"/>
      <c r="BD174" s="178"/>
      <c r="BE174" s="178"/>
      <c r="BF174" s="178"/>
      <c r="BG174" s="178"/>
    </row>
    <row r="175" spans="2:60" s="186" customFormat="1" ht="18.75" customHeight="1">
      <c r="B175" s="58"/>
      <c r="C175" s="250" t="s">
        <v>456</v>
      </c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250"/>
      <c r="AB175" s="250"/>
      <c r="AC175" s="250"/>
      <c r="AD175" s="250"/>
      <c r="AE175" s="250"/>
      <c r="AF175" s="250"/>
      <c r="AG175" s="250"/>
      <c r="AH175" s="250"/>
      <c r="AI175" s="250"/>
      <c r="AJ175" s="250"/>
      <c r="AK175" s="250"/>
      <c r="AL175" s="250"/>
      <c r="AM175" s="250"/>
      <c r="AN175" s="250"/>
      <c r="AO175" s="250"/>
      <c r="AP175" s="250"/>
      <c r="AQ175" s="250"/>
      <c r="AR175" s="250"/>
      <c r="AS175" s="250"/>
      <c r="AT175" s="250"/>
      <c r="AU175" s="251"/>
      <c r="AV175" s="251"/>
      <c r="AW175" s="251"/>
      <c r="AX175" s="251"/>
      <c r="AY175" s="251"/>
      <c r="AZ175" s="251"/>
      <c r="BA175" s="251"/>
      <c r="BB175" s="251"/>
      <c r="BC175" s="251"/>
      <c r="BD175" s="251"/>
      <c r="BE175" s="251"/>
      <c r="BF175" s="251"/>
      <c r="BG175" s="251"/>
    </row>
    <row r="176" spans="2:60" s="186" customFormat="1" ht="18.75" customHeight="1">
      <c r="B176" s="58"/>
      <c r="C176" s="250"/>
      <c r="D176" s="250" t="s">
        <v>457</v>
      </c>
      <c r="E176" s="250"/>
      <c r="F176" s="250"/>
      <c r="G176" s="250"/>
      <c r="H176" s="250"/>
      <c r="I176" s="250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250"/>
      <c r="AA176" s="250"/>
      <c r="AB176" s="250"/>
      <c r="AC176" s="250"/>
      <c r="AD176" s="250"/>
      <c r="AE176" s="250"/>
      <c r="AF176" s="250"/>
      <c r="AG176" s="250"/>
      <c r="AH176" s="250"/>
      <c r="AI176" s="250"/>
      <c r="AJ176" s="250"/>
      <c r="AK176" s="250"/>
      <c r="AL176" s="250"/>
      <c r="AM176" s="250"/>
      <c r="AN176" s="250"/>
      <c r="AO176" s="250"/>
      <c r="AP176" s="250"/>
      <c r="AQ176" s="250"/>
      <c r="AR176" s="250"/>
      <c r="AS176" s="250"/>
      <c r="AT176" s="250"/>
      <c r="AU176" s="251"/>
      <c r="AV176" s="251"/>
      <c r="AW176" s="251"/>
      <c r="AX176" s="251"/>
      <c r="AY176" s="251"/>
      <c r="AZ176" s="251"/>
      <c r="BA176" s="251"/>
      <c r="BB176" s="251"/>
      <c r="BC176" s="251"/>
      <c r="BD176" s="251"/>
      <c r="BE176" s="251"/>
      <c r="BF176" s="251"/>
      <c r="BG176" s="251"/>
    </row>
    <row r="177" spans="1:60" s="186" customFormat="1" ht="18.75" customHeight="1">
      <c r="B177" s="178"/>
      <c r="C177" s="183" t="s">
        <v>345</v>
      </c>
      <c r="D177" s="178"/>
      <c r="E177" s="178"/>
      <c r="F177" s="178"/>
      <c r="G177" s="178"/>
      <c r="H177" s="452">
        <v>0</v>
      </c>
      <c r="I177" s="452"/>
      <c r="J177" s="452"/>
      <c r="K177" s="452"/>
      <c r="L177" s="452"/>
      <c r="M177" s="452"/>
      <c r="N177" s="452"/>
      <c r="O177" s="452"/>
      <c r="P177" s="181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78"/>
      <c r="AZ177" s="178"/>
      <c r="BA177" s="178"/>
      <c r="BB177" s="178"/>
      <c r="BC177" s="178"/>
      <c r="BD177" s="178"/>
      <c r="BE177" s="178"/>
      <c r="BF177" s="178"/>
      <c r="BG177" s="178"/>
    </row>
    <row r="178" spans="1:60" s="186" customFormat="1" ht="18.75" customHeight="1">
      <c r="B178" s="178"/>
      <c r="C178" s="180" t="s">
        <v>346</v>
      </c>
      <c r="D178" s="180"/>
      <c r="E178" s="180"/>
      <c r="F178" s="180"/>
      <c r="G178" s="180"/>
      <c r="H178" s="180"/>
      <c r="I178" s="178"/>
      <c r="J178" s="183" t="s">
        <v>395</v>
      </c>
      <c r="K178" s="202"/>
      <c r="L178" s="202"/>
      <c r="M178" s="202"/>
      <c r="N178" s="202"/>
      <c r="O178" s="380">
        <f>O179/1000</f>
        <v>0</v>
      </c>
      <c r="P178" s="380"/>
      <c r="Q178" s="380"/>
      <c r="R178" s="380"/>
      <c r="S178" s="380"/>
      <c r="T178" s="380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2"/>
      <c r="AT178" s="202"/>
      <c r="AU178" s="202"/>
      <c r="AV178" s="202"/>
      <c r="AW178" s="202"/>
      <c r="AX178" s="202"/>
      <c r="AY178" s="202"/>
      <c r="AZ178" s="202"/>
      <c r="BA178" s="202"/>
      <c r="BB178" s="178"/>
      <c r="BC178" s="178"/>
      <c r="BD178" s="178"/>
      <c r="BE178" s="178"/>
      <c r="BF178" s="178"/>
      <c r="BG178" s="178"/>
    </row>
    <row r="179" spans="1:60" s="186" customFormat="1" ht="18.75" customHeight="1">
      <c r="B179" s="178"/>
      <c r="C179" s="180"/>
      <c r="D179" s="180"/>
      <c r="E179" s="180"/>
      <c r="K179" s="387" t="s">
        <v>565</v>
      </c>
      <c r="L179" s="387"/>
      <c r="M179" s="387"/>
      <c r="N179" s="381" t="s">
        <v>289</v>
      </c>
      <c r="O179" s="388">
        <f>Calcu!G41</f>
        <v>0</v>
      </c>
      <c r="P179" s="388"/>
      <c r="Q179" s="254" t="s">
        <v>455</v>
      </c>
      <c r="R179" s="254"/>
      <c r="S179" s="381" t="s">
        <v>289</v>
      </c>
      <c r="T179" s="378">
        <f>O179/SQRT(3)</f>
        <v>0</v>
      </c>
      <c r="U179" s="378"/>
      <c r="V179" s="378"/>
      <c r="W179" s="386" t="str">
        <f>Q179</f>
        <v>μm</v>
      </c>
      <c r="X179" s="386"/>
      <c r="Y179" s="198"/>
      <c r="Z179" s="198"/>
      <c r="AA179" s="198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78"/>
      <c r="AO179" s="178"/>
      <c r="AP179" s="178"/>
      <c r="AQ179" s="178"/>
      <c r="AR179" s="180"/>
      <c r="AS179" s="180"/>
      <c r="AT179" s="180"/>
      <c r="AU179" s="180"/>
      <c r="AV179" s="180"/>
      <c r="AW179" s="180"/>
      <c r="AX179" s="180"/>
      <c r="AY179" s="180"/>
      <c r="AZ179" s="178"/>
      <c r="BA179" s="178"/>
      <c r="BB179" s="178"/>
      <c r="BC179" s="178"/>
      <c r="BD179" s="178"/>
      <c r="BE179" s="178"/>
      <c r="BF179" s="178"/>
      <c r="BG179" s="178"/>
      <c r="BH179" s="178"/>
    </row>
    <row r="180" spans="1:60" s="186" customFormat="1" ht="18.75" customHeight="1">
      <c r="B180" s="178"/>
      <c r="C180" s="180"/>
      <c r="D180" s="180"/>
      <c r="E180" s="180"/>
      <c r="K180" s="387"/>
      <c r="L180" s="387"/>
      <c r="M180" s="387"/>
      <c r="N180" s="381"/>
      <c r="O180" s="382"/>
      <c r="P180" s="382"/>
      <c r="Q180" s="382"/>
      <c r="R180" s="382"/>
      <c r="S180" s="381"/>
      <c r="T180" s="378"/>
      <c r="U180" s="378"/>
      <c r="V180" s="378"/>
      <c r="W180" s="386"/>
      <c r="X180" s="386"/>
      <c r="Y180" s="198"/>
      <c r="Z180" s="198"/>
      <c r="AA180" s="198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78"/>
      <c r="AO180" s="178"/>
      <c r="AP180" s="178"/>
      <c r="AQ180" s="178"/>
      <c r="AR180" s="180"/>
      <c r="AS180" s="180"/>
      <c r="AT180" s="180"/>
      <c r="AU180" s="180"/>
      <c r="AV180" s="180"/>
      <c r="AW180" s="180"/>
      <c r="AX180" s="180"/>
      <c r="AY180" s="180"/>
      <c r="AZ180" s="178"/>
      <c r="BA180" s="178"/>
      <c r="BB180" s="178"/>
      <c r="BC180" s="178"/>
      <c r="BD180" s="178"/>
      <c r="BE180" s="178"/>
      <c r="BF180" s="178"/>
      <c r="BG180" s="178"/>
      <c r="BH180" s="178"/>
    </row>
    <row r="181" spans="1:60" s="186" customFormat="1" ht="18.75" customHeight="1">
      <c r="B181" s="178"/>
      <c r="C181" s="180" t="s">
        <v>347</v>
      </c>
      <c r="D181" s="180"/>
      <c r="E181" s="180"/>
      <c r="F181" s="180"/>
      <c r="G181" s="180"/>
      <c r="H181" s="180"/>
      <c r="I181" s="379" t="str">
        <f>V65</f>
        <v>직사각형</v>
      </c>
      <c r="J181" s="379"/>
      <c r="K181" s="379"/>
      <c r="L181" s="379"/>
      <c r="M181" s="379"/>
      <c r="N181" s="379"/>
      <c r="O181" s="379"/>
      <c r="P181" s="379"/>
      <c r="Q181" s="180"/>
      <c r="R181" s="180"/>
      <c r="S181" s="180"/>
      <c r="T181" s="180"/>
      <c r="U181" s="180"/>
      <c r="V181" s="180"/>
      <c r="W181" s="180"/>
      <c r="X181" s="180"/>
      <c r="Y181" s="180"/>
      <c r="Z181" s="178"/>
      <c r="AA181" s="178"/>
      <c r="AB181" s="178"/>
      <c r="AC181" s="178"/>
      <c r="AD181" s="178"/>
      <c r="AE181" s="178"/>
      <c r="AF181" s="178"/>
      <c r="AG181" s="178"/>
      <c r="AH181" s="180"/>
      <c r="AI181" s="180"/>
      <c r="AJ181" s="180"/>
      <c r="AK181" s="180"/>
      <c r="AL181" s="178"/>
      <c r="AM181" s="178"/>
      <c r="AN181" s="178"/>
      <c r="AO181" s="178"/>
      <c r="AP181" s="178"/>
      <c r="AQ181" s="178"/>
      <c r="AR181" s="178"/>
      <c r="AS181" s="180"/>
      <c r="AT181" s="180"/>
      <c r="AU181" s="180"/>
      <c r="AV181" s="180"/>
      <c r="AW181" s="180"/>
      <c r="AX181" s="180"/>
      <c r="AY181" s="178"/>
      <c r="AZ181" s="178"/>
      <c r="BA181" s="178"/>
      <c r="BB181" s="178"/>
      <c r="BC181" s="178"/>
      <c r="BD181" s="178"/>
      <c r="BE181" s="178"/>
      <c r="BF181" s="178"/>
      <c r="BG181" s="178"/>
    </row>
    <row r="182" spans="1:60" s="186" customFormat="1" ht="18.75" customHeight="1">
      <c r="B182" s="178"/>
      <c r="C182" s="375" t="s">
        <v>348</v>
      </c>
      <c r="D182" s="375"/>
      <c r="E182" s="375"/>
      <c r="F182" s="375"/>
      <c r="G182" s="375"/>
      <c r="H182" s="375"/>
      <c r="I182" s="180"/>
      <c r="J182" s="180"/>
      <c r="K182" s="180"/>
      <c r="L182" s="180"/>
      <c r="M182" s="180"/>
      <c r="N182" s="180"/>
      <c r="O182" s="178"/>
      <c r="P182" s="199"/>
      <c r="Q182" s="199"/>
      <c r="R182" s="199"/>
      <c r="S182" s="180"/>
      <c r="T182" s="180"/>
      <c r="U182" s="180"/>
      <c r="V182" s="180"/>
      <c r="W182" s="180"/>
      <c r="X182" s="180"/>
      <c r="Y182" s="180"/>
      <c r="Z182" s="200"/>
      <c r="AA182" s="20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78"/>
      <c r="AM182" s="178"/>
      <c r="AN182" s="178"/>
      <c r="AO182" s="180"/>
      <c r="AP182" s="180"/>
      <c r="AQ182" s="180"/>
      <c r="AR182" s="180"/>
      <c r="AS182" s="180"/>
      <c r="AT182" s="180"/>
      <c r="AU182" s="180"/>
      <c r="AV182" s="180"/>
      <c r="AW182" s="180"/>
      <c r="AX182" s="180"/>
      <c r="AY182" s="178"/>
      <c r="AZ182" s="178"/>
      <c r="BA182" s="178"/>
      <c r="BB182" s="178"/>
      <c r="BC182" s="178"/>
      <c r="BD182" s="178"/>
      <c r="BE182" s="178"/>
      <c r="BF182" s="178"/>
      <c r="BG182" s="178"/>
    </row>
    <row r="183" spans="1:60" s="186" customFormat="1" ht="18.75" customHeight="1">
      <c r="B183" s="178"/>
      <c r="C183" s="375"/>
      <c r="D183" s="375"/>
      <c r="E183" s="375"/>
      <c r="F183" s="375"/>
      <c r="G183" s="375"/>
      <c r="H183" s="375"/>
      <c r="I183" s="180"/>
      <c r="J183" s="180"/>
      <c r="K183" s="180"/>
      <c r="L183" s="180"/>
      <c r="M183" s="180"/>
      <c r="N183" s="180"/>
      <c r="O183" s="180"/>
      <c r="P183" s="199"/>
      <c r="Q183" s="199"/>
      <c r="R183" s="199"/>
      <c r="S183" s="180"/>
      <c r="T183" s="180"/>
      <c r="U183" s="180"/>
      <c r="V183" s="180"/>
      <c r="W183" s="180"/>
      <c r="X183" s="180"/>
      <c r="Y183" s="180"/>
      <c r="Z183" s="200"/>
      <c r="AA183" s="20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78"/>
      <c r="AM183" s="178"/>
      <c r="AN183" s="178"/>
      <c r="AO183" s="180"/>
      <c r="AP183" s="180"/>
      <c r="AQ183" s="180"/>
      <c r="AR183" s="180"/>
      <c r="AS183" s="180"/>
      <c r="AT183" s="180"/>
      <c r="AU183" s="180"/>
      <c r="AV183" s="180"/>
      <c r="AW183" s="180"/>
      <c r="AX183" s="180"/>
      <c r="AY183" s="178"/>
      <c r="AZ183" s="178"/>
      <c r="BA183" s="178"/>
      <c r="BB183" s="178"/>
      <c r="BC183" s="178"/>
      <c r="BD183" s="178"/>
      <c r="BE183" s="178"/>
      <c r="BF183" s="178"/>
      <c r="BG183" s="178"/>
    </row>
    <row r="184" spans="1:60" s="186" customFormat="1" ht="18.75" customHeight="1">
      <c r="B184" s="178"/>
      <c r="C184" s="180" t="s">
        <v>349</v>
      </c>
      <c r="D184" s="180"/>
      <c r="E184" s="180"/>
      <c r="F184" s="180"/>
      <c r="G184" s="180"/>
      <c r="H184" s="180"/>
      <c r="I184" s="180"/>
      <c r="J184" s="178"/>
      <c r="K184" s="178" t="s">
        <v>312</v>
      </c>
      <c r="L184" s="370">
        <v>1</v>
      </c>
      <c r="M184" s="370"/>
      <c r="N184" s="255" t="s">
        <v>86</v>
      </c>
      <c r="O184" s="383">
        <f>T179</f>
        <v>0</v>
      </c>
      <c r="P184" s="383"/>
      <c r="Q184" s="383"/>
      <c r="R184" s="252" t="str">
        <f>W179</f>
        <v>μm</v>
      </c>
      <c r="S184" s="253"/>
      <c r="T184" s="251" t="s">
        <v>333</v>
      </c>
      <c r="U184" s="251" t="s">
        <v>290</v>
      </c>
      <c r="V184" s="378">
        <f>L184*O184</f>
        <v>0</v>
      </c>
      <c r="W184" s="378"/>
      <c r="X184" s="378"/>
      <c r="Y184" s="252" t="str">
        <f>R184</f>
        <v>μm</v>
      </c>
      <c r="Z184" s="252"/>
      <c r="AA184" s="201"/>
      <c r="AB184" s="201"/>
      <c r="AC184" s="190"/>
      <c r="AD184" s="251"/>
      <c r="AE184" s="250"/>
      <c r="AF184" s="178"/>
      <c r="AG184" s="178"/>
      <c r="AH184" s="178"/>
      <c r="AI184" s="178"/>
      <c r="AJ184" s="178"/>
      <c r="AK184" s="180"/>
      <c r="AL184" s="178"/>
      <c r="AM184" s="178"/>
      <c r="AN184" s="178"/>
      <c r="AO184" s="180"/>
      <c r="AP184" s="180"/>
      <c r="AQ184" s="180"/>
      <c r="AR184" s="180"/>
      <c r="AS184" s="180"/>
      <c r="AT184" s="180"/>
      <c r="AU184" s="180"/>
      <c r="AV184" s="180"/>
      <c r="AW184" s="180"/>
      <c r="AX184" s="180"/>
      <c r="AY184" s="178"/>
      <c r="AZ184" s="178"/>
      <c r="BA184" s="178"/>
      <c r="BB184" s="178"/>
      <c r="BC184" s="178"/>
      <c r="BD184" s="178"/>
      <c r="BE184" s="178"/>
      <c r="BF184" s="178"/>
      <c r="BG184" s="178"/>
    </row>
    <row r="185" spans="1:60" s="186" customFormat="1" ht="18.75" customHeight="1">
      <c r="B185" s="178"/>
      <c r="C185" s="375" t="s">
        <v>350</v>
      </c>
      <c r="D185" s="375"/>
      <c r="E185" s="375"/>
      <c r="F185" s="375"/>
      <c r="G185" s="375"/>
      <c r="H185" s="180"/>
      <c r="J185" s="180"/>
      <c r="K185" s="180"/>
      <c r="L185" s="180"/>
      <c r="M185" s="180"/>
      <c r="N185" s="180"/>
      <c r="O185" s="180"/>
      <c r="P185" s="180"/>
      <c r="Q185" s="180"/>
      <c r="R185" s="190"/>
      <c r="S185" s="180"/>
      <c r="T185" s="180"/>
      <c r="U185" s="180"/>
      <c r="V185" s="57"/>
      <c r="W185" s="180"/>
      <c r="X185" s="57" t="s">
        <v>94</v>
      </c>
      <c r="Y185" s="180"/>
      <c r="Z185" s="180"/>
      <c r="AA185" s="180"/>
      <c r="AB185" s="180"/>
      <c r="AC185" s="180"/>
      <c r="AD185" s="180"/>
      <c r="AE185" s="178"/>
      <c r="AF185" s="178"/>
      <c r="AG185" s="178"/>
      <c r="AH185" s="178"/>
      <c r="AI185" s="178"/>
      <c r="AJ185" s="178"/>
      <c r="AK185" s="178"/>
      <c r="AL185" s="178"/>
      <c r="AM185" s="178"/>
      <c r="AN185" s="178"/>
      <c r="AO185" s="178"/>
      <c r="AP185" s="178"/>
      <c r="AQ185" s="178"/>
      <c r="AR185" s="178"/>
      <c r="AS185" s="178"/>
      <c r="AT185" s="178"/>
      <c r="AU185" s="178"/>
      <c r="AV185" s="178"/>
      <c r="AW185" s="178"/>
      <c r="AX185" s="178"/>
      <c r="AY185" s="178"/>
      <c r="AZ185" s="178"/>
      <c r="BA185" s="178"/>
      <c r="BB185" s="178"/>
      <c r="BC185" s="178"/>
      <c r="BD185" s="178"/>
      <c r="BE185" s="178"/>
      <c r="BF185" s="178"/>
      <c r="BG185" s="178"/>
    </row>
    <row r="186" spans="1:60" s="186" customFormat="1" ht="18.75" customHeight="1">
      <c r="B186" s="178"/>
      <c r="C186" s="375"/>
      <c r="D186" s="375"/>
      <c r="E186" s="375"/>
      <c r="F186" s="375"/>
      <c r="G186" s="375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9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78"/>
      <c r="AF186" s="180"/>
      <c r="AG186" s="178"/>
      <c r="AH186" s="178"/>
      <c r="AI186" s="178"/>
      <c r="AJ186" s="178"/>
      <c r="AK186" s="178"/>
      <c r="AL186" s="178"/>
      <c r="AM186" s="178"/>
      <c r="AN186" s="178"/>
      <c r="AO186" s="178"/>
      <c r="AP186" s="178"/>
      <c r="AQ186" s="178"/>
      <c r="AR186" s="178"/>
      <c r="AS186" s="178"/>
      <c r="AT186" s="178"/>
      <c r="AU186" s="178"/>
      <c r="AV186" s="178"/>
      <c r="AW186" s="178"/>
      <c r="AX186" s="178"/>
      <c r="AY186" s="178"/>
      <c r="AZ186" s="178"/>
      <c r="BA186" s="178"/>
      <c r="BB186" s="178"/>
      <c r="BC186" s="178"/>
      <c r="BD186" s="178"/>
      <c r="BE186" s="178"/>
      <c r="BF186" s="178"/>
      <c r="BG186" s="178"/>
    </row>
    <row r="187" spans="1:60" s="186" customFormat="1" ht="18.75" customHeight="1">
      <c r="B187" s="178"/>
      <c r="C187" s="180"/>
      <c r="D187" s="180"/>
      <c r="E187" s="180"/>
      <c r="F187" s="180"/>
      <c r="G187" s="178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78"/>
      <c r="AF187" s="180"/>
      <c r="AG187" s="178"/>
      <c r="AH187" s="178"/>
      <c r="AI187" s="178"/>
      <c r="AJ187" s="178"/>
      <c r="AK187" s="178"/>
      <c r="AL187" s="178"/>
      <c r="AM187" s="178"/>
      <c r="AN187" s="178"/>
      <c r="AO187" s="178"/>
      <c r="AP187" s="178"/>
      <c r="AQ187" s="178"/>
      <c r="AR187" s="178"/>
      <c r="AS187" s="178"/>
      <c r="AT187" s="178"/>
      <c r="AU187" s="178"/>
      <c r="AV187" s="178"/>
      <c r="AW187" s="178"/>
      <c r="AX187" s="178"/>
      <c r="AY187" s="178"/>
      <c r="AZ187" s="178"/>
      <c r="BA187" s="178"/>
      <c r="BB187" s="178"/>
      <c r="BC187" s="178"/>
      <c r="BD187" s="178"/>
      <c r="BE187" s="178"/>
      <c r="BF187" s="178"/>
      <c r="BG187" s="178"/>
    </row>
    <row r="188" spans="1:60" s="186" customFormat="1" ht="18.75" customHeight="1">
      <c r="A188" s="58" t="s">
        <v>351</v>
      </c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8"/>
      <c r="V188" s="178"/>
      <c r="W188" s="178"/>
      <c r="X188" s="178"/>
      <c r="Y188" s="178"/>
      <c r="Z188" s="178"/>
      <c r="AA188" s="178"/>
      <c r="AB188" s="178"/>
      <c r="AC188" s="178"/>
      <c r="AD188" s="178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  <c r="AO188" s="178"/>
      <c r="AP188" s="178"/>
      <c r="AQ188" s="178"/>
      <c r="AR188" s="178"/>
      <c r="AS188" s="178"/>
      <c r="AT188" s="178"/>
      <c r="AU188" s="178"/>
      <c r="AV188" s="178"/>
      <c r="AW188" s="178"/>
      <c r="AX188" s="178"/>
      <c r="AY188" s="178"/>
      <c r="AZ188" s="178"/>
      <c r="BA188" s="178"/>
      <c r="BB188" s="178"/>
      <c r="BC188" s="178"/>
      <c r="BD188" s="178"/>
      <c r="BE188" s="178"/>
      <c r="BF188" s="178"/>
    </row>
    <row r="189" spans="1:60" s="186" customFormat="1" ht="18.75" customHeight="1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  <c r="X189" s="178"/>
      <c r="Y189" s="178"/>
      <c r="Z189" s="178"/>
      <c r="AA189" s="178"/>
      <c r="AB189" s="178"/>
      <c r="AC189" s="178"/>
      <c r="AD189" s="178"/>
      <c r="AE189" s="180"/>
      <c r="AF189" s="178"/>
      <c r="AG189" s="178"/>
      <c r="AH189" s="178"/>
      <c r="AI189" s="178"/>
      <c r="AJ189" s="178"/>
      <c r="AK189" s="178"/>
      <c r="AL189" s="178"/>
      <c r="AM189" s="178"/>
      <c r="AN189" s="178"/>
      <c r="AO189" s="178"/>
      <c r="AP189" s="178"/>
      <c r="AQ189" s="178"/>
      <c r="AR189" s="178"/>
      <c r="AS189" s="178"/>
      <c r="AT189" s="178"/>
      <c r="AU189" s="178"/>
      <c r="AV189" s="178"/>
      <c r="AW189" s="178"/>
      <c r="AX189" s="178"/>
      <c r="AY189" s="178"/>
      <c r="AZ189" s="178"/>
      <c r="BA189" s="178"/>
      <c r="BB189" s="178"/>
      <c r="BC189" s="178"/>
      <c r="BD189" s="178"/>
      <c r="BE189" s="178"/>
      <c r="BF189" s="178"/>
    </row>
    <row r="190" spans="1:60" s="59" customFormat="1" ht="18.75" customHeight="1">
      <c r="A190" s="180"/>
      <c r="B190" s="265"/>
      <c r="C190" s="265"/>
      <c r="D190" s="180"/>
      <c r="E190" s="178" t="s">
        <v>290</v>
      </c>
      <c r="F190" s="453" t="e">
        <f>Calcu!Q34</f>
        <v>#DIV/0!</v>
      </c>
      <c r="G190" s="453"/>
      <c r="H190" s="453"/>
      <c r="I190" s="180" t="s">
        <v>336</v>
      </c>
      <c r="J190" s="180"/>
      <c r="K190" s="370" t="s">
        <v>98</v>
      </c>
      <c r="L190" s="370"/>
      <c r="M190" s="453">
        <f>Calcu!Q35</f>
        <v>0</v>
      </c>
      <c r="N190" s="453"/>
      <c r="O190" s="453"/>
      <c r="P190" s="180" t="s">
        <v>147</v>
      </c>
      <c r="Q190" s="180"/>
      <c r="R190" s="370" t="s">
        <v>352</v>
      </c>
      <c r="S190" s="370"/>
      <c r="T190" s="453" t="e">
        <f>Calcu!Q36</f>
        <v>#VALUE!</v>
      </c>
      <c r="U190" s="453"/>
      <c r="V190" s="453"/>
      <c r="W190" s="180" t="s">
        <v>147</v>
      </c>
      <c r="X190" s="180"/>
      <c r="Y190" s="370" t="s">
        <v>352</v>
      </c>
      <c r="Z190" s="370"/>
      <c r="AA190" s="453" t="e">
        <f>Calcu!Q38</f>
        <v>#VALUE!</v>
      </c>
      <c r="AB190" s="453"/>
      <c r="AC190" s="453"/>
      <c r="AD190" s="180" t="s">
        <v>147</v>
      </c>
      <c r="AE190" s="180"/>
      <c r="AF190" s="370" t="s">
        <v>352</v>
      </c>
      <c r="AG190" s="370"/>
      <c r="AH190" s="453" t="e">
        <f ca="1">Calcu!Q37</f>
        <v>#N/A</v>
      </c>
      <c r="AI190" s="453"/>
      <c r="AJ190" s="453"/>
      <c r="AK190" s="180" t="s">
        <v>336</v>
      </c>
      <c r="AL190" s="180"/>
      <c r="AM190" s="180"/>
      <c r="AN190" s="180"/>
      <c r="AO190" s="183"/>
      <c r="AP190" s="180"/>
      <c r="AQ190" s="180"/>
      <c r="AR190" s="180"/>
      <c r="AS190" s="180"/>
      <c r="AT190" s="180"/>
      <c r="AU190" s="180"/>
      <c r="AV190" s="180"/>
      <c r="AW190" s="180"/>
      <c r="AX190" s="180"/>
      <c r="AY190" s="180"/>
      <c r="AZ190" s="180"/>
      <c r="BA190" s="180"/>
      <c r="BB190" s="180"/>
      <c r="BC190" s="180"/>
      <c r="BD190" s="180"/>
      <c r="BE190" s="180"/>
      <c r="BF190" s="180"/>
      <c r="BG190" s="180"/>
      <c r="BH190" s="180"/>
    </row>
    <row r="191" spans="1:60" s="59" customFormat="1" ht="18.75" customHeight="1">
      <c r="A191" s="180"/>
      <c r="B191" s="265"/>
      <c r="C191" s="265"/>
      <c r="D191" s="180"/>
      <c r="E191" s="180"/>
      <c r="F191" s="370" t="s">
        <v>352</v>
      </c>
      <c r="G191" s="370"/>
      <c r="H191" s="453" t="e">
        <f ca="1">Calcu!Q39</f>
        <v>#N/A</v>
      </c>
      <c r="I191" s="453"/>
      <c r="J191" s="453"/>
      <c r="K191" s="180" t="s">
        <v>336</v>
      </c>
      <c r="L191" s="180"/>
      <c r="M191" s="370" t="s">
        <v>352</v>
      </c>
      <c r="N191" s="370"/>
      <c r="O191" s="453">
        <f>Calcu!Q40</f>
        <v>0</v>
      </c>
      <c r="P191" s="453"/>
      <c r="Q191" s="453"/>
      <c r="R191" s="180" t="s">
        <v>147</v>
      </c>
      <c r="S191" s="180"/>
      <c r="T191" s="370" t="s">
        <v>352</v>
      </c>
      <c r="U191" s="370"/>
      <c r="V191" s="453">
        <f>Calcu!Q41</f>
        <v>0</v>
      </c>
      <c r="W191" s="453"/>
      <c r="X191" s="453"/>
      <c r="Y191" s="180" t="s">
        <v>147</v>
      </c>
      <c r="Z191" s="180"/>
      <c r="AA191" s="180"/>
      <c r="AB191" s="180"/>
      <c r="AC191" s="180"/>
      <c r="AD191" s="63"/>
      <c r="AE191" s="63"/>
      <c r="AF191" s="63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  <c r="AX191" s="180"/>
      <c r="AY191" s="180"/>
      <c r="AZ191" s="180"/>
      <c r="BA191" s="180"/>
      <c r="BB191" s="180"/>
      <c r="BC191" s="180"/>
      <c r="BD191" s="180"/>
      <c r="BE191" s="180"/>
      <c r="BF191" s="180"/>
      <c r="BG191" s="180"/>
      <c r="BH191" s="180"/>
    </row>
    <row r="192" spans="1:60" s="59" customFormat="1" ht="18.75" customHeight="1">
      <c r="A192" s="180"/>
      <c r="B192" s="265"/>
      <c r="C192" s="265"/>
      <c r="D192" s="180"/>
      <c r="E192" s="178" t="s">
        <v>289</v>
      </c>
      <c r="F192" s="453" t="e">
        <f>Calcu!Q42</f>
        <v>#DIV/0!</v>
      </c>
      <c r="G192" s="453"/>
      <c r="H192" s="453"/>
      <c r="I192" s="180" t="s">
        <v>147</v>
      </c>
      <c r="J192" s="180"/>
      <c r="K192" s="180"/>
      <c r="L192" s="180"/>
      <c r="M192" s="203"/>
      <c r="N192" s="203"/>
      <c r="O192" s="203"/>
      <c r="P192" s="203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78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180"/>
      <c r="BG192" s="180"/>
      <c r="BH192" s="180"/>
    </row>
    <row r="193" spans="1:78" s="59" customFormat="1" ht="18.75" customHeight="1">
      <c r="A193" s="180"/>
      <c r="B193" s="180"/>
      <c r="C193" s="180"/>
      <c r="D193" s="182"/>
      <c r="E193" s="182"/>
      <c r="F193" s="182"/>
      <c r="G193" s="180"/>
      <c r="H193" s="180"/>
      <c r="I193" s="178"/>
      <c r="J193" s="178"/>
      <c r="K193" s="204"/>
      <c r="L193" s="204"/>
      <c r="M193" s="204"/>
      <c r="N193" s="204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0"/>
      <c r="AZ193" s="180"/>
      <c r="BA193" s="180"/>
      <c r="BB193" s="180"/>
      <c r="BC193" s="180"/>
      <c r="BD193" s="180"/>
      <c r="BE193" s="180"/>
      <c r="BF193" s="180"/>
    </row>
    <row r="194" spans="1:78" s="186" customFormat="1" ht="18.75" customHeight="1">
      <c r="A194" s="178"/>
      <c r="B194" s="178"/>
      <c r="C194" s="178"/>
      <c r="D194" s="191" t="s">
        <v>501</v>
      </c>
      <c r="E194" s="186" t="s">
        <v>502</v>
      </c>
      <c r="F194" s="453" t="e">
        <f>F192</f>
        <v>#DIV/0!</v>
      </c>
      <c r="G194" s="453"/>
      <c r="H194" s="453"/>
      <c r="I194" s="180" t="s">
        <v>336</v>
      </c>
      <c r="J194" s="203"/>
      <c r="K194" s="203"/>
      <c r="L194" s="203"/>
      <c r="M194" s="203"/>
      <c r="N194" s="178"/>
      <c r="O194" s="178"/>
      <c r="P194" s="180"/>
      <c r="Q194" s="178"/>
      <c r="R194" s="178"/>
      <c r="S194" s="178"/>
      <c r="T194" s="178"/>
      <c r="U194" s="178"/>
      <c r="V194" s="178"/>
      <c r="W194" s="178"/>
      <c r="X194" s="178"/>
      <c r="Y194" s="178"/>
      <c r="Z194" s="178"/>
      <c r="AA194" s="178"/>
      <c r="AB194" s="178"/>
      <c r="AC194" s="178"/>
      <c r="AD194" s="178"/>
      <c r="AE194" s="180"/>
      <c r="AF194" s="178"/>
      <c r="AG194" s="178"/>
      <c r="AH194" s="178"/>
      <c r="AI194" s="178"/>
      <c r="AJ194" s="178"/>
      <c r="AK194" s="178"/>
      <c r="AL194" s="178"/>
      <c r="AM194" s="178"/>
      <c r="AN194" s="178"/>
      <c r="AO194" s="178"/>
      <c r="AP194" s="178"/>
      <c r="AQ194" s="178"/>
      <c r="AR194" s="178"/>
      <c r="AS194" s="178"/>
      <c r="AT194" s="178"/>
      <c r="AU194" s="178"/>
      <c r="AV194" s="178"/>
      <c r="AW194" s="178"/>
      <c r="AX194" s="178"/>
      <c r="AY194" s="178"/>
      <c r="AZ194" s="178"/>
      <c r="BA194" s="178"/>
      <c r="BB194" s="178"/>
      <c r="BC194" s="178"/>
      <c r="BD194" s="178"/>
      <c r="BE194" s="178"/>
      <c r="BF194" s="178"/>
    </row>
    <row r="195" spans="1:78" s="180" customFormat="1" ht="18.75" customHeight="1"/>
    <row r="196" spans="1:78" ht="18.75" customHeight="1">
      <c r="A196" s="58" t="s">
        <v>353</v>
      </c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</row>
    <row r="197" spans="1:78" ht="18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374" t="e">
        <f>F194</f>
        <v>#DIV/0!</v>
      </c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74"/>
      <c r="Z197" s="374"/>
      <c r="AA197" s="374"/>
      <c r="AB197" s="374"/>
      <c r="AC197" s="374"/>
      <c r="AD197" s="374"/>
      <c r="AE197" s="374"/>
      <c r="AF197" s="374"/>
      <c r="AG197" s="374"/>
      <c r="AH197" s="374"/>
      <c r="AI197" s="374"/>
      <c r="AJ197" s="374"/>
      <c r="AK197" s="374"/>
      <c r="AL197" s="374"/>
      <c r="AM197" s="374"/>
      <c r="AN197" s="374"/>
      <c r="AO197" s="374"/>
      <c r="AP197" s="374"/>
      <c r="AQ197" s="374"/>
      <c r="AR197" s="374"/>
      <c r="AS197" s="374"/>
      <c r="AT197" s="374"/>
      <c r="AU197" s="374"/>
      <c r="AV197" s="374"/>
      <c r="AW197" s="370" t="s">
        <v>290</v>
      </c>
      <c r="AX197" s="372" t="e">
        <f>TRIM(Calcu!S42)</f>
        <v>#VALUE!</v>
      </c>
      <c r="AY197" s="372"/>
      <c r="AZ197" s="372"/>
      <c r="BA197" s="57"/>
      <c r="BB197" s="57"/>
      <c r="BC197" s="57"/>
      <c r="BD197" s="57"/>
      <c r="BE197" s="180"/>
      <c r="BF197" s="180"/>
      <c r="BI197" s="205"/>
      <c r="BJ197" s="205"/>
      <c r="BK197" s="205"/>
      <c r="BL197" s="205"/>
      <c r="BM197" s="205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</row>
    <row r="198" spans="1:78" ht="18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373" t="e">
        <f>Calcu!Q34</f>
        <v>#DIV/0!</v>
      </c>
      <c r="K198" s="373"/>
      <c r="L198" s="373"/>
      <c r="M198" s="373"/>
      <c r="N198" s="370" t="s">
        <v>98</v>
      </c>
      <c r="O198" s="373">
        <f>Calcu!Q35</f>
        <v>0</v>
      </c>
      <c r="P198" s="373"/>
      <c r="Q198" s="373"/>
      <c r="R198" s="373"/>
      <c r="S198" s="370" t="s">
        <v>98</v>
      </c>
      <c r="T198" s="374" t="e">
        <f>Calcu!Q36</f>
        <v>#VALUE!</v>
      </c>
      <c r="U198" s="374"/>
      <c r="V198" s="374"/>
      <c r="W198" s="374"/>
      <c r="X198" s="370" t="s">
        <v>352</v>
      </c>
      <c r="Y198" s="373" t="e">
        <f>Calcu!Q38</f>
        <v>#VALUE!</v>
      </c>
      <c r="Z198" s="373"/>
      <c r="AA198" s="373"/>
      <c r="AB198" s="373"/>
      <c r="AC198" s="370" t="s">
        <v>98</v>
      </c>
      <c r="AD198" s="374" t="e">
        <f ca="1">Calcu!Q37</f>
        <v>#N/A</v>
      </c>
      <c r="AE198" s="374"/>
      <c r="AF198" s="374"/>
      <c r="AG198" s="374"/>
      <c r="AH198" s="370" t="s">
        <v>352</v>
      </c>
      <c r="AI198" s="374" t="e">
        <f ca="1">Calcu!Q39</f>
        <v>#N/A</v>
      </c>
      <c r="AJ198" s="374"/>
      <c r="AK198" s="374"/>
      <c r="AL198" s="374"/>
      <c r="AM198" s="370" t="s">
        <v>352</v>
      </c>
      <c r="AN198" s="374">
        <f>Calcu!Q40</f>
        <v>0</v>
      </c>
      <c r="AO198" s="374"/>
      <c r="AP198" s="374"/>
      <c r="AQ198" s="374"/>
      <c r="AR198" s="370" t="s">
        <v>98</v>
      </c>
      <c r="AS198" s="374">
        <f>Calcu!Q41</f>
        <v>0</v>
      </c>
      <c r="AT198" s="374"/>
      <c r="AU198" s="374"/>
      <c r="AV198" s="374"/>
      <c r="AW198" s="370"/>
      <c r="AX198" s="372"/>
      <c r="AY198" s="372"/>
      <c r="AZ198" s="372"/>
      <c r="BA198" s="57"/>
      <c r="BB198" s="57"/>
      <c r="BC198" s="57"/>
      <c r="BD198" s="57"/>
      <c r="BE198" s="57"/>
      <c r="BF198" s="57"/>
      <c r="BI198" s="205"/>
      <c r="BJ198" s="205"/>
      <c r="BK198" s="205"/>
      <c r="BL198" s="205"/>
      <c r="BM198" s="205"/>
    </row>
    <row r="199" spans="1:78" ht="18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370" t="str">
        <f>Calcu!S34</f>
        <v>∞</v>
      </c>
      <c r="K199" s="370"/>
      <c r="L199" s="370"/>
      <c r="M199" s="370"/>
      <c r="N199" s="370"/>
      <c r="O199" s="370" t="str">
        <f>Calcu!S35</f>
        <v>∞</v>
      </c>
      <c r="P199" s="370"/>
      <c r="Q199" s="370"/>
      <c r="R199" s="370"/>
      <c r="S199" s="370"/>
      <c r="T199" s="370">
        <f>Calcu!S36</f>
        <v>100</v>
      </c>
      <c r="U199" s="370"/>
      <c r="V199" s="370"/>
      <c r="W199" s="370"/>
      <c r="X199" s="370"/>
      <c r="Y199" s="370">
        <f>Calcu!S38</f>
        <v>100</v>
      </c>
      <c r="Z199" s="370"/>
      <c r="AA199" s="370"/>
      <c r="AB199" s="370"/>
      <c r="AC199" s="370"/>
      <c r="AD199" s="398">
        <f>Calcu!S37</f>
        <v>12</v>
      </c>
      <c r="AE199" s="398"/>
      <c r="AF199" s="398"/>
      <c r="AG199" s="398"/>
      <c r="AH199" s="370"/>
      <c r="AI199" s="370">
        <f>Calcu!S39</f>
        <v>12</v>
      </c>
      <c r="AJ199" s="370"/>
      <c r="AK199" s="370"/>
      <c r="AL199" s="370"/>
      <c r="AM199" s="370"/>
      <c r="AN199" s="370" t="str">
        <f>Calcu!S40</f>
        <v>∞</v>
      </c>
      <c r="AO199" s="370"/>
      <c r="AP199" s="370"/>
      <c r="AQ199" s="370"/>
      <c r="AR199" s="370"/>
      <c r="AS199" s="370" t="str">
        <f>Calcu!S41</f>
        <v>∞</v>
      </c>
      <c r="AT199" s="370"/>
      <c r="AU199" s="370"/>
      <c r="AV199" s="370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</row>
    <row r="200" spans="1:78" ht="18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</row>
    <row r="201" spans="1:78" ht="18.75" customHeight="1">
      <c r="A201" s="58" t="s">
        <v>406</v>
      </c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</row>
    <row r="202" spans="1:78" ht="18.75" customHeight="1">
      <c r="A202" s="58"/>
      <c r="B202" s="57" t="s">
        <v>354</v>
      </c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</row>
    <row r="203" spans="1:78" ht="18.75" customHeight="1">
      <c r="A203" s="58"/>
      <c r="B203" s="57"/>
      <c r="C203" s="57" t="s">
        <v>355</v>
      </c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spans="1:78" ht="18.75" customHeight="1">
      <c r="A204" s="58"/>
      <c r="B204" s="57"/>
      <c r="C204" s="56" t="s">
        <v>356</v>
      </c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</row>
    <row r="205" spans="1:78" ht="18.75" customHeight="1">
      <c r="A205" s="58"/>
      <c r="B205" s="57"/>
      <c r="C205" s="180" t="s">
        <v>357</v>
      </c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</row>
    <row r="206" spans="1:78" ht="18.75" customHeight="1">
      <c r="A206" s="58"/>
      <c r="B206" s="57"/>
      <c r="D206" s="57"/>
      <c r="E206" s="191"/>
      <c r="F206" s="57"/>
      <c r="G206" s="184"/>
      <c r="H206" s="178"/>
      <c r="I206" s="178"/>
      <c r="J206" s="178"/>
      <c r="R206" s="191"/>
      <c r="S206" s="206"/>
      <c r="T206" s="206"/>
      <c r="U206" s="206"/>
      <c r="V206" s="206"/>
      <c r="W206" s="206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</row>
    <row r="207" spans="1:78" ht="18.75" customHeight="1">
      <c r="A207" s="58"/>
      <c r="B207" s="57" t="s">
        <v>359</v>
      </c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</row>
    <row r="208" spans="1:78" ht="18.75" customHeight="1">
      <c r="A208" s="58"/>
      <c r="B208" s="57"/>
      <c r="C208" s="57" t="s">
        <v>360</v>
      </c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</row>
    <row r="209" spans="1:56" ht="18.75" customHeight="1">
      <c r="B209" s="57"/>
      <c r="C209" s="57" t="s">
        <v>361</v>
      </c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</row>
    <row r="210" spans="1:56" ht="18.75" customHeight="1">
      <c r="A210" s="57"/>
      <c r="B210" s="57"/>
      <c r="C210" s="56" t="s">
        <v>414</v>
      </c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</row>
    <row r="211" spans="1:56" ht="18.75" customHeight="1">
      <c r="A211" s="57"/>
      <c r="B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</row>
    <row r="212" spans="1:56" ht="18.75" customHeight="1">
      <c r="A212" s="57"/>
      <c r="B212" s="57"/>
      <c r="C212" s="57"/>
      <c r="D212" s="57"/>
      <c r="E212" s="60"/>
      <c r="F212" s="57"/>
      <c r="G212" s="57"/>
      <c r="H212" s="184" t="s">
        <v>362</v>
      </c>
      <c r="I212" s="370" t="e">
        <f ca="1">Calcu!E57</f>
        <v>#DIV/0!</v>
      </c>
      <c r="J212" s="370"/>
      <c r="K212" s="370"/>
      <c r="L212" s="185" t="s">
        <v>358</v>
      </c>
      <c r="M212" s="371" t="e">
        <f>F194</f>
        <v>#DIV/0!</v>
      </c>
      <c r="N212" s="371"/>
      <c r="O212" s="371"/>
      <c r="P212" s="371"/>
      <c r="Q212" s="57" t="s">
        <v>363</v>
      </c>
      <c r="R212" s="369" t="e">
        <f ca="1">I212*M212</f>
        <v>#DIV/0!</v>
      </c>
      <c r="S212" s="369"/>
      <c r="T212" s="369"/>
      <c r="U212" s="369"/>
      <c r="V212" s="178"/>
      <c r="W212" s="183"/>
      <c r="AL212" s="57"/>
      <c r="AM212" s="57"/>
      <c r="AN212" s="57"/>
      <c r="AO212" s="57"/>
      <c r="AP212" s="57"/>
      <c r="AQ212" s="57"/>
      <c r="AR212" s="57"/>
      <c r="AS212" s="57"/>
      <c r="AT212" s="57"/>
    </row>
  </sheetData>
  <mergeCells count="532">
    <mergeCell ref="Y165:AA166"/>
    <mergeCell ref="AB165:AC166"/>
    <mergeCell ref="O170:Q170"/>
    <mergeCell ref="V170:X170"/>
    <mergeCell ref="K179:M180"/>
    <mergeCell ref="N179:N180"/>
    <mergeCell ref="O179:P179"/>
    <mergeCell ref="T179:V180"/>
    <mergeCell ref="W179:X180"/>
    <mergeCell ref="S165:S166"/>
    <mergeCell ref="X165:X166"/>
    <mergeCell ref="T166:W166"/>
    <mergeCell ref="N152:N153"/>
    <mergeCell ref="O152:P152"/>
    <mergeCell ref="J72:L73"/>
    <mergeCell ref="M72:M73"/>
    <mergeCell ref="Q73:U73"/>
    <mergeCell ref="K85:M86"/>
    <mergeCell ref="N85:N86"/>
    <mergeCell ref="K88:M89"/>
    <mergeCell ref="N88:N89"/>
    <mergeCell ref="L93:M93"/>
    <mergeCell ref="O93:Q93"/>
    <mergeCell ref="R93:S93"/>
    <mergeCell ref="H98:J98"/>
    <mergeCell ref="C97:U97"/>
    <mergeCell ref="H151:O151"/>
    <mergeCell ref="S152:S153"/>
    <mergeCell ref="T152:Y153"/>
    <mergeCell ref="L140:O140"/>
    <mergeCell ref="N72:O72"/>
    <mergeCell ref="P72:P73"/>
    <mergeCell ref="M75:N76"/>
    <mergeCell ref="L77:M77"/>
    <mergeCell ref="V77:X77"/>
    <mergeCell ref="I74:P74"/>
    <mergeCell ref="C182:H183"/>
    <mergeCell ref="C185:G186"/>
    <mergeCell ref="F190:H190"/>
    <mergeCell ref="K190:L190"/>
    <mergeCell ref="F192:H192"/>
    <mergeCell ref="F194:H194"/>
    <mergeCell ref="F191:G191"/>
    <mergeCell ref="H191:J191"/>
    <mergeCell ref="C171:G172"/>
    <mergeCell ref="H177:O177"/>
    <mergeCell ref="J197:AV197"/>
    <mergeCell ref="AS199:AV199"/>
    <mergeCell ref="M190:O190"/>
    <mergeCell ref="R190:S190"/>
    <mergeCell ref="T190:V190"/>
    <mergeCell ref="Y190:Z190"/>
    <mergeCell ref="AA190:AC190"/>
    <mergeCell ref="AF190:AG190"/>
    <mergeCell ref="AH190:AJ190"/>
    <mergeCell ref="M191:N191"/>
    <mergeCell ref="O191:Q191"/>
    <mergeCell ref="T191:U191"/>
    <mergeCell ref="AI199:AL199"/>
    <mergeCell ref="AD199:AG199"/>
    <mergeCell ref="AN199:AQ199"/>
    <mergeCell ref="V191:X191"/>
    <mergeCell ref="AA27:AE27"/>
    <mergeCell ref="Q25:U25"/>
    <mergeCell ref="V25:Z25"/>
    <mergeCell ref="C158:G159"/>
    <mergeCell ref="H163:O163"/>
    <mergeCell ref="C168:H169"/>
    <mergeCell ref="L170:M170"/>
    <mergeCell ref="B25:F25"/>
    <mergeCell ref="G25:K25"/>
    <mergeCell ref="L25:P25"/>
    <mergeCell ref="G29:K29"/>
    <mergeCell ref="L29:P29"/>
    <mergeCell ref="Q29:U29"/>
    <mergeCell ref="V29:Z29"/>
    <mergeCell ref="B31:F31"/>
    <mergeCell ref="G31:K31"/>
    <mergeCell ref="L31:P31"/>
    <mergeCell ref="Q31:U31"/>
    <mergeCell ref="V31:Z31"/>
    <mergeCell ref="I83:M83"/>
    <mergeCell ref="N83:O83"/>
    <mergeCell ref="Q84:S84"/>
    <mergeCell ref="H60:L60"/>
    <mergeCell ref="M60:N60"/>
    <mergeCell ref="V9:Z9"/>
    <mergeCell ref="AA9:AE9"/>
    <mergeCell ref="B10:F10"/>
    <mergeCell ref="L109:O109"/>
    <mergeCell ref="M65:N6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W72:Y73"/>
    <mergeCell ref="Z72:AA73"/>
    <mergeCell ref="B29:F29"/>
    <mergeCell ref="AP56:AS56"/>
    <mergeCell ref="AP57:AS57"/>
    <mergeCell ref="AP55:AS55"/>
    <mergeCell ref="V55:Z55"/>
    <mergeCell ref="AA55:AG55"/>
    <mergeCell ref="AH55:AO55"/>
    <mergeCell ref="AA60:AD60"/>
    <mergeCell ref="AE60:AG60"/>
    <mergeCell ref="AH56:AO56"/>
    <mergeCell ref="V57:Z57"/>
    <mergeCell ref="AA57:AG57"/>
    <mergeCell ref="AH57:AO57"/>
    <mergeCell ref="AP59:AS59"/>
    <mergeCell ref="AH58:AL58"/>
    <mergeCell ref="AM58:AO58"/>
    <mergeCell ref="AP58:AS58"/>
    <mergeCell ref="AM60:AO60"/>
    <mergeCell ref="AP60:AS60"/>
    <mergeCell ref="V56:Z56"/>
    <mergeCell ref="AA56:AG56"/>
    <mergeCell ref="B58:C58"/>
    <mergeCell ref="AA58:AG58"/>
    <mergeCell ref="B62:C62"/>
    <mergeCell ref="AA62:AD62"/>
    <mergeCell ref="AE62:AG62"/>
    <mergeCell ref="B64:C64"/>
    <mergeCell ref="M64:N64"/>
    <mergeCell ref="O64:R64"/>
    <mergeCell ref="S64:U64"/>
    <mergeCell ref="V64:Z64"/>
    <mergeCell ref="AA64:AG64"/>
    <mergeCell ref="X155:Z156"/>
    <mergeCell ref="B61:C61"/>
    <mergeCell ref="D61:G61"/>
    <mergeCell ref="H61:L61"/>
    <mergeCell ref="B59:C59"/>
    <mergeCell ref="D59:G59"/>
    <mergeCell ref="T84:U84"/>
    <mergeCell ref="C75:H76"/>
    <mergeCell ref="C99:I100"/>
    <mergeCell ref="J121:L122"/>
    <mergeCell ref="C121:I122"/>
    <mergeCell ref="C155:H156"/>
    <mergeCell ref="P155:R156"/>
    <mergeCell ref="J99:W100"/>
    <mergeCell ref="J101:Z102"/>
    <mergeCell ref="M121:M122"/>
    <mergeCell ref="N121:O121"/>
    <mergeCell ref="S121:U122"/>
    <mergeCell ref="V121:W122"/>
    <mergeCell ref="K152:M153"/>
    <mergeCell ref="Y93:Z93"/>
    <mergeCell ref="I71:M71"/>
    <mergeCell ref="N71:O71"/>
    <mergeCell ref="Y77:Z77"/>
    <mergeCell ref="G10:K10"/>
    <mergeCell ref="L10:P10"/>
    <mergeCell ref="Q10:U10"/>
    <mergeCell ref="V10:Z10"/>
    <mergeCell ref="H59:L59"/>
    <mergeCell ref="D58:G58"/>
    <mergeCell ref="H58:L58"/>
    <mergeCell ref="V58:Z58"/>
    <mergeCell ref="S59:U59"/>
    <mergeCell ref="B13:F13"/>
    <mergeCell ref="G13:K13"/>
    <mergeCell ref="L13:P13"/>
    <mergeCell ref="Q13:U13"/>
    <mergeCell ref="V13:Z13"/>
    <mergeCell ref="B17:F17"/>
    <mergeCell ref="G17:K17"/>
    <mergeCell ref="L17:P17"/>
    <mergeCell ref="Q17:U17"/>
    <mergeCell ref="V17:Z17"/>
    <mergeCell ref="B19:F19"/>
    <mergeCell ref="G19:K19"/>
    <mergeCell ref="L19:P19"/>
    <mergeCell ref="Q19:U19"/>
    <mergeCell ref="V19:Z19"/>
    <mergeCell ref="AA10:AE10"/>
    <mergeCell ref="AF10:AJ10"/>
    <mergeCell ref="AF31:AJ31"/>
    <mergeCell ref="AH60:AL60"/>
    <mergeCell ref="M61:N61"/>
    <mergeCell ref="O61:R61"/>
    <mergeCell ref="S61:U61"/>
    <mergeCell ref="V61:Z61"/>
    <mergeCell ref="AA61:AD61"/>
    <mergeCell ref="AE61:AG61"/>
    <mergeCell ref="AH61:AL61"/>
    <mergeCell ref="V59:Z59"/>
    <mergeCell ref="AA59:AG59"/>
    <mergeCell ref="AH59:AL59"/>
    <mergeCell ref="AA25:AE25"/>
    <mergeCell ref="AF25:AJ25"/>
    <mergeCell ref="AK25:AO25"/>
    <mergeCell ref="M59:N59"/>
    <mergeCell ref="O59:R59"/>
    <mergeCell ref="AK31:AO31"/>
    <mergeCell ref="AM59:AO59"/>
    <mergeCell ref="M58:N58"/>
    <mergeCell ref="O58:R58"/>
    <mergeCell ref="S58:U58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22:F22"/>
    <mergeCell ref="G22:K22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36:E36"/>
    <mergeCell ref="C38:E38"/>
    <mergeCell ref="AA31:AE31"/>
    <mergeCell ref="C37:E37"/>
    <mergeCell ref="C39:E39"/>
    <mergeCell ref="C46:E46"/>
    <mergeCell ref="B55:C57"/>
    <mergeCell ref="D55:G55"/>
    <mergeCell ref="H55:N55"/>
    <mergeCell ref="O55:U55"/>
    <mergeCell ref="D56:G56"/>
    <mergeCell ref="H56:N56"/>
    <mergeCell ref="O56:U56"/>
    <mergeCell ref="C40:E40"/>
    <mergeCell ref="C41:E41"/>
    <mergeCell ref="C42:E42"/>
    <mergeCell ref="C43:E43"/>
    <mergeCell ref="C44:E44"/>
    <mergeCell ref="C45:E45"/>
    <mergeCell ref="D57:G57"/>
    <mergeCell ref="H57:N57"/>
    <mergeCell ref="O57:U57"/>
    <mergeCell ref="AH62:AL62"/>
    <mergeCell ref="AM62:AO62"/>
    <mergeCell ref="AP62:AS62"/>
    <mergeCell ref="B60:C60"/>
    <mergeCell ref="D60:G60"/>
    <mergeCell ref="AM61:AO61"/>
    <mergeCell ref="AP61:AS61"/>
    <mergeCell ref="AH63:AL63"/>
    <mergeCell ref="AM63:AO63"/>
    <mergeCell ref="AP63:AS63"/>
    <mergeCell ref="O60:R60"/>
    <mergeCell ref="S60:U60"/>
    <mergeCell ref="V60:Z60"/>
    <mergeCell ref="D62:G62"/>
    <mergeCell ref="H62:L62"/>
    <mergeCell ref="M62:N62"/>
    <mergeCell ref="O62:R62"/>
    <mergeCell ref="S62:U62"/>
    <mergeCell ref="V62:Z62"/>
    <mergeCell ref="AE63:AG63"/>
    <mergeCell ref="AH64:AL64"/>
    <mergeCell ref="AM64:AO64"/>
    <mergeCell ref="AP64:AS64"/>
    <mergeCell ref="B63:C63"/>
    <mergeCell ref="D63:G63"/>
    <mergeCell ref="H63:L63"/>
    <mergeCell ref="M63:N63"/>
    <mergeCell ref="O63:R63"/>
    <mergeCell ref="S63:U63"/>
    <mergeCell ref="V63:Z63"/>
    <mergeCell ref="AA63:AD63"/>
    <mergeCell ref="D64:G64"/>
    <mergeCell ref="H64:L64"/>
    <mergeCell ref="AP65:AS65"/>
    <mergeCell ref="B66:C66"/>
    <mergeCell ref="D66:G66"/>
    <mergeCell ref="H66:L66"/>
    <mergeCell ref="O66:U66"/>
    <mergeCell ref="V66:Z66"/>
    <mergeCell ref="AA66:AG66"/>
    <mergeCell ref="AH66:AL66"/>
    <mergeCell ref="AM66:AO66"/>
    <mergeCell ref="AP66:AS66"/>
    <mergeCell ref="B65:C65"/>
    <mergeCell ref="D65:G65"/>
    <mergeCell ref="H65:L65"/>
    <mergeCell ref="O65:R65"/>
    <mergeCell ref="S65:U65"/>
    <mergeCell ref="V65:Z65"/>
    <mergeCell ref="AA65:AG65"/>
    <mergeCell ref="AH65:AL65"/>
    <mergeCell ref="AM65:AO65"/>
    <mergeCell ref="M66:N66"/>
    <mergeCell ref="AA85:AB86"/>
    <mergeCell ref="O86:P86"/>
    <mergeCell ref="R86:V86"/>
    <mergeCell ref="I90:P90"/>
    <mergeCell ref="C91:H92"/>
    <mergeCell ref="M91:N92"/>
    <mergeCell ref="O88:P88"/>
    <mergeCell ref="Q88:Q89"/>
    <mergeCell ref="R88:T88"/>
    <mergeCell ref="U88:V88"/>
    <mergeCell ref="W88:W89"/>
    <mergeCell ref="X88:Z89"/>
    <mergeCell ref="AA88:AB89"/>
    <mergeCell ref="O89:P89"/>
    <mergeCell ref="R89:V89"/>
    <mergeCell ref="O85:P85"/>
    <mergeCell ref="Q85:Q86"/>
    <mergeCell ref="R85:T85"/>
    <mergeCell ref="O77:Q77"/>
    <mergeCell ref="R77:S77"/>
    <mergeCell ref="N73:O73"/>
    <mergeCell ref="Q72:S72"/>
    <mergeCell ref="V72:V73"/>
    <mergeCell ref="U85:V85"/>
    <mergeCell ref="W85:W86"/>
    <mergeCell ref="X85:Z86"/>
    <mergeCell ref="V93:X93"/>
    <mergeCell ref="AA101:AE101"/>
    <mergeCell ref="AF101:AF102"/>
    <mergeCell ref="AG101:AL102"/>
    <mergeCell ref="AA104:AE105"/>
    <mergeCell ref="I106:P106"/>
    <mergeCell ref="C107:H108"/>
    <mergeCell ref="P107:Q108"/>
    <mergeCell ref="R107:S108"/>
    <mergeCell ref="T107:V108"/>
    <mergeCell ref="W107:X108"/>
    <mergeCell ref="Y107:Y108"/>
    <mergeCell ref="Z107:AC108"/>
    <mergeCell ref="AD107:AJ108"/>
    <mergeCell ref="AA109:AC109"/>
    <mergeCell ref="H120:O120"/>
    <mergeCell ref="R121:R122"/>
    <mergeCell ref="H132:J132"/>
    <mergeCell ref="T136:Y136"/>
    <mergeCell ref="Q138:R139"/>
    <mergeCell ref="S138:T139"/>
    <mergeCell ref="U138:W139"/>
    <mergeCell ref="X138:Y139"/>
    <mergeCell ref="Z138:Z139"/>
    <mergeCell ref="AA138:AD139"/>
    <mergeCell ref="I137:P137"/>
    <mergeCell ref="AD124:AF125"/>
    <mergeCell ref="C138:H139"/>
    <mergeCell ref="I123:P123"/>
    <mergeCell ref="C124:H125"/>
    <mergeCell ref="P124:R125"/>
    <mergeCell ref="S124:V125"/>
    <mergeCell ref="W124:W125"/>
    <mergeCell ref="C127:G128"/>
    <mergeCell ref="AG124:AM125"/>
    <mergeCell ref="L126:N126"/>
    <mergeCell ref="S126:V126"/>
    <mergeCell ref="Y126:AA126"/>
    <mergeCell ref="X124:Z125"/>
    <mergeCell ref="AA124:AB125"/>
    <mergeCell ref="AC124:AC125"/>
    <mergeCell ref="AE138:AK139"/>
    <mergeCell ref="AA140:AC140"/>
    <mergeCell ref="AA155:AB156"/>
    <mergeCell ref="AC155:AC156"/>
    <mergeCell ref="AD155:AF156"/>
    <mergeCell ref="AG155:AM156"/>
    <mergeCell ref="L157:N157"/>
    <mergeCell ref="S157:V157"/>
    <mergeCell ref="Y157:AA157"/>
    <mergeCell ref="I154:P154"/>
    <mergeCell ref="L184:M184"/>
    <mergeCell ref="O178:T178"/>
    <mergeCell ref="S179:S180"/>
    <mergeCell ref="O180:R180"/>
    <mergeCell ref="I181:P181"/>
    <mergeCell ref="O184:Q184"/>
    <mergeCell ref="V184:X184"/>
    <mergeCell ref="S155:V156"/>
    <mergeCell ref="W155:W156"/>
    <mergeCell ref="O165:R165"/>
    <mergeCell ref="O166:R166"/>
    <mergeCell ref="I167:P167"/>
    <mergeCell ref="P164:R164"/>
    <mergeCell ref="K165:M166"/>
    <mergeCell ref="N165:N166"/>
    <mergeCell ref="T165:U165"/>
    <mergeCell ref="R212:U212"/>
    <mergeCell ref="I212:K212"/>
    <mergeCell ref="M212:P212"/>
    <mergeCell ref="AW197:AW198"/>
    <mergeCell ref="AX197:AZ198"/>
    <mergeCell ref="J198:M198"/>
    <mergeCell ref="N198:N199"/>
    <mergeCell ref="O198:R198"/>
    <mergeCell ref="S198:S199"/>
    <mergeCell ref="T198:W198"/>
    <mergeCell ref="X198:X199"/>
    <mergeCell ref="Y198:AB198"/>
    <mergeCell ref="AC198:AC199"/>
    <mergeCell ref="AD198:AG198"/>
    <mergeCell ref="AH198:AH199"/>
    <mergeCell ref="AI198:AL198"/>
    <mergeCell ref="AM198:AM199"/>
    <mergeCell ref="AN198:AQ198"/>
    <mergeCell ref="AR198:AR199"/>
    <mergeCell ref="AS198:AV198"/>
    <mergeCell ref="J199:M199"/>
    <mergeCell ref="O199:R199"/>
    <mergeCell ref="T199:W199"/>
    <mergeCell ref="Y199:AB199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404" r:id="rId4">
          <objectPr defaultSize="0" r:id="rId5">
            <anchor moveWithCells="1">
              <from>
                <xdr:col>3</xdr:col>
                <xdr:colOff>9525</xdr:colOff>
                <xdr:row>39</xdr:row>
                <xdr:rowOff>19050</xdr:rowOff>
              </from>
              <to>
                <xdr:col>4</xdr:col>
                <xdr:colOff>0</xdr:colOff>
                <xdr:row>40</xdr:row>
                <xdr:rowOff>0</xdr:rowOff>
              </to>
            </anchor>
          </objectPr>
        </oleObject>
      </mc:Choice>
      <mc:Fallback>
        <oleObject progId="Equation.3" shapeId="2404" r:id="rId4"/>
      </mc:Fallback>
    </mc:AlternateContent>
    <mc:AlternateContent xmlns:mc="http://schemas.openxmlformats.org/markup-compatibility/2006">
      <mc:Choice Requires="x14">
        <oleObject progId="Equation.3" shapeId="2406" r:id="rId6">
          <objectPr defaultSize="0" r:id="rId5">
            <anchor moveWithCells="1">
              <from>
                <xdr:col>4</xdr:col>
                <xdr:colOff>85725</xdr:colOff>
                <xdr:row>59</xdr:row>
                <xdr:rowOff>19050</xdr:rowOff>
              </from>
              <to>
                <xdr:col>5</xdr:col>
                <xdr:colOff>76200</xdr:colOff>
                <xdr:row>60</xdr:row>
                <xdr:rowOff>0</xdr:rowOff>
              </to>
            </anchor>
          </objectPr>
        </oleObject>
      </mc:Choice>
      <mc:Fallback>
        <oleObject progId="Equation.3" shapeId="2406" r:id="rId6"/>
      </mc:Fallback>
    </mc:AlternateContent>
    <mc:AlternateContent xmlns:mc="http://schemas.openxmlformats.org/markup-compatibility/2006">
      <mc:Choice Requires="x14">
        <oleObject progId="Equation.3" shapeId="2407" r:id="rId7">
          <objectPr defaultSize="0" r:id="rId8">
            <anchor moveWithCells="1">
              <from>
                <xdr:col>7</xdr:col>
                <xdr:colOff>133350</xdr:colOff>
                <xdr:row>74</xdr:row>
                <xdr:rowOff>57150</xdr:rowOff>
              </from>
              <to>
                <xdr:col>12</xdr:col>
                <xdr:colOff>9525</xdr:colOff>
                <xdr:row>75</xdr:row>
                <xdr:rowOff>200025</xdr:rowOff>
              </to>
            </anchor>
          </objectPr>
        </oleObject>
      </mc:Choice>
      <mc:Fallback>
        <oleObject progId="Equation.3" shapeId="2407" r:id="rId7"/>
      </mc:Fallback>
    </mc:AlternateContent>
    <mc:AlternateContent xmlns:mc="http://schemas.openxmlformats.org/markup-compatibility/2006">
      <mc:Choice Requires="x14">
        <oleObject progId="Equation.3" shapeId="2408" r:id="rId9">
          <objectPr defaultSize="0" r:id="rId10">
            <anchor moveWithCells="1">
              <from>
                <xdr:col>7</xdr:col>
                <xdr:colOff>123825</xdr:colOff>
                <xdr:row>90</xdr:row>
                <xdr:rowOff>57150</xdr:rowOff>
              </from>
              <to>
                <xdr:col>12</xdr:col>
                <xdr:colOff>0</xdr:colOff>
                <xdr:row>91</xdr:row>
                <xdr:rowOff>200025</xdr:rowOff>
              </to>
            </anchor>
          </objectPr>
        </oleObject>
      </mc:Choice>
      <mc:Fallback>
        <oleObject progId="Equation.3" shapeId="2408" r:id="rId9"/>
      </mc:Fallback>
    </mc:AlternateContent>
    <mc:AlternateContent xmlns:mc="http://schemas.openxmlformats.org/markup-compatibility/2006">
      <mc:Choice Requires="x14">
        <oleObject progId="Equation.3" shapeId="2409" r:id="rId11">
          <objectPr defaultSize="0" r:id="rId12">
            <anchor moveWithCells="1">
              <from>
                <xdr:col>1</xdr:col>
                <xdr:colOff>9525</xdr:colOff>
                <xdr:row>196</xdr:row>
                <xdr:rowOff>9525</xdr:rowOff>
              </from>
              <to>
                <xdr:col>8</xdr:col>
                <xdr:colOff>142875</xdr:colOff>
                <xdr:row>198</xdr:row>
                <xdr:rowOff>180975</xdr:rowOff>
              </to>
            </anchor>
          </objectPr>
        </oleObject>
      </mc:Choice>
      <mc:Fallback>
        <oleObject progId="Equation.3" shapeId="2409" r:id="rId11"/>
      </mc:Fallback>
    </mc:AlternateContent>
    <mc:AlternateContent xmlns:mc="http://schemas.openxmlformats.org/markup-compatibility/2006">
      <mc:Choice Requires="x14">
        <oleObject progId="Equation.3" shapeId="2410" r:id="rId13">
          <objectPr defaultSize="0" autoPict="0" r:id="rId14">
            <anchor moveWithCells="1">
              <from>
                <xdr:col>14</xdr:col>
                <xdr:colOff>47625</xdr:colOff>
                <xdr:row>197</xdr:row>
                <xdr:rowOff>0</xdr:rowOff>
              </from>
              <to>
                <xdr:col>18</xdr:col>
                <xdr:colOff>19050</xdr:colOff>
                <xdr:row>197</xdr:row>
                <xdr:rowOff>219075</xdr:rowOff>
              </to>
            </anchor>
          </objectPr>
        </oleObject>
      </mc:Choice>
      <mc:Fallback>
        <oleObject progId="Equation.3" shapeId="2410" r:id="rId13"/>
      </mc:Fallback>
    </mc:AlternateContent>
    <mc:AlternateContent xmlns:mc="http://schemas.openxmlformats.org/markup-compatibility/2006">
      <mc:Choice Requires="x14">
        <oleObject progId="Equation.3" shapeId="2411" r:id="rId15">
          <objectPr defaultSize="0" autoPict="0" r:id="rId14">
            <anchor moveWithCells="1">
              <from>
                <xdr:col>9</xdr:col>
                <xdr:colOff>47625</xdr:colOff>
                <xdr:row>197</xdr:row>
                <xdr:rowOff>9525</xdr:rowOff>
              </from>
              <to>
                <xdr:col>12</xdr:col>
                <xdr:colOff>133350</xdr:colOff>
                <xdr:row>197</xdr:row>
                <xdr:rowOff>228600</xdr:rowOff>
              </to>
            </anchor>
          </objectPr>
        </oleObject>
      </mc:Choice>
      <mc:Fallback>
        <oleObject progId="Equation.3" shapeId="2411" r:id="rId15"/>
      </mc:Fallback>
    </mc:AlternateContent>
    <mc:AlternateContent xmlns:mc="http://schemas.openxmlformats.org/markup-compatibility/2006">
      <mc:Choice Requires="x14">
        <oleObject progId="Equation.3" shapeId="2412" r:id="rId16">
          <objectPr defaultSize="0" autoPict="0" r:id="rId14">
            <anchor moveWithCells="1">
              <from>
                <xdr:col>24</xdr:col>
                <xdr:colOff>57150</xdr:colOff>
                <xdr:row>197</xdr:row>
                <xdr:rowOff>0</xdr:rowOff>
              </from>
              <to>
                <xdr:col>27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2" r:id="rId16"/>
      </mc:Fallback>
    </mc:AlternateContent>
    <mc:AlternateContent xmlns:mc="http://schemas.openxmlformats.org/markup-compatibility/2006">
      <mc:Choice Requires="x14">
        <oleObject progId="Equation.3" shapeId="2413" r:id="rId17">
          <objectPr defaultSize="0" autoPict="0" r:id="rId14">
            <anchor moveWithCells="1">
              <from>
                <xdr:col>19</xdr:col>
                <xdr:colOff>57150</xdr:colOff>
                <xdr:row>197</xdr:row>
                <xdr:rowOff>0</xdr:rowOff>
              </from>
              <to>
                <xdr:col>22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3" r:id="rId17"/>
      </mc:Fallback>
    </mc:AlternateContent>
    <mc:AlternateContent xmlns:mc="http://schemas.openxmlformats.org/markup-compatibility/2006">
      <mc:Choice Requires="x14">
        <oleObject progId="Equation.3" shapeId="2414" r:id="rId18">
          <objectPr defaultSize="0" autoPict="0" r:id="rId14">
            <anchor moveWithCells="1">
              <from>
                <xdr:col>34</xdr:col>
                <xdr:colOff>57150</xdr:colOff>
                <xdr:row>197</xdr:row>
                <xdr:rowOff>0</xdr:rowOff>
              </from>
              <to>
                <xdr:col>37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14" r:id="rId18"/>
      </mc:Fallback>
    </mc:AlternateContent>
    <mc:AlternateContent xmlns:mc="http://schemas.openxmlformats.org/markup-compatibility/2006">
      <mc:Choice Requires="x14">
        <oleObject progId="Equation.3" shapeId="2415" r:id="rId19">
          <objectPr defaultSize="0" autoPict="0" r:id="rId14">
            <anchor moveWithCells="1">
              <from>
                <xdr:col>26</xdr:col>
                <xdr:colOff>123825</xdr:colOff>
                <xdr:row>196</xdr:row>
                <xdr:rowOff>0</xdr:rowOff>
              </from>
              <to>
                <xdr:col>30</xdr:col>
                <xdr:colOff>57150</xdr:colOff>
                <xdr:row>196</xdr:row>
                <xdr:rowOff>219075</xdr:rowOff>
              </to>
            </anchor>
          </objectPr>
        </oleObject>
      </mc:Choice>
      <mc:Fallback>
        <oleObject progId="Equation.3" shapeId="2415" r:id="rId19"/>
      </mc:Fallback>
    </mc:AlternateContent>
    <mc:AlternateContent xmlns:mc="http://schemas.openxmlformats.org/markup-compatibility/2006">
      <mc:Choice Requires="x14">
        <oleObject progId="Equation.DSMT4" shapeId="2416" r:id="rId20">
          <objectPr defaultSize="0" r:id="rId21">
            <anchor moveWithCells="1">
              <from>
                <xdr:col>8</xdr:col>
                <xdr:colOff>57150</xdr:colOff>
                <xdr:row>106</xdr:row>
                <xdr:rowOff>57150</xdr:rowOff>
              </from>
              <to>
                <xdr:col>15</xdr:col>
                <xdr:colOff>66675</xdr:colOff>
                <xdr:row>107</xdr:row>
                <xdr:rowOff>171450</xdr:rowOff>
              </to>
            </anchor>
          </objectPr>
        </oleObject>
      </mc:Choice>
      <mc:Fallback>
        <oleObject progId="Equation.DSMT4" shapeId="2416" r:id="rId20"/>
      </mc:Fallback>
    </mc:AlternateContent>
    <mc:AlternateContent xmlns:mc="http://schemas.openxmlformats.org/markup-compatibility/2006">
      <mc:Choice Requires="x14">
        <oleObject progId="Equation.DSMT4" shapeId="2417" r:id="rId22">
          <objectPr defaultSize="0" autoPict="0" r:id="rId23">
            <anchor moveWithCells="1">
              <from>
                <xdr:col>23</xdr:col>
                <xdr:colOff>9525</xdr:colOff>
                <xdr:row>98</xdr:row>
                <xdr:rowOff>85725</xdr:rowOff>
              </from>
              <to>
                <xdr:col>31</xdr:col>
                <xdr:colOff>142875</xdr:colOff>
                <xdr:row>99</xdr:row>
                <xdr:rowOff>161925</xdr:rowOff>
              </to>
            </anchor>
          </objectPr>
        </oleObject>
      </mc:Choice>
      <mc:Fallback>
        <oleObject progId="Equation.DSMT4" shapeId="2417" r:id="rId22"/>
      </mc:Fallback>
    </mc:AlternateContent>
    <mc:AlternateContent xmlns:mc="http://schemas.openxmlformats.org/markup-compatibility/2006">
      <mc:Choice Requires="x14">
        <oleObject progId="Equation.DSMT4" shapeId="2418" r:id="rId24">
          <objectPr defaultSize="0" autoPict="0" r:id="rId25">
            <anchor moveWithCells="1">
              <from>
                <xdr:col>27</xdr:col>
                <xdr:colOff>133350</xdr:colOff>
                <xdr:row>101</xdr:row>
                <xdr:rowOff>28575</xdr:rowOff>
              </from>
              <to>
                <xdr:col>29</xdr:col>
                <xdr:colOff>28575</xdr:colOff>
                <xdr:row>101</xdr:row>
                <xdr:rowOff>219075</xdr:rowOff>
              </to>
            </anchor>
          </objectPr>
        </oleObject>
      </mc:Choice>
      <mc:Fallback>
        <oleObject progId="Equation.DSMT4" shapeId="2418" r:id="rId24"/>
      </mc:Fallback>
    </mc:AlternateContent>
    <mc:AlternateContent xmlns:mc="http://schemas.openxmlformats.org/markup-compatibility/2006">
      <mc:Choice Requires="x14">
        <oleObject progId="Equation.DSMT4" shapeId="2419" r:id="rId26">
          <objectPr defaultSize="0" autoPict="0" r:id="rId27">
            <anchor moveWithCells="1">
              <from>
                <xdr:col>10</xdr:col>
                <xdr:colOff>0</xdr:colOff>
                <xdr:row>103</xdr:row>
                <xdr:rowOff>47625</xdr:rowOff>
              </from>
              <to>
                <xdr:col>25</xdr:col>
                <xdr:colOff>114300</xdr:colOff>
                <xdr:row>104</xdr:row>
                <xdr:rowOff>152400</xdr:rowOff>
              </to>
            </anchor>
          </objectPr>
        </oleObject>
      </mc:Choice>
      <mc:Fallback>
        <oleObject progId="Equation.DSMT4" shapeId="2419" r:id="rId26"/>
      </mc:Fallback>
    </mc:AlternateContent>
    <mc:AlternateContent xmlns:mc="http://schemas.openxmlformats.org/markup-compatibility/2006">
      <mc:Choice Requires="x14">
        <oleObject progId="Equation.DSMT4" shapeId="2420" r:id="rId28">
          <objectPr defaultSize="0" r:id="rId29">
            <anchor moveWithCells="1">
              <from>
                <xdr:col>8</xdr:col>
                <xdr:colOff>9525</xdr:colOff>
                <xdr:row>123</xdr:row>
                <xdr:rowOff>57150</xdr:rowOff>
              </from>
              <to>
                <xdr:col>15</xdr:col>
                <xdr:colOff>9525</xdr:colOff>
                <xdr:row>124</xdr:row>
                <xdr:rowOff>171450</xdr:rowOff>
              </to>
            </anchor>
          </objectPr>
        </oleObject>
      </mc:Choice>
      <mc:Fallback>
        <oleObject progId="Equation.DSMT4" shapeId="2420" r:id="rId28"/>
      </mc:Fallback>
    </mc:AlternateContent>
    <mc:AlternateContent xmlns:mc="http://schemas.openxmlformats.org/markup-compatibility/2006">
      <mc:Choice Requires="x14">
        <oleObject progId="Equation.DSMT4" shapeId="2421" r:id="rId30">
          <objectPr defaultSize="0" r:id="rId31">
            <anchor moveWithCells="1">
              <from>
                <xdr:col>8</xdr:col>
                <xdr:colOff>28575</xdr:colOff>
                <xdr:row>137</xdr:row>
                <xdr:rowOff>57150</xdr:rowOff>
              </from>
              <to>
                <xdr:col>15</xdr:col>
                <xdr:colOff>133350</xdr:colOff>
                <xdr:row>138</xdr:row>
                <xdr:rowOff>171450</xdr:rowOff>
              </to>
            </anchor>
          </objectPr>
        </oleObject>
      </mc:Choice>
      <mc:Fallback>
        <oleObject progId="Equation.DSMT4" shapeId="2421" r:id="rId30"/>
      </mc:Fallback>
    </mc:AlternateContent>
    <mc:AlternateContent xmlns:mc="http://schemas.openxmlformats.org/markup-compatibility/2006">
      <mc:Choice Requires="x14">
        <oleObject progId="Equation.DSMT4" shapeId="2422" r:id="rId32">
          <objectPr defaultSize="0" r:id="rId33">
            <anchor moveWithCells="1">
              <from>
                <xdr:col>8</xdr:col>
                <xdr:colOff>9525</xdr:colOff>
                <xdr:row>154</xdr:row>
                <xdr:rowOff>57150</xdr:rowOff>
              </from>
              <to>
                <xdr:col>15</xdr:col>
                <xdr:colOff>95250</xdr:colOff>
                <xdr:row>155</xdr:row>
                <xdr:rowOff>171450</xdr:rowOff>
              </to>
            </anchor>
          </objectPr>
        </oleObject>
      </mc:Choice>
      <mc:Fallback>
        <oleObject progId="Equation.DSMT4" shapeId="2422" r:id="rId32"/>
      </mc:Fallback>
    </mc:AlternateContent>
    <mc:AlternateContent xmlns:mc="http://schemas.openxmlformats.org/markup-compatibility/2006">
      <mc:Choice Requires="x14">
        <oleObject progId="Equation.DSMT4" shapeId="2423" r:id="rId34">
          <objectPr defaultSize="0" autoPict="0" r:id="rId35">
            <anchor moveWithCells="1">
              <from>
                <xdr:col>9</xdr:col>
                <xdr:colOff>152400</xdr:colOff>
                <xdr:row>134</xdr:row>
                <xdr:rowOff>228600</xdr:rowOff>
              </from>
              <to>
                <xdr:col>29</xdr:col>
                <xdr:colOff>76200</xdr:colOff>
                <xdr:row>135</xdr:row>
                <xdr:rowOff>209550</xdr:rowOff>
              </to>
            </anchor>
          </objectPr>
        </oleObject>
      </mc:Choice>
      <mc:Fallback>
        <oleObject progId="Equation.DSMT4" shapeId="2423" r:id="rId34"/>
      </mc:Fallback>
    </mc:AlternateContent>
    <mc:AlternateContent xmlns:mc="http://schemas.openxmlformats.org/markup-compatibility/2006">
      <mc:Choice Requires="x14">
        <oleObject progId="Equation.3" shapeId="2424" r:id="rId36">
          <objectPr defaultSize="0" r:id="rId37">
            <anchor moveWithCells="1">
              <from>
                <xdr:col>20</xdr:col>
                <xdr:colOff>0</xdr:colOff>
                <xdr:row>96</xdr:row>
                <xdr:rowOff>9525</xdr:rowOff>
              </from>
              <to>
                <xdr:col>21</xdr:col>
                <xdr:colOff>0</xdr:colOff>
                <xdr:row>96</xdr:row>
                <xdr:rowOff>228600</xdr:rowOff>
              </to>
            </anchor>
          </objectPr>
        </oleObject>
      </mc:Choice>
      <mc:Fallback>
        <oleObject progId="Equation.3" shapeId="2424" r:id="rId36"/>
      </mc:Fallback>
    </mc:AlternateContent>
    <mc:AlternateContent xmlns:mc="http://schemas.openxmlformats.org/markup-compatibility/2006">
      <mc:Choice Requires="x14">
        <oleObject progId="Equation.3" shapeId="2425" r:id="rId38">
          <objectPr defaultSize="0" autoPict="0" r:id="rId39">
            <anchor moveWithCells="1">
              <from>
                <xdr:col>5</xdr:col>
                <xdr:colOff>19050</xdr:colOff>
                <xdr:row>189</xdr:row>
                <xdr:rowOff>9525</xdr:rowOff>
              </from>
              <to>
                <xdr:col>10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25" r:id="rId38"/>
      </mc:Fallback>
    </mc:AlternateContent>
    <mc:AlternateContent xmlns:mc="http://schemas.openxmlformats.org/markup-compatibility/2006">
      <mc:Choice Requires="x14">
        <oleObject progId="Equation.DSMT4" shapeId="2426" r:id="rId40">
          <objectPr defaultSize="0" autoPict="0" r:id="rId25">
            <anchor moveWithCells="1">
              <from>
                <xdr:col>13</xdr:col>
                <xdr:colOff>114300</xdr:colOff>
                <xdr:row>121</xdr:row>
                <xdr:rowOff>9525</xdr:rowOff>
              </from>
              <to>
                <xdr:col>15</xdr:col>
                <xdr:colOff>38100</xdr:colOff>
                <xdr:row>121</xdr:row>
                <xdr:rowOff>228600</xdr:rowOff>
              </to>
            </anchor>
          </objectPr>
        </oleObject>
      </mc:Choice>
      <mc:Fallback>
        <oleObject progId="Equation.DSMT4" shapeId="2426" r:id="rId40"/>
      </mc:Fallback>
    </mc:AlternateContent>
    <mc:AlternateContent xmlns:mc="http://schemas.openxmlformats.org/markup-compatibility/2006">
      <mc:Choice Requires="x14">
        <oleObject progId="Equation.3" shapeId="2428" r:id="rId41">
          <objectPr defaultSize="0" autoPict="0" r:id="rId14">
            <anchor moveWithCells="1">
              <from>
                <xdr:col>29</xdr:col>
                <xdr:colOff>47625</xdr:colOff>
                <xdr:row>197</xdr:row>
                <xdr:rowOff>0</xdr:rowOff>
              </from>
              <to>
                <xdr:col>32</xdr:col>
                <xdr:colOff>133350</xdr:colOff>
                <xdr:row>197</xdr:row>
                <xdr:rowOff>219075</xdr:rowOff>
              </to>
            </anchor>
          </objectPr>
        </oleObject>
      </mc:Choice>
      <mc:Fallback>
        <oleObject progId="Equation.3" shapeId="2428" r:id="rId41"/>
      </mc:Fallback>
    </mc:AlternateContent>
    <mc:AlternateContent xmlns:mc="http://schemas.openxmlformats.org/markup-compatibility/2006">
      <mc:Choice Requires="x14">
        <oleObject progId="Equation.3" shapeId="2434" r:id="rId42">
          <objectPr defaultSize="0" autoPict="0" r:id="rId14">
            <anchor moveWithCells="1">
              <from>
                <xdr:col>39</xdr:col>
                <xdr:colOff>57150</xdr:colOff>
                <xdr:row>197</xdr:row>
                <xdr:rowOff>0</xdr:rowOff>
              </from>
              <to>
                <xdr:col>42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34" r:id="rId42"/>
      </mc:Fallback>
    </mc:AlternateContent>
    <mc:AlternateContent xmlns:mc="http://schemas.openxmlformats.org/markup-compatibility/2006">
      <mc:Choice Requires="x14">
        <oleObject progId="Equation.3" shapeId="2435" r:id="rId43">
          <objectPr defaultSize="0" autoPict="0" r:id="rId14">
            <anchor moveWithCells="1">
              <from>
                <xdr:col>44</xdr:col>
                <xdr:colOff>57150</xdr:colOff>
                <xdr:row>197</xdr:row>
                <xdr:rowOff>0</xdr:rowOff>
              </from>
              <to>
                <xdr:col>47</xdr:col>
                <xdr:colOff>142875</xdr:colOff>
                <xdr:row>197</xdr:row>
                <xdr:rowOff>219075</xdr:rowOff>
              </to>
            </anchor>
          </objectPr>
        </oleObject>
      </mc:Choice>
      <mc:Fallback>
        <oleObject progId="Equation.3" shapeId="2435" r:id="rId43"/>
      </mc:Fallback>
    </mc:AlternateContent>
    <mc:AlternateContent xmlns:mc="http://schemas.openxmlformats.org/markup-compatibility/2006">
      <mc:Choice Requires="x14">
        <oleObject progId="Equation.DSMT4" shapeId="2438" r:id="rId44">
          <objectPr defaultSize="0" autoPict="0" r:id="rId25">
            <anchor moveWithCells="1">
              <from>
                <xdr:col>14</xdr:col>
                <xdr:colOff>114300</xdr:colOff>
                <xdr:row>152</xdr:row>
                <xdr:rowOff>9525</xdr:rowOff>
              </from>
              <to>
                <xdr:col>16</xdr:col>
                <xdr:colOff>38100</xdr:colOff>
                <xdr:row>152</xdr:row>
                <xdr:rowOff>228600</xdr:rowOff>
              </to>
            </anchor>
          </objectPr>
        </oleObject>
      </mc:Choice>
      <mc:Fallback>
        <oleObject progId="Equation.DSMT4" shapeId="2438" r:id="rId44"/>
      </mc:Fallback>
    </mc:AlternateContent>
    <mc:AlternateContent xmlns:mc="http://schemas.openxmlformats.org/markup-compatibility/2006">
      <mc:Choice Requires="x14">
        <oleObject progId="Equation.3" shapeId="2443" r:id="rId45">
          <objectPr defaultSize="0" autoPict="0" r:id="rId39">
            <anchor moveWithCells="1">
              <from>
                <xdr:col>12</xdr:col>
                <xdr:colOff>19050</xdr:colOff>
                <xdr:row>189</xdr:row>
                <xdr:rowOff>9525</xdr:rowOff>
              </from>
              <to>
                <xdr:col>17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3" r:id="rId45"/>
      </mc:Fallback>
    </mc:AlternateContent>
    <mc:AlternateContent xmlns:mc="http://schemas.openxmlformats.org/markup-compatibility/2006">
      <mc:Choice Requires="x14">
        <oleObject progId="Equation.3" shapeId="2444" r:id="rId46">
          <objectPr defaultSize="0" autoPict="0" r:id="rId39">
            <anchor moveWithCells="1">
              <from>
                <xdr:col>19</xdr:col>
                <xdr:colOff>19050</xdr:colOff>
                <xdr:row>189</xdr:row>
                <xdr:rowOff>9525</xdr:rowOff>
              </from>
              <to>
                <xdr:col>24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4" r:id="rId46"/>
      </mc:Fallback>
    </mc:AlternateContent>
    <mc:AlternateContent xmlns:mc="http://schemas.openxmlformats.org/markup-compatibility/2006">
      <mc:Choice Requires="x14">
        <oleObject progId="Equation.3" shapeId="2445" r:id="rId47">
          <objectPr defaultSize="0" autoPict="0" r:id="rId39">
            <anchor moveWithCells="1">
              <from>
                <xdr:col>26</xdr:col>
                <xdr:colOff>19050</xdr:colOff>
                <xdr:row>189</xdr:row>
                <xdr:rowOff>9525</xdr:rowOff>
              </from>
              <to>
                <xdr:col>31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5" r:id="rId47"/>
      </mc:Fallback>
    </mc:AlternateContent>
    <mc:AlternateContent xmlns:mc="http://schemas.openxmlformats.org/markup-compatibility/2006">
      <mc:Choice Requires="x14">
        <oleObject progId="Equation.3" shapeId="2446" r:id="rId48">
          <objectPr defaultSize="0" autoPict="0" r:id="rId39">
            <anchor moveWithCells="1">
              <from>
                <xdr:col>33</xdr:col>
                <xdr:colOff>19050</xdr:colOff>
                <xdr:row>189</xdr:row>
                <xdr:rowOff>9525</xdr:rowOff>
              </from>
              <to>
                <xdr:col>38</xdr:col>
                <xdr:colOff>85725</xdr:colOff>
                <xdr:row>189</xdr:row>
                <xdr:rowOff>228600</xdr:rowOff>
              </to>
            </anchor>
          </objectPr>
        </oleObject>
      </mc:Choice>
      <mc:Fallback>
        <oleObject progId="Equation.3" shapeId="2446" r:id="rId48"/>
      </mc:Fallback>
    </mc:AlternateContent>
    <mc:AlternateContent xmlns:mc="http://schemas.openxmlformats.org/markup-compatibility/2006">
      <mc:Choice Requires="x14">
        <oleObject progId="Equation.3" shapeId="2447" r:id="rId49">
          <objectPr defaultSize="0" autoPict="0" r:id="rId39">
            <anchor moveWithCells="1">
              <from>
                <xdr:col>7</xdr:col>
                <xdr:colOff>19050</xdr:colOff>
                <xdr:row>190</xdr:row>
                <xdr:rowOff>9525</xdr:rowOff>
              </from>
              <to>
                <xdr:col>12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7" r:id="rId49"/>
      </mc:Fallback>
    </mc:AlternateContent>
    <mc:AlternateContent xmlns:mc="http://schemas.openxmlformats.org/markup-compatibility/2006">
      <mc:Choice Requires="x14">
        <oleObject progId="Equation.3" shapeId="2448" r:id="rId50">
          <objectPr defaultSize="0" autoPict="0" r:id="rId39">
            <anchor moveWithCells="1">
              <from>
                <xdr:col>14</xdr:col>
                <xdr:colOff>19050</xdr:colOff>
                <xdr:row>190</xdr:row>
                <xdr:rowOff>9525</xdr:rowOff>
              </from>
              <to>
                <xdr:col>19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8" r:id="rId50"/>
      </mc:Fallback>
    </mc:AlternateContent>
    <mc:AlternateContent xmlns:mc="http://schemas.openxmlformats.org/markup-compatibility/2006">
      <mc:Choice Requires="x14">
        <oleObject progId="Equation.3" shapeId="2449" r:id="rId51">
          <objectPr defaultSize="0" autoPict="0" r:id="rId39">
            <anchor moveWithCells="1">
              <from>
                <xdr:col>21</xdr:col>
                <xdr:colOff>19050</xdr:colOff>
                <xdr:row>190</xdr:row>
                <xdr:rowOff>9525</xdr:rowOff>
              </from>
              <to>
                <xdr:col>26</xdr:col>
                <xdr:colOff>85725</xdr:colOff>
                <xdr:row>190</xdr:row>
                <xdr:rowOff>228600</xdr:rowOff>
              </to>
            </anchor>
          </objectPr>
        </oleObject>
      </mc:Choice>
      <mc:Fallback>
        <oleObject progId="Equation.3" shapeId="2449" r:id="rId51"/>
      </mc:Fallback>
    </mc:AlternateContent>
    <mc:AlternateContent xmlns:mc="http://schemas.openxmlformats.org/markup-compatibility/2006">
      <mc:Choice Requires="x14">
        <oleObject progId="Equation.3" shapeId="2450" r:id="rId52">
          <objectPr defaultSize="0" autoPict="0" r:id="rId39">
            <anchor moveWithCells="1">
              <from>
                <xdr:col>5</xdr:col>
                <xdr:colOff>19050</xdr:colOff>
                <xdr:row>191</xdr:row>
                <xdr:rowOff>9525</xdr:rowOff>
              </from>
              <to>
                <xdr:col>10</xdr:col>
                <xdr:colOff>85725</xdr:colOff>
                <xdr:row>191</xdr:row>
                <xdr:rowOff>228600</xdr:rowOff>
              </to>
            </anchor>
          </objectPr>
        </oleObject>
      </mc:Choice>
      <mc:Fallback>
        <oleObject progId="Equation.3" shapeId="2450" r:id="rId52"/>
      </mc:Fallback>
    </mc:AlternateContent>
    <mc:AlternateContent xmlns:mc="http://schemas.openxmlformats.org/markup-compatibility/2006">
      <mc:Choice Requires="x14">
        <oleObject progId="Equation.DSMT4" shapeId="2401" r:id="rId53">
          <objectPr defaultSize="0" autoPict="0" r:id="rId54">
            <anchor moveWithCells="1">
              <from>
                <xdr:col>14</xdr:col>
                <xdr:colOff>28575</xdr:colOff>
                <xdr:row>85</xdr:row>
                <xdr:rowOff>9525</xdr:rowOff>
              </from>
              <to>
                <xdr:col>15</xdr:col>
                <xdr:colOff>85725</xdr:colOff>
                <xdr:row>85</xdr:row>
                <xdr:rowOff>209550</xdr:rowOff>
              </to>
            </anchor>
          </objectPr>
        </oleObject>
      </mc:Choice>
      <mc:Fallback>
        <oleObject progId="Equation.DSMT4" shapeId="2401" r:id="rId53"/>
      </mc:Fallback>
    </mc:AlternateContent>
    <mc:AlternateContent xmlns:mc="http://schemas.openxmlformats.org/markup-compatibility/2006">
      <mc:Choice Requires="x14">
        <oleObject progId="Equation.DSMT4" shapeId="2402" r:id="rId55">
          <objectPr defaultSize="0" r:id="rId56">
            <anchor moveWithCells="1">
              <from>
                <xdr:col>18</xdr:col>
                <xdr:colOff>123825</xdr:colOff>
                <xdr:row>85</xdr:row>
                <xdr:rowOff>0</xdr:rowOff>
              </from>
              <to>
                <xdr:col>20</xdr:col>
                <xdr:colOff>19050</xdr:colOff>
                <xdr:row>85</xdr:row>
                <xdr:rowOff>200025</xdr:rowOff>
              </to>
            </anchor>
          </objectPr>
        </oleObject>
      </mc:Choice>
      <mc:Fallback>
        <oleObject progId="Equation.DSMT4" shapeId="2402" r:id="rId55"/>
      </mc:Fallback>
    </mc:AlternateContent>
    <mc:AlternateContent xmlns:mc="http://schemas.openxmlformats.org/markup-compatibility/2006">
      <mc:Choice Requires="x14">
        <oleObject progId="Equation.DSMT4" shapeId="2451" r:id="rId57">
          <objectPr defaultSize="0" autoPict="0" r:id="rId58">
            <anchor moveWithCells="1">
              <from>
                <xdr:col>14</xdr:col>
                <xdr:colOff>57150</xdr:colOff>
                <xdr:row>88</xdr:row>
                <xdr:rowOff>9525</xdr:rowOff>
              </from>
              <to>
                <xdr:col>15</xdr:col>
                <xdr:colOff>114300</xdr:colOff>
                <xdr:row>88</xdr:row>
                <xdr:rowOff>209550</xdr:rowOff>
              </to>
            </anchor>
          </objectPr>
        </oleObject>
      </mc:Choice>
      <mc:Fallback>
        <oleObject progId="Equation.DSMT4" shapeId="2451" r:id="rId57"/>
      </mc:Fallback>
    </mc:AlternateContent>
    <mc:AlternateContent xmlns:mc="http://schemas.openxmlformats.org/markup-compatibility/2006">
      <mc:Choice Requires="x14">
        <oleObject progId="Equation.DSMT4" shapeId="2452" r:id="rId59">
          <objectPr defaultSize="0" r:id="rId60">
            <anchor moveWithCells="1">
              <from>
                <xdr:col>18</xdr:col>
                <xdr:colOff>123825</xdr:colOff>
                <xdr:row>88</xdr:row>
                <xdr:rowOff>0</xdr:rowOff>
              </from>
              <to>
                <xdr:col>20</xdr:col>
                <xdr:colOff>85725</xdr:colOff>
                <xdr:row>88</xdr:row>
                <xdr:rowOff>200025</xdr:rowOff>
              </to>
            </anchor>
          </objectPr>
        </oleObject>
      </mc:Choice>
      <mc:Fallback>
        <oleObject progId="Equation.DSMT4" shapeId="2452" r:id="rId5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78"/>
  <sheetViews>
    <sheetView showGridLines="0" zoomScaleNormal="100" workbookViewId="0"/>
  </sheetViews>
  <sheetFormatPr defaultColWidth="8.77734375" defaultRowHeight="18" customHeight="1"/>
  <cols>
    <col min="1" max="1" width="2.77734375" style="127" customWidth="1"/>
    <col min="2" max="2" width="8.77734375" style="130"/>
    <col min="3" max="3" width="10.77734375" style="130" bestFit="1" customWidth="1"/>
    <col min="4" max="4" width="8.77734375" style="130"/>
    <col min="5" max="21" width="8.77734375" style="128"/>
    <col min="22" max="16384" width="8.77734375" style="127"/>
  </cols>
  <sheetData>
    <row r="1" spans="1:32" ht="15" customHeight="1">
      <c r="A1" s="124" t="s">
        <v>156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32" ht="24">
      <c r="B2" s="163" t="s">
        <v>157</v>
      </c>
      <c r="C2" s="163" t="s">
        <v>399</v>
      </c>
      <c r="D2" s="163" t="s">
        <v>145</v>
      </c>
      <c r="E2" s="163" t="s">
        <v>158</v>
      </c>
      <c r="F2" s="163" t="s">
        <v>62</v>
      </c>
      <c r="G2" s="163" t="s">
        <v>159</v>
      </c>
      <c r="H2" s="163" t="s">
        <v>160</v>
      </c>
      <c r="I2" s="163" t="s">
        <v>161</v>
      </c>
      <c r="J2" s="163" t="s">
        <v>230</v>
      </c>
      <c r="K2" s="163" t="s">
        <v>231</v>
      </c>
      <c r="L2" s="163" t="s">
        <v>162</v>
      </c>
      <c r="M2" s="290" t="s">
        <v>569</v>
      </c>
      <c r="N2" s="163" t="s">
        <v>146</v>
      </c>
      <c r="O2" s="163" t="s">
        <v>376</v>
      </c>
      <c r="P2" s="163" t="s">
        <v>163</v>
      </c>
      <c r="Q2" s="163" t="s">
        <v>133</v>
      </c>
      <c r="R2" s="163" t="s">
        <v>151</v>
      </c>
      <c r="S2" s="166" t="s">
        <v>164</v>
      </c>
      <c r="T2" s="166" t="s">
        <v>165</v>
      </c>
      <c r="U2" s="127"/>
    </row>
    <row r="3" spans="1:32" ht="15" customHeight="1">
      <c r="B3" s="129" t="e">
        <f>C3</f>
        <v>#DIV/0!</v>
      </c>
      <c r="C3" s="129" t="e">
        <f>AVERAGE(기본정보!B12:B13)</f>
        <v>#DIV/0!</v>
      </c>
      <c r="D3" s="129">
        <f>MIN(C9:C29)</f>
        <v>0</v>
      </c>
      <c r="E3" s="129">
        <f>MAX(C9:C29)</f>
        <v>0</v>
      </c>
      <c r="F3" s="129">
        <f>Length_1!G4</f>
        <v>0</v>
      </c>
      <c r="G3" s="129">
        <f>Length_1!H4</f>
        <v>0</v>
      </c>
      <c r="H3" s="129">
        <f>Length_1!I4</f>
        <v>0</v>
      </c>
      <c r="I3" s="129">
        <f>IF(H3="inch",25.4,1)</f>
        <v>1</v>
      </c>
      <c r="J3" s="129">
        <f>MIN(T9:T29)</f>
        <v>0</v>
      </c>
      <c r="K3" s="129">
        <f>MAX(T9:T29)</f>
        <v>0</v>
      </c>
      <c r="L3" s="129">
        <f>F3*I3</f>
        <v>0</v>
      </c>
      <c r="M3" s="239" t="str">
        <f ca="1">TEXT(L3,OFFSET(P50,MATCH(IFERROR(LEN(L3)-FIND(".",L3),0),O51:O60,0),0))</f>
        <v>0</v>
      </c>
      <c r="N3" s="129">
        <f>G3*I3</f>
        <v>0</v>
      </c>
      <c r="O3" s="129">
        <f>Length_1!J4</f>
        <v>0</v>
      </c>
      <c r="P3" s="129" t="e">
        <f ca="1">OFFSET(Length_1!C3,MATCH($K3,$T9:$T29,0),0)</f>
        <v>#N/A</v>
      </c>
      <c r="Q3" s="129" t="e">
        <f ca="1">OFFSET(Length_1!D3,MATCH($K3,$T9:$T29,0),0)</f>
        <v>#N/A</v>
      </c>
      <c r="R3" s="129" t="e">
        <f ca="1">OFFSET(Length_1!E3,MATCH($K3,$T9:$T29,0),0)</f>
        <v>#N/A</v>
      </c>
      <c r="S3" s="145" t="e">
        <f ca="1">IF(SUM(R46)=0,"","초과")</f>
        <v>#DIV/0!</v>
      </c>
      <c r="T3" s="167" t="str">
        <f>IF(AE8=0,"PASS","FAIL")</f>
        <v>PASS</v>
      </c>
      <c r="U3" s="127"/>
    </row>
    <row r="4" spans="1:32" ht="15" customHeight="1">
      <c r="B4" s="125"/>
      <c r="C4" s="125"/>
      <c r="D4" s="125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</row>
    <row r="5" spans="1:32" ht="15" customHeight="1">
      <c r="A5" s="124" t="s">
        <v>152</v>
      </c>
      <c r="C5" s="125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27"/>
      <c r="Y5" s="168" t="s">
        <v>168</v>
      </c>
    </row>
    <row r="6" spans="1:32" ht="15" customHeight="1">
      <c r="B6" s="460" t="s">
        <v>459</v>
      </c>
      <c r="C6" s="473" t="s">
        <v>460</v>
      </c>
      <c r="D6" s="473" t="s">
        <v>461</v>
      </c>
      <c r="E6" s="475" t="s">
        <v>377</v>
      </c>
      <c r="F6" s="475"/>
      <c r="G6" s="475"/>
      <c r="H6" s="475"/>
      <c r="I6" s="475"/>
      <c r="J6" s="475"/>
      <c r="K6" s="487" t="s">
        <v>462</v>
      </c>
      <c r="L6" s="235" t="s">
        <v>463</v>
      </c>
      <c r="M6" s="235" t="s">
        <v>464</v>
      </c>
      <c r="N6" s="457" t="s">
        <v>465</v>
      </c>
      <c r="O6" s="458"/>
      <c r="P6" s="459"/>
      <c r="Q6" s="235" t="s">
        <v>466</v>
      </c>
      <c r="R6" s="258" t="s">
        <v>467</v>
      </c>
      <c r="S6" s="235" t="s">
        <v>468</v>
      </c>
      <c r="T6" s="235" t="s">
        <v>469</v>
      </c>
      <c r="U6" s="235" t="s">
        <v>470</v>
      </c>
      <c r="V6" s="457" t="s">
        <v>471</v>
      </c>
      <c r="W6" s="459"/>
      <c r="X6" s="131"/>
      <c r="Y6" s="467" t="s">
        <v>108</v>
      </c>
      <c r="Z6" s="468"/>
      <c r="AA6" s="457" t="s">
        <v>472</v>
      </c>
      <c r="AB6" s="458"/>
      <c r="AC6" s="458"/>
      <c r="AD6" s="458"/>
      <c r="AE6" s="458"/>
      <c r="AF6" s="459"/>
    </row>
    <row r="7" spans="1:32" ht="15" customHeight="1">
      <c r="B7" s="460"/>
      <c r="C7" s="474"/>
      <c r="D7" s="474"/>
      <c r="E7" s="260" t="s">
        <v>473</v>
      </c>
      <c r="F7" s="236" t="s">
        <v>474</v>
      </c>
      <c r="G7" s="260" t="s">
        <v>134</v>
      </c>
      <c r="H7" s="236" t="s">
        <v>135</v>
      </c>
      <c r="I7" s="260" t="s">
        <v>136</v>
      </c>
      <c r="J7" s="236" t="s">
        <v>475</v>
      </c>
      <c r="K7" s="488"/>
      <c r="L7" s="235" t="s">
        <v>476</v>
      </c>
      <c r="M7" s="235" t="s">
        <v>477</v>
      </c>
      <c r="N7" s="235" t="s">
        <v>478</v>
      </c>
      <c r="O7" s="235" t="s">
        <v>479</v>
      </c>
      <c r="P7" s="235" t="s">
        <v>480</v>
      </c>
      <c r="Q7" s="235" t="s">
        <v>260</v>
      </c>
      <c r="R7" s="235" t="s">
        <v>481</v>
      </c>
      <c r="S7" s="235" t="s">
        <v>482</v>
      </c>
      <c r="T7" s="235" t="s">
        <v>483</v>
      </c>
      <c r="U7" s="235" t="s">
        <v>484</v>
      </c>
      <c r="V7" s="235" t="s">
        <v>486</v>
      </c>
      <c r="W7" s="235" t="s">
        <v>485</v>
      </c>
      <c r="X7" s="131"/>
      <c r="Y7" s="261" t="s">
        <v>487</v>
      </c>
      <c r="Z7" s="261" t="s">
        <v>488</v>
      </c>
      <c r="AA7" s="235" t="s">
        <v>489</v>
      </c>
      <c r="AB7" s="235" t="s">
        <v>490</v>
      </c>
      <c r="AC7" s="264" t="s">
        <v>166</v>
      </c>
      <c r="AD7" s="259" t="s">
        <v>491</v>
      </c>
      <c r="AE7" s="259" t="s">
        <v>492</v>
      </c>
      <c r="AF7" s="259" t="s">
        <v>510</v>
      </c>
    </row>
    <row r="8" spans="1:32" ht="15" customHeight="1">
      <c r="B8" s="460"/>
      <c r="C8" s="466"/>
      <c r="D8" s="466"/>
      <c r="E8" s="236">
        <f>H3</f>
        <v>0</v>
      </c>
      <c r="F8" s="236">
        <f t="shared" ref="F8:J8" si="0">E8</f>
        <v>0</v>
      </c>
      <c r="G8" s="236">
        <f t="shared" si="0"/>
        <v>0</v>
      </c>
      <c r="H8" s="236">
        <f t="shared" si="0"/>
        <v>0</v>
      </c>
      <c r="I8" s="236">
        <f t="shared" si="0"/>
        <v>0</v>
      </c>
      <c r="J8" s="236">
        <f t="shared" si="0"/>
        <v>0</v>
      </c>
      <c r="K8" s="236" t="s">
        <v>500</v>
      </c>
      <c r="L8" s="235" t="s">
        <v>493</v>
      </c>
      <c r="M8" s="235" t="s">
        <v>493</v>
      </c>
      <c r="N8" s="262" t="s">
        <v>495</v>
      </c>
      <c r="O8" s="262" t="s">
        <v>495</v>
      </c>
      <c r="P8" s="262" t="s">
        <v>494</v>
      </c>
      <c r="Q8" s="235" t="s">
        <v>496</v>
      </c>
      <c r="R8" s="262" t="s">
        <v>495</v>
      </c>
      <c r="S8" s="235" t="s">
        <v>497</v>
      </c>
      <c r="T8" s="235" t="s">
        <v>183</v>
      </c>
      <c r="U8" s="235" t="s">
        <v>183</v>
      </c>
      <c r="V8" s="235" t="s">
        <v>183</v>
      </c>
      <c r="W8" s="235" t="s">
        <v>183</v>
      </c>
      <c r="X8" s="131"/>
      <c r="Y8" s="261" t="s">
        <v>498</v>
      </c>
      <c r="Z8" s="261" t="s">
        <v>499</v>
      </c>
      <c r="AA8" s="235" t="s">
        <v>183</v>
      </c>
      <c r="AB8" s="235" t="s">
        <v>183</v>
      </c>
      <c r="AC8" s="263" t="s">
        <v>183</v>
      </c>
      <c r="AD8" s="259" t="s">
        <v>183</v>
      </c>
      <c r="AE8" s="167">
        <f>IF(TYPE(MATCH("FAIL",AE9:AE29,0))=16,0,1)</f>
        <v>0</v>
      </c>
      <c r="AF8" s="259" t="s">
        <v>493</v>
      </c>
    </row>
    <row r="9" spans="1:32" ht="15" customHeight="1">
      <c r="B9" s="132" t="b">
        <f>IF(TRIM(Length_1!A4)="",FALSE,TRUE)</f>
        <v>0</v>
      </c>
      <c r="C9" s="129" t="str">
        <f>IF($B9=FALSE,"",VALUE(Length_1!A4))</f>
        <v/>
      </c>
      <c r="D9" s="129" t="str">
        <f>IF($B9=FALSE,"",Length_1!B4)</f>
        <v/>
      </c>
      <c r="E9" s="133" t="str">
        <f>IF(B9=FALSE,"",Length_1!N4)</f>
        <v/>
      </c>
      <c r="F9" s="133" t="str">
        <f>IF(B9=FALSE,"",Length_1!O4)</f>
        <v/>
      </c>
      <c r="G9" s="133" t="str">
        <f>IF(B9=FALSE,"",Length_1!P4)</f>
        <v/>
      </c>
      <c r="H9" s="133" t="str">
        <f>IF(B9=FALSE,"",Length_1!Q4)</f>
        <v/>
      </c>
      <c r="I9" s="133" t="str">
        <f>IF(B9=FALSE,"",Length_1!R4)</f>
        <v/>
      </c>
      <c r="J9" s="134" t="str">
        <f t="shared" ref="J9:J29" si="1">IF(B9=FALSE,"",AVERAGE(E9:I9))</f>
        <v/>
      </c>
      <c r="K9" s="146" t="str">
        <f t="shared" ref="K9:K29" si="2">IF(B9=FALSE,"",STDEV(E9:I9)*I$3)</f>
        <v/>
      </c>
      <c r="L9" s="135" t="str">
        <f>IF(B9=FALSE,"",Length_1!D28)</f>
        <v/>
      </c>
      <c r="M9" s="136" t="str">
        <f>IF(B9=FALSE,"",Calcu!J9*I$3)</f>
        <v/>
      </c>
      <c r="N9" s="156" t="str">
        <f>IF(B9=FALSE,"",11.5*10^-6)</f>
        <v/>
      </c>
      <c r="O9" s="156" t="str">
        <f>IF(B9=FALSE,"",Length_1!K28)</f>
        <v/>
      </c>
      <c r="P9" s="157" t="str">
        <f t="shared" ref="P9:P29" si="3">IF(B9=FALSE,"",AVERAGE(N9:O9))</f>
        <v/>
      </c>
      <c r="Q9" s="267" t="str">
        <f t="shared" ref="Q9:Q29" si="4">IF(B9=FALSE,"",B$3-C$3)</f>
        <v/>
      </c>
      <c r="R9" s="267" t="str">
        <f t="shared" ref="R9:R29" si="5">IF(B9=FALSE,"",N9-O9)</f>
        <v/>
      </c>
      <c r="S9" s="267" t="str">
        <f t="shared" ref="S9:S29" si="6">IF(B9=FALSE,"",AVERAGE(B$3:C$3)-20)</f>
        <v/>
      </c>
      <c r="T9" s="137" t="str">
        <f t="shared" ref="T9:T29" si="7">IF(B9=FALSE,"",C9*I$3)</f>
        <v/>
      </c>
      <c r="U9" s="138" t="str">
        <f t="shared" ref="U9:U29" si="8">IF(B9=FALSE,"",L9-M9-(P9*Q9+R9*S9)*T9)</f>
        <v/>
      </c>
      <c r="V9" s="129" t="str">
        <f>IF($B9=FALSE,"",ROUND(T9+W9,$M$46))</f>
        <v/>
      </c>
      <c r="W9" s="129" t="str">
        <f>IF($B9=FALSE,"",ROUND(U9,$M$46))</f>
        <v/>
      </c>
      <c r="X9" s="131"/>
      <c r="Y9" s="221" t="e">
        <f ca="1">IF(Length_1!K4&lt;0,ROUNDUP(Length_1!K4*I$3,$M$46),ROUNDDOWN(Length_1!K4*I$3,$M$46))</f>
        <v>#DIV/0!</v>
      </c>
      <c r="Z9" s="221" t="e">
        <f ca="1">IF(Length_1!L4&lt;0,ROUNDDOWN(Length_1!L4*I$3,$M$46),ROUNDUP(Length_1!L4*I$3,$M$46))</f>
        <v>#DIV/0!</v>
      </c>
      <c r="AA9" s="129" t="e">
        <f t="shared" ref="AA9:AA29" ca="1" si="9">TEXT(T9,IF(T9&gt;=1000,"# ##","")&amp;$P$46)</f>
        <v>#DIV/0!</v>
      </c>
      <c r="AB9" s="129" t="e">
        <f t="shared" ref="AB9:AB29" ca="1" si="10">TEXT(V9,IF(V9&gt;=1000,"# ##","")&amp;$P$46)</f>
        <v>#DIV/0!</v>
      </c>
      <c r="AC9" s="221" t="e">
        <f t="shared" ref="AC9:AC29" ca="1" si="11">TEXT(U9,$P$46)</f>
        <v>#DIV/0!</v>
      </c>
      <c r="AD9" s="129" t="e">
        <f t="shared" ref="AD9:AD29" ca="1" si="12">"± "&amp;TEXT(Z9-T9,P$46)</f>
        <v>#DIV/0!</v>
      </c>
      <c r="AE9" s="129" t="str">
        <f>IF($B9=FALSE,"",IF(AND(Y9&lt;=V9,V9&lt;=Z9),"PASS","FAIL"))</f>
        <v/>
      </c>
      <c r="AF9" s="239" t="e">
        <f t="shared" ref="AF9:AF28" ca="1" si="13">S$46</f>
        <v>#DIV/0!</v>
      </c>
    </row>
    <row r="10" spans="1:32" ht="15" customHeight="1">
      <c r="B10" s="132" t="b">
        <f>IF(TRIM(Length_1!A5)="",FALSE,TRUE)</f>
        <v>0</v>
      </c>
      <c r="C10" s="129" t="str">
        <f>IF($B10=FALSE,"",VALUE(Length_1!A5))</f>
        <v/>
      </c>
      <c r="D10" s="129" t="str">
        <f>IF($B10=FALSE,"",Length_1!B5)</f>
        <v/>
      </c>
      <c r="E10" s="133" t="str">
        <f>IF(B10=FALSE,"",Length_1!N5)</f>
        <v/>
      </c>
      <c r="F10" s="133" t="str">
        <f>IF(B10=FALSE,"",Length_1!O5)</f>
        <v/>
      </c>
      <c r="G10" s="133" t="str">
        <f>IF(B10=FALSE,"",Length_1!P5)</f>
        <v/>
      </c>
      <c r="H10" s="133" t="str">
        <f>IF(B10=FALSE,"",Length_1!Q5)</f>
        <v/>
      </c>
      <c r="I10" s="133" t="str">
        <f>IF(B10=FALSE,"",Length_1!R5)</f>
        <v/>
      </c>
      <c r="J10" s="134" t="str">
        <f t="shared" si="1"/>
        <v/>
      </c>
      <c r="K10" s="146" t="str">
        <f t="shared" si="2"/>
        <v/>
      </c>
      <c r="L10" s="135" t="str">
        <f>IF(B10=FALSE,"",Length_1!D29)</f>
        <v/>
      </c>
      <c r="M10" s="136" t="str">
        <f>IF(B10=FALSE,"",Calcu!J10*I$3)</f>
        <v/>
      </c>
      <c r="N10" s="156" t="str">
        <f t="shared" ref="N10:N29" si="14">IF(B10=FALSE,"",11.5*10^-6)</f>
        <v/>
      </c>
      <c r="O10" s="156" t="str">
        <f>IF(B10=FALSE,"",Length_1!K29)</f>
        <v/>
      </c>
      <c r="P10" s="157" t="str">
        <f t="shared" si="3"/>
        <v/>
      </c>
      <c r="Q10" s="267" t="str">
        <f t="shared" si="4"/>
        <v/>
      </c>
      <c r="R10" s="267" t="str">
        <f t="shared" si="5"/>
        <v/>
      </c>
      <c r="S10" s="267" t="str">
        <f t="shared" si="6"/>
        <v/>
      </c>
      <c r="T10" s="137" t="str">
        <f t="shared" si="7"/>
        <v/>
      </c>
      <c r="U10" s="138" t="str">
        <f t="shared" si="8"/>
        <v/>
      </c>
      <c r="V10" s="129" t="str">
        <f t="shared" ref="V10:V29" si="15">IF($B10=FALSE,"",ROUND(T10+W10,$M$46))</f>
        <v/>
      </c>
      <c r="W10" s="129" t="str">
        <f t="shared" ref="W10:W29" si="16">IF($B10=FALSE,"",ROUND(U10,$M$46))</f>
        <v/>
      </c>
      <c r="X10" s="131"/>
      <c r="Y10" s="221" t="e">
        <f ca="1">IF(Length_1!K5&lt;0,ROUNDUP(Length_1!K5*I$3,$M$46),ROUNDDOWN(Length_1!K5*I$3,$M$46))</f>
        <v>#DIV/0!</v>
      </c>
      <c r="Z10" s="221" t="e">
        <f ca="1">IF(Length_1!L5&lt;0,ROUNDDOWN(Length_1!L5*I$3,$M$46),ROUNDUP(Length_1!L5*I$3,$M$46))</f>
        <v>#DIV/0!</v>
      </c>
      <c r="AA10" s="129" t="e">
        <f t="shared" ca="1" si="9"/>
        <v>#DIV/0!</v>
      </c>
      <c r="AB10" s="129" t="e">
        <f t="shared" ca="1" si="10"/>
        <v>#DIV/0!</v>
      </c>
      <c r="AC10" s="221" t="e">
        <f t="shared" ca="1" si="11"/>
        <v>#DIV/0!</v>
      </c>
      <c r="AD10" s="129" t="e">
        <f t="shared" ca="1" si="12"/>
        <v>#DIV/0!</v>
      </c>
      <c r="AE10" s="129" t="str">
        <f t="shared" ref="AE10:AE29" si="17">IF($B10=FALSE,"",IF(AND(Y10&lt;=V10,V10&lt;=Z10),"PASS","FAIL"))</f>
        <v/>
      </c>
      <c r="AF10" s="239" t="e">
        <f t="shared" ca="1" si="13"/>
        <v>#DIV/0!</v>
      </c>
    </row>
    <row r="11" spans="1:32" ht="15" customHeight="1">
      <c r="B11" s="132" t="b">
        <f>IF(TRIM(Length_1!A6)="",FALSE,TRUE)</f>
        <v>0</v>
      </c>
      <c r="C11" s="129" t="str">
        <f>IF($B11=FALSE,"",VALUE(Length_1!A6))</f>
        <v/>
      </c>
      <c r="D11" s="129" t="str">
        <f>IF($B11=FALSE,"",Length_1!B6)</f>
        <v/>
      </c>
      <c r="E11" s="133" t="str">
        <f>IF(B11=FALSE,"",Length_1!N6)</f>
        <v/>
      </c>
      <c r="F11" s="133" t="str">
        <f>IF(B11=FALSE,"",Length_1!O6)</f>
        <v/>
      </c>
      <c r="G11" s="133" t="str">
        <f>IF(B11=FALSE,"",Length_1!P6)</f>
        <v/>
      </c>
      <c r="H11" s="133" t="str">
        <f>IF(B11=FALSE,"",Length_1!Q6)</f>
        <v/>
      </c>
      <c r="I11" s="133" t="str">
        <f>IF(B11=FALSE,"",Length_1!R6)</f>
        <v/>
      </c>
      <c r="J11" s="134" t="str">
        <f t="shared" si="1"/>
        <v/>
      </c>
      <c r="K11" s="146" t="str">
        <f t="shared" si="2"/>
        <v/>
      </c>
      <c r="L11" s="135" t="str">
        <f>IF(B11=FALSE,"",Length_1!D30)</f>
        <v/>
      </c>
      <c r="M11" s="136" t="str">
        <f>IF(B11=FALSE,"",Calcu!J11*I$3)</f>
        <v/>
      </c>
      <c r="N11" s="156" t="str">
        <f t="shared" si="14"/>
        <v/>
      </c>
      <c r="O11" s="156" t="str">
        <f>IF(B11=FALSE,"",Length_1!K30)</f>
        <v/>
      </c>
      <c r="P11" s="157" t="str">
        <f t="shared" si="3"/>
        <v/>
      </c>
      <c r="Q11" s="267" t="str">
        <f t="shared" si="4"/>
        <v/>
      </c>
      <c r="R11" s="267" t="str">
        <f t="shared" si="5"/>
        <v/>
      </c>
      <c r="S11" s="267" t="str">
        <f t="shared" si="6"/>
        <v/>
      </c>
      <c r="T11" s="137" t="str">
        <f t="shared" si="7"/>
        <v/>
      </c>
      <c r="U11" s="138" t="str">
        <f t="shared" si="8"/>
        <v/>
      </c>
      <c r="V11" s="129" t="str">
        <f t="shared" si="15"/>
        <v/>
      </c>
      <c r="W11" s="129" t="str">
        <f t="shared" si="16"/>
        <v/>
      </c>
      <c r="X11" s="131"/>
      <c r="Y11" s="221" t="e">
        <f ca="1">IF(Length_1!K6&lt;0,ROUNDUP(Length_1!K6*I$3,$M$46),ROUNDDOWN(Length_1!K6*I$3,$M$46))</f>
        <v>#DIV/0!</v>
      </c>
      <c r="Z11" s="221" t="e">
        <f ca="1">IF(Length_1!L6&lt;0,ROUNDDOWN(Length_1!L6*I$3,$M$46),ROUNDUP(Length_1!L6*I$3,$M$46))</f>
        <v>#DIV/0!</v>
      </c>
      <c r="AA11" s="129" t="e">
        <f t="shared" ca="1" si="9"/>
        <v>#DIV/0!</v>
      </c>
      <c r="AB11" s="129" t="e">
        <f t="shared" ca="1" si="10"/>
        <v>#DIV/0!</v>
      </c>
      <c r="AC11" s="221" t="e">
        <f t="shared" ca="1" si="11"/>
        <v>#DIV/0!</v>
      </c>
      <c r="AD11" s="129" t="e">
        <f t="shared" ca="1" si="12"/>
        <v>#DIV/0!</v>
      </c>
      <c r="AE11" s="129" t="str">
        <f t="shared" si="17"/>
        <v/>
      </c>
      <c r="AF11" s="239" t="e">
        <f t="shared" ca="1" si="13"/>
        <v>#DIV/0!</v>
      </c>
    </row>
    <row r="12" spans="1:32" ht="15" customHeight="1">
      <c r="B12" s="132" t="b">
        <f>IF(TRIM(Length_1!A7)="",FALSE,TRUE)</f>
        <v>0</v>
      </c>
      <c r="C12" s="129" t="str">
        <f>IF($B12=FALSE,"",VALUE(Length_1!A7))</f>
        <v/>
      </c>
      <c r="D12" s="129" t="str">
        <f>IF($B12=FALSE,"",Length_1!B7)</f>
        <v/>
      </c>
      <c r="E12" s="133" t="str">
        <f>IF(B12=FALSE,"",Length_1!N7)</f>
        <v/>
      </c>
      <c r="F12" s="133" t="str">
        <f>IF(B12=FALSE,"",Length_1!O7)</f>
        <v/>
      </c>
      <c r="G12" s="133" t="str">
        <f>IF(B12=FALSE,"",Length_1!P7)</f>
        <v/>
      </c>
      <c r="H12" s="133" t="str">
        <f>IF(B12=FALSE,"",Length_1!Q7)</f>
        <v/>
      </c>
      <c r="I12" s="133" t="str">
        <f>IF(B12=FALSE,"",Length_1!R7)</f>
        <v/>
      </c>
      <c r="J12" s="134" t="str">
        <f t="shared" si="1"/>
        <v/>
      </c>
      <c r="K12" s="146" t="str">
        <f t="shared" si="2"/>
        <v/>
      </c>
      <c r="L12" s="135" t="str">
        <f>IF(B12=FALSE,"",Length_1!D31)</f>
        <v/>
      </c>
      <c r="M12" s="136" t="str">
        <f>IF(B12=FALSE,"",Calcu!J12*I$3)</f>
        <v/>
      </c>
      <c r="N12" s="156" t="str">
        <f t="shared" si="14"/>
        <v/>
      </c>
      <c r="O12" s="156" t="str">
        <f>IF(B12=FALSE,"",Length_1!K31)</f>
        <v/>
      </c>
      <c r="P12" s="157" t="str">
        <f t="shared" si="3"/>
        <v/>
      </c>
      <c r="Q12" s="267" t="str">
        <f t="shared" si="4"/>
        <v/>
      </c>
      <c r="R12" s="267" t="str">
        <f t="shared" si="5"/>
        <v/>
      </c>
      <c r="S12" s="267" t="str">
        <f t="shared" si="6"/>
        <v/>
      </c>
      <c r="T12" s="137" t="str">
        <f t="shared" si="7"/>
        <v/>
      </c>
      <c r="U12" s="138" t="str">
        <f t="shared" si="8"/>
        <v/>
      </c>
      <c r="V12" s="129" t="str">
        <f t="shared" si="15"/>
        <v/>
      </c>
      <c r="W12" s="129" t="str">
        <f t="shared" si="16"/>
        <v/>
      </c>
      <c r="X12" s="131"/>
      <c r="Y12" s="221" t="e">
        <f ca="1">IF(Length_1!K7&lt;0,ROUNDUP(Length_1!K7*I$3,$M$46),ROUNDDOWN(Length_1!K7*I$3,$M$46))</f>
        <v>#DIV/0!</v>
      </c>
      <c r="Z12" s="221" t="e">
        <f ca="1">IF(Length_1!L7&lt;0,ROUNDDOWN(Length_1!L7*I$3,$M$46),ROUNDUP(Length_1!L7*I$3,$M$46))</f>
        <v>#DIV/0!</v>
      </c>
      <c r="AA12" s="129" t="e">
        <f t="shared" ca="1" si="9"/>
        <v>#DIV/0!</v>
      </c>
      <c r="AB12" s="129" t="e">
        <f t="shared" ca="1" si="10"/>
        <v>#DIV/0!</v>
      </c>
      <c r="AC12" s="221" t="e">
        <f t="shared" ca="1" si="11"/>
        <v>#DIV/0!</v>
      </c>
      <c r="AD12" s="129" t="e">
        <f t="shared" ca="1" si="12"/>
        <v>#DIV/0!</v>
      </c>
      <c r="AE12" s="129" t="str">
        <f t="shared" si="17"/>
        <v/>
      </c>
      <c r="AF12" s="239" t="e">
        <f t="shared" ca="1" si="13"/>
        <v>#DIV/0!</v>
      </c>
    </row>
    <row r="13" spans="1:32" ht="15" customHeight="1">
      <c r="B13" s="132" t="b">
        <f>IF(TRIM(Length_1!A8)="",FALSE,TRUE)</f>
        <v>0</v>
      </c>
      <c r="C13" s="129" t="str">
        <f>IF($B13=FALSE,"",VALUE(Length_1!A8))</f>
        <v/>
      </c>
      <c r="D13" s="129" t="str">
        <f>IF($B13=FALSE,"",Length_1!B8)</f>
        <v/>
      </c>
      <c r="E13" s="133" t="str">
        <f>IF(B13=FALSE,"",Length_1!N8)</f>
        <v/>
      </c>
      <c r="F13" s="133" t="str">
        <f>IF(B13=FALSE,"",Length_1!O8)</f>
        <v/>
      </c>
      <c r="G13" s="133" t="str">
        <f>IF(B13=FALSE,"",Length_1!P8)</f>
        <v/>
      </c>
      <c r="H13" s="133" t="str">
        <f>IF(B13=FALSE,"",Length_1!Q8)</f>
        <v/>
      </c>
      <c r="I13" s="133" t="str">
        <f>IF(B13=FALSE,"",Length_1!R8)</f>
        <v/>
      </c>
      <c r="J13" s="134" t="str">
        <f t="shared" si="1"/>
        <v/>
      </c>
      <c r="K13" s="146" t="str">
        <f t="shared" si="2"/>
        <v/>
      </c>
      <c r="L13" s="135" t="str">
        <f>IF(B13=FALSE,"",Length_1!D32)</f>
        <v/>
      </c>
      <c r="M13" s="136" t="str">
        <f>IF(B13=FALSE,"",Calcu!J13*I$3)</f>
        <v/>
      </c>
      <c r="N13" s="156" t="str">
        <f t="shared" si="14"/>
        <v/>
      </c>
      <c r="O13" s="156" t="str">
        <f>IF(B13=FALSE,"",Length_1!K32)</f>
        <v/>
      </c>
      <c r="P13" s="157" t="str">
        <f t="shared" si="3"/>
        <v/>
      </c>
      <c r="Q13" s="267" t="str">
        <f t="shared" si="4"/>
        <v/>
      </c>
      <c r="R13" s="267" t="str">
        <f t="shared" si="5"/>
        <v/>
      </c>
      <c r="S13" s="267" t="str">
        <f t="shared" si="6"/>
        <v/>
      </c>
      <c r="T13" s="137" t="str">
        <f t="shared" si="7"/>
        <v/>
      </c>
      <c r="U13" s="138" t="str">
        <f t="shared" si="8"/>
        <v/>
      </c>
      <c r="V13" s="129" t="str">
        <f t="shared" si="15"/>
        <v/>
      </c>
      <c r="W13" s="129" t="str">
        <f t="shared" si="16"/>
        <v/>
      </c>
      <c r="X13" s="131"/>
      <c r="Y13" s="221" t="e">
        <f ca="1">IF(Length_1!K8&lt;0,ROUNDUP(Length_1!K8*I$3,$M$46),ROUNDDOWN(Length_1!K8*I$3,$M$46))</f>
        <v>#DIV/0!</v>
      </c>
      <c r="Z13" s="221" t="e">
        <f ca="1">IF(Length_1!L8&lt;0,ROUNDDOWN(Length_1!L8*I$3,$M$46),ROUNDUP(Length_1!L8*I$3,$M$46))</f>
        <v>#DIV/0!</v>
      </c>
      <c r="AA13" s="129" t="e">
        <f t="shared" ca="1" si="9"/>
        <v>#DIV/0!</v>
      </c>
      <c r="AB13" s="129" t="e">
        <f t="shared" ca="1" si="10"/>
        <v>#DIV/0!</v>
      </c>
      <c r="AC13" s="221" t="e">
        <f t="shared" ca="1" si="11"/>
        <v>#DIV/0!</v>
      </c>
      <c r="AD13" s="129" t="e">
        <f t="shared" ca="1" si="12"/>
        <v>#DIV/0!</v>
      </c>
      <c r="AE13" s="129" t="str">
        <f t="shared" si="17"/>
        <v/>
      </c>
      <c r="AF13" s="239" t="e">
        <f t="shared" ca="1" si="13"/>
        <v>#DIV/0!</v>
      </c>
    </row>
    <row r="14" spans="1:32" ht="15" customHeight="1">
      <c r="B14" s="132" t="b">
        <f>IF(TRIM(Length_1!A9)="",FALSE,TRUE)</f>
        <v>0</v>
      </c>
      <c r="C14" s="129" t="str">
        <f>IF($B14=FALSE,"",VALUE(Length_1!A9))</f>
        <v/>
      </c>
      <c r="D14" s="129" t="str">
        <f>IF($B14=FALSE,"",Length_1!B9)</f>
        <v/>
      </c>
      <c r="E14" s="133" t="str">
        <f>IF(B14=FALSE,"",Length_1!N9)</f>
        <v/>
      </c>
      <c r="F14" s="133" t="str">
        <f>IF(B14=FALSE,"",Length_1!O9)</f>
        <v/>
      </c>
      <c r="G14" s="133" t="str">
        <f>IF(B14=FALSE,"",Length_1!P9)</f>
        <v/>
      </c>
      <c r="H14" s="133" t="str">
        <f>IF(B14=FALSE,"",Length_1!Q9)</f>
        <v/>
      </c>
      <c r="I14" s="133" t="str">
        <f>IF(B14=FALSE,"",Length_1!R9)</f>
        <v/>
      </c>
      <c r="J14" s="134" t="str">
        <f t="shared" si="1"/>
        <v/>
      </c>
      <c r="K14" s="146" t="str">
        <f t="shared" si="2"/>
        <v/>
      </c>
      <c r="L14" s="135" t="str">
        <f>IF(B14=FALSE,"",Length_1!D33)</f>
        <v/>
      </c>
      <c r="M14" s="136" t="str">
        <f>IF(B14=FALSE,"",Calcu!J14*I$3)</f>
        <v/>
      </c>
      <c r="N14" s="156" t="str">
        <f t="shared" si="14"/>
        <v/>
      </c>
      <c r="O14" s="156" t="str">
        <f>IF(B14=FALSE,"",Length_1!K33)</f>
        <v/>
      </c>
      <c r="P14" s="157" t="str">
        <f t="shared" si="3"/>
        <v/>
      </c>
      <c r="Q14" s="267" t="str">
        <f t="shared" si="4"/>
        <v/>
      </c>
      <c r="R14" s="267" t="str">
        <f t="shared" si="5"/>
        <v/>
      </c>
      <c r="S14" s="267" t="str">
        <f t="shared" si="6"/>
        <v/>
      </c>
      <c r="T14" s="137" t="str">
        <f t="shared" si="7"/>
        <v/>
      </c>
      <c r="U14" s="138" t="str">
        <f t="shared" si="8"/>
        <v/>
      </c>
      <c r="V14" s="129" t="str">
        <f t="shared" si="15"/>
        <v/>
      </c>
      <c r="W14" s="129" t="str">
        <f t="shared" si="16"/>
        <v/>
      </c>
      <c r="X14" s="131"/>
      <c r="Y14" s="221" t="e">
        <f ca="1">IF(Length_1!K9&lt;0,ROUNDUP(Length_1!K9*I$3,$M$46),ROUNDDOWN(Length_1!K9*I$3,$M$46))</f>
        <v>#DIV/0!</v>
      </c>
      <c r="Z14" s="221" t="e">
        <f ca="1">IF(Length_1!L9&lt;0,ROUNDDOWN(Length_1!L9*I$3,$M$46),ROUNDUP(Length_1!L9*I$3,$M$46))</f>
        <v>#DIV/0!</v>
      </c>
      <c r="AA14" s="129" t="e">
        <f t="shared" ca="1" si="9"/>
        <v>#DIV/0!</v>
      </c>
      <c r="AB14" s="129" t="e">
        <f t="shared" ca="1" si="10"/>
        <v>#DIV/0!</v>
      </c>
      <c r="AC14" s="221" t="e">
        <f t="shared" ca="1" si="11"/>
        <v>#DIV/0!</v>
      </c>
      <c r="AD14" s="129" t="e">
        <f t="shared" ca="1" si="12"/>
        <v>#DIV/0!</v>
      </c>
      <c r="AE14" s="129" t="str">
        <f t="shared" si="17"/>
        <v/>
      </c>
      <c r="AF14" s="239" t="e">
        <f t="shared" ca="1" si="13"/>
        <v>#DIV/0!</v>
      </c>
    </row>
    <row r="15" spans="1:32" ht="15" customHeight="1">
      <c r="B15" s="132" t="b">
        <f>IF(TRIM(Length_1!A10)="",FALSE,TRUE)</f>
        <v>0</v>
      </c>
      <c r="C15" s="129" t="str">
        <f>IF($B15=FALSE,"",VALUE(Length_1!A10))</f>
        <v/>
      </c>
      <c r="D15" s="129" t="str">
        <f>IF($B15=FALSE,"",Length_1!B10)</f>
        <v/>
      </c>
      <c r="E15" s="133" t="str">
        <f>IF(B15=FALSE,"",Length_1!N10)</f>
        <v/>
      </c>
      <c r="F15" s="133" t="str">
        <f>IF(B15=FALSE,"",Length_1!O10)</f>
        <v/>
      </c>
      <c r="G15" s="133" t="str">
        <f>IF(B15=FALSE,"",Length_1!P10)</f>
        <v/>
      </c>
      <c r="H15" s="133" t="str">
        <f>IF(B15=FALSE,"",Length_1!Q10)</f>
        <v/>
      </c>
      <c r="I15" s="133" t="str">
        <f>IF(B15=FALSE,"",Length_1!R10)</f>
        <v/>
      </c>
      <c r="J15" s="134" t="str">
        <f t="shared" si="1"/>
        <v/>
      </c>
      <c r="K15" s="146" t="str">
        <f t="shared" si="2"/>
        <v/>
      </c>
      <c r="L15" s="135" t="str">
        <f>IF(B15=FALSE,"",Length_1!D34)</f>
        <v/>
      </c>
      <c r="M15" s="136" t="str">
        <f>IF(B15=FALSE,"",Calcu!J15*I$3)</f>
        <v/>
      </c>
      <c r="N15" s="156" t="str">
        <f t="shared" si="14"/>
        <v/>
      </c>
      <c r="O15" s="156" t="str">
        <f>IF(B15=FALSE,"",Length_1!K34)</f>
        <v/>
      </c>
      <c r="P15" s="157" t="str">
        <f t="shared" si="3"/>
        <v/>
      </c>
      <c r="Q15" s="267" t="str">
        <f t="shared" si="4"/>
        <v/>
      </c>
      <c r="R15" s="267" t="str">
        <f t="shared" si="5"/>
        <v/>
      </c>
      <c r="S15" s="267" t="str">
        <f t="shared" si="6"/>
        <v/>
      </c>
      <c r="T15" s="137" t="str">
        <f t="shared" si="7"/>
        <v/>
      </c>
      <c r="U15" s="138" t="str">
        <f t="shared" si="8"/>
        <v/>
      </c>
      <c r="V15" s="129" t="str">
        <f t="shared" si="15"/>
        <v/>
      </c>
      <c r="W15" s="129" t="str">
        <f t="shared" si="16"/>
        <v/>
      </c>
      <c r="X15" s="131"/>
      <c r="Y15" s="221" t="e">
        <f ca="1">IF(Length_1!K10&lt;0,ROUNDUP(Length_1!K10*I$3,$M$46),ROUNDDOWN(Length_1!K10*I$3,$M$46))</f>
        <v>#DIV/0!</v>
      </c>
      <c r="Z15" s="221" t="e">
        <f ca="1">IF(Length_1!L10&lt;0,ROUNDDOWN(Length_1!L10*I$3,$M$46),ROUNDUP(Length_1!L10*I$3,$M$46))</f>
        <v>#DIV/0!</v>
      </c>
      <c r="AA15" s="129" t="e">
        <f t="shared" ca="1" si="9"/>
        <v>#DIV/0!</v>
      </c>
      <c r="AB15" s="129" t="e">
        <f t="shared" ca="1" si="10"/>
        <v>#DIV/0!</v>
      </c>
      <c r="AC15" s="221" t="e">
        <f t="shared" ca="1" si="11"/>
        <v>#DIV/0!</v>
      </c>
      <c r="AD15" s="129" t="e">
        <f t="shared" ca="1" si="12"/>
        <v>#DIV/0!</v>
      </c>
      <c r="AE15" s="129" t="str">
        <f t="shared" si="17"/>
        <v/>
      </c>
      <c r="AF15" s="239" t="e">
        <f t="shared" ca="1" si="13"/>
        <v>#DIV/0!</v>
      </c>
    </row>
    <row r="16" spans="1:32" ht="15" customHeight="1">
      <c r="B16" s="132" t="b">
        <f>IF(TRIM(Length_1!A11)="",FALSE,TRUE)</f>
        <v>0</v>
      </c>
      <c r="C16" s="129" t="str">
        <f>IF($B16=FALSE,"",VALUE(Length_1!A11))</f>
        <v/>
      </c>
      <c r="D16" s="129" t="str">
        <f>IF($B16=FALSE,"",Length_1!B11)</f>
        <v/>
      </c>
      <c r="E16" s="133" t="str">
        <f>IF(B16=FALSE,"",Length_1!N11)</f>
        <v/>
      </c>
      <c r="F16" s="133" t="str">
        <f>IF(B16=FALSE,"",Length_1!O11)</f>
        <v/>
      </c>
      <c r="G16" s="133" t="str">
        <f>IF(B16=FALSE,"",Length_1!P11)</f>
        <v/>
      </c>
      <c r="H16" s="133" t="str">
        <f>IF(B16=FALSE,"",Length_1!Q11)</f>
        <v/>
      </c>
      <c r="I16" s="133" t="str">
        <f>IF(B16=FALSE,"",Length_1!R11)</f>
        <v/>
      </c>
      <c r="J16" s="134" t="str">
        <f t="shared" si="1"/>
        <v/>
      </c>
      <c r="K16" s="146" t="str">
        <f t="shared" si="2"/>
        <v/>
      </c>
      <c r="L16" s="135" t="str">
        <f>IF(B16=FALSE,"",Length_1!D35)</f>
        <v/>
      </c>
      <c r="M16" s="136" t="str">
        <f>IF(B16=FALSE,"",Calcu!J16*I$3)</f>
        <v/>
      </c>
      <c r="N16" s="156" t="str">
        <f t="shared" si="14"/>
        <v/>
      </c>
      <c r="O16" s="156" t="str">
        <f>IF(B16=FALSE,"",Length_1!K35)</f>
        <v/>
      </c>
      <c r="P16" s="157" t="str">
        <f t="shared" si="3"/>
        <v/>
      </c>
      <c r="Q16" s="267" t="str">
        <f t="shared" si="4"/>
        <v/>
      </c>
      <c r="R16" s="267" t="str">
        <f t="shared" si="5"/>
        <v/>
      </c>
      <c r="S16" s="267" t="str">
        <f t="shared" si="6"/>
        <v/>
      </c>
      <c r="T16" s="137" t="str">
        <f t="shared" si="7"/>
        <v/>
      </c>
      <c r="U16" s="138" t="str">
        <f t="shared" si="8"/>
        <v/>
      </c>
      <c r="V16" s="129" t="str">
        <f t="shared" si="15"/>
        <v/>
      </c>
      <c r="W16" s="129" t="str">
        <f t="shared" si="16"/>
        <v/>
      </c>
      <c r="X16" s="131"/>
      <c r="Y16" s="221" t="e">
        <f ca="1">IF(Length_1!K11&lt;0,ROUNDUP(Length_1!K11*I$3,$M$46),ROUNDDOWN(Length_1!K11*I$3,$M$46))</f>
        <v>#DIV/0!</v>
      </c>
      <c r="Z16" s="221" t="e">
        <f ca="1">IF(Length_1!L11&lt;0,ROUNDDOWN(Length_1!L11*I$3,$M$46),ROUNDUP(Length_1!L11*I$3,$M$46))</f>
        <v>#DIV/0!</v>
      </c>
      <c r="AA16" s="129" t="e">
        <f t="shared" ca="1" si="9"/>
        <v>#DIV/0!</v>
      </c>
      <c r="AB16" s="129" t="e">
        <f t="shared" ca="1" si="10"/>
        <v>#DIV/0!</v>
      </c>
      <c r="AC16" s="221" t="e">
        <f t="shared" ca="1" si="11"/>
        <v>#DIV/0!</v>
      </c>
      <c r="AD16" s="129" t="e">
        <f t="shared" ca="1" si="12"/>
        <v>#DIV/0!</v>
      </c>
      <c r="AE16" s="129" t="str">
        <f t="shared" si="17"/>
        <v/>
      </c>
      <c r="AF16" s="239" t="e">
        <f t="shared" ca="1" si="13"/>
        <v>#DIV/0!</v>
      </c>
    </row>
    <row r="17" spans="1:32" ht="15" customHeight="1">
      <c r="B17" s="132" t="b">
        <f>IF(TRIM(Length_1!A12)="",FALSE,TRUE)</f>
        <v>0</v>
      </c>
      <c r="C17" s="129" t="str">
        <f>IF($B17=FALSE,"",VALUE(Length_1!A12))</f>
        <v/>
      </c>
      <c r="D17" s="129" t="str">
        <f>IF($B17=FALSE,"",Length_1!B12)</f>
        <v/>
      </c>
      <c r="E17" s="133" t="str">
        <f>IF(B17=FALSE,"",Length_1!N12)</f>
        <v/>
      </c>
      <c r="F17" s="133" t="str">
        <f>IF(B17=FALSE,"",Length_1!O12)</f>
        <v/>
      </c>
      <c r="G17" s="133" t="str">
        <f>IF(B17=FALSE,"",Length_1!P12)</f>
        <v/>
      </c>
      <c r="H17" s="133" t="str">
        <f>IF(B17=FALSE,"",Length_1!Q12)</f>
        <v/>
      </c>
      <c r="I17" s="133" t="str">
        <f>IF(B17=FALSE,"",Length_1!R12)</f>
        <v/>
      </c>
      <c r="J17" s="134" t="str">
        <f t="shared" si="1"/>
        <v/>
      </c>
      <c r="K17" s="146" t="str">
        <f t="shared" si="2"/>
        <v/>
      </c>
      <c r="L17" s="135" t="str">
        <f>IF(B17=FALSE,"",Length_1!D36)</f>
        <v/>
      </c>
      <c r="M17" s="136" t="str">
        <f>IF(B17=FALSE,"",Calcu!J17*I$3)</f>
        <v/>
      </c>
      <c r="N17" s="156" t="str">
        <f t="shared" si="14"/>
        <v/>
      </c>
      <c r="O17" s="156" t="str">
        <f>IF(B17=FALSE,"",Length_1!K36)</f>
        <v/>
      </c>
      <c r="P17" s="157" t="str">
        <f t="shared" si="3"/>
        <v/>
      </c>
      <c r="Q17" s="267" t="str">
        <f t="shared" si="4"/>
        <v/>
      </c>
      <c r="R17" s="267" t="str">
        <f t="shared" si="5"/>
        <v/>
      </c>
      <c r="S17" s="267" t="str">
        <f t="shared" si="6"/>
        <v/>
      </c>
      <c r="T17" s="137" t="str">
        <f t="shared" si="7"/>
        <v/>
      </c>
      <c r="U17" s="138" t="str">
        <f t="shared" si="8"/>
        <v/>
      </c>
      <c r="V17" s="129" t="str">
        <f t="shared" si="15"/>
        <v/>
      </c>
      <c r="W17" s="129" t="str">
        <f t="shared" si="16"/>
        <v/>
      </c>
      <c r="X17" s="131"/>
      <c r="Y17" s="221" t="e">
        <f ca="1">IF(Length_1!K12&lt;0,ROUNDUP(Length_1!K12*I$3,$M$46),ROUNDDOWN(Length_1!K12*I$3,$M$46))</f>
        <v>#DIV/0!</v>
      </c>
      <c r="Z17" s="221" t="e">
        <f ca="1">IF(Length_1!L12&lt;0,ROUNDDOWN(Length_1!L12*I$3,$M$46),ROUNDUP(Length_1!L12*I$3,$M$46))</f>
        <v>#DIV/0!</v>
      </c>
      <c r="AA17" s="129" t="e">
        <f t="shared" ca="1" si="9"/>
        <v>#DIV/0!</v>
      </c>
      <c r="AB17" s="129" t="e">
        <f t="shared" ca="1" si="10"/>
        <v>#DIV/0!</v>
      </c>
      <c r="AC17" s="221" t="e">
        <f t="shared" ca="1" si="11"/>
        <v>#DIV/0!</v>
      </c>
      <c r="AD17" s="129" t="e">
        <f t="shared" ca="1" si="12"/>
        <v>#DIV/0!</v>
      </c>
      <c r="AE17" s="129" t="str">
        <f t="shared" si="17"/>
        <v/>
      </c>
      <c r="AF17" s="239" t="e">
        <f t="shared" ca="1" si="13"/>
        <v>#DIV/0!</v>
      </c>
    </row>
    <row r="18" spans="1:32" ht="15" customHeight="1">
      <c r="B18" s="132" t="b">
        <f>IF(TRIM(Length_1!A13)="",FALSE,TRUE)</f>
        <v>0</v>
      </c>
      <c r="C18" s="129" t="str">
        <f>IF($B18=FALSE,"",VALUE(Length_1!A13))</f>
        <v/>
      </c>
      <c r="D18" s="129" t="str">
        <f>IF($B18=FALSE,"",Length_1!B13)</f>
        <v/>
      </c>
      <c r="E18" s="133" t="str">
        <f>IF(B18=FALSE,"",Length_1!N13)</f>
        <v/>
      </c>
      <c r="F18" s="133" t="str">
        <f>IF(B18=FALSE,"",Length_1!O13)</f>
        <v/>
      </c>
      <c r="G18" s="133" t="str">
        <f>IF(B18=FALSE,"",Length_1!P13)</f>
        <v/>
      </c>
      <c r="H18" s="133" t="str">
        <f>IF(B18=FALSE,"",Length_1!Q13)</f>
        <v/>
      </c>
      <c r="I18" s="133" t="str">
        <f>IF(B18=FALSE,"",Length_1!R13)</f>
        <v/>
      </c>
      <c r="J18" s="134" t="str">
        <f t="shared" si="1"/>
        <v/>
      </c>
      <c r="K18" s="146" t="str">
        <f t="shared" si="2"/>
        <v/>
      </c>
      <c r="L18" s="135" t="str">
        <f>IF(B18=FALSE,"",Length_1!D37)</f>
        <v/>
      </c>
      <c r="M18" s="136" t="str">
        <f>IF(B18=FALSE,"",Calcu!J18*I$3)</f>
        <v/>
      </c>
      <c r="N18" s="156" t="str">
        <f t="shared" si="14"/>
        <v/>
      </c>
      <c r="O18" s="156" t="str">
        <f>IF(B18=FALSE,"",Length_1!K37)</f>
        <v/>
      </c>
      <c r="P18" s="157" t="str">
        <f t="shared" si="3"/>
        <v/>
      </c>
      <c r="Q18" s="267" t="str">
        <f t="shared" si="4"/>
        <v/>
      </c>
      <c r="R18" s="267" t="str">
        <f t="shared" si="5"/>
        <v/>
      </c>
      <c r="S18" s="267" t="str">
        <f t="shared" si="6"/>
        <v/>
      </c>
      <c r="T18" s="137" t="str">
        <f t="shared" si="7"/>
        <v/>
      </c>
      <c r="U18" s="138" t="str">
        <f t="shared" si="8"/>
        <v/>
      </c>
      <c r="V18" s="129" t="str">
        <f t="shared" si="15"/>
        <v/>
      </c>
      <c r="W18" s="129" t="str">
        <f t="shared" si="16"/>
        <v/>
      </c>
      <c r="X18" s="131"/>
      <c r="Y18" s="221" t="e">
        <f ca="1">IF(Length_1!K13&lt;0,ROUNDUP(Length_1!K13*I$3,$M$46),ROUNDDOWN(Length_1!K13*I$3,$M$46))</f>
        <v>#DIV/0!</v>
      </c>
      <c r="Z18" s="221" t="e">
        <f ca="1">IF(Length_1!L13&lt;0,ROUNDDOWN(Length_1!L13*I$3,$M$46),ROUNDUP(Length_1!L13*I$3,$M$46))</f>
        <v>#DIV/0!</v>
      </c>
      <c r="AA18" s="129" t="e">
        <f t="shared" ca="1" si="9"/>
        <v>#DIV/0!</v>
      </c>
      <c r="AB18" s="129" t="e">
        <f t="shared" ca="1" si="10"/>
        <v>#DIV/0!</v>
      </c>
      <c r="AC18" s="221" t="e">
        <f t="shared" ca="1" si="11"/>
        <v>#DIV/0!</v>
      </c>
      <c r="AD18" s="129" t="e">
        <f t="shared" ca="1" si="12"/>
        <v>#DIV/0!</v>
      </c>
      <c r="AE18" s="129" t="str">
        <f t="shared" si="17"/>
        <v/>
      </c>
      <c r="AF18" s="239" t="e">
        <f t="shared" ca="1" si="13"/>
        <v>#DIV/0!</v>
      </c>
    </row>
    <row r="19" spans="1:32" ht="15" customHeight="1">
      <c r="B19" s="132" t="b">
        <f>IF(TRIM(Length_1!A14)="",FALSE,TRUE)</f>
        <v>0</v>
      </c>
      <c r="C19" s="129" t="str">
        <f>IF($B19=FALSE,"",VALUE(Length_1!A14))</f>
        <v/>
      </c>
      <c r="D19" s="129" t="str">
        <f>IF($B19=FALSE,"",Length_1!B14)</f>
        <v/>
      </c>
      <c r="E19" s="133" t="str">
        <f>IF(B19=FALSE,"",Length_1!N14)</f>
        <v/>
      </c>
      <c r="F19" s="133" t="str">
        <f>IF(B19=FALSE,"",Length_1!O14)</f>
        <v/>
      </c>
      <c r="G19" s="133" t="str">
        <f>IF(B19=FALSE,"",Length_1!P14)</f>
        <v/>
      </c>
      <c r="H19" s="133" t="str">
        <f>IF(B19=FALSE,"",Length_1!Q14)</f>
        <v/>
      </c>
      <c r="I19" s="133" t="str">
        <f>IF(B19=FALSE,"",Length_1!R14)</f>
        <v/>
      </c>
      <c r="J19" s="134" t="str">
        <f t="shared" si="1"/>
        <v/>
      </c>
      <c r="K19" s="146" t="str">
        <f t="shared" si="2"/>
        <v/>
      </c>
      <c r="L19" s="135" t="str">
        <f>IF(B19=FALSE,"",Length_1!D38)</f>
        <v/>
      </c>
      <c r="M19" s="136" t="str">
        <f>IF(B19=FALSE,"",Calcu!J19*I$3)</f>
        <v/>
      </c>
      <c r="N19" s="156" t="str">
        <f t="shared" si="14"/>
        <v/>
      </c>
      <c r="O19" s="156" t="str">
        <f>IF(B19=FALSE,"",Length_1!K38)</f>
        <v/>
      </c>
      <c r="P19" s="157" t="str">
        <f t="shared" si="3"/>
        <v/>
      </c>
      <c r="Q19" s="267" t="str">
        <f t="shared" si="4"/>
        <v/>
      </c>
      <c r="R19" s="267" t="str">
        <f t="shared" si="5"/>
        <v/>
      </c>
      <c r="S19" s="267" t="str">
        <f t="shared" si="6"/>
        <v/>
      </c>
      <c r="T19" s="137" t="str">
        <f t="shared" si="7"/>
        <v/>
      </c>
      <c r="U19" s="138" t="str">
        <f t="shared" si="8"/>
        <v/>
      </c>
      <c r="V19" s="129" t="str">
        <f t="shared" si="15"/>
        <v/>
      </c>
      <c r="W19" s="129" t="str">
        <f t="shared" si="16"/>
        <v/>
      </c>
      <c r="X19" s="131"/>
      <c r="Y19" s="221" t="e">
        <f ca="1">IF(Length_1!K14&lt;0,ROUNDUP(Length_1!K14*I$3,$M$46),ROUNDDOWN(Length_1!K14*I$3,$M$46))</f>
        <v>#DIV/0!</v>
      </c>
      <c r="Z19" s="221" t="e">
        <f ca="1">IF(Length_1!L14&lt;0,ROUNDDOWN(Length_1!L14*I$3,$M$46),ROUNDUP(Length_1!L14*I$3,$M$46))</f>
        <v>#DIV/0!</v>
      </c>
      <c r="AA19" s="129" t="e">
        <f t="shared" ca="1" si="9"/>
        <v>#DIV/0!</v>
      </c>
      <c r="AB19" s="129" t="e">
        <f t="shared" ca="1" si="10"/>
        <v>#DIV/0!</v>
      </c>
      <c r="AC19" s="221" t="e">
        <f t="shared" ca="1" si="11"/>
        <v>#DIV/0!</v>
      </c>
      <c r="AD19" s="129" t="e">
        <f t="shared" ca="1" si="12"/>
        <v>#DIV/0!</v>
      </c>
      <c r="AE19" s="129" t="str">
        <f t="shared" si="17"/>
        <v/>
      </c>
      <c r="AF19" s="239" t="e">
        <f t="shared" ca="1" si="13"/>
        <v>#DIV/0!</v>
      </c>
    </row>
    <row r="20" spans="1:32" ht="15" customHeight="1">
      <c r="B20" s="132" t="b">
        <f>IF(TRIM(Length_1!A15)="",FALSE,TRUE)</f>
        <v>0</v>
      </c>
      <c r="C20" s="129" t="str">
        <f>IF($B20=FALSE,"",VALUE(Length_1!A15))</f>
        <v/>
      </c>
      <c r="D20" s="129" t="str">
        <f>IF($B20=FALSE,"",Length_1!B15)</f>
        <v/>
      </c>
      <c r="E20" s="133" t="str">
        <f>IF(B20=FALSE,"",Length_1!N15)</f>
        <v/>
      </c>
      <c r="F20" s="133" t="str">
        <f>IF(B20=FALSE,"",Length_1!O15)</f>
        <v/>
      </c>
      <c r="G20" s="133" t="str">
        <f>IF(B20=FALSE,"",Length_1!P15)</f>
        <v/>
      </c>
      <c r="H20" s="133" t="str">
        <f>IF(B20=FALSE,"",Length_1!Q15)</f>
        <v/>
      </c>
      <c r="I20" s="133" t="str">
        <f>IF(B20=FALSE,"",Length_1!R15)</f>
        <v/>
      </c>
      <c r="J20" s="134" t="str">
        <f t="shared" si="1"/>
        <v/>
      </c>
      <c r="K20" s="146" t="str">
        <f t="shared" si="2"/>
        <v/>
      </c>
      <c r="L20" s="135" t="str">
        <f>IF(B20=FALSE,"",Length_1!D39)</f>
        <v/>
      </c>
      <c r="M20" s="136" t="str">
        <f>IF(B20=FALSE,"",Calcu!J20*I$3)</f>
        <v/>
      </c>
      <c r="N20" s="156" t="str">
        <f t="shared" si="14"/>
        <v/>
      </c>
      <c r="O20" s="156" t="str">
        <f>IF(B20=FALSE,"",Length_1!K39)</f>
        <v/>
      </c>
      <c r="P20" s="157" t="str">
        <f t="shared" si="3"/>
        <v/>
      </c>
      <c r="Q20" s="267" t="str">
        <f t="shared" si="4"/>
        <v/>
      </c>
      <c r="R20" s="267" t="str">
        <f t="shared" si="5"/>
        <v/>
      </c>
      <c r="S20" s="267" t="str">
        <f t="shared" si="6"/>
        <v/>
      </c>
      <c r="T20" s="137" t="str">
        <f t="shared" si="7"/>
        <v/>
      </c>
      <c r="U20" s="138" t="str">
        <f t="shared" si="8"/>
        <v/>
      </c>
      <c r="V20" s="129" t="str">
        <f t="shared" si="15"/>
        <v/>
      </c>
      <c r="W20" s="129" t="str">
        <f t="shared" si="16"/>
        <v/>
      </c>
      <c r="X20" s="131"/>
      <c r="Y20" s="221" t="e">
        <f ca="1">IF(Length_1!K15&lt;0,ROUNDUP(Length_1!K15*I$3,$M$46),ROUNDDOWN(Length_1!K15*I$3,$M$46))</f>
        <v>#DIV/0!</v>
      </c>
      <c r="Z20" s="221" t="e">
        <f ca="1">IF(Length_1!L15&lt;0,ROUNDDOWN(Length_1!L15*I$3,$M$46),ROUNDUP(Length_1!L15*I$3,$M$46))</f>
        <v>#DIV/0!</v>
      </c>
      <c r="AA20" s="129" t="e">
        <f t="shared" ca="1" si="9"/>
        <v>#DIV/0!</v>
      </c>
      <c r="AB20" s="129" t="e">
        <f t="shared" ca="1" si="10"/>
        <v>#DIV/0!</v>
      </c>
      <c r="AC20" s="221" t="e">
        <f t="shared" ca="1" si="11"/>
        <v>#DIV/0!</v>
      </c>
      <c r="AD20" s="129" t="e">
        <f t="shared" ca="1" si="12"/>
        <v>#DIV/0!</v>
      </c>
      <c r="AE20" s="129" t="str">
        <f t="shared" si="17"/>
        <v/>
      </c>
      <c r="AF20" s="239" t="e">
        <f t="shared" ca="1" si="13"/>
        <v>#DIV/0!</v>
      </c>
    </row>
    <row r="21" spans="1:32" ht="15" customHeight="1">
      <c r="B21" s="132" t="b">
        <f>IF(TRIM(Length_1!A16)="",FALSE,TRUE)</f>
        <v>0</v>
      </c>
      <c r="C21" s="129" t="str">
        <f>IF($B21=FALSE,"",VALUE(Length_1!A16))</f>
        <v/>
      </c>
      <c r="D21" s="129" t="str">
        <f>IF($B21=FALSE,"",Length_1!B16)</f>
        <v/>
      </c>
      <c r="E21" s="133" t="str">
        <f>IF(B21=FALSE,"",Length_1!N16)</f>
        <v/>
      </c>
      <c r="F21" s="133" t="str">
        <f>IF(B21=FALSE,"",Length_1!O16)</f>
        <v/>
      </c>
      <c r="G21" s="133" t="str">
        <f>IF(B21=FALSE,"",Length_1!P16)</f>
        <v/>
      </c>
      <c r="H21" s="133" t="str">
        <f>IF(B21=FALSE,"",Length_1!Q16)</f>
        <v/>
      </c>
      <c r="I21" s="133" t="str">
        <f>IF(B21=FALSE,"",Length_1!R16)</f>
        <v/>
      </c>
      <c r="J21" s="134" t="str">
        <f t="shared" si="1"/>
        <v/>
      </c>
      <c r="K21" s="146" t="str">
        <f t="shared" si="2"/>
        <v/>
      </c>
      <c r="L21" s="135" t="str">
        <f>IF(B21=FALSE,"",Length_1!D40)</f>
        <v/>
      </c>
      <c r="M21" s="136" t="str">
        <f>IF(B21=FALSE,"",Calcu!J21*I$3)</f>
        <v/>
      </c>
      <c r="N21" s="156" t="str">
        <f t="shared" si="14"/>
        <v/>
      </c>
      <c r="O21" s="156" t="str">
        <f>IF(B21=FALSE,"",Length_1!K40)</f>
        <v/>
      </c>
      <c r="P21" s="157" t="str">
        <f t="shared" si="3"/>
        <v/>
      </c>
      <c r="Q21" s="267" t="str">
        <f t="shared" si="4"/>
        <v/>
      </c>
      <c r="R21" s="267" t="str">
        <f t="shared" si="5"/>
        <v/>
      </c>
      <c r="S21" s="267" t="str">
        <f t="shared" si="6"/>
        <v/>
      </c>
      <c r="T21" s="137" t="str">
        <f t="shared" si="7"/>
        <v/>
      </c>
      <c r="U21" s="138" t="str">
        <f t="shared" si="8"/>
        <v/>
      </c>
      <c r="V21" s="129" t="str">
        <f t="shared" si="15"/>
        <v/>
      </c>
      <c r="W21" s="129" t="str">
        <f t="shared" si="16"/>
        <v/>
      </c>
      <c r="X21" s="131"/>
      <c r="Y21" s="221" t="e">
        <f ca="1">IF(Length_1!K16&lt;0,ROUNDUP(Length_1!K16*I$3,$M$46),ROUNDDOWN(Length_1!K16*I$3,$M$46))</f>
        <v>#DIV/0!</v>
      </c>
      <c r="Z21" s="221" t="e">
        <f ca="1">IF(Length_1!L16&lt;0,ROUNDDOWN(Length_1!L16*I$3,$M$46),ROUNDUP(Length_1!L16*I$3,$M$46))</f>
        <v>#DIV/0!</v>
      </c>
      <c r="AA21" s="129" t="e">
        <f t="shared" ca="1" si="9"/>
        <v>#DIV/0!</v>
      </c>
      <c r="AB21" s="129" t="e">
        <f t="shared" ca="1" si="10"/>
        <v>#DIV/0!</v>
      </c>
      <c r="AC21" s="221" t="e">
        <f t="shared" ca="1" si="11"/>
        <v>#DIV/0!</v>
      </c>
      <c r="AD21" s="129" t="e">
        <f t="shared" ca="1" si="12"/>
        <v>#DIV/0!</v>
      </c>
      <c r="AE21" s="129" t="str">
        <f t="shared" si="17"/>
        <v/>
      </c>
      <c r="AF21" s="239" t="e">
        <f t="shared" ca="1" si="13"/>
        <v>#DIV/0!</v>
      </c>
    </row>
    <row r="22" spans="1:32" ht="15" customHeight="1">
      <c r="B22" s="132" t="b">
        <f>IF(TRIM(Length_1!A17)="",FALSE,TRUE)</f>
        <v>0</v>
      </c>
      <c r="C22" s="129" t="str">
        <f>IF($B22=FALSE,"",VALUE(Length_1!A17))</f>
        <v/>
      </c>
      <c r="D22" s="129" t="str">
        <f>IF($B22=FALSE,"",Length_1!B17)</f>
        <v/>
      </c>
      <c r="E22" s="133" t="str">
        <f>IF(B22=FALSE,"",Length_1!N17)</f>
        <v/>
      </c>
      <c r="F22" s="133" t="str">
        <f>IF(B22=FALSE,"",Length_1!O17)</f>
        <v/>
      </c>
      <c r="G22" s="133" t="str">
        <f>IF(B22=FALSE,"",Length_1!P17)</f>
        <v/>
      </c>
      <c r="H22" s="133" t="str">
        <f>IF(B22=FALSE,"",Length_1!Q17)</f>
        <v/>
      </c>
      <c r="I22" s="133" t="str">
        <f>IF(B22=FALSE,"",Length_1!R17)</f>
        <v/>
      </c>
      <c r="J22" s="134" t="str">
        <f t="shared" si="1"/>
        <v/>
      </c>
      <c r="K22" s="146" t="str">
        <f t="shared" si="2"/>
        <v/>
      </c>
      <c r="L22" s="135" t="str">
        <f>IF(B22=FALSE,"",Length_1!D41)</f>
        <v/>
      </c>
      <c r="M22" s="136" t="str">
        <f>IF(B22=FALSE,"",Calcu!J22*I$3)</f>
        <v/>
      </c>
      <c r="N22" s="156" t="str">
        <f t="shared" si="14"/>
        <v/>
      </c>
      <c r="O22" s="156" t="str">
        <f>IF(B22=FALSE,"",Length_1!K41)</f>
        <v/>
      </c>
      <c r="P22" s="157" t="str">
        <f t="shared" si="3"/>
        <v/>
      </c>
      <c r="Q22" s="267" t="str">
        <f t="shared" si="4"/>
        <v/>
      </c>
      <c r="R22" s="267" t="str">
        <f t="shared" si="5"/>
        <v/>
      </c>
      <c r="S22" s="267" t="str">
        <f t="shared" si="6"/>
        <v/>
      </c>
      <c r="T22" s="137" t="str">
        <f t="shared" si="7"/>
        <v/>
      </c>
      <c r="U22" s="138" t="str">
        <f t="shared" si="8"/>
        <v/>
      </c>
      <c r="V22" s="129" t="str">
        <f t="shared" si="15"/>
        <v/>
      </c>
      <c r="W22" s="129" t="str">
        <f t="shared" si="16"/>
        <v/>
      </c>
      <c r="X22" s="131"/>
      <c r="Y22" s="221" t="e">
        <f ca="1">IF(Length_1!K17&lt;0,ROUNDUP(Length_1!K17*I$3,$M$46),ROUNDDOWN(Length_1!K17*I$3,$M$46))</f>
        <v>#DIV/0!</v>
      </c>
      <c r="Z22" s="221" t="e">
        <f ca="1">IF(Length_1!L17&lt;0,ROUNDDOWN(Length_1!L17*I$3,$M$46),ROUNDUP(Length_1!L17*I$3,$M$46))</f>
        <v>#DIV/0!</v>
      </c>
      <c r="AA22" s="129" t="e">
        <f t="shared" ca="1" si="9"/>
        <v>#DIV/0!</v>
      </c>
      <c r="AB22" s="129" t="e">
        <f t="shared" ca="1" si="10"/>
        <v>#DIV/0!</v>
      </c>
      <c r="AC22" s="221" t="e">
        <f t="shared" ca="1" si="11"/>
        <v>#DIV/0!</v>
      </c>
      <c r="AD22" s="129" t="e">
        <f t="shared" ca="1" si="12"/>
        <v>#DIV/0!</v>
      </c>
      <c r="AE22" s="129" t="str">
        <f t="shared" si="17"/>
        <v/>
      </c>
      <c r="AF22" s="239" t="e">
        <f t="shared" ca="1" si="13"/>
        <v>#DIV/0!</v>
      </c>
    </row>
    <row r="23" spans="1:32" ht="15" customHeight="1">
      <c r="B23" s="132" t="b">
        <f>IF(TRIM(Length_1!A18)="",FALSE,TRUE)</f>
        <v>0</v>
      </c>
      <c r="C23" s="129" t="str">
        <f>IF($B23=FALSE,"",VALUE(Length_1!A18))</f>
        <v/>
      </c>
      <c r="D23" s="129" t="str">
        <f>IF($B23=FALSE,"",Length_1!B18)</f>
        <v/>
      </c>
      <c r="E23" s="133" t="str">
        <f>IF(B23=FALSE,"",Length_1!N18)</f>
        <v/>
      </c>
      <c r="F23" s="133" t="str">
        <f>IF(B23=FALSE,"",Length_1!O18)</f>
        <v/>
      </c>
      <c r="G23" s="133" t="str">
        <f>IF(B23=FALSE,"",Length_1!P18)</f>
        <v/>
      </c>
      <c r="H23" s="133" t="str">
        <f>IF(B23=FALSE,"",Length_1!Q18)</f>
        <v/>
      </c>
      <c r="I23" s="133" t="str">
        <f>IF(B23=FALSE,"",Length_1!R18)</f>
        <v/>
      </c>
      <c r="J23" s="134" t="str">
        <f t="shared" si="1"/>
        <v/>
      </c>
      <c r="K23" s="146" t="str">
        <f t="shared" si="2"/>
        <v/>
      </c>
      <c r="L23" s="135" t="str">
        <f>IF(B23=FALSE,"",Length_1!D42)</f>
        <v/>
      </c>
      <c r="M23" s="136" t="str">
        <f>IF(B23=FALSE,"",Calcu!J23*I$3)</f>
        <v/>
      </c>
      <c r="N23" s="156" t="str">
        <f t="shared" si="14"/>
        <v/>
      </c>
      <c r="O23" s="156" t="str">
        <f>IF(B23=FALSE,"",Length_1!K42)</f>
        <v/>
      </c>
      <c r="P23" s="157" t="str">
        <f t="shared" si="3"/>
        <v/>
      </c>
      <c r="Q23" s="267" t="str">
        <f t="shared" si="4"/>
        <v/>
      </c>
      <c r="R23" s="267" t="str">
        <f t="shared" si="5"/>
        <v/>
      </c>
      <c r="S23" s="267" t="str">
        <f t="shared" si="6"/>
        <v/>
      </c>
      <c r="T23" s="137" t="str">
        <f t="shared" si="7"/>
        <v/>
      </c>
      <c r="U23" s="138" t="str">
        <f t="shared" si="8"/>
        <v/>
      </c>
      <c r="V23" s="129" t="str">
        <f t="shared" si="15"/>
        <v/>
      </c>
      <c r="W23" s="129" t="str">
        <f t="shared" si="16"/>
        <v/>
      </c>
      <c r="X23" s="131"/>
      <c r="Y23" s="221" t="e">
        <f ca="1">IF(Length_1!K18&lt;0,ROUNDUP(Length_1!K18*I$3,$M$46),ROUNDDOWN(Length_1!K18*I$3,$M$46))</f>
        <v>#DIV/0!</v>
      </c>
      <c r="Z23" s="221" t="e">
        <f ca="1">IF(Length_1!L18&lt;0,ROUNDDOWN(Length_1!L18*I$3,$M$46),ROUNDUP(Length_1!L18*I$3,$M$46))</f>
        <v>#DIV/0!</v>
      </c>
      <c r="AA23" s="129" t="e">
        <f t="shared" ca="1" si="9"/>
        <v>#DIV/0!</v>
      </c>
      <c r="AB23" s="129" t="e">
        <f t="shared" ca="1" si="10"/>
        <v>#DIV/0!</v>
      </c>
      <c r="AC23" s="221" t="e">
        <f t="shared" ca="1" si="11"/>
        <v>#DIV/0!</v>
      </c>
      <c r="AD23" s="129" t="e">
        <f t="shared" ca="1" si="12"/>
        <v>#DIV/0!</v>
      </c>
      <c r="AE23" s="129" t="str">
        <f t="shared" si="17"/>
        <v/>
      </c>
      <c r="AF23" s="239" t="e">
        <f t="shared" ca="1" si="13"/>
        <v>#DIV/0!</v>
      </c>
    </row>
    <row r="24" spans="1:32" ht="15" customHeight="1">
      <c r="B24" s="132" t="b">
        <f>IF(TRIM(Length_1!A19)="",FALSE,TRUE)</f>
        <v>0</v>
      </c>
      <c r="C24" s="129" t="str">
        <f>IF($B24=FALSE,"",VALUE(Length_1!A19))</f>
        <v/>
      </c>
      <c r="D24" s="129" t="str">
        <f>IF($B24=FALSE,"",Length_1!B19)</f>
        <v/>
      </c>
      <c r="E24" s="133" t="str">
        <f>IF(B24=FALSE,"",Length_1!N19)</f>
        <v/>
      </c>
      <c r="F24" s="133" t="str">
        <f>IF(B24=FALSE,"",Length_1!O19)</f>
        <v/>
      </c>
      <c r="G24" s="133" t="str">
        <f>IF(B24=FALSE,"",Length_1!P19)</f>
        <v/>
      </c>
      <c r="H24" s="133" t="str">
        <f>IF(B24=FALSE,"",Length_1!Q19)</f>
        <v/>
      </c>
      <c r="I24" s="133" t="str">
        <f>IF(B24=FALSE,"",Length_1!R19)</f>
        <v/>
      </c>
      <c r="J24" s="134" t="str">
        <f t="shared" si="1"/>
        <v/>
      </c>
      <c r="K24" s="146" t="str">
        <f t="shared" si="2"/>
        <v/>
      </c>
      <c r="L24" s="135" t="str">
        <f>IF(B24=FALSE,"",Length_1!D43)</f>
        <v/>
      </c>
      <c r="M24" s="136" t="str">
        <f>IF(B24=FALSE,"",Calcu!J24*I$3)</f>
        <v/>
      </c>
      <c r="N24" s="156" t="str">
        <f t="shared" si="14"/>
        <v/>
      </c>
      <c r="O24" s="156" t="str">
        <f>IF(B24=FALSE,"",Length_1!K43)</f>
        <v/>
      </c>
      <c r="P24" s="157" t="str">
        <f t="shared" si="3"/>
        <v/>
      </c>
      <c r="Q24" s="267" t="str">
        <f t="shared" si="4"/>
        <v/>
      </c>
      <c r="R24" s="267" t="str">
        <f t="shared" si="5"/>
        <v/>
      </c>
      <c r="S24" s="267" t="str">
        <f t="shared" si="6"/>
        <v/>
      </c>
      <c r="T24" s="137" t="str">
        <f t="shared" si="7"/>
        <v/>
      </c>
      <c r="U24" s="138" t="str">
        <f t="shared" si="8"/>
        <v/>
      </c>
      <c r="V24" s="129" t="str">
        <f t="shared" si="15"/>
        <v/>
      </c>
      <c r="W24" s="129" t="str">
        <f t="shared" si="16"/>
        <v/>
      </c>
      <c r="X24" s="131"/>
      <c r="Y24" s="221" t="e">
        <f ca="1">IF(Length_1!K19&lt;0,ROUNDUP(Length_1!K19*I$3,$M$46),ROUNDDOWN(Length_1!K19*I$3,$M$46))</f>
        <v>#DIV/0!</v>
      </c>
      <c r="Z24" s="221" t="e">
        <f ca="1">IF(Length_1!L19&lt;0,ROUNDDOWN(Length_1!L19*I$3,$M$46),ROUNDUP(Length_1!L19*I$3,$M$46))</f>
        <v>#DIV/0!</v>
      </c>
      <c r="AA24" s="129" t="e">
        <f t="shared" ca="1" si="9"/>
        <v>#DIV/0!</v>
      </c>
      <c r="AB24" s="129" t="e">
        <f t="shared" ca="1" si="10"/>
        <v>#DIV/0!</v>
      </c>
      <c r="AC24" s="221" t="e">
        <f t="shared" ca="1" si="11"/>
        <v>#DIV/0!</v>
      </c>
      <c r="AD24" s="129" t="e">
        <f t="shared" ca="1" si="12"/>
        <v>#DIV/0!</v>
      </c>
      <c r="AE24" s="129" t="str">
        <f t="shared" si="17"/>
        <v/>
      </c>
      <c r="AF24" s="239" t="e">
        <f t="shared" ca="1" si="13"/>
        <v>#DIV/0!</v>
      </c>
    </row>
    <row r="25" spans="1:32" ht="15" customHeight="1">
      <c r="B25" s="132" t="b">
        <f>IF(TRIM(Length_1!A20)="",FALSE,TRUE)</f>
        <v>0</v>
      </c>
      <c r="C25" s="129" t="str">
        <f>IF($B25=FALSE,"",VALUE(Length_1!A20))</f>
        <v/>
      </c>
      <c r="D25" s="129" t="str">
        <f>IF($B25=FALSE,"",Length_1!B20)</f>
        <v/>
      </c>
      <c r="E25" s="133" t="str">
        <f>IF(B25=FALSE,"",Length_1!N20)</f>
        <v/>
      </c>
      <c r="F25" s="133" t="str">
        <f>IF(B25=FALSE,"",Length_1!O20)</f>
        <v/>
      </c>
      <c r="G25" s="133" t="str">
        <f>IF(B25=FALSE,"",Length_1!P20)</f>
        <v/>
      </c>
      <c r="H25" s="133" t="str">
        <f>IF(B25=FALSE,"",Length_1!Q20)</f>
        <v/>
      </c>
      <c r="I25" s="133" t="str">
        <f>IF(B25=FALSE,"",Length_1!R20)</f>
        <v/>
      </c>
      <c r="J25" s="134" t="str">
        <f t="shared" si="1"/>
        <v/>
      </c>
      <c r="K25" s="146" t="str">
        <f t="shared" si="2"/>
        <v/>
      </c>
      <c r="L25" s="135" t="str">
        <f>IF(B25=FALSE,"",Length_1!D44)</f>
        <v/>
      </c>
      <c r="M25" s="136" t="str">
        <f>IF(B25=FALSE,"",Calcu!J25*I$3)</f>
        <v/>
      </c>
      <c r="N25" s="156" t="str">
        <f t="shared" si="14"/>
        <v/>
      </c>
      <c r="O25" s="156" t="str">
        <f>IF(B25=FALSE,"",Length_1!K44)</f>
        <v/>
      </c>
      <c r="P25" s="157" t="str">
        <f t="shared" si="3"/>
        <v/>
      </c>
      <c r="Q25" s="267" t="str">
        <f t="shared" si="4"/>
        <v/>
      </c>
      <c r="R25" s="267" t="str">
        <f t="shared" si="5"/>
        <v/>
      </c>
      <c r="S25" s="267" t="str">
        <f t="shared" si="6"/>
        <v/>
      </c>
      <c r="T25" s="137" t="str">
        <f t="shared" si="7"/>
        <v/>
      </c>
      <c r="U25" s="138" t="str">
        <f t="shared" si="8"/>
        <v/>
      </c>
      <c r="V25" s="129" t="str">
        <f t="shared" si="15"/>
        <v/>
      </c>
      <c r="W25" s="129" t="str">
        <f t="shared" si="16"/>
        <v/>
      </c>
      <c r="X25" s="131"/>
      <c r="Y25" s="221" t="e">
        <f ca="1">IF(Length_1!K20&lt;0,ROUNDUP(Length_1!K20*I$3,$M$46),ROUNDDOWN(Length_1!K20*I$3,$M$46))</f>
        <v>#DIV/0!</v>
      </c>
      <c r="Z25" s="221" t="e">
        <f ca="1">IF(Length_1!L20&lt;0,ROUNDDOWN(Length_1!L20*I$3,$M$46),ROUNDUP(Length_1!L20*I$3,$M$46))</f>
        <v>#DIV/0!</v>
      </c>
      <c r="AA25" s="129" t="e">
        <f t="shared" ca="1" si="9"/>
        <v>#DIV/0!</v>
      </c>
      <c r="AB25" s="129" t="e">
        <f t="shared" ca="1" si="10"/>
        <v>#DIV/0!</v>
      </c>
      <c r="AC25" s="221" t="e">
        <f t="shared" ca="1" si="11"/>
        <v>#DIV/0!</v>
      </c>
      <c r="AD25" s="129" t="e">
        <f t="shared" ca="1" si="12"/>
        <v>#DIV/0!</v>
      </c>
      <c r="AE25" s="129" t="str">
        <f t="shared" si="17"/>
        <v/>
      </c>
      <c r="AF25" s="239" t="e">
        <f t="shared" ca="1" si="13"/>
        <v>#DIV/0!</v>
      </c>
    </row>
    <row r="26" spans="1:32" ht="15" customHeight="1">
      <c r="B26" s="132" t="b">
        <f>IF(TRIM(Length_1!A21)="",FALSE,TRUE)</f>
        <v>0</v>
      </c>
      <c r="C26" s="129" t="str">
        <f>IF($B26=FALSE,"",VALUE(Length_1!A21))</f>
        <v/>
      </c>
      <c r="D26" s="129" t="str">
        <f>IF($B26=FALSE,"",Length_1!B21)</f>
        <v/>
      </c>
      <c r="E26" s="133" t="str">
        <f>IF(B26=FALSE,"",Length_1!N21)</f>
        <v/>
      </c>
      <c r="F26" s="133" t="str">
        <f>IF(B26=FALSE,"",Length_1!O21)</f>
        <v/>
      </c>
      <c r="G26" s="133" t="str">
        <f>IF(B26=FALSE,"",Length_1!P21)</f>
        <v/>
      </c>
      <c r="H26" s="133" t="str">
        <f>IF(B26=FALSE,"",Length_1!Q21)</f>
        <v/>
      </c>
      <c r="I26" s="133" t="str">
        <f>IF(B26=FALSE,"",Length_1!R21)</f>
        <v/>
      </c>
      <c r="J26" s="134" t="str">
        <f t="shared" si="1"/>
        <v/>
      </c>
      <c r="K26" s="146" t="str">
        <f t="shared" si="2"/>
        <v/>
      </c>
      <c r="L26" s="135" t="str">
        <f>IF(B26=FALSE,"",Length_1!D45)</f>
        <v/>
      </c>
      <c r="M26" s="136" t="str">
        <f>IF(B26=FALSE,"",Calcu!J26*I$3)</f>
        <v/>
      </c>
      <c r="N26" s="156" t="str">
        <f t="shared" si="14"/>
        <v/>
      </c>
      <c r="O26" s="156" t="str">
        <f>IF(B26=FALSE,"",Length_1!K45)</f>
        <v/>
      </c>
      <c r="P26" s="157" t="str">
        <f t="shared" si="3"/>
        <v/>
      </c>
      <c r="Q26" s="267" t="str">
        <f t="shared" si="4"/>
        <v/>
      </c>
      <c r="R26" s="267" t="str">
        <f t="shared" si="5"/>
        <v/>
      </c>
      <c r="S26" s="267" t="str">
        <f t="shared" si="6"/>
        <v/>
      </c>
      <c r="T26" s="137" t="str">
        <f t="shared" si="7"/>
        <v/>
      </c>
      <c r="U26" s="138" t="str">
        <f t="shared" si="8"/>
        <v/>
      </c>
      <c r="V26" s="129" t="str">
        <f t="shared" si="15"/>
        <v/>
      </c>
      <c r="W26" s="129" t="str">
        <f t="shared" si="16"/>
        <v/>
      </c>
      <c r="X26" s="131"/>
      <c r="Y26" s="221" t="e">
        <f ca="1">IF(Length_1!K21&lt;0,ROUNDUP(Length_1!K21*I$3,$M$46),ROUNDDOWN(Length_1!K21*I$3,$M$46))</f>
        <v>#DIV/0!</v>
      </c>
      <c r="Z26" s="221" t="e">
        <f ca="1">IF(Length_1!L21&lt;0,ROUNDDOWN(Length_1!L21*I$3,$M$46),ROUNDUP(Length_1!L21*I$3,$M$46))</f>
        <v>#DIV/0!</v>
      </c>
      <c r="AA26" s="129" t="e">
        <f t="shared" ca="1" si="9"/>
        <v>#DIV/0!</v>
      </c>
      <c r="AB26" s="129" t="e">
        <f t="shared" ca="1" si="10"/>
        <v>#DIV/0!</v>
      </c>
      <c r="AC26" s="221" t="e">
        <f t="shared" ca="1" si="11"/>
        <v>#DIV/0!</v>
      </c>
      <c r="AD26" s="129" t="e">
        <f t="shared" ca="1" si="12"/>
        <v>#DIV/0!</v>
      </c>
      <c r="AE26" s="129" t="str">
        <f t="shared" si="17"/>
        <v/>
      </c>
      <c r="AF26" s="239" t="e">
        <f t="shared" ca="1" si="13"/>
        <v>#DIV/0!</v>
      </c>
    </row>
    <row r="27" spans="1:32" ht="15" customHeight="1">
      <c r="B27" s="132" t="b">
        <f>IF(TRIM(Length_1!A22)="",FALSE,TRUE)</f>
        <v>0</v>
      </c>
      <c r="C27" s="129" t="str">
        <f>IF($B27=FALSE,"",VALUE(Length_1!A22))</f>
        <v/>
      </c>
      <c r="D27" s="129" t="str">
        <f>IF($B27=FALSE,"",Length_1!B22)</f>
        <v/>
      </c>
      <c r="E27" s="133" t="str">
        <f>IF(B27=FALSE,"",Length_1!N22)</f>
        <v/>
      </c>
      <c r="F27" s="133" t="str">
        <f>IF(B27=FALSE,"",Length_1!O22)</f>
        <v/>
      </c>
      <c r="G27" s="133" t="str">
        <f>IF(B27=FALSE,"",Length_1!P22)</f>
        <v/>
      </c>
      <c r="H27" s="133" t="str">
        <f>IF(B27=FALSE,"",Length_1!Q22)</f>
        <v/>
      </c>
      <c r="I27" s="133" t="str">
        <f>IF(B27=FALSE,"",Length_1!R22)</f>
        <v/>
      </c>
      <c r="J27" s="134" t="str">
        <f t="shared" si="1"/>
        <v/>
      </c>
      <c r="K27" s="146" t="str">
        <f t="shared" si="2"/>
        <v/>
      </c>
      <c r="L27" s="135" t="str">
        <f>IF(B27=FALSE,"",Length_1!D46)</f>
        <v/>
      </c>
      <c r="M27" s="136" t="str">
        <f>IF(B27=FALSE,"",Calcu!J27*I$3)</f>
        <v/>
      </c>
      <c r="N27" s="156" t="str">
        <f t="shared" si="14"/>
        <v/>
      </c>
      <c r="O27" s="156" t="str">
        <f>IF(B27=FALSE,"",Length_1!K46)</f>
        <v/>
      </c>
      <c r="P27" s="157" t="str">
        <f t="shared" si="3"/>
        <v/>
      </c>
      <c r="Q27" s="267" t="str">
        <f t="shared" si="4"/>
        <v/>
      </c>
      <c r="R27" s="267" t="str">
        <f t="shared" si="5"/>
        <v/>
      </c>
      <c r="S27" s="267" t="str">
        <f t="shared" si="6"/>
        <v/>
      </c>
      <c r="T27" s="137" t="str">
        <f t="shared" si="7"/>
        <v/>
      </c>
      <c r="U27" s="138" t="str">
        <f t="shared" si="8"/>
        <v/>
      </c>
      <c r="V27" s="129" t="str">
        <f t="shared" si="15"/>
        <v/>
      </c>
      <c r="W27" s="129" t="str">
        <f t="shared" si="16"/>
        <v/>
      </c>
      <c r="X27" s="131"/>
      <c r="Y27" s="221" t="e">
        <f ca="1">IF(Length_1!K22&lt;0,ROUNDUP(Length_1!K22*I$3,$M$46),ROUNDDOWN(Length_1!K22*I$3,$M$46))</f>
        <v>#DIV/0!</v>
      </c>
      <c r="Z27" s="221" t="e">
        <f ca="1">IF(Length_1!L22&lt;0,ROUNDDOWN(Length_1!L22*I$3,$M$46),ROUNDUP(Length_1!L22*I$3,$M$46))</f>
        <v>#DIV/0!</v>
      </c>
      <c r="AA27" s="129" t="e">
        <f t="shared" ca="1" si="9"/>
        <v>#DIV/0!</v>
      </c>
      <c r="AB27" s="129" t="e">
        <f t="shared" ca="1" si="10"/>
        <v>#DIV/0!</v>
      </c>
      <c r="AC27" s="221" t="e">
        <f t="shared" ca="1" si="11"/>
        <v>#DIV/0!</v>
      </c>
      <c r="AD27" s="129" t="e">
        <f t="shared" ca="1" si="12"/>
        <v>#DIV/0!</v>
      </c>
      <c r="AE27" s="129" t="str">
        <f t="shared" si="17"/>
        <v/>
      </c>
      <c r="AF27" s="239" t="e">
        <f t="shared" ca="1" si="13"/>
        <v>#DIV/0!</v>
      </c>
    </row>
    <row r="28" spans="1:32" ht="15" customHeight="1">
      <c r="B28" s="132" t="b">
        <f>IF(TRIM(Length_1!A23)="",FALSE,TRUE)</f>
        <v>0</v>
      </c>
      <c r="C28" s="129" t="str">
        <f>IF($B28=FALSE,"",VALUE(Length_1!A23))</f>
        <v/>
      </c>
      <c r="D28" s="129" t="str">
        <f>IF($B28=FALSE,"",Length_1!B23)</f>
        <v/>
      </c>
      <c r="E28" s="133" t="str">
        <f>IF(B28=FALSE,"",Length_1!N23)</f>
        <v/>
      </c>
      <c r="F28" s="133" t="str">
        <f>IF(B28=FALSE,"",Length_1!O23)</f>
        <v/>
      </c>
      <c r="G28" s="133" t="str">
        <f>IF(B28=FALSE,"",Length_1!P23)</f>
        <v/>
      </c>
      <c r="H28" s="133" t="str">
        <f>IF(B28=FALSE,"",Length_1!Q23)</f>
        <v/>
      </c>
      <c r="I28" s="133" t="str">
        <f>IF(B28=FALSE,"",Length_1!R23)</f>
        <v/>
      </c>
      <c r="J28" s="134" t="str">
        <f t="shared" si="1"/>
        <v/>
      </c>
      <c r="K28" s="146" t="str">
        <f t="shared" si="2"/>
        <v/>
      </c>
      <c r="L28" s="135" t="str">
        <f>IF(B28=FALSE,"",Length_1!D47)</f>
        <v/>
      </c>
      <c r="M28" s="136" t="str">
        <f>IF(B28=FALSE,"",Calcu!J28*I$3)</f>
        <v/>
      </c>
      <c r="N28" s="156" t="str">
        <f t="shared" si="14"/>
        <v/>
      </c>
      <c r="O28" s="156" t="str">
        <f>IF(B28=FALSE,"",Length_1!K47)</f>
        <v/>
      </c>
      <c r="P28" s="157" t="str">
        <f t="shared" si="3"/>
        <v/>
      </c>
      <c r="Q28" s="267" t="str">
        <f t="shared" si="4"/>
        <v/>
      </c>
      <c r="R28" s="267" t="str">
        <f t="shared" si="5"/>
        <v/>
      </c>
      <c r="S28" s="267" t="str">
        <f t="shared" si="6"/>
        <v/>
      </c>
      <c r="T28" s="137" t="str">
        <f t="shared" si="7"/>
        <v/>
      </c>
      <c r="U28" s="138" t="str">
        <f t="shared" si="8"/>
        <v/>
      </c>
      <c r="V28" s="129" t="str">
        <f t="shared" si="15"/>
        <v/>
      </c>
      <c r="W28" s="129" t="str">
        <f t="shared" si="16"/>
        <v/>
      </c>
      <c r="X28" s="131"/>
      <c r="Y28" s="221" t="e">
        <f ca="1">IF(Length_1!K23&lt;0,ROUNDUP(Length_1!K23*I$3,$M$46),ROUNDDOWN(Length_1!K23*I$3,$M$46))</f>
        <v>#DIV/0!</v>
      </c>
      <c r="Z28" s="221" t="e">
        <f ca="1">IF(Length_1!L23&lt;0,ROUNDDOWN(Length_1!L23*I$3,$M$46),ROUNDUP(Length_1!L23*I$3,$M$46))</f>
        <v>#DIV/0!</v>
      </c>
      <c r="AA28" s="129" t="e">
        <f t="shared" ca="1" si="9"/>
        <v>#DIV/0!</v>
      </c>
      <c r="AB28" s="129" t="e">
        <f t="shared" ca="1" si="10"/>
        <v>#DIV/0!</v>
      </c>
      <c r="AC28" s="221" t="e">
        <f t="shared" ca="1" si="11"/>
        <v>#DIV/0!</v>
      </c>
      <c r="AD28" s="129" t="e">
        <f t="shared" ca="1" si="12"/>
        <v>#DIV/0!</v>
      </c>
      <c r="AE28" s="129" t="str">
        <f t="shared" si="17"/>
        <v/>
      </c>
      <c r="AF28" s="239" t="e">
        <f t="shared" ca="1" si="13"/>
        <v>#DIV/0!</v>
      </c>
    </row>
    <row r="29" spans="1:32" ht="15" customHeight="1">
      <c r="B29" s="132" t="b">
        <f>IF(TRIM(Length_1!A24)="",FALSE,TRUE)</f>
        <v>0</v>
      </c>
      <c r="C29" s="129" t="str">
        <f>IF($B29=FALSE,"",VALUE(Length_1!A24))</f>
        <v/>
      </c>
      <c r="D29" s="129" t="str">
        <f>IF($B29=FALSE,"",Length_1!B24)</f>
        <v/>
      </c>
      <c r="E29" s="133" t="str">
        <f>IF(B29=FALSE,"",Length_1!N24)</f>
        <v/>
      </c>
      <c r="F29" s="133" t="str">
        <f>IF(B29=FALSE,"",Length_1!O24)</f>
        <v/>
      </c>
      <c r="G29" s="133" t="str">
        <f>IF(B29=FALSE,"",Length_1!P24)</f>
        <v/>
      </c>
      <c r="H29" s="133" t="str">
        <f>IF(B29=FALSE,"",Length_1!Q24)</f>
        <v/>
      </c>
      <c r="I29" s="133" t="str">
        <f>IF(B29=FALSE,"",Length_1!R24)</f>
        <v/>
      </c>
      <c r="J29" s="134" t="str">
        <f t="shared" si="1"/>
        <v/>
      </c>
      <c r="K29" s="146" t="str">
        <f t="shared" si="2"/>
        <v/>
      </c>
      <c r="L29" s="135" t="str">
        <f>IF(B29=FALSE,"",Length_1!D48)</f>
        <v/>
      </c>
      <c r="M29" s="136" t="str">
        <f>IF(B29=FALSE,"",Calcu!J29*I$3)</f>
        <v/>
      </c>
      <c r="N29" s="156" t="str">
        <f t="shared" si="14"/>
        <v/>
      </c>
      <c r="O29" s="156" t="str">
        <f>IF(B29=FALSE,"",Length_1!K48)</f>
        <v/>
      </c>
      <c r="P29" s="157" t="str">
        <f t="shared" si="3"/>
        <v/>
      </c>
      <c r="Q29" s="267" t="str">
        <f t="shared" si="4"/>
        <v/>
      </c>
      <c r="R29" s="267" t="str">
        <f t="shared" si="5"/>
        <v/>
      </c>
      <c r="S29" s="267" t="str">
        <f t="shared" si="6"/>
        <v/>
      </c>
      <c r="T29" s="137" t="str">
        <f t="shared" si="7"/>
        <v/>
      </c>
      <c r="U29" s="138" t="str">
        <f t="shared" si="8"/>
        <v/>
      </c>
      <c r="V29" s="129" t="str">
        <f t="shared" si="15"/>
        <v/>
      </c>
      <c r="W29" s="129" t="str">
        <f t="shared" si="16"/>
        <v/>
      </c>
      <c r="X29" s="131"/>
      <c r="Y29" s="221" t="e">
        <f ca="1">IF(Length_1!K24&lt;0,ROUNDUP(Length_1!K24*I$3,$M$46),ROUNDDOWN(Length_1!K24*I$3,$M$46))</f>
        <v>#DIV/0!</v>
      </c>
      <c r="Z29" s="221" t="e">
        <f ca="1">IF(Length_1!L24&lt;0,ROUNDDOWN(Length_1!L24*I$3,$M$46),ROUNDUP(Length_1!L24*I$3,$M$46))</f>
        <v>#DIV/0!</v>
      </c>
      <c r="AA29" s="129" t="e">
        <f t="shared" ca="1" si="9"/>
        <v>#DIV/0!</v>
      </c>
      <c r="AB29" s="129" t="e">
        <f t="shared" ca="1" si="10"/>
        <v>#DIV/0!</v>
      </c>
      <c r="AC29" s="221" t="e">
        <f t="shared" ca="1" si="11"/>
        <v>#DIV/0!</v>
      </c>
      <c r="AD29" s="129" t="e">
        <f t="shared" ca="1" si="12"/>
        <v>#DIV/0!</v>
      </c>
      <c r="AE29" s="129" t="str">
        <f t="shared" si="17"/>
        <v/>
      </c>
      <c r="AF29" s="239" t="e">
        <f ca="1">S$46</f>
        <v>#DIV/0!</v>
      </c>
    </row>
    <row r="30" spans="1:32" ht="15" customHeight="1">
      <c r="N30" s="126"/>
      <c r="O30" s="126"/>
      <c r="P30" s="126"/>
      <c r="Q30" s="126"/>
      <c r="R30" s="126"/>
      <c r="S30" s="126"/>
      <c r="T30" s="126"/>
      <c r="X30" s="126"/>
    </row>
    <row r="31" spans="1:32" ht="15" customHeight="1">
      <c r="A31" s="124" t="s">
        <v>167</v>
      </c>
      <c r="C31" s="125"/>
      <c r="D31" s="125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</row>
    <row r="32" spans="1:32" ht="15" customHeight="1">
      <c r="A32" s="124"/>
      <c r="B32" s="463"/>
      <c r="C32" s="463" t="s">
        <v>169</v>
      </c>
      <c r="D32" s="465" t="s">
        <v>170</v>
      </c>
      <c r="E32" s="463" t="s">
        <v>171</v>
      </c>
      <c r="F32" s="463" t="s">
        <v>172</v>
      </c>
      <c r="G32" s="457">
        <v>1</v>
      </c>
      <c r="H32" s="458"/>
      <c r="I32" s="458"/>
      <c r="J32" s="458"/>
      <c r="K32" s="459"/>
      <c r="L32" s="163">
        <v>2</v>
      </c>
      <c r="M32" s="457">
        <v>3</v>
      </c>
      <c r="N32" s="458"/>
      <c r="O32" s="458"/>
      <c r="P32" s="459"/>
      <c r="Q32" s="457">
        <v>4</v>
      </c>
      <c r="R32" s="459"/>
      <c r="S32" s="163">
        <v>5</v>
      </c>
      <c r="T32" s="469" t="s">
        <v>537</v>
      </c>
      <c r="U32" s="457" t="s">
        <v>538</v>
      </c>
      <c r="V32" s="459"/>
    </row>
    <row r="33" spans="1:22" ht="15" customHeight="1">
      <c r="A33" s="124"/>
      <c r="B33" s="464"/>
      <c r="C33" s="464"/>
      <c r="D33" s="466"/>
      <c r="E33" s="464"/>
      <c r="F33" s="464"/>
      <c r="G33" s="266" t="s">
        <v>503</v>
      </c>
      <c r="H33" s="266" t="s">
        <v>504</v>
      </c>
      <c r="I33" s="266" t="s">
        <v>505</v>
      </c>
      <c r="J33" s="457" t="s">
        <v>174</v>
      </c>
      <c r="K33" s="459"/>
      <c r="L33" s="163" t="s">
        <v>175</v>
      </c>
      <c r="M33" s="457" t="s">
        <v>173</v>
      </c>
      <c r="N33" s="459"/>
      <c r="O33" s="457" t="s">
        <v>176</v>
      </c>
      <c r="P33" s="459"/>
      <c r="Q33" s="457" t="s">
        <v>177</v>
      </c>
      <c r="R33" s="459"/>
      <c r="S33" s="163" t="s">
        <v>178</v>
      </c>
      <c r="T33" s="470"/>
      <c r="U33" s="281" t="s">
        <v>198</v>
      </c>
      <c r="V33" s="281" t="s">
        <v>509</v>
      </c>
    </row>
    <row r="34" spans="1:22" ht="15" customHeight="1">
      <c r="B34" s="163" t="s">
        <v>180</v>
      </c>
      <c r="C34" s="148" t="s">
        <v>187</v>
      </c>
      <c r="D34" s="149" t="s">
        <v>188</v>
      </c>
      <c r="E34" s="165" t="e">
        <f ca="1">OFFSET(L$8,MATCH(K$3,T$9:T$29,0),0)</f>
        <v>#N/A</v>
      </c>
      <c r="F34" s="150" t="s">
        <v>183</v>
      </c>
      <c r="G34" s="223">
        <f>Length_1!F28</f>
        <v>0</v>
      </c>
      <c r="H34" s="129"/>
      <c r="I34" s="129">
        <f>Length_1!I28</f>
        <v>0</v>
      </c>
      <c r="J34" s="158" t="e">
        <f>G34/I34</f>
        <v>#DIV/0!</v>
      </c>
      <c r="K34" s="151" t="s">
        <v>185</v>
      </c>
      <c r="L34" s="153" t="s">
        <v>189</v>
      </c>
      <c r="M34" s="129"/>
      <c r="N34" s="129"/>
      <c r="O34" s="136">
        <v>1</v>
      </c>
      <c r="P34" s="129"/>
      <c r="Q34" s="154" t="e">
        <f t="shared" ref="Q34:Q41" si="18">ABS(J34*O34)</f>
        <v>#DIV/0!</v>
      </c>
      <c r="R34" s="151" t="s">
        <v>185</v>
      </c>
      <c r="S34" s="129" t="s">
        <v>190</v>
      </c>
      <c r="T34" s="279">
        <f>IF(S34="∞",0,Q34^4/S34)</f>
        <v>0</v>
      </c>
      <c r="U34" s="268" t="str">
        <f t="shared" ref="U34:U41" si="19">IF(OR(L34="직사각형",L34="삼각형"),Q34,"")</f>
        <v/>
      </c>
      <c r="V34" s="268" t="e">
        <f t="shared" ref="V34:V41" si="20">IF(OR(L34="직사각형",L34="삼각형"),"",Q34)</f>
        <v>#DIV/0!</v>
      </c>
    </row>
    <row r="35" spans="1:22" ht="15" customHeight="1">
      <c r="B35" s="163" t="s">
        <v>186</v>
      </c>
      <c r="C35" s="148" t="s">
        <v>181</v>
      </c>
      <c r="D35" s="149" t="s">
        <v>182</v>
      </c>
      <c r="E35" s="165" t="e">
        <f ca="1">OFFSET(M$8,MATCH(K$3,T$9:T$29,0),0)</f>
        <v>#N/A</v>
      </c>
      <c r="F35" s="150" t="s">
        <v>183</v>
      </c>
      <c r="G35" s="151">
        <f>IF(MAX(K9:K29)=0,N3*1000,MAX(K9:K29)*1000)</f>
        <v>0</v>
      </c>
      <c r="H35" s="129">
        <f>IF(MAX(K9:K29)=0,2,1)</f>
        <v>2</v>
      </c>
      <c r="I35" s="152">
        <f>IF(MAX(K9:K29)=0,3,5)</f>
        <v>3</v>
      </c>
      <c r="J35" s="283">
        <f>G35/(IF(H35="",1,H35)*SQRT(I35))</f>
        <v>0</v>
      </c>
      <c r="K35" s="151" t="s">
        <v>184</v>
      </c>
      <c r="L35" s="153" t="str">
        <f>IF(MAX(K9:K29)=0,"직사각형","t")</f>
        <v>직사각형</v>
      </c>
      <c r="M35" s="129"/>
      <c r="N35" s="129"/>
      <c r="O35" s="136">
        <v>-1</v>
      </c>
      <c r="P35" s="129"/>
      <c r="Q35" s="154">
        <f>ABS(J35*O35)</f>
        <v>0</v>
      </c>
      <c r="R35" s="151" t="s">
        <v>185</v>
      </c>
      <c r="S35" s="129" t="str">
        <f>IF(MAX(K9:K29)=0,"∞",I35-1)</f>
        <v>∞</v>
      </c>
      <c r="T35" s="279">
        <f t="shared" ref="T35:T41" si="21">IF(S35="∞",0,Q35^4/S35)</f>
        <v>0</v>
      </c>
      <c r="U35" s="268">
        <f t="shared" si="19"/>
        <v>0</v>
      </c>
      <c r="V35" s="268" t="str">
        <f t="shared" si="20"/>
        <v/>
      </c>
    </row>
    <row r="36" spans="1:22" ht="15" customHeight="1">
      <c r="B36" s="163" t="s">
        <v>82</v>
      </c>
      <c r="C36" s="148" t="s">
        <v>148</v>
      </c>
      <c r="D36" s="149" t="s">
        <v>139</v>
      </c>
      <c r="E36" s="156" t="e">
        <f ca="1">OFFSET(P$8,MATCH(K$3,T$9:T$29,0),0)</f>
        <v>#N/A</v>
      </c>
      <c r="F36" s="150" t="s">
        <v>149</v>
      </c>
      <c r="G36" s="269">
        <f>1*10^-6</f>
        <v>9.9999999999999995E-7</v>
      </c>
      <c r="H36" s="240"/>
      <c r="I36" s="270">
        <v>3</v>
      </c>
      <c r="J36" s="284">
        <f>SQRT((G36/SQRT(I36)/2)^2+(G36/SQRT(I36)/2)^2)</f>
        <v>4.0824829046386305E-7</v>
      </c>
      <c r="K36" s="150" t="s">
        <v>149</v>
      </c>
      <c r="L36" s="153" t="s">
        <v>439</v>
      </c>
      <c r="M36" s="151" t="str">
        <f>E37</f>
        <v/>
      </c>
      <c r="N36" s="129">
        <f>K3*1000</f>
        <v>0</v>
      </c>
      <c r="O36" s="136" t="e">
        <f>-M36*N36</f>
        <v>#VALUE!</v>
      </c>
      <c r="P36" s="129" t="s">
        <v>150</v>
      </c>
      <c r="Q36" s="154" t="e">
        <f t="shared" si="18"/>
        <v>#VALUE!</v>
      </c>
      <c r="R36" s="151" t="s">
        <v>147</v>
      </c>
      <c r="S36" s="129">
        <v>100</v>
      </c>
      <c r="T36" s="279" t="e">
        <f>IF(S36="∞",0,Q36^4/S36)</f>
        <v>#VALUE!</v>
      </c>
      <c r="U36" s="268" t="e">
        <f t="shared" si="19"/>
        <v>#VALUE!</v>
      </c>
      <c r="V36" s="268" t="str">
        <f t="shared" si="20"/>
        <v/>
      </c>
    </row>
    <row r="37" spans="1:22" ht="15" customHeight="1">
      <c r="B37" s="163" t="s">
        <v>83</v>
      </c>
      <c r="C37" s="148" t="s">
        <v>154</v>
      </c>
      <c r="D37" s="149" t="s">
        <v>142</v>
      </c>
      <c r="E37" s="151" t="str">
        <f>Q9</f>
        <v/>
      </c>
      <c r="F37" s="150" t="s">
        <v>155</v>
      </c>
      <c r="G37" s="151">
        <f>IF(기본정보!H12=1,1,0.5)</f>
        <v>0.5</v>
      </c>
      <c r="H37" s="240"/>
      <c r="I37" s="152">
        <v>3</v>
      </c>
      <c r="J37" s="283">
        <f>G37/(IF(H37="",1,H37)*SQRT(I37))</f>
        <v>0.28867513459481292</v>
      </c>
      <c r="K37" s="150" t="s">
        <v>155</v>
      </c>
      <c r="L37" s="153" t="s">
        <v>193</v>
      </c>
      <c r="M37" s="156" t="e">
        <f ca="1">E36</f>
        <v>#N/A</v>
      </c>
      <c r="N37" s="129">
        <f>K3*1000</f>
        <v>0</v>
      </c>
      <c r="O37" s="136" t="e">
        <f ca="1">-M37*N37</f>
        <v>#N/A</v>
      </c>
      <c r="P37" s="129" t="s">
        <v>194</v>
      </c>
      <c r="Q37" s="154" t="e">
        <f ca="1">ABS(J37*O37)</f>
        <v>#N/A</v>
      </c>
      <c r="R37" s="151" t="s">
        <v>184</v>
      </c>
      <c r="S37" s="129">
        <v>12</v>
      </c>
      <c r="T37" s="279" t="e">
        <f ca="1">IF(S37="∞",0,Q37^4/S37)</f>
        <v>#N/A</v>
      </c>
      <c r="U37" s="268" t="e">
        <f t="shared" ca="1" si="19"/>
        <v>#N/A</v>
      </c>
      <c r="V37" s="268" t="str">
        <f t="shared" si="20"/>
        <v/>
      </c>
    </row>
    <row r="38" spans="1:22" ht="15" customHeight="1">
      <c r="B38" s="163" t="s">
        <v>416</v>
      </c>
      <c r="C38" s="148" t="s">
        <v>140</v>
      </c>
      <c r="D38" s="149" t="s">
        <v>141</v>
      </c>
      <c r="E38" s="159" t="e">
        <f ca="1">OFFSET(R$8,MATCH(K$3,T$9:T$29,0),0)</f>
        <v>#N/A</v>
      </c>
      <c r="F38" s="150" t="s">
        <v>149</v>
      </c>
      <c r="G38" s="269">
        <f>1*10^-6</f>
        <v>9.9999999999999995E-7</v>
      </c>
      <c r="H38" s="240"/>
      <c r="I38" s="270">
        <v>3</v>
      </c>
      <c r="J38" s="284">
        <f>SQRT((G38/SQRT(I38))^2+(G38/SQRT(I38))^2)</f>
        <v>8.1649658092772609E-7</v>
      </c>
      <c r="K38" s="150" t="s">
        <v>149</v>
      </c>
      <c r="L38" s="153" t="s">
        <v>440</v>
      </c>
      <c r="M38" s="151" t="str">
        <f>E39</f>
        <v/>
      </c>
      <c r="N38" s="129">
        <f>K3*1000</f>
        <v>0</v>
      </c>
      <c r="O38" s="136" t="e">
        <f>-M38*N38</f>
        <v>#VALUE!</v>
      </c>
      <c r="P38" s="129" t="s">
        <v>191</v>
      </c>
      <c r="Q38" s="154" t="e">
        <f t="shared" si="18"/>
        <v>#VALUE!</v>
      </c>
      <c r="R38" s="151" t="s">
        <v>184</v>
      </c>
      <c r="S38" s="129">
        <v>100</v>
      </c>
      <c r="T38" s="279" t="e">
        <f>IF(S38="∞",0,Q38^4/S38)</f>
        <v>#VALUE!</v>
      </c>
      <c r="U38" s="268" t="e">
        <f t="shared" si="19"/>
        <v>#VALUE!</v>
      </c>
      <c r="V38" s="268" t="str">
        <f t="shared" si="20"/>
        <v/>
      </c>
    </row>
    <row r="39" spans="1:22" ht="15" customHeight="1">
      <c r="B39" s="163" t="s">
        <v>195</v>
      </c>
      <c r="C39" s="148" t="s">
        <v>143</v>
      </c>
      <c r="D39" s="149" t="s">
        <v>144</v>
      </c>
      <c r="E39" s="151" t="str">
        <f>S9</f>
        <v/>
      </c>
      <c r="F39" s="150" t="s">
        <v>155</v>
      </c>
      <c r="G39" s="151">
        <f>IF(기본정보!H12=1,3,1)</f>
        <v>1</v>
      </c>
      <c r="H39" s="240"/>
      <c r="I39" s="152">
        <v>3</v>
      </c>
      <c r="J39" s="283">
        <f>G39/(IF(H39="",1,H39)*SQRT(I39))</f>
        <v>0.57735026918962584</v>
      </c>
      <c r="K39" s="150" t="s">
        <v>155</v>
      </c>
      <c r="L39" s="153" t="s">
        <v>193</v>
      </c>
      <c r="M39" s="159" t="e">
        <f ca="1">E38</f>
        <v>#N/A</v>
      </c>
      <c r="N39" s="129">
        <f>K3*1000</f>
        <v>0</v>
      </c>
      <c r="O39" s="136" t="e">
        <f ca="1">-M39*N39</f>
        <v>#N/A</v>
      </c>
      <c r="P39" s="129" t="s">
        <v>194</v>
      </c>
      <c r="Q39" s="154" t="e">
        <f t="shared" ca="1" si="18"/>
        <v>#N/A</v>
      </c>
      <c r="R39" s="151" t="s">
        <v>184</v>
      </c>
      <c r="S39" s="129">
        <v>12</v>
      </c>
      <c r="T39" s="279" t="e">
        <f ca="1">IF(S39="∞",0,Q39^4/S39)</f>
        <v>#N/A</v>
      </c>
      <c r="U39" s="268" t="e">
        <f t="shared" ca="1" si="19"/>
        <v>#N/A</v>
      </c>
      <c r="V39" s="268" t="str">
        <f t="shared" si="20"/>
        <v/>
      </c>
    </row>
    <row r="40" spans="1:22" ht="15" customHeight="1">
      <c r="B40" s="163" t="s">
        <v>196</v>
      </c>
      <c r="C40" s="148" t="s">
        <v>197</v>
      </c>
      <c r="D40" s="149" t="s">
        <v>556</v>
      </c>
      <c r="E40" s="129">
        <v>0</v>
      </c>
      <c r="F40" s="150" t="s">
        <v>183</v>
      </c>
      <c r="G40" s="129">
        <f>N3*1000</f>
        <v>0</v>
      </c>
      <c r="H40" s="129">
        <v>2</v>
      </c>
      <c r="I40" s="152">
        <v>3</v>
      </c>
      <c r="J40" s="283">
        <f>G40/(IF(H40="",1,H40)*SQRT(I40))</f>
        <v>0</v>
      </c>
      <c r="K40" s="151" t="s">
        <v>184</v>
      </c>
      <c r="L40" s="153" t="s">
        <v>198</v>
      </c>
      <c r="M40" s="129"/>
      <c r="N40" s="129"/>
      <c r="O40" s="136">
        <v>1</v>
      </c>
      <c r="P40" s="129"/>
      <c r="Q40" s="154">
        <f t="shared" si="18"/>
        <v>0</v>
      </c>
      <c r="R40" s="151" t="s">
        <v>185</v>
      </c>
      <c r="S40" s="129" t="s">
        <v>192</v>
      </c>
      <c r="T40" s="279">
        <f t="shared" si="21"/>
        <v>0</v>
      </c>
      <c r="U40" s="268">
        <f t="shared" si="19"/>
        <v>0</v>
      </c>
      <c r="V40" s="268" t="str">
        <f t="shared" si="20"/>
        <v/>
      </c>
    </row>
    <row r="41" spans="1:22" ht="15" customHeight="1">
      <c r="B41" s="163" t="s">
        <v>199</v>
      </c>
      <c r="C41" s="148" t="s">
        <v>396</v>
      </c>
      <c r="D41" s="149" t="s">
        <v>557</v>
      </c>
      <c r="E41" s="129">
        <v>0</v>
      </c>
      <c r="F41" s="150" t="s">
        <v>200</v>
      </c>
      <c r="G41" s="129">
        <f>(E3-(E3*COS(RADIANS(1))))*1000</f>
        <v>0</v>
      </c>
      <c r="H41" s="240"/>
      <c r="I41" s="152">
        <v>3</v>
      </c>
      <c r="J41" s="283">
        <f>G41/(IF(H41="",1,H41)*SQRT(I41))</f>
        <v>0</v>
      </c>
      <c r="K41" s="151" t="s">
        <v>184</v>
      </c>
      <c r="L41" s="153" t="s">
        <v>198</v>
      </c>
      <c r="M41" s="129"/>
      <c r="N41" s="129"/>
      <c r="O41" s="136">
        <v>1</v>
      </c>
      <c r="P41" s="129"/>
      <c r="Q41" s="154">
        <f t="shared" si="18"/>
        <v>0</v>
      </c>
      <c r="R41" s="151" t="s">
        <v>184</v>
      </c>
      <c r="S41" s="129" t="s">
        <v>190</v>
      </c>
      <c r="T41" s="279">
        <f t="shared" si="21"/>
        <v>0</v>
      </c>
      <c r="U41" s="268">
        <f t="shared" si="19"/>
        <v>0</v>
      </c>
      <c r="V41" s="268" t="str">
        <f t="shared" si="20"/>
        <v/>
      </c>
    </row>
    <row r="42" spans="1:22" ht="15" customHeight="1">
      <c r="B42" s="163" t="s">
        <v>201</v>
      </c>
      <c r="C42" s="148" t="s">
        <v>202</v>
      </c>
      <c r="D42" s="149" t="s">
        <v>398</v>
      </c>
      <c r="E42" s="165" t="e">
        <f ca="1">E34-E35-(E36*E37+E38*E39)*K3</f>
        <v>#N/A</v>
      </c>
      <c r="F42" s="150" t="s">
        <v>183</v>
      </c>
      <c r="G42" s="484"/>
      <c r="H42" s="485"/>
      <c r="I42" s="485"/>
      <c r="J42" s="485"/>
      <c r="K42" s="485"/>
      <c r="L42" s="485"/>
      <c r="M42" s="485"/>
      <c r="N42" s="485"/>
      <c r="O42" s="485"/>
      <c r="P42" s="486"/>
      <c r="Q42" s="160" t="e">
        <f>SQRT(SUMSQ(Q34:Q41))</f>
        <v>#DIV/0!</v>
      </c>
      <c r="R42" s="151" t="s">
        <v>184</v>
      </c>
      <c r="S42" s="249" t="e">
        <f>IF(T42=0,"∞",ROUNDDOWN(Q42^4/T42,0))</f>
        <v>#VALUE!</v>
      </c>
      <c r="T42" s="285" t="e">
        <f>SUM(T34:T41)</f>
        <v>#VALUE!</v>
      </c>
      <c r="U42" s="272" t="e">
        <f>SQRT(SUMSQ(U34:U41))</f>
        <v>#VALUE!</v>
      </c>
      <c r="V42" s="272" t="e">
        <f>SQRT(SUMSQ(V34:V41))</f>
        <v>#DIV/0!</v>
      </c>
    </row>
    <row r="43" spans="1:22" ht="15" customHeight="1"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1"/>
      <c r="U43" s="131"/>
    </row>
    <row r="44" spans="1:22" ht="15" customHeight="1">
      <c r="B44" s="473"/>
      <c r="C44" s="457" t="s">
        <v>205</v>
      </c>
      <c r="D44" s="458"/>
      <c r="E44" s="458"/>
      <c r="F44" s="458"/>
      <c r="G44" s="459"/>
      <c r="H44" s="163" t="s">
        <v>206</v>
      </c>
      <c r="I44" s="163" t="s">
        <v>207</v>
      </c>
      <c r="J44" s="457" t="s">
        <v>547</v>
      </c>
      <c r="K44" s="458"/>
      <c r="L44" s="458"/>
      <c r="M44" s="459"/>
      <c r="N44" s="281" t="s">
        <v>548</v>
      </c>
      <c r="O44" s="457" t="s">
        <v>549</v>
      </c>
      <c r="P44" s="458"/>
      <c r="Q44" s="459"/>
      <c r="R44" s="469" t="s">
        <v>550</v>
      </c>
      <c r="S44" s="457" t="s">
        <v>566</v>
      </c>
      <c r="T44" s="459"/>
      <c r="U44" s="127"/>
    </row>
    <row r="45" spans="1:22" ht="15" customHeight="1">
      <c r="B45" s="466"/>
      <c r="C45" s="164">
        <v>1</v>
      </c>
      <c r="D45" s="164">
        <v>2</v>
      </c>
      <c r="E45" s="164" t="s">
        <v>209</v>
      </c>
      <c r="F45" s="164" t="s">
        <v>210</v>
      </c>
      <c r="G45" s="164" t="s">
        <v>211</v>
      </c>
      <c r="H45" s="164" t="s">
        <v>212</v>
      </c>
      <c r="I45" s="164" t="s">
        <v>213</v>
      </c>
      <c r="J45" s="281" t="s">
        <v>551</v>
      </c>
      <c r="K45" s="281" t="s">
        <v>552</v>
      </c>
      <c r="L45" s="281" t="s">
        <v>553</v>
      </c>
      <c r="M45" s="281" t="s">
        <v>554</v>
      </c>
      <c r="N45" s="282"/>
      <c r="O45" s="281" t="s">
        <v>214</v>
      </c>
      <c r="P45" s="281" t="s">
        <v>552</v>
      </c>
      <c r="Q45" s="281" t="s">
        <v>555</v>
      </c>
      <c r="R45" s="464"/>
      <c r="S45" s="289" t="s">
        <v>567</v>
      </c>
      <c r="T45" s="289" t="s">
        <v>568</v>
      </c>
      <c r="U45" s="127"/>
    </row>
    <row r="46" spans="1:22" ht="15" customHeight="1">
      <c r="B46" s="164" t="s">
        <v>205</v>
      </c>
      <c r="C46" s="142" t="e">
        <f ca="1">E57*Q42</f>
        <v>#DIV/0!</v>
      </c>
      <c r="D46" s="142"/>
      <c r="E46" s="142"/>
      <c r="F46" s="144" t="str">
        <f>R42</f>
        <v>μm</v>
      </c>
      <c r="G46" s="169" t="e">
        <f ca="1">C46/1000</f>
        <v>#DIV/0!</v>
      </c>
      <c r="H46" s="169" t="e">
        <f ca="1">MAX(G46:G47)</f>
        <v>#DIV/0!</v>
      </c>
      <c r="I46" s="222">
        <f>N3</f>
        <v>0</v>
      </c>
      <c r="J46" s="141" t="e">
        <f ca="1">IF(H46&lt;0.00001,6,IF(H46&lt;0.0001,5,IF(H46&lt;0.001,4,IF(H46&lt;0.01,3,IF(H46&lt;0.1,2,IF(H46&lt;1,1,IF(H46&lt;10,0,IF(H46&lt;100,-1,-2))))))))+K47</f>
        <v>#DIV/0!</v>
      </c>
      <c r="K46" s="141" t="e">
        <f ca="1">J46+IF(AND(H45="μm",I45="mm"),3,0)</f>
        <v>#DIV/0!</v>
      </c>
      <c r="L46" s="239">
        <f>IFERROR(LEN(I46)-FIND(".",I46),0)</f>
        <v>0</v>
      </c>
      <c r="M46" s="279" t="e">
        <f ca="1">IF(M47=TRUE,MIN(K46:L46),K46)</f>
        <v>#DIV/0!</v>
      </c>
      <c r="N46" s="222" t="e">
        <f ca="1">ABS((H46-ROUND(H46,M46))/H46*100)</f>
        <v>#DIV/0!</v>
      </c>
      <c r="O46" s="239" t="e">
        <f ca="1">OFFSET(P50,MATCH(J46,O51:O60,0),0)</f>
        <v>#DIV/0!</v>
      </c>
      <c r="P46" s="239" t="e">
        <f ca="1">OFFSET(P50,MATCH(M46,O51:O60,0),0)</f>
        <v>#DIV/0!</v>
      </c>
      <c r="Q46" s="239" t="str">
        <f ca="1">OFFSET(P50,MATCH(L46,O51:O60,0),0)</f>
        <v>0</v>
      </c>
      <c r="R46" s="145" t="e">
        <f ca="1">IF(H46=G46,0,1)</f>
        <v>#DIV/0!</v>
      </c>
      <c r="S46" s="171" t="e">
        <f ca="1">TEXT(IF(N46&gt;5,ROUNDUP(H46,M46),ROUND(H46,M46)),P46)</f>
        <v>#DIV/0!</v>
      </c>
      <c r="T46" s="171" t="e">
        <f ca="1">S46&amp;" "&amp;H45</f>
        <v>#DIV/0!</v>
      </c>
      <c r="U46" s="127"/>
    </row>
    <row r="47" spans="1:22" ht="15" customHeight="1">
      <c r="B47" s="164" t="s">
        <v>215</v>
      </c>
      <c r="C47" s="143" t="e">
        <f ca="1">$P$3</f>
        <v>#N/A</v>
      </c>
      <c r="D47" s="144" t="e">
        <f ca="1">$Q$3</f>
        <v>#N/A</v>
      </c>
      <c r="E47" s="144">
        <f>K3</f>
        <v>0</v>
      </c>
      <c r="F47" s="144" t="e">
        <f ca="1">$R$3</f>
        <v>#N/A</v>
      </c>
      <c r="G47" s="170" t="e">
        <f ca="1">SQRT(SUMSQ(C47,D47*E47))/1000</f>
        <v>#N/A</v>
      </c>
      <c r="J47" s="278" t="s">
        <v>534</v>
      </c>
      <c r="K47" s="239">
        <f>IF(O47=TRUE,1,기본정보!$A$47)</f>
        <v>1</v>
      </c>
      <c r="L47" s="278" t="s">
        <v>535</v>
      </c>
      <c r="M47" s="239" t="b">
        <f>IF(O47=TRUE,FALSE,기본정보!$A$52)</f>
        <v>0</v>
      </c>
      <c r="N47" s="278" t="s">
        <v>536</v>
      </c>
      <c r="O47" s="239" t="b">
        <f>기본정보!$A$46=0</f>
        <v>1</v>
      </c>
      <c r="P47" s="131"/>
      <c r="Q47" s="127"/>
      <c r="R47" s="127"/>
      <c r="S47" s="127"/>
      <c r="T47" s="127"/>
      <c r="U47" s="127"/>
    </row>
    <row r="48" spans="1:22" ht="15" customHeight="1">
      <c r="B48" s="128"/>
      <c r="C48" s="128"/>
      <c r="D48" s="128"/>
      <c r="O48" s="131"/>
      <c r="P48" s="131"/>
      <c r="Q48" s="127"/>
      <c r="R48" s="127"/>
      <c r="S48" s="127"/>
      <c r="T48" s="127"/>
      <c r="U48" s="127"/>
    </row>
    <row r="49" spans="2:29" ht="15" customHeight="1">
      <c r="B49" s="147" t="s">
        <v>203</v>
      </c>
      <c r="C49" s="128"/>
      <c r="D49" s="128"/>
      <c r="I49" s="148" t="s">
        <v>53</v>
      </c>
      <c r="J49" s="148" t="s">
        <v>208</v>
      </c>
      <c r="O49" s="161" t="s">
        <v>217</v>
      </c>
      <c r="P49" s="161" t="s">
        <v>216</v>
      </c>
      <c r="Q49" s="127"/>
      <c r="R49" s="127"/>
      <c r="S49" s="127"/>
      <c r="T49" s="127"/>
      <c r="U49" s="127"/>
    </row>
    <row r="50" spans="2:29" ht="15" customHeight="1">
      <c r="B50" s="471" t="s">
        <v>539</v>
      </c>
      <c r="C50" s="472"/>
      <c r="D50" s="469" t="s">
        <v>540</v>
      </c>
      <c r="E50" s="281" t="s">
        <v>541</v>
      </c>
      <c r="F50" s="281" t="s">
        <v>509</v>
      </c>
      <c r="G50" s="281" t="s">
        <v>542</v>
      </c>
      <c r="I50" s="148"/>
      <c r="J50" s="148">
        <v>95.45</v>
      </c>
      <c r="O50" s="162" t="s">
        <v>219</v>
      </c>
      <c r="P50" s="162" t="s">
        <v>218</v>
      </c>
      <c r="Q50" s="127"/>
      <c r="R50" s="127"/>
      <c r="S50" s="127"/>
      <c r="T50" s="127"/>
      <c r="U50" s="127"/>
    </row>
    <row r="51" spans="2:29" ht="15" customHeight="1">
      <c r="B51" s="282" t="s">
        <v>529</v>
      </c>
      <c r="C51" s="286" t="s">
        <v>543</v>
      </c>
      <c r="D51" s="464"/>
      <c r="E51" s="280" t="e">
        <f>U42</f>
        <v>#VALUE!</v>
      </c>
      <c r="F51" s="280" t="e">
        <f>V42</f>
        <v>#DIV/0!</v>
      </c>
      <c r="G51" s="271" t="e">
        <f>F51/E51</f>
        <v>#DIV/0!</v>
      </c>
      <c r="I51" s="129">
        <v>1</v>
      </c>
      <c r="J51" s="129">
        <v>13.97</v>
      </c>
      <c r="O51" s="139">
        <v>0</v>
      </c>
      <c r="P51" s="140" t="s">
        <v>220</v>
      </c>
      <c r="Q51" s="127"/>
      <c r="R51" s="127"/>
      <c r="S51" s="127"/>
      <c r="T51" s="127"/>
      <c r="U51" s="127"/>
    </row>
    <row r="52" spans="2:29" ht="15" customHeight="1">
      <c r="B52" s="239">
        <v>1</v>
      </c>
      <c r="C52" s="268">
        <f>IFERROR(LARGE(U34:U41,B52),0)</f>
        <v>0</v>
      </c>
      <c r="D52" s="281" t="s">
        <v>204</v>
      </c>
      <c r="E52" s="461" t="e">
        <f>SQRT(SUMSQ(C54:C59,V34:V41))</f>
        <v>#DIV/0!</v>
      </c>
      <c r="F52" s="461"/>
      <c r="G52" s="462" t="e">
        <f>E52/SQRT(SUMSQ(E53,F53))</f>
        <v>#DIV/0!</v>
      </c>
      <c r="I52" s="129">
        <v>2</v>
      </c>
      <c r="J52" s="129">
        <v>4.53</v>
      </c>
      <c r="L52" s="130"/>
      <c r="O52" s="139">
        <v>1</v>
      </c>
      <c r="P52" s="140" t="s">
        <v>221</v>
      </c>
      <c r="Q52" s="127"/>
      <c r="R52" s="127"/>
      <c r="S52" s="127"/>
      <c r="T52" s="127"/>
      <c r="U52" s="127"/>
    </row>
    <row r="53" spans="2:29" ht="15" customHeight="1">
      <c r="B53" s="239">
        <v>2</v>
      </c>
      <c r="C53" s="268">
        <f>IFERROR(LARGE(U34:U41,B53),0)</f>
        <v>0</v>
      </c>
      <c r="D53" s="281" t="s">
        <v>544</v>
      </c>
      <c r="E53" s="280">
        <f>C52</f>
        <v>0</v>
      </c>
      <c r="F53" s="280">
        <f>C53</f>
        <v>0</v>
      </c>
      <c r="G53" s="462"/>
      <c r="I53" s="129">
        <v>3</v>
      </c>
      <c r="J53" s="129">
        <v>3.31</v>
      </c>
      <c r="L53" s="130"/>
      <c r="O53" s="139">
        <v>2</v>
      </c>
      <c r="P53" s="140" t="s">
        <v>222</v>
      </c>
      <c r="Q53" s="131"/>
      <c r="R53" s="131"/>
      <c r="S53" s="131"/>
      <c r="T53" s="131"/>
      <c r="U53" s="131"/>
      <c r="V53" s="131"/>
      <c r="W53" s="131"/>
    </row>
    <row r="54" spans="2:29" ht="15" customHeight="1">
      <c r="B54" s="239">
        <v>3</v>
      </c>
      <c r="C54" s="288">
        <f>IFERROR(LARGE(U34:U41,B54),0)</f>
        <v>0</v>
      </c>
      <c r="D54" s="460" t="s">
        <v>545</v>
      </c>
      <c r="E54" s="238" t="s">
        <v>506</v>
      </c>
      <c r="F54" s="238" t="s">
        <v>507</v>
      </c>
      <c r="G54" s="238" t="s">
        <v>508</v>
      </c>
      <c r="I54" s="129">
        <v>4</v>
      </c>
      <c r="J54" s="129">
        <v>2.87</v>
      </c>
      <c r="L54" s="130"/>
      <c r="O54" s="139">
        <v>3</v>
      </c>
      <c r="P54" s="140" t="s">
        <v>223</v>
      </c>
      <c r="Q54" s="127"/>
      <c r="R54" s="127"/>
      <c r="S54" s="127"/>
      <c r="T54" s="127"/>
      <c r="U54" s="131"/>
      <c r="V54" s="131"/>
      <c r="W54" s="131"/>
    </row>
    <row r="55" spans="2:29" ht="15" customHeight="1">
      <c r="B55" s="239">
        <v>4</v>
      </c>
      <c r="C55" s="288">
        <f>IFERROR(LARGE(U34:U41,B55),0)</f>
        <v>0</v>
      </c>
      <c r="D55" s="460"/>
      <c r="E55" s="239">
        <f ca="1">OFFSET(G33,MATCH(E53,U34:U41,0),0)/IF(OFFSET(H33,MATCH(E53,U34:U41,0),0)="",1,OFFSET(H33,MATCH(E53,U34:U41,0),0))</f>
        <v>0</v>
      </c>
      <c r="F55" s="239">
        <f ca="1">OFFSET(G33,MATCH(F53,U34:U41,0),0)/IF(OFFSET(H33,MATCH(F53,U34:U41,0),0)="",1,OFFSET(H33,MATCH(F53,U34:U41,0),0))</f>
        <v>0</v>
      </c>
      <c r="G55" s="280" t="e">
        <f ca="1">ABS(E55-F55)/(E55+F55)</f>
        <v>#DIV/0!</v>
      </c>
      <c r="I55" s="129">
        <v>5</v>
      </c>
      <c r="J55" s="129">
        <v>2.65</v>
      </c>
      <c r="O55" s="139">
        <v>4</v>
      </c>
      <c r="P55" s="140" t="s">
        <v>224</v>
      </c>
      <c r="Q55" s="127"/>
      <c r="R55" s="127"/>
      <c r="S55" s="127"/>
      <c r="T55" s="127"/>
      <c r="U55" s="127"/>
    </row>
    <row r="56" spans="2:29" ht="15" customHeight="1">
      <c r="B56" s="239">
        <v>5</v>
      </c>
      <c r="C56" s="288">
        <f>IFERROR(LARGE(U34:U41,B56),0)</f>
        <v>0</v>
      </c>
      <c r="D56" s="281" t="s">
        <v>546</v>
      </c>
      <c r="E56" s="287" t="e">
        <f>IF(AND(G51&lt;0.3,G52&lt;0.3),"사다리꼴","정규")</f>
        <v>#DIV/0!</v>
      </c>
      <c r="I56" s="129">
        <v>6</v>
      </c>
      <c r="J56" s="129">
        <v>2.52</v>
      </c>
      <c r="O56" s="139">
        <v>5</v>
      </c>
      <c r="P56" s="140" t="s">
        <v>225</v>
      </c>
      <c r="Q56" s="127"/>
      <c r="R56" s="127"/>
      <c r="S56" s="127"/>
      <c r="T56" s="127"/>
      <c r="U56" s="127"/>
    </row>
    <row r="57" spans="2:29" ht="15" customHeight="1">
      <c r="B57" s="239">
        <v>6</v>
      </c>
      <c r="C57" s="288">
        <f>IFERROR(LARGE(U34:U41,B57),0)</f>
        <v>0</v>
      </c>
      <c r="D57" s="281" t="s">
        <v>89</v>
      </c>
      <c r="E57" s="239" t="e">
        <f ca="1">IF(E56="정규",IF(OR(S42="∞",S42&gt;=10),2,OFFSET(J50,MATCH(S42,I51:I60,0),0)),ROUND((1-SQRT((1-0.95)*(1-G55^2)))/SQRT((1+G55^2)/6),2))</f>
        <v>#DIV/0!</v>
      </c>
      <c r="I57" s="129">
        <v>7</v>
      </c>
      <c r="J57" s="129">
        <v>2.4300000000000002</v>
      </c>
      <c r="O57" s="139">
        <v>6</v>
      </c>
      <c r="P57" s="140" t="s">
        <v>226</v>
      </c>
      <c r="Q57" s="127"/>
      <c r="R57" s="127"/>
      <c r="S57" s="127"/>
      <c r="T57" s="127"/>
      <c r="U57" s="127"/>
    </row>
    <row r="58" spans="2:29" ht="15" customHeight="1">
      <c r="B58" s="239">
        <v>7</v>
      </c>
      <c r="C58" s="288">
        <f>IFERROR(LARGE(U34:U41,B58),0)</f>
        <v>0</v>
      </c>
      <c r="E58" s="130"/>
      <c r="I58" s="129">
        <v>8</v>
      </c>
      <c r="J58" s="129">
        <v>2.37</v>
      </c>
      <c r="O58" s="139">
        <v>7</v>
      </c>
      <c r="P58" s="140" t="s">
        <v>227</v>
      </c>
      <c r="Q58" s="127"/>
      <c r="R58" s="127"/>
      <c r="S58" s="127"/>
      <c r="T58" s="127"/>
      <c r="U58" s="127"/>
    </row>
    <row r="59" spans="2:29" ht="15" customHeight="1">
      <c r="B59" s="239">
        <v>8</v>
      </c>
      <c r="C59" s="288">
        <f>IFERROR(LARGE(U34:U41,B59),0)</f>
        <v>0</v>
      </c>
      <c r="E59" s="130"/>
      <c r="I59" s="129">
        <v>9</v>
      </c>
      <c r="J59" s="129">
        <v>2.3199999999999998</v>
      </c>
      <c r="O59" s="139">
        <v>8</v>
      </c>
      <c r="P59" s="140" t="s">
        <v>228</v>
      </c>
      <c r="Q59" s="127"/>
      <c r="R59" s="127"/>
      <c r="S59" s="127"/>
      <c r="T59" s="127"/>
      <c r="U59" s="127"/>
    </row>
    <row r="60" spans="2:29" ht="15" customHeight="1">
      <c r="B60" s="128"/>
      <c r="C60" s="128"/>
      <c r="E60" s="130"/>
      <c r="I60" s="129" t="s">
        <v>54</v>
      </c>
      <c r="J60" s="129">
        <v>2</v>
      </c>
      <c r="O60" s="139">
        <v>9</v>
      </c>
      <c r="P60" s="140" t="s">
        <v>229</v>
      </c>
      <c r="Q60" s="127"/>
      <c r="R60" s="127"/>
      <c r="S60" s="127"/>
      <c r="T60" s="127"/>
      <c r="U60" s="127"/>
    </row>
    <row r="61" spans="2:29" ht="15" customHeight="1">
      <c r="B61" s="128"/>
      <c r="C61" s="128"/>
      <c r="D61" s="126"/>
      <c r="E61" s="127"/>
      <c r="Q61" s="127"/>
      <c r="R61" s="127"/>
      <c r="S61" s="127"/>
      <c r="T61" s="127"/>
      <c r="U61" s="127"/>
    </row>
    <row r="62" spans="2:29" ht="18" customHeight="1">
      <c r="B62" s="212" t="s">
        <v>364</v>
      </c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Z62" s="128"/>
      <c r="AA62" s="128"/>
      <c r="AB62" s="128"/>
      <c r="AC62" s="128"/>
    </row>
    <row r="63" spans="2:29" ht="18" customHeight="1">
      <c r="B63" s="213"/>
      <c r="C63" s="476" t="s">
        <v>365</v>
      </c>
      <c r="D63" s="477"/>
      <c r="E63" s="122" t="s">
        <v>366</v>
      </c>
      <c r="F63" s="122" t="s">
        <v>367</v>
      </c>
      <c r="G63" s="122" t="s">
        <v>368</v>
      </c>
      <c r="H63" s="213"/>
      <c r="I63" s="122"/>
      <c r="J63" s="122"/>
      <c r="K63" s="122" t="s">
        <v>369</v>
      </c>
      <c r="L63" s="122" t="s">
        <v>370</v>
      </c>
      <c r="M63" s="227" t="s">
        <v>371</v>
      </c>
      <c r="N63" s="122" t="s">
        <v>367</v>
      </c>
      <c r="O63" s="227" t="s">
        <v>368</v>
      </c>
      <c r="P63" s="122"/>
      <c r="Q63" s="122" t="s">
        <v>372</v>
      </c>
      <c r="R63" s="122" t="s">
        <v>402</v>
      </c>
      <c r="Z63" s="128"/>
      <c r="AA63" s="128"/>
      <c r="AB63" s="128"/>
      <c r="AC63" s="128"/>
    </row>
    <row r="64" spans="2:29" ht="18" customHeight="1">
      <c r="B64" s="213"/>
      <c r="C64" s="214">
        <v>10</v>
      </c>
      <c r="D64" s="215" t="s">
        <v>400</v>
      </c>
      <c r="E64" s="227"/>
      <c r="F64" s="228">
        <v>15500</v>
      </c>
      <c r="G64" s="478" t="s">
        <v>401</v>
      </c>
      <c r="H64" s="213"/>
      <c r="I64" s="122"/>
      <c r="J64" s="229"/>
      <c r="K64" s="122">
        <f>COUNTIF(B9:B29,TRUE)</f>
        <v>0</v>
      </c>
      <c r="L64" s="122">
        <f>IF(K64&lt;10,0,K64-10)</f>
        <v>0</v>
      </c>
      <c r="M64" s="122" t="b">
        <f>H3="inch"</f>
        <v>0</v>
      </c>
      <c r="N64" s="228">
        <f>F64*IF(M64=TRUE,1.8,1)</f>
        <v>15500</v>
      </c>
      <c r="O64" s="230">
        <f>N64*(L64*10%)</f>
        <v>0</v>
      </c>
      <c r="P64" s="231"/>
      <c r="Q64" s="231">
        <f>SUM(N64:P64)</f>
        <v>15500</v>
      </c>
      <c r="R64" s="481">
        <f>SUM(Q64:Q66)</f>
        <v>15500</v>
      </c>
      <c r="Z64" s="128"/>
      <c r="AA64" s="128"/>
      <c r="AB64" s="128"/>
      <c r="AC64" s="128"/>
    </row>
    <row r="65" spans="2:29" ht="18" customHeight="1">
      <c r="B65" s="213"/>
      <c r="C65" s="214"/>
      <c r="D65" s="215"/>
      <c r="E65" s="227"/>
      <c r="F65" s="228"/>
      <c r="G65" s="479"/>
      <c r="H65" s="213"/>
      <c r="I65" s="122"/>
      <c r="J65" s="229"/>
      <c r="K65" s="122"/>
      <c r="L65" s="122"/>
      <c r="M65" s="122"/>
      <c r="N65" s="228"/>
      <c r="O65" s="230"/>
      <c r="P65" s="231"/>
      <c r="Q65" s="231"/>
      <c r="R65" s="482"/>
      <c r="Z65" s="128"/>
      <c r="AA65" s="128"/>
      <c r="AB65" s="128"/>
      <c r="AC65" s="128"/>
    </row>
    <row r="66" spans="2:29" ht="18" customHeight="1">
      <c r="B66" s="213"/>
      <c r="C66" s="214"/>
      <c r="D66" s="215"/>
      <c r="E66" s="227"/>
      <c r="F66" s="228"/>
      <c r="G66" s="479"/>
      <c r="H66" s="213"/>
      <c r="I66" s="122"/>
      <c r="J66" s="122"/>
      <c r="K66" s="122"/>
      <c r="L66" s="122"/>
      <c r="M66" s="122"/>
      <c r="N66" s="228"/>
      <c r="O66" s="232"/>
      <c r="P66" s="231"/>
      <c r="Q66" s="231"/>
      <c r="R66" s="483"/>
      <c r="Z66" s="128"/>
      <c r="AA66" s="128"/>
      <c r="AB66" s="128"/>
      <c r="AC66" s="128"/>
    </row>
    <row r="67" spans="2:29" ht="18" customHeight="1">
      <c r="B67" s="213"/>
      <c r="C67" s="214"/>
      <c r="D67" s="215"/>
      <c r="E67" s="227"/>
      <c r="F67" s="228"/>
      <c r="G67" s="479"/>
      <c r="H67" s="213"/>
      <c r="I67" s="213"/>
      <c r="J67" s="213"/>
      <c r="K67" s="213"/>
      <c r="L67" s="213"/>
      <c r="M67" s="213"/>
      <c r="N67" s="213"/>
      <c r="O67" s="216"/>
      <c r="P67" s="213"/>
      <c r="Q67" s="213"/>
      <c r="R67" s="213"/>
      <c r="Z67" s="128"/>
      <c r="AA67" s="128"/>
      <c r="AB67" s="128"/>
      <c r="AC67" s="128"/>
    </row>
    <row r="68" spans="2:29" ht="18" customHeight="1">
      <c r="B68" s="213"/>
      <c r="C68" s="214"/>
      <c r="D68" s="215"/>
      <c r="E68" s="227"/>
      <c r="F68" s="228"/>
      <c r="G68" s="479"/>
      <c r="H68" s="213"/>
      <c r="I68" s="217" t="s">
        <v>403</v>
      </c>
      <c r="J68" s="213"/>
      <c r="K68" s="213"/>
      <c r="L68" s="213"/>
      <c r="M68" s="213"/>
      <c r="N68" s="213"/>
      <c r="O68" s="213"/>
      <c r="P68" s="213"/>
      <c r="Q68" s="213"/>
      <c r="R68" s="213"/>
      <c r="Z68" s="128"/>
      <c r="AA68" s="128"/>
      <c r="AB68" s="128"/>
      <c r="AC68" s="128"/>
    </row>
    <row r="69" spans="2:29" ht="18" customHeight="1">
      <c r="B69" s="213"/>
      <c r="C69" s="214"/>
      <c r="D69" s="215"/>
      <c r="E69" s="227"/>
      <c r="F69" s="228"/>
      <c r="G69" s="479"/>
      <c r="H69" s="213"/>
      <c r="I69" s="218"/>
      <c r="M69" s="213"/>
      <c r="N69" s="213"/>
      <c r="O69" s="213"/>
      <c r="P69" s="213"/>
      <c r="Q69" s="213"/>
      <c r="R69" s="213"/>
      <c r="Z69" s="128"/>
      <c r="AA69" s="128"/>
      <c r="AB69" s="128"/>
      <c r="AC69" s="128"/>
    </row>
    <row r="70" spans="2:29" ht="18" customHeight="1">
      <c r="B70" s="213"/>
      <c r="C70" s="214"/>
      <c r="D70" s="219"/>
      <c r="E70" s="122"/>
      <c r="F70" s="122"/>
      <c r="G70" s="480"/>
      <c r="H70" s="213"/>
      <c r="I70" s="218"/>
      <c r="M70" s="213"/>
      <c r="N70" s="213"/>
      <c r="O70" s="213"/>
      <c r="P70" s="213"/>
      <c r="Q70" s="213"/>
      <c r="R70" s="213"/>
      <c r="Z70" s="128"/>
      <c r="AA70" s="128"/>
      <c r="AB70" s="128"/>
      <c r="AC70" s="128"/>
    </row>
    <row r="71" spans="2:29" ht="18" customHeight="1">
      <c r="B71" s="73"/>
      <c r="C71" s="73"/>
      <c r="D71" s="73"/>
      <c r="E71" s="73"/>
      <c r="F71" s="73"/>
      <c r="G71" s="73"/>
      <c r="H71" s="73"/>
      <c r="M71" s="73"/>
      <c r="N71" s="73"/>
      <c r="O71" s="73"/>
      <c r="P71" s="213"/>
      <c r="Q71" s="213"/>
      <c r="R71" s="213"/>
      <c r="Z71" s="128"/>
      <c r="AA71" s="128"/>
      <c r="AB71" s="128"/>
      <c r="AC71" s="128"/>
    </row>
    <row r="72" spans="2:29" ht="18" customHeight="1">
      <c r="B72" s="128"/>
      <c r="C72" s="128"/>
      <c r="D72" s="128"/>
      <c r="I72" s="218"/>
      <c r="J72" s="213"/>
      <c r="K72" s="213"/>
      <c r="L72" s="213"/>
      <c r="P72" s="127"/>
      <c r="Q72" s="127"/>
      <c r="R72" s="127"/>
      <c r="Z72" s="128"/>
      <c r="AA72" s="128"/>
      <c r="AB72" s="128"/>
      <c r="AC72" s="128"/>
    </row>
    <row r="73" spans="2:29" ht="18" customHeight="1">
      <c r="B73" s="128"/>
      <c r="C73" s="128"/>
      <c r="D73" s="128"/>
      <c r="I73" s="218"/>
      <c r="J73" s="213"/>
      <c r="K73" s="213"/>
      <c r="L73" s="213"/>
      <c r="P73" s="127"/>
      <c r="Q73" s="127"/>
      <c r="R73" s="127"/>
      <c r="Z73" s="128"/>
      <c r="AA73" s="128"/>
      <c r="AB73" s="128"/>
      <c r="AC73" s="128"/>
    </row>
    <row r="74" spans="2:29" ht="18" customHeight="1">
      <c r="B74" s="128"/>
      <c r="C74" s="128"/>
      <c r="D74" s="128"/>
      <c r="J74" s="73"/>
      <c r="K74" s="73"/>
      <c r="L74" s="73"/>
      <c r="P74" s="127"/>
      <c r="Q74" s="127"/>
      <c r="R74" s="127"/>
      <c r="Z74" s="128"/>
      <c r="AA74" s="128"/>
      <c r="AB74" s="128"/>
      <c r="AC74" s="128"/>
    </row>
    <row r="75" spans="2:29" ht="18" customHeight="1">
      <c r="B75" s="128"/>
      <c r="C75" s="128"/>
      <c r="D75" s="128"/>
      <c r="I75" s="218"/>
      <c r="J75" s="131"/>
      <c r="K75" s="131"/>
      <c r="P75" s="127"/>
      <c r="Q75" s="127"/>
      <c r="R75" s="127"/>
      <c r="Z75" s="128"/>
      <c r="AA75" s="128"/>
      <c r="AB75" s="128"/>
      <c r="AC75" s="128"/>
    </row>
    <row r="76" spans="2:29" ht="18" customHeight="1">
      <c r="B76" s="128"/>
      <c r="C76" s="128"/>
      <c r="D76" s="128"/>
      <c r="I76" s="218"/>
      <c r="J76" s="131"/>
      <c r="K76" s="131"/>
      <c r="P76" s="127"/>
      <c r="Q76" s="127"/>
      <c r="R76" s="127"/>
      <c r="V76" s="128"/>
      <c r="W76" s="128"/>
      <c r="X76" s="128"/>
      <c r="Y76" s="128"/>
      <c r="Z76" s="128"/>
      <c r="AA76" s="128"/>
      <c r="AB76" s="128"/>
      <c r="AC76" s="128"/>
    </row>
    <row r="77" spans="2:29" ht="18" customHeight="1">
      <c r="B77" s="128"/>
      <c r="C77" s="128"/>
      <c r="D77" s="128"/>
      <c r="J77" s="131"/>
      <c r="K77" s="131"/>
      <c r="P77" s="127"/>
      <c r="Q77" s="127"/>
      <c r="R77" s="127"/>
      <c r="V77" s="128"/>
      <c r="W77" s="128"/>
      <c r="X77" s="128"/>
      <c r="Y77" s="128"/>
      <c r="Z77" s="128"/>
      <c r="AA77" s="128"/>
      <c r="AB77" s="128"/>
      <c r="AC77" s="128"/>
    </row>
    <row r="78" spans="2:29" ht="18" customHeight="1">
      <c r="B78" s="128"/>
      <c r="C78" s="128"/>
      <c r="D78" s="128"/>
      <c r="P78" s="127"/>
      <c r="Q78" s="127"/>
      <c r="R78" s="127"/>
    </row>
  </sheetData>
  <mergeCells count="38">
    <mergeCell ref="G64:G70"/>
    <mergeCell ref="R64:R66"/>
    <mergeCell ref="V6:W6"/>
    <mergeCell ref="G42:P42"/>
    <mergeCell ref="G32:K32"/>
    <mergeCell ref="M32:P32"/>
    <mergeCell ref="Q32:R32"/>
    <mergeCell ref="J33:K33"/>
    <mergeCell ref="M33:N33"/>
    <mergeCell ref="K6:K7"/>
    <mergeCell ref="O44:Q44"/>
    <mergeCell ref="R44:R45"/>
    <mergeCell ref="S44:T44"/>
    <mergeCell ref="B6:B8"/>
    <mergeCell ref="C6:C8"/>
    <mergeCell ref="D6:D8"/>
    <mergeCell ref="E6:J6"/>
    <mergeCell ref="C63:D63"/>
    <mergeCell ref="B44:B45"/>
    <mergeCell ref="D50:D51"/>
    <mergeCell ref="J44:M44"/>
    <mergeCell ref="B32:B33"/>
    <mergeCell ref="AA6:AF6"/>
    <mergeCell ref="D54:D55"/>
    <mergeCell ref="E52:F52"/>
    <mergeCell ref="G52:G53"/>
    <mergeCell ref="C44:G44"/>
    <mergeCell ref="O33:P33"/>
    <mergeCell ref="Q33:R33"/>
    <mergeCell ref="N6:P6"/>
    <mergeCell ref="C32:C33"/>
    <mergeCell ref="D32:D33"/>
    <mergeCell ref="E32:E33"/>
    <mergeCell ref="F32:F33"/>
    <mergeCell ref="Y6:Z6"/>
    <mergeCell ref="T32:T33"/>
    <mergeCell ref="U32:V32"/>
    <mergeCell ref="B50:C5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Length_1_Result2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2020-11-02T06:50:16Z</cp:lastPrinted>
  <dcterms:created xsi:type="dcterms:W3CDTF">2004-11-10T00:11:43Z</dcterms:created>
  <dcterms:modified xsi:type="dcterms:W3CDTF">2021-07-23T06:23:36Z</dcterms:modified>
</cp:coreProperties>
</file>