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'교정결과-E'!$F$44:$I$44</definedName>
    <definedName name="B_Tag" localSheetId="3">'교정결과-HY'!$B$40:$Q$40</definedName>
    <definedName name="B_Tag">교정결과!$F$43:$I$43</definedName>
    <definedName name="B_Tag_2" localSheetId="4">판정결과!$D$30:$I$30</definedName>
    <definedName name="B_Tag_3" localSheetId="5">부록!$B$11:$K$11</definedName>
    <definedName name="Length_1_CMC">Length_1!$C$4:$E$24</definedName>
    <definedName name="Length_1_Condition">Length_1!$A$4:$B$24</definedName>
    <definedName name="Length_1_Resolution">Length_1!$F$4:$I$24</definedName>
    <definedName name="Length_1_Result">Length_1!$N$4:$R$24</definedName>
    <definedName name="Length_1_Result2">Length_1!$J$4:$J$5</definedName>
    <definedName name="Length_1_Spec">Length_1!$K$4:$M$24</definedName>
    <definedName name="Length_1_STD1">Length_1!$A$28</definedName>
    <definedName name="Length_1_STD2">Length_1!$A$52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M3" i="21" l="1"/>
  <c r="F13" i="31" l="1"/>
  <c r="F13" i="11" l="1"/>
  <c r="F13" i="24"/>
  <c r="T42" i="21"/>
  <c r="T41" i="21"/>
  <c r="T40" i="21"/>
  <c r="T34" i="21"/>
  <c r="O48" i="21" l="1"/>
  <c r="M48" i="21" s="1"/>
  <c r="K48" i="21" l="1"/>
  <c r="F9" i="31"/>
  <c r="F8" i="31"/>
  <c r="F7" i="31"/>
  <c r="F6" i="31"/>
  <c r="A4" i="31"/>
  <c r="V36" i="21" l="1"/>
  <c r="V37" i="21"/>
  <c r="V38" i="21"/>
  <c r="V39" i="21"/>
  <c r="V40" i="21"/>
  <c r="V41" i="21"/>
  <c r="V42" i="21"/>
  <c r="G38" i="21" l="1"/>
  <c r="J38" i="21" s="1"/>
  <c r="G36" i="21"/>
  <c r="J36" i="21" s="1"/>
  <c r="U34" i="21"/>
  <c r="W193" i="23" l="1"/>
  <c r="R198" i="23" s="1"/>
  <c r="Y198" i="23" s="1"/>
  <c r="W179" i="23"/>
  <c r="R184" i="23" s="1"/>
  <c r="Y184" i="23" s="1"/>
  <c r="AB165" i="23"/>
  <c r="R170" i="23" s="1"/>
  <c r="Y170" i="23" s="1"/>
  <c r="V152" i="23"/>
  <c r="V122" i="23"/>
  <c r="G39" i="21" l="1"/>
  <c r="G37" i="21"/>
  <c r="J37" i="21" s="1"/>
  <c r="N152" i="23" l="1"/>
  <c r="J39" i="21"/>
  <c r="H67" i="23"/>
  <c r="M67" i="23"/>
  <c r="S67" i="23"/>
  <c r="V67" i="23"/>
  <c r="I195" i="23" s="1"/>
  <c r="AA67" i="23"/>
  <c r="N196" i="23" s="1"/>
  <c r="AM67" i="23"/>
  <c r="AP67" i="23"/>
  <c r="H42" i="21" l="1"/>
  <c r="G42" i="21"/>
  <c r="O193" i="23" l="1"/>
  <c r="O192" i="23" s="1"/>
  <c r="J42" i="21"/>
  <c r="O67" i="23" s="1"/>
  <c r="T193" i="23" l="1"/>
  <c r="O198" i="23" s="1"/>
  <c r="V198" i="23" s="1"/>
  <c r="Q42" i="21"/>
  <c r="H34" i="21"/>
  <c r="G34" i="21"/>
  <c r="AH67" i="23" l="1"/>
  <c r="U42" i="21"/>
  <c r="I34" i="21"/>
  <c r="L213" i="23" l="1"/>
  <c r="Z90" i="23" l="1"/>
  <c r="T90" i="23"/>
  <c r="G10" i="23" l="1"/>
  <c r="AU213" i="23" l="1"/>
  <c r="AP213" i="23"/>
  <c r="AK213" i="23"/>
  <c r="AF213" i="23"/>
  <c r="AA213" i="23"/>
  <c r="V213" i="23"/>
  <c r="N122" i="23"/>
  <c r="AM68" i="23"/>
  <c r="M68" i="23"/>
  <c r="AP66" i="23"/>
  <c r="AM66" i="23"/>
  <c r="AA66" i="23"/>
  <c r="O182" i="23" s="1"/>
  <c r="V66" i="23"/>
  <c r="I181" i="23" s="1"/>
  <c r="S66" i="23"/>
  <c r="M66" i="23"/>
  <c r="H66" i="23"/>
  <c r="AP65" i="23"/>
  <c r="AM65" i="23"/>
  <c r="AA65" i="23"/>
  <c r="N168" i="23" s="1"/>
  <c r="V65" i="23"/>
  <c r="I167" i="23" s="1"/>
  <c r="S65" i="23"/>
  <c r="M65" i="23"/>
  <c r="H65" i="23"/>
  <c r="AP64" i="23"/>
  <c r="AM64" i="23"/>
  <c r="AE64" i="23"/>
  <c r="V64" i="23"/>
  <c r="I154" i="23" s="1"/>
  <c r="S64" i="23"/>
  <c r="M64" i="23"/>
  <c r="AP62" i="23"/>
  <c r="AM62" i="23"/>
  <c r="AE62" i="23"/>
  <c r="V62" i="23"/>
  <c r="I124" i="23" s="1"/>
  <c r="S62" i="23"/>
  <c r="M62" i="23"/>
  <c r="AP63" i="23"/>
  <c r="AM63" i="23"/>
  <c r="AE63" i="23"/>
  <c r="V63" i="23"/>
  <c r="I138" i="23" s="1"/>
  <c r="S63" i="23"/>
  <c r="M63" i="23"/>
  <c r="AP61" i="23"/>
  <c r="AM61" i="23"/>
  <c r="AE61" i="23"/>
  <c r="V61" i="23"/>
  <c r="I108" i="23" s="1"/>
  <c r="S61" i="23"/>
  <c r="M61" i="23"/>
  <c r="AP59" i="23"/>
  <c r="AM59" i="23"/>
  <c r="AA59" i="23"/>
  <c r="N77" i="23" s="1"/>
  <c r="L79" i="23" s="1"/>
  <c r="V59" i="23"/>
  <c r="I76" i="23" s="1"/>
  <c r="S59" i="23"/>
  <c r="M59" i="23"/>
  <c r="N73" i="23" s="1"/>
  <c r="AM60" i="23"/>
  <c r="AA60" i="23"/>
  <c r="N93" i="23" s="1"/>
  <c r="L95" i="23" s="1"/>
  <c r="S60" i="23"/>
  <c r="M60" i="23"/>
  <c r="N85" i="23" s="1"/>
  <c r="AA74" i="23"/>
  <c r="R79" i="23" s="1"/>
  <c r="Y79" i="23" s="1"/>
  <c r="Z87" i="23"/>
  <c r="R95" i="23" s="1"/>
  <c r="Y95" i="23" s="1"/>
  <c r="T87" i="23"/>
  <c r="L10" i="23"/>
  <c r="Q10" i="23" s="1"/>
  <c r="V10" i="23" s="1"/>
  <c r="AA10" i="23" s="1"/>
  <c r="S152" i="23" l="1"/>
  <c r="S157" i="23" s="1"/>
  <c r="C149" i="23"/>
  <c r="S122" i="23"/>
  <c r="S127" i="23" s="1"/>
  <c r="D120" i="23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O3" i="21"/>
  <c r="F43" i="24" s="1"/>
  <c r="H3" i="21"/>
  <c r="G3" i="21"/>
  <c r="F3" i="21"/>
  <c r="C8" i="3" s="1"/>
  <c r="C3" i="21"/>
  <c r="B3" i="21" s="1"/>
  <c r="F47" i="21"/>
  <c r="O64" i="23"/>
  <c r="O62" i="23"/>
  <c r="O63" i="23"/>
  <c r="T29" i="21"/>
  <c r="B31" i="23" s="1"/>
  <c r="AE14" i="21" l="1"/>
  <c r="W14" i="21"/>
  <c r="V14" i="21"/>
  <c r="AE22" i="21"/>
  <c r="W22" i="21"/>
  <c r="V22" i="21"/>
  <c r="AE11" i="21"/>
  <c r="V11" i="21"/>
  <c r="W11" i="21"/>
  <c r="V15" i="21"/>
  <c r="AE15" i="21"/>
  <c r="W15" i="21"/>
  <c r="AE19" i="21"/>
  <c r="W19" i="21"/>
  <c r="V19" i="21"/>
  <c r="AE23" i="21"/>
  <c r="V23" i="21"/>
  <c r="W23" i="21"/>
  <c r="A35" i="31"/>
  <c r="V27" i="21"/>
  <c r="AE27" i="21"/>
  <c r="W27" i="21"/>
  <c r="AE10" i="21"/>
  <c r="W10" i="21"/>
  <c r="V10" i="21"/>
  <c r="AE18" i="21"/>
  <c r="W18" i="21"/>
  <c r="V18" i="21"/>
  <c r="A34" i="31"/>
  <c r="AE26" i="21"/>
  <c r="W26" i="21"/>
  <c r="V26" i="21"/>
  <c r="V12" i="21"/>
  <c r="W12" i="21"/>
  <c r="AE12" i="21"/>
  <c r="A36" i="31"/>
  <c r="V28" i="21"/>
  <c r="AE28" i="21"/>
  <c r="W28" i="21"/>
  <c r="V16" i="21"/>
  <c r="AE16" i="21"/>
  <c r="W16" i="21"/>
  <c r="V20" i="21"/>
  <c r="W20" i="21"/>
  <c r="AE20" i="21"/>
  <c r="V24" i="21"/>
  <c r="W24" i="21"/>
  <c r="AE24" i="21"/>
  <c r="A17" i="31"/>
  <c r="AE9" i="21"/>
  <c r="W9" i="21"/>
  <c r="V9" i="21"/>
  <c r="W13" i="21"/>
  <c r="V13" i="21"/>
  <c r="AE13" i="21"/>
  <c r="W17" i="21"/>
  <c r="V17" i="21"/>
  <c r="AE17" i="21"/>
  <c r="W21" i="21"/>
  <c r="AE21" i="21"/>
  <c r="V21" i="21"/>
  <c r="A33" i="31"/>
  <c r="W25" i="21"/>
  <c r="V25" i="21"/>
  <c r="AE25" i="21"/>
  <c r="A37" i="31"/>
  <c r="W29" i="21"/>
  <c r="V29" i="21"/>
  <c r="AE29" i="21"/>
  <c r="O11" i="21"/>
  <c r="A19" i="31"/>
  <c r="O15" i="21"/>
  <c r="A23" i="31"/>
  <c r="O19" i="21"/>
  <c r="A27" i="31"/>
  <c r="O23" i="21"/>
  <c r="A31" i="31"/>
  <c r="O14" i="21"/>
  <c r="A22" i="31"/>
  <c r="O22" i="21"/>
  <c r="A30" i="31"/>
  <c r="O12" i="21"/>
  <c r="A20" i="31"/>
  <c r="O16" i="21"/>
  <c r="A24" i="31"/>
  <c r="O20" i="21"/>
  <c r="A28" i="31"/>
  <c r="O24" i="21"/>
  <c r="A32" i="31"/>
  <c r="O10" i="21"/>
  <c r="A18" i="31"/>
  <c r="O18" i="21"/>
  <c r="A26" i="31"/>
  <c r="O13" i="21"/>
  <c r="A21" i="31"/>
  <c r="O17" i="21"/>
  <c r="A25" i="31"/>
  <c r="O21" i="21"/>
  <c r="A29" i="31"/>
  <c r="O26" i="21"/>
  <c r="A34" i="24"/>
  <c r="A34" i="11"/>
  <c r="O27" i="21"/>
  <c r="A35" i="24"/>
  <c r="A35" i="11"/>
  <c r="O28" i="21"/>
  <c r="A36" i="24"/>
  <c r="A36" i="11"/>
  <c r="O25" i="21"/>
  <c r="A33" i="11"/>
  <c r="A33" i="24"/>
  <c r="O29" i="21"/>
  <c r="A37" i="11"/>
  <c r="A37" i="24"/>
  <c r="M65" i="21"/>
  <c r="N65" i="21" s="1"/>
  <c r="E8" i="21"/>
  <c r="F8" i="21" s="1"/>
  <c r="G8" i="21" s="1"/>
  <c r="H8" i="21" s="1"/>
  <c r="I8" i="21" s="1"/>
  <c r="J8" i="21" s="1"/>
  <c r="F42" i="11"/>
  <c r="K65" i="21"/>
  <c r="L65" i="21" s="1"/>
  <c r="O9" i="21"/>
  <c r="A22" i="24"/>
  <c r="A22" i="11"/>
  <c r="A26" i="24"/>
  <c r="A26" i="11"/>
  <c r="A30" i="24"/>
  <c r="A30" i="11"/>
  <c r="A19" i="24"/>
  <c r="A19" i="11"/>
  <c r="A23" i="24"/>
  <c r="A23" i="11"/>
  <c r="A27" i="24"/>
  <c r="A27" i="11"/>
  <c r="A31" i="24"/>
  <c r="A31" i="11"/>
  <c r="A20" i="24"/>
  <c r="A20" i="11"/>
  <c r="A24" i="24"/>
  <c r="A24" i="11"/>
  <c r="A28" i="24"/>
  <c r="A28" i="11"/>
  <c r="A32" i="24"/>
  <c r="A32" i="11"/>
  <c r="A18" i="24"/>
  <c r="A18" i="11"/>
  <c r="A17" i="24"/>
  <c r="A17" i="11"/>
  <c r="A21" i="24"/>
  <c r="A21" i="11"/>
  <c r="A25" i="24"/>
  <c r="A25" i="11"/>
  <c r="A29" i="24"/>
  <c r="A29" i="11"/>
  <c r="C19" i="21"/>
  <c r="B25" i="3" s="1"/>
  <c r="C10" i="21"/>
  <c r="B16" i="3" s="1"/>
  <c r="C26" i="21"/>
  <c r="B32" i="3" s="1"/>
  <c r="N9" i="21"/>
  <c r="C17" i="21"/>
  <c r="B23" i="3" s="1"/>
  <c r="C21" i="21"/>
  <c r="B27" i="3" s="1"/>
  <c r="C25" i="21"/>
  <c r="B31" i="3" s="1"/>
  <c r="C29" i="21"/>
  <c r="B35" i="3" s="1"/>
  <c r="C15" i="21"/>
  <c r="B21" i="3" s="1"/>
  <c r="C23" i="21"/>
  <c r="B29" i="3" s="1"/>
  <c r="C27" i="21"/>
  <c r="B33" i="3" s="1"/>
  <c r="C14" i="21"/>
  <c r="B20" i="3" s="1"/>
  <c r="C18" i="21"/>
  <c r="B24" i="3" s="1"/>
  <c r="C22" i="21"/>
  <c r="B28" i="3" s="1"/>
  <c r="C12" i="21"/>
  <c r="B18" i="3" s="1"/>
  <c r="C16" i="21"/>
  <c r="B22" i="3" s="1"/>
  <c r="C20" i="21"/>
  <c r="B26" i="3" s="1"/>
  <c r="C24" i="21"/>
  <c r="B30" i="3" s="1"/>
  <c r="C28" i="21"/>
  <c r="B34" i="3" s="1"/>
  <c r="C11" i="21"/>
  <c r="B17" i="3" s="1"/>
  <c r="S9" i="21"/>
  <c r="E39" i="21" s="1"/>
  <c r="M38" i="21" s="1"/>
  <c r="C9" i="21"/>
  <c r="K13" i="21"/>
  <c r="AK15" i="23" s="1"/>
  <c r="C13" i="21"/>
  <c r="B19" i="3" s="1"/>
  <c r="I3" i="21"/>
  <c r="N3" i="21" s="1"/>
  <c r="B5" i="23"/>
  <c r="AA14" i="23"/>
  <c r="G14" i="23"/>
  <c r="Q14" i="23"/>
  <c r="V14" i="23"/>
  <c r="L14" i="23"/>
  <c r="K12" i="21"/>
  <c r="AK14" i="23" s="1"/>
  <c r="AA22" i="23"/>
  <c r="G22" i="23"/>
  <c r="V22" i="23"/>
  <c r="Q22" i="23"/>
  <c r="L22" i="23"/>
  <c r="K20" i="21"/>
  <c r="AK22" i="23" s="1"/>
  <c r="Q12" i="23"/>
  <c r="L12" i="23"/>
  <c r="G12" i="23"/>
  <c r="V12" i="23"/>
  <c r="AA12" i="23"/>
  <c r="K10" i="21"/>
  <c r="AK12" i="23" s="1"/>
  <c r="Q16" i="23"/>
  <c r="L16" i="23"/>
  <c r="AA16" i="23"/>
  <c r="G16" i="23"/>
  <c r="V16" i="23"/>
  <c r="K14" i="21"/>
  <c r="AK16" i="23" s="1"/>
  <c r="Q20" i="23"/>
  <c r="L20" i="23"/>
  <c r="G20" i="23"/>
  <c r="AA20" i="23"/>
  <c r="V20" i="23"/>
  <c r="K18" i="21"/>
  <c r="AK20" i="23" s="1"/>
  <c r="Q24" i="23"/>
  <c r="G24" i="23"/>
  <c r="L24" i="23"/>
  <c r="AA24" i="23"/>
  <c r="V24" i="23"/>
  <c r="K22" i="21"/>
  <c r="AK24" i="23" s="1"/>
  <c r="Q28" i="23"/>
  <c r="L28" i="23"/>
  <c r="G28" i="23"/>
  <c r="AA28" i="23"/>
  <c r="V28" i="23"/>
  <c r="K26" i="21"/>
  <c r="AK28" i="23" s="1"/>
  <c r="V11" i="23"/>
  <c r="Q11" i="23"/>
  <c r="L11" i="23"/>
  <c r="G11" i="23"/>
  <c r="AA11" i="23"/>
  <c r="K9" i="21"/>
  <c r="V15" i="23"/>
  <c r="L15" i="23"/>
  <c r="Q15" i="23"/>
  <c r="AA15" i="23"/>
  <c r="G15" i="23"/>
  <c r="V19" i="23"/>
  <c r="Q19" i="23"/>
  <c r="L19" i="23"/>
  <c r="AA19" i="23"/>
  <c r="G19" i="23"/>
  <c r="K17" i="21"/>
  <c r="AK19" i="23" s="1"/>
  <c r="V23" i="23"/>
  <c r="L23" i="23"/>
  <c r="Q23" i="23"/>
  <c r="G23" i="23"/>
  <c r="AA23" i="23"/>
  <c r="K21" i="21"/>
  <c r="AK23" i="23" s="1"/>
  <c r="V27" i="23"/>
  <c r="Q27" i="23"/>
  <c r="L27" i="23"/>
  <c r="AA27" i="23"/>
  <c r="G27" i="23"/>
  <c r="K25" i="21"/>
  <c r="AK27" i="23" s="1"/>
  <c r="V31" i="23"/>
  <c r="Q31" i="23"/>
  <c r="L31" i="23"/>
  <c r="G31" i="23"/>
  <c r="AA31" i="23"/>
  <c r="K29" i="21"/>
  <c r="AK31" i="23" s="1"/>
  <c r="AA30" i="23"/>
  <c r="G30" i="23"/>
  <c r="V30" i="23"/>
  <c r="Q30" i="23"/>
  <c r="L30" i="23"/>
  <c r="K28" i="21"/>
  <c r="AK30" i="23" s="1"/>
  <c r="AA18" i="23"/>
  <c r="G18" i="23"/>
  <c r="Q18" i="23"/>
  <c r="V18" i="23"/>
  <c r="L18" i="23"/>
  <c r="K16" i="21"/>
  <c r="AK18" i="23" s="1"/>
  <c r="AA26" i="23"/>
  <c r="G26" i="23"/>
  <c r="Q26" i="23"/>
  <c r="V26" i="23"/>
  <c r="L26" i="23"/>
  <c r="K24" i="21"/>
  <c r="AK26" i="23" s="1"/>
  <c r="L13" i="23"/>
  <c r="AA13" i="23"/>
  <c r="G13" i="23"/>
  <c r="V13" i="23"/>
  <c r="Q13" i="23"/>
  <c r="K11" i="21"/>
  <c r="AK13" i="23" s="1"/>
  <c r="L17" i="23"/>
  <c r="AA17" i="23"/>
  <c r="G17" i="23"/>
  <c r="V17" i="23"/>
  <c r="Q17" i="23"/>
  <c r="K15" i="21"/>
  <c r="AK17" i="23" s="1"/>
  <c r="L21" i="23"/>
  <c r="AA21" i="23"/>
  <c r="G21" i="23"/>
  <c r="V21" i="23"/>
  <c r="Q21" i="23"/>
  <c r="K19" i="21"/>
  <c r="AK21" i="23" s="1"/>
  <c r="L25" i="23"/>
  <c r="V25" i="23"/>
  <c r="AA25" i="23"/>
  <c r="G25" i="23"/>
  <c r="Q25" i="23"/>
  <c r="K23" i="21"/>
  <c r="AK25" i="23" s="1"/>
  <c r="L29" i="23"/>
  <c r="AA29" i="23"/>
  <c r="G29" i="23"/>
  <c r="V29" i="23"/>
  <c r="Q29" i="23"/>
  <c r="K27" i="21"/>
  <c r="AK29" i="23" s="1"/>
  <c r="A10" i="30"/>
  <c r="A14" i="30"/>
  <c r="A18" i="30"/>
  <c r="A22" i="30"/>
  <c r="A26" i="30"/>
  <c r="I9" i="21"/>
  <c r="A9" i="30"/>
  <c r="I13" i="21"/>
  <c r="A13" i="30"/>
  <c r="I17" i="21"/>
  <c r="A17" i="30"/>
  <c r="I21" i="21"/>
  <c r="A21" i="30"/>
  <c r="I25" i="21"/>
  <c r="A25" i="30"/>
  <c r="I29" i="21"/>
  <c r="A29" i="30"/>
  <c r="A12" i="30"/>
  <c r="A16" i="30"/>
  <c r="A20" i="30"/>
  <c r="A24" i="30"/>
  <c r="A28" i="30"/>
  <c r="I11" i="21"/>
  <c r="A11" i="30"/>
  <c r="I15" i="21"/>
  <c r="A15" i="30"/>
  <c r="I19" i="21"/>
  <c r="A19" i="30"/>
  <c r="I23" i="21"/>
  <c r="A23" i="30"/>
  <c r="I27" i="21"/>
  <c r="A27" i="30"/>
  <c r="U23" i="21"/>
  <c r="D16" i="3"/>
  <c r="S23" i="21"/>
  <c r="D24" i="3"/>
  <c r="C16" i="3"/>
  <c r="F29" i="3"/>
  <c r="E30" i="3"/>
  <c r="G16" i="3"/>
  <c r="G24" i="3"/>
  <c r="F30" i="3"/>
  <c r="F22" i="3"/>
  <c r="T25" i="21"/>
  <c r="B27" i="23" s="1"/>
  <c r="D15" i="3"/>
  <c r="C21" i="3"/>
  <c r="C29" i="3"/>
  <c r="E34" i="3"/>
  <c r="D8" i="3"/>
  <c r="D32" i="3"/>
  <c r="T21" i="21"/>
  <c r="B23" i="23" s="1"/>
  <c r="F21" i="3"/>
  <c r="D23" i="3"/>
  <c r="D31" i="3"/>
  <c r="G32" i="3"/>
  <c r="Q25" i="21"/>
  <c r="E15" i="3"/>
  <c r="F17" i="3"/>
  <c r="G21" i="3"/>
  <c r="E23" i="3"/>
  <c r="F25" i="3"/>
  <c r="G29" i="3"/>
  <c r="E31" i="3"/>
  <c r="F33" i="3"/>
  <c r="E18" i="3"/>
  <c r="E22" i="3"/>
  <c r="C24" i="3"/>
  <c r="E26" i="3"/>
  <c r="C32" i="3"/>
  <c r="C20" i="3"/>
  <c r="C17" i="3"/>
  <c r="G17" i="3"/>
  <c r="F18" i="3"/>
  <c r="E19" i="3"/>
  <c r="D20" i="3"/>
  <c r="C25" i="3"/>
  <c r="G25" i="3"/>
  <c r="F26" i="3"/>
  <c r="E27" i="3"/>
  <c r="D28" i="3"/>
  <c r="C33" i="3"/>
  <c r="G33" i="3"/>
  <c r="F34" i="3"/>
  <c r="E35" i="3"/>
  <c r="C28" i="3"/>
  <c r="D35" i="3"/>
  <c r="U21" i="21"/>
  <c r="Q29" i="21"/>
  <c r="T13" i="21"/>
  <c r="B15" i="23" s="1"/>
  <c r="P21" i="21"/>
  <c r="S29" i="21"/>
  <c r="F15" i="3"/>
  <c r="E16" i="3"/>
  <c r="D17" i="3"/>
  <c r="C18" i="3"/>
  <c r="G18" i="3"/>
  <c r="F19" i="3"/>
  <c r="E20" i="3"/>
  <c r="D21" i="3"/>
  <c r="C22" i="3"/>
  <c r="G22" i="3"/>
  <c r="F23" i="3"/>
  <c r="E24" i="3"/>
  <c r="D25" i="3"/>
  <c r="C26" i="3"/>
  <c r="G26" i="3"/>
  <c r="F27" i="3"/>
  <c r="E28" i="3"/>
  <c r="D29" i="3"/>
  <c r="C30" i="3"/>
  <c r="G30" i="3"/>
  <c r="F31" i="3"/>
  <c r="E32" i="3"/>
  <c r="D33" i="3"/>
  <c r="C34" i="3"/>
  <c r="G34" i="3"/>
  <c r="F35" i="3"/>
  <c r="D19" i="3"/>
  <c r="G20" i="3"/>
  <c r="D27" i="3"/>
  <c r="G28" i="3"/>
  <c r="S21" i="21"/>
  <c r="Q27" i="21"/>
  <c r="C15" i="3"/>
  <c r="G15" i="3"/>
  <c r="F16" i="3"/>
  <c r="E17" i="3"/>
  <c r="D18" i="3"/>
  <c r="C19" i="3"/>
  <c r="G19" i="3"/>
  <c r="F20" i="3"/>
  <c r="E21" i="3"/>
  <c r="D22" i="3"/>
  <c r="C23" i="3"/>
  <c r="G23" i="3"/>
  <c r="F24" i="3"/>
  <c r="E25" i="3"/>
  <c r="D26" i="3"/>
  <c r="C27" i="3"/>
  <c r="G27" i="3"/>
  <c r="F28" i="3"/>
  <c r="E29" i="3"/>
  <c r="D30" i="3"/>
  <c r="C31" i="3"/>
  <c r="G31" i="3"/>
  <c r="F32" i="3"/>
  <c r="E33" i="3"/>
  <c r="D34" i="3"/>
  <c r="C35" i="3"/>
  <c r="G35" i="3"/>
  <c r="L9" i="21"/>
  <c r="L11" i="21"/>
  <c r="L13" i="21"/>
  <c r="L15" i="21"/>
  <c r="L17" i="21"/>
  <c r="L19" i="21"/>
  <c r="L21" i="21"/>
  <c r="L23" i="21"/>
  <c r="L25" i="21"/>
  <c r="L27" i="21"/>
  <c r="L29" i="21"/>
  <c r="M9" i="21"/>
  <c r="AF11" i="23" s="1"/>
  <c r="M11" i="21"/>
  <c r="AF13" i="23" s="1"/>
  <c r="M13" i="21"/>
  <c r="AF15" i="23" s="1"/>
  <c r="M15" i="21"/>
  <c r="AF17" i="23" s="1"/>
  <c r="M17" i="21"/>
  <c r="AF19" i="23" s="1"/>
  <c r="M19" i="21"/>
  <c r="AF21" i="23" s="1"/>
  <c r="M21" i="21"/>
  <c r="AF23" i="23" s="1"/>
  <c r="M23" i="21"/>
  <c r="AF25" i="23" s="1"/>
  <c r="M25" i="21"/>
  <c r="AF27" i="23" s="1"/>
  <c r="M27" i="21"/>
  <c r="AF29" i="23" s="1"/>
  <c r="M29" i="21"/>
  <c r="AF31" i="23" s="1"/>
  <c r="J20" i="21"/>
  <c r="U22" i="21"/>
  <c r="S24" i="21"/>
  <c r="O61" i="23"/>
  <c r="F9" i="21"/>
  <c r="F11" i="21"/>
  <c r="F13" i="21"/>
  <c r="F15" i="21"/>
  <c r="F17" i="21"/>
  <c r="F19" i="21"/>
  <c r="F21" i="21"/>
  <c r="F23" i="21"/>
  <c r="F25" i="21"/>
  <c r="F27" i="21"/>
  <c r="F29" i="21"/>
  <c r="N16" i="21"/>
  <c r="R16" i="21" s="1"/>
  <c r="U20" i="21"/>
  <c r="Q26" i="21"/>
  <c r="G9" i="21"/>
  <c r="G11" i="21"/>
  <c r="G13" i="21"/>
  <c r="G15" i="21"/>
  <c r="G17" i="21"/>
  <c r="G19" i="21"/>
  <c r="G21" i="21"/>
  <c r="G23" i="21"/>
  <c r="G25" i="21"/>
  <c r="G27" i="21"/>
  <c r="G29" i="21"/>
  <c r="E10" i="21"/>
  <c r="I14" i="21"/>
  <c r="E16" i="21"/>
  <c r="E22" i="21"/>
  <c r="E24" i="21"/>
  <c r="E28" i="21"/>
  <c r="N20" i="21"/>
  <c r="R22" i="21"/>
  <c r="J26" i="21"/>
  <c r="S26" i="21"/>
  <c r="D9" i="21"/>
  <c r="H9" i="21"/>
  <c r="F10" i="21"/>
  <c r="L10" i="21"/>
  <c r="D11" i="21"/>
  <c r="H11" i="21"/>
  <c r="F12" i="21"/>
  <c r="L12" i="21"/>
  <c r="D13" i="21"/>
  <c r="H13" i="21"/>
  <c r="F14" i="21"/>
  <c r="L14" i="21"/>
  <c r="D15" i="21"/>
  <c r="H15" i="21"/>
  <c r="F16" i="21"/>
  <c r="L16" i="21"/>
  <c r="D17" i="21"/>
  <c r="H17" i="21"/>
  <c r="F18" i="21"/>
  <c r="L18" i="21"/>
  <c r="D19" i="21"/>
  <c r="H19" i="21"/>
  <c r="F20" i="21"/>
  <c r="L20" i="21"/>
  <c r="D21" i="21"/>
  <c r="H21" i="21"/>
  <c r="F22" i="21"/>
  <c r="L22" i="21"/>
  <c r="D23" i="21"/>
  <c r="H23" i="21"/>
  <c r="F24" i="21"/>
  <c r="L24" i="21"/>
  <c r="D25" i="21"/>
  <c r="H25" i="21"/>
  <c r="F26" i="21"/>
  <c r="L26" i="21"/>
  <c r="D27" i="21"/>
  <c r="H27" i="21"/>
  <c r="F28" i="21"/>
  <c r="L28" i="21"/>
  <c r="D29" i="21"/>
  <c r="H29" i="21"/>
  <c r="I10" i="21"/>
  <c r="E12" i="21"/>
  <c r="E18" i="21"/>
  <c r="I18" i="21"/>
  <c r="I20" i="21"/>
  <c r="I22" i="21"/>
  <c r="I26" i="21"/>
  <c r="I28" i="21"/>
  <c r="R20" i="21"/>
  <c r="Q24" i="21"/>
  <c r="U26" i="21"/>
  <c r="E9" i="21"/>
  <c r="G10" i="21"/>
  <c r="M10" i="21"/>
  <c r="AF12" i="23" s="1"/>
  <c r="E11" i="21"/>
  <c r="G12" i="21"/>
  <c r="M12" i="21"/>
  <c r="AF14" i="23" s="1"/>
  <c r="E13" i="21"/>
  <c r="G14" i="21"/>
  <c r="M14" i="21"/>
  <c r="AF16" i="23" s="1"/>
  <c r="E15" i="21"/>
  <c r="G16" i="21"/>
  <c r="M16" i="21"/>
  <c r="AF18" i="23" s="1"/>
  <c r="E17" i="21"/>
  <c r="G18" i="21"/>
  <c r="M18" i="21"/>
  <c r="AF20" i="23" s="1"/>
  <c r="E19" i="21"/>
  <c r="G20" i="21"/>
  <c r="M20" i="21"/>
  <c r="AF22" i="23" s="1"/>
  <c r="E21" i="21"/>
  <c r="G22" i="21"/>
  <c r="M22" i="21"/>
  <c r="AF24" i="23" s="1"/>
  <c r="E23" i="21"/>
  <c r="G24" i="21"/>
  <c r="M24" i="21"/>
  <c r="AF26" i="23" s="1"/>
  <c r="E25" i="21"/>
  <c r="G26" i="21"/>
  <c r="M26" i="21"/>
  <c r="AF28" i="23" s="1"/>
  <c r="E27" i="21"/>
  <c r="G28" i="21"/>
  <c r="M28" i="21"/>
  <c r="AF30" i="23" s="1"/>
  <c r="E29" i="21"/>
  <c r="I12" i="21"/>
  <c r="E14" i="21"/>
  <c r="I16" i="21"/>
  <c r="E20" i="21"/>
  <c r="I24" i="21"/>
  <c r="E26" i="21"/>
  <c r="N12" i="21"/>
  <c r="R12" i="21" s="1"/>
  <c r="S20" i="21"/>
  <c r="R24" i="21"/>
  <c r="N26" i="21"/>
  <c r="D10" i="21"/>
  <c r="H10" i="21"/>
  <c r="D12" i="21"/>
  <c r="H12" i="21"/>
  <c r="D14" i="21"/>
  <c r="H14" i="21"/>
  <c r="D16" i="21"/>
  <c r="H16" i="21"/>
  <c r="D18" i="21"/>
  <c r="H18" i="21"/>
  <c r="D20" i="21"/>
  <c r="H20" i="21"/>
  <c r="D22" i="21"/>
  <c r="H22" i="21"/>
  <c r="D24" i="21"/>
  <c r="H24" i="21"/>
  <c r="D26" i="21"/>
  <c r="H26" i="21"/>
  <c r="D28" i="21"/>
  <c r="H28" i="21"/>
  <c r="S16" i="21"/>
  <c r="S12" i="21"/>
  <c r="S17" i="21"/>
  <c r="S13" i="21"/>
  <c r="S11" i="21"/>
  <c r="S19" i="21"/>
  <c r="S15" i="21"/>
  <c r="P27" i="21"/>
  <c r="T28" i="21"/>
  <c r="B30" i="23" s="1"/>
  <c r="P28" i="21"/>
  <c r="U28" i="21"/>
  <c r="J28" i="21"/>
  <c r="N28" i="21"/>
  <c r="Q9" i="21"/>
  <c r="E37" i="21" s="1"/>
  <c r="T10" i="21"/>
  <c r="B12" i="23" s="1"/>
  <c r="N10" i="21"/>
  <c r="R10" i="21" s="1"/>
  <c r="S10" i="21"/>
  <c r="T11" i="21"/>
  <c r="B13" i="23" s="1"/>
  <c r="T12" i="21"/>
  <c r="B14" i="23" s="1"/>
  <c r="P12" i="21"/>
  <c r="Q12" i="21"/>
  <c r="N13" i="21"/>
  <c r="P13" i="21" s="1"/>
  <c r="J13" i="21"/>
  <c r="Q13" i="21"/>
  <c r="N14" i="21"/>
  <c r="S14" i="21"/>
  <c r="T15" i="21"/>
  <c r="B17" i="23" s="1"/>
  <c r="T16" i="21"/>
  <c r="B18" i="23" s="1"/>
  <c r="P16" i="21"/>
  <c r="Q16" i="21"/>
  <c r="N17" i="21"/>
  <c r="P17" i="21" s="1"/>
  <c r="J17" i="21"/>
  <c r="Q17" i="21"/>
  <c r="T18" i="21"/>
  <c r="B20" i="23" s="1"/>
  <c r="N18" i="21"/>
  <c r="R18" i="21" s="1"/>
  <c r="S18" i="21"/>
  <c r="T19" i="21"/>
  <c r="B21" i="23" s="1"/>
  <c r="T20" i="21"/>
  <c r="B22" i="23" s="1"/>
  <c r="P20" i="21"/>
  <c r="Q20" i="21"/>
  <c r="R21" i="21"/>
  <c r="N21" i="21"/>
  <c r="J21" i="21"/>
  <c r="Q21" i="21"/>
  <c r="N22" i="21"/>
  <c r="S22" i="21"/>
  <c r="T23" i="21"/>
  <c r="B25" i="23" s="1"/>
  <c r="T24" i="21"/>
  <c r="B26" i="23" s="1"/>
  <c r="P24" i="21"/>
  <c r="U24" i="21"/>
  <c r="J24" i="21"/>
  <c r="N24" i="21"/>
  <c r="S25" i="21"/>
  <c r="T26" i="21"/>
  <c r="B28" i="23" s="1"/>
  <c r="P26" i="21"/>
  <c r="R26" i="21"/>
  <c r="Q28" i="21"/>
  <c r="R27" i="21"/>
  <c r="N27" i="21"/>
  <c r="J27" i="21"/>
  <c r="S27" i="21"/>
  <c r="J11" i="21"/>
  <c r="J14" i="21"/>
  <c r="P14" i="21"/>
  <c r="P15" i="21"/>
  <c r="J22" i="21"/>
  <c r="P23" i="21"/>
  <c r="T27" i="21"/>
  <c r="B29" i="23" s="1"/>
  <c r="R28" i="21"/>
  <c r="R29" i="21"/>
  <c r="N29" i="21"/>
  <c r="J29" i="21"/>
  <c r="U29" i="21"/>
  <c r="P29" i="21"/>
  <c r="R9" i="21"/>
  <c r="J9" i="21"/>
  <c r="T9" i="21"/>
  <c r="B11" i="23" s="1"/>
  <c r="P10" i="21"/>
  <c r="U10" i="21"/>
  <c r="Q10" i="21"/>
  <c r="N11" i="21"/>
  <c r="R11" i="21" s="1"/>
  <c r="Q11" i="21"/>
  <c r="T14" i="21"/>
  <c r="B16" i="23" s="1"/>
  <c r="Q14" i="21"/>
  <c r="R15" i="21"/>
  <c r="N15" i="21"/>
  <c r="J15" i="21"/>
  <c r="U15" i="21"/>
  <c r="Q15" i="21"/>
  <c r="P18" i="21"/>
  <c r="U18" i="21"/>
  <c r="Q18" i="21"/>
  <c r="N19" i="21"/>
  <c r="R19" i="21" s="1"/>
  <c r="Q19" i="21"/>
  <c r="T22" i="21"/>
  <c r="B24" i="23" s="1"/>
  <c r="P22" i="21"/>
  <c r="Q22" i="21"/>
  <c r="R23" i="21"/>
  <c r="N23" i="21"/>
  <c r="J23" i="21"/>
  <c r="Q23" i="21"/>
  <c r="R25" i="21"/>
  <c r="N25" i="21"/>
  <c r="J25" i="21"/>
  <c r="U25" i="21"/>
  <c r="P25" i="21"/>
  <c r="U27" i="21"/>
  <c r="S28" i="21"/>
  <c r="O65" i="21" l="1"/>
  <c r="Q65" i="21" s="1"/>
  <c r="R65" i="21" s="1"/>
  <c r="L3" i="21"/>
  <c r="G40" i="21"/>
  <c r="J40" i="21" s="1"/>
  <c r="I47" i="21"/>
  <c r="L47" i="21" s="1"/>
  <c r="Q47" i="21" s="1"/>
  <c r="S35" i="21"/>
  <c r="T35" i="21" s="1"/>
  <c r="H64" i="23"/>
  <c r="H151" i="23" s="1"/>
  <c r="Q90" i="23"/>
  <c r="W90" i="23" s="1"/>
  <c r="AK11" i="23"/>
  <c r="Q86" i="23" s="1"/>
  <c r="L35" i="21"/>
  <c r="I35" i="21"/>
  <c r="H35" i="21"/>
  <c r="G35" i="21"/>
  <c r="J35" i="21" s="1"/>
  <c r="M36" i="21"/>
  <c r="H62" i="23"/>
  <c r="T17" i="21"/>
  <c r="B19" i="23" s="1"/>
  <c r="H5" i="23"/>
  <c r="B15" i="3"/>
  <c r="E3" i="21"/>
  <c r="G41" i="21" s="1"/>
  <c r="J41" i="21" s="1"/>
  <c r="D3" i="21"/>
  <c r="P11" i="21"/>
  <c r="U11" i="21" s="1"/>
  <c r="J10" i="21"/>
  <c r="R14" i="21"/>
  <c r="U14" i="21" s="1"/>
  <c r="J19" i="21"/>
  <c r="P9" i="21"/>
  <c r="U13" i="21"/>
  <c r="U9" i="21"/>
  <c r="J12" i="21"/>
  <c r="J16" i="21"/>
  <c r="P19" i="21"/>
  <c r="U19" i="21" s="1"/>
  <c r="J18" i="21"/>
  <c r="R17" i="21"/>
  <c r="U17" i="21" s="1"/>
  <c r="U16" i="21"/>
  <c r="R13" i="21"/>
  <c r="U12" i="21"/>
  <c r="V35" i="21" l="1"/>
  <c r="Q40" i="21"/>
  <c r="U40" i="21" s="1"/>
  <c r="T165" i="23"/>
  <c r="O179" i="23"/>
  <c r="O178" i="23" s="1"/>
  <c r="Q213" i="23"/>
  <c r="V60" i="23"/>
  <c r="I92" i="23" s="1"/>
  <c r="K3" i="21"/>
  <c r="B8" i="3"/>
  <c r="S139" i="23"/>
  <c r="AP60" i="23"/>
  <c r="O65" i="23"/>
  <c r="H121" i="23"/>
  <c r="R109" i="23"/>
  <c r="J3" i="21"/>
  <c r="F12" i="31" s="1"/>
  <c r="R3" i="21" l="1"/>
  <c r="F48" i="21" s="1"/>
  <c r="Q3" i="21"/>
  <c r="D48" i="21" s="1"/>
  <c r="P3" i="21"/>
  <c r="C48" i="21" s="1"/>
  <c r="E35" i="21"/>
  <c r="H60" i="23" s="1"/>
  <c r="N39" i="21"/>
  <c r="AA155" i="23" s="1"/>
  <c r="N37" i="21"/>
  <c r="Z125" i="23" s="1"/>
  <c r="E34" i="21"/>
  <c r="N38" i="21"/>
  <c r="W139" i="23" s="1"/>
  <c r="AC139" i="23" s="1"/>
  <c r="L141" i="23" s="1"/>
  <c r="AA141" i="23" s="1"/>
  <c r="E36" i="21"/>
  <c r="H61" i="23" s="1"/>
  <c r="E48" i="21"/>
  <c r="E38" i="21"/>
  <c r="H63" i="23" s="1"/>
  <c r="N36" i="21"/>
  <c r="V109" i="23" s="1"/>
  <c r="AB109" i="23" s="1"/>
  <c r="T179" i="23"/>
  <c r="O184" i="23" s="1"/>
  <c r="V184" i="23" s="1"/>
  <c r="F12" i="24"/>
  <c r="F12" i="11"/>
  <c r="Q87" i="23"/>
  <c r="W87" i="23" s="1"/>
  <c r="O205" i="23"/>
  <c r="AH65" i="23"/>
  <c r="AP212" i="23"/>
  <c r="C9" i="25"/>
  <c r="C8" i="25"/>
  <c r="C7" i="25"/>
  <c r="C6" i="25"/>
  <c r="G48" i="21" l="1"/>
  <c r="H59" i="23"/>
  <c r="J34" i="21"/>
  <c r="Q74" i="23" s="1"/>
  <c r="E43" i="21"/>
  <c r="H68" i="23" s="1"/>
  <c r="O36" i="21"/>
  <c r="AA61" i="23" s="1"/>
  <c r="M37" i="21"/>
  <c r="O37" i="21" s="1"/>
  <c r="AA62" i="23" s="1"/>
  <c r="O38" i="21"/>
  <c r="AA63" i="23" s="1"/>
  <c r="M39" i="21"/>
  <c r="O39" i="21" s="1"/>
  <c r="AA64" i="23" s="1"/>
  <c r="Q41" i="21"/>
  <c r="U41" i="21" s="1"/>
  <c r="O66" i="23"/>
  <c r="A48" i="13"/>
  <c r="Q35" i="21"/>
  <c r="U35" i="21" s="1"/>
  <c r="O60" i="23"/>
  <c r="L111" i="23"/>
  <c r="AA111" i="23" s="1"/>
  <c r="Q39" i="21" l="1"/>
  <c r="T39" i="21" s="1"/>
  <c r="Q38" i="21"/>
  <c r="T38" i="21" s="1"/>
  <c r="Q37" i="21"/>
  <c r="T37" i="21" s="1"/>
  <c r="M204" i="23"/>
  <c r="Q212" i="23"/>
  <c r="V205" i="23"/>
  <c r="AH66" i="23"/>
  <c r="AU212" i="23"/>
  <c r="Q36" i="21"/>
  <c r="T36" i="21" s="1"/>
  <c r="T43" i="21" s="1"/>
  <c r="S43" i="21" s="1"/>
  <c r="Q34" i="21"/>
  <c r="O59" i="23"/>
  <c r="AH60" i="23"/>
  <c r="O95" i="23" s="1"/>
  <c r="V95" i="23" s="1"/>
  <c r="Q43" i="21" l="1"/>
  <c r="V34" i="21"/>
  <c r="AH63" i="23"/>
  <c r="U38" i="21"/>
  <c r="U36" i="21"/>
  <c r="AF212" i="23"/>
  <c r="U37" i="21"/>
  <c r="AK212" i="23"/>
  <c r="U39" i="21"/>
  <c r="V212" i="23"/>
  <c r="AA204" i="23"/>
  <c r="AH64" i="23"/>
  <c r="AA212" i="23"/>
  <c r="AH204" i="23"/>
  <c r="H205" i="23"/>
  <c r="T204" i="23"/>
  <c r="AH61" i="23"/>
  <c r="AH62" i="23"/>
  <c r="L212" i="23"/>
  <c r="F204" i="23"/>
  <c r="AH59" i="23"/>
  <c r="F9" i="24"/>
  <c r="F8" i="24"/>
  <c r="F7" i="24"/>
  <c r="F6" i="24"/>
  <c r="A4" i="24"/>
  <c r="H4" i="3"/>
  <c r="E4" i="3"/>
  <c r="C4" i="3"/>
  <c r="H3" i="3"/>
  <c r="E3" i="3"/>
  <c r="C3" i="3"/>
  <c r="C55" i="21" l="1"/>
  <c r="C59" i="21"/>
  <c r="C60" i="21"/>
  <c r="C61" i="21"/>
  <c r="C53" i="21"/>
  <c r="E54" i="21" s="1"/>
  <c r="E56" i="21" s="1"/>
  <c r="C54" i="21"/>
  <c r="F54" i="21" s="1"/>
  <c r="F56" i="21" s="1"/>
  <c r="C56" i="21"/>
  <c r="C57" i="21"/>
  <c r="C58" i="21"/>
  <c r="V43" i="21"/>
  <c r="F52" i="21" s="1"/>
  <c r="U43" i="21"/>
  <c r="E52" i="21" s="1"/>
  <c r="AZ211" i="23"/>
  <c r="AP68" i="23"/>
  <c r="F206" i="23"/>
  <c r="AH68" i="23"/>
  <c r="F9" i="11"/>
  <c r="F8" i="11"/>
  <c r="F7" i="11"/>
  <c r="F6" i="11"/>
  <c r="G52" i="21" l="1"/>
  <c r="E53" i="21"/>
  <c r="G53" i="21" s="1"/>
  <c r="G56" i="21"/>
  <c r="A4" i="11"/>
  <c r="E57" i="21" l="1"/>
  <c r="E58" i="21" s="1"/>
  <c r="F40" i="11" l="1"/>
  <c r="G40" i="24"/>
  <c r="F41" i="24"/>
  <c r="G39" i="31"/>
  <c r="A41" i="24"/>
  <c r="H39" i="31"/>
  <c r="C47" i="21" l="1"/>
  <c r="G47" i="21" s="1"/>
  <c r="I226" i="23"/>
  <c r="H40" i="24"/>
  <c r="G40" i="11"/>
  <c r="B14" i="3"/>
  <c r="C14" i="3" s="1"/>
  <c r="D14" i="3" s="1"/>
  <c r="E14" i="3" s="1"/>
  <c r="F14" i="3" s="1"/>
  <c r="G14" i="3" s="1"/>
  <c r="H47" i="21" l="1"/>
  <c r="I73" i="23"/>
  <c r="I85" i="23"/>
  <c r="J47" i="21" l="1"/>
  <c r="O47" i="21" s="1"/>
  <c r="R47" i="21"/>
  <c r="H133" i="23"/>
  <c r="S155" i="23"/>
  <c r="AG155" i="23" s="1"/>
  <c r="L157" i="23" s="1"/>
  <c r="Y157" i="23" s="1"/>
  <c r="R125" i="23"/>
  <c r="AF125" i="23" s="1"/>
  <c r="L127" i="23" s="1"/>
  <c r="Y127" i="23" s="1"/>
  <c r="H100" i="23"/>
  <c r="K47" i="21" l="1"/>
  <c r="M47" i="21" s="1"/>
  <c r="Y14" i="21" s="1"/>
  <c r="S3" i="21"/>
  <c r="C43" i="13" s="1"/>
  <c r="F208" i="23"/>
  <c r="Y9" i="21" l="1"/>
  <c r="Z19" i="21"/>
  <c r="Y23" i="21"/>
  <c r="Z28" i="21"/>
  <c r="Z20" i="21"/>
  <c r="Z12" i="21"/>
  <c r="Z17" i="21"/>
  <c r="Y21" i="21"/>
  <c r="Y26" i="21"/>
  <c r="Y18" i="21"/>
  <c r="L26" i="31" s="1"/>
  <c r="Y10" i="21"/>
  <c r="P47" i="21"/>
  <c r="AC27" i="21" s="1"/>
  <c r="K35" i="31" s="1"/>
  <c r="Y27" i="21"/>
  <c r="Y13" i="21"/>
  <c r="Z22" i="21"/>
  <c r="Z14" i="21"/>
  <c r="AD14" i="21" s="1"/>
  <c r="H22" i="31" s="1"/>
  <c r="Z23" i="21"/>
  <c r="Y25" i="21"/>
  <c r="Y28" i="21"/>
  <c r="Y20" i="21"/>
  <c r="Y12" i="21"/>
  <c r="Z29" i="21"/>
  <c r="Z15" i="21"/>
  <c r="Y19" i="21"/>
  <c r="Z26" i="21"/>
  <c r="Z18" i="21"/>
  <c r="Z10" i="21"/>
  <c r="Z13" i="21"/>
  <c r="Y17" i="21"/>
  <c r="Y24" i="21"/>
  <c r="Y16" i="21"/>
  <c r="Z9" i="21"/>
  <c r="AD9" i="21" s="1"/>
  <c r="H17" i="31" s="1"/>
  <c r="Z21" i="21"/>
  <c r="N47" i="21"/>
  <c r="Z25" i="21"/>
  <c r="Z11" i="21"/>
  <c r="AD11" i="21" s="1"/>
  <c r="H19" i="31" s="1"/>
  <c r="Y15" i="21"/>
  <c r="Z24" i="21"/>
  <c r="Z16" i="21"/>
  <c r="Z27" i="21"/>
  <c r="AD27" i="21" s="1"/>
  <c r="H35" i="31" s="1"/>
  <c r="Y29" i="21"/>
  <c r="Y11" i="21"/>
  <c r="Y22" i="21"/>
  <c r="L30" i="31" s="1"/>
  <c r="L22" i="31"/>
  <c r="L32" i="31"/>
  <c r="M226" i="23"/>
  <c r="R226" i="23" s="1"/>
  <c r="L211" i="23"/>
  <c r="AA18" i="21" l="1"/>
  <c r="F26" i="31" s="1"/>
  <c r="AA16" i="21"/>
  <c r="F24" i="31" s="1"/>
  <c r="AC18" i="21"/>
  <c r="K26" i="31" s="1"/>
  <c r="L37" i="31"/>
  <c r="L20" i="31"/>
  <c r="L21" i="31"/>
  <c r="L27" i="31"/>
  <c r="AA17" i="21"/>
  <c r="F25" i="31" s="1"/>
  <c r="L33" i="31"/>
  <c r="AD12" i="21"/>
  <c r="H20" i="31" s="1"/>
  <c r="AC19" i="21"/>
  <c r="K27" i="31" s="1"/>
  <c r="AB17" i="21"/>
  <c r="J25" i="31" s="1"/>
  <c r="AB25" i="21"/>
  <c r="J33" i="31" s="1"/>
  <c r="AC22" i="21"/>
  <c r="G30" i="24" s="1"/>
  <c r="AB22" i="21"/>
  <c r="J30" i="31" s="1"/>
  <c r="AA23" i="21"/>
  <c r="F31" i="31" s="1"/>
  <c r="AB19" i="21"/>
  <c r="J27" i="31" s="1"/>
  <c r="AB16" i="21"/>
  <c r="J24" i="31" s="1"/>
  <c r="AC21" i="21"/>
  <c r="G29" i="24" s="1"/>
  <c r="AC9" i="21"/>
  <c r="K17" i="31" s="1"/>
  <c r="L19" i="31"/>
  <c r="L31" i="31"/>
  <c r="H26" i="30"/>
  <c r="AD20" i="21"/>
  <c r="H28" i="31" s="1"/>
  <c r="AD26" i="21"/>
  <c r="H34" i="31" s="1"/>
  <c r="L29" i="31"/>
  <c r="AD10" i="21"/>
  <c r="H18" i="31" s="1"/>
  <c r="L25" i="31"/>
  <c r="AC17" i="21"/>
  <c r="G25" i="11" s="1"/>
  <c r="AD28" i="21"/>
  <c r="H36" i="31" s="1"/>
  <c r="L18" i="31"/>
  <c r="L17" i="31"/>
  <c r="AD13" i="21"/>
  <c r="H21" i="31" s="1"/>
  <c r="AD23" i="21"/>
  <c r="H31" i="31" s="1"/>
  <c r="AD19" i="21"/>
  <c r="H27" i="31" s="1"/>
  <c r="AD29" i="21"/>
  <c r="H37" i="31" s="1"/>
  <c r="AB12" i="21"/>
  <c r="J20" i="31" s="1"/>
  <c r="AD16" i="21"/>
  <c r="H24" i="31" s="1"/>
  <c r="AD25" i="21"/>
  <c r="H33" i="31" s="1"/>
  <c r="AD18" i="21"/>
  <c r="H26" i="31" s="1"/>
  <c r="AC10" i="21"/>
  <c r="G18" i="24" s="1"/>
  <c r="AD17" i="21"/>
  <c r="H25" i="31" s="1"/>
  <c r="AA10" i="21"/>
  <c r="F18" i="31" s="1"/>
  <c r="AB28" i="21"/>
  <c r="J36" i="31" s="1"/>
  <c r="AA27" i="21"/>
  <c r="F35" i="31" s="1"/>
  <c r="AA22" i="21"/>
  <c r="F30" i="31" s="1"/>
  <c r="AC15" i="21"/>
  <c r="K23" i="31" s="1"/>
  <c r="AC25" i="21"/>
  <c r="K33" i="31" s="1"/>
  <c r="AA19" i="21"/>
  <c r="F27" i="31" s="1"/>
  <c r="AC28" i="21"/>
  <c r="K36" i="31" s="1"/>
  <c r="AB13" i="21"/>
  <c r="J21" i="31" s="1"/>
  <c r="AA26" i="21"/>
  <c r="F34" i="31" s="1"/>
  <c r="AD15" i="21"/>
  <c r="H23" i="31" s="1"/>
  <c r="L36" i="31"/>
  <c r="AD22" i="21"/>
  <c r="H30" i="31" s="1"/>
  <c r="AA15" i="21"/>
  <c r="F23" i="31" s="1"/>
  <c r="AC13" i="21"/>
  <c r="K21" i="31" s="1"/>
  <c r="AB21" i="21"/>
  <c r="J29" i="31" s="1"/>
  <c r="AC29" i="21"/>
  <c r="K37" i="31" s="1"/>
  <c r="AA11" i="21"/>
  <c r="F19" i="31" s="1"/>
  <c r="AC11" i="21"/>
  <c r="K19" i="31" s="1"/>
  <c r="AB18" i="21"/>
  <c r="J26" i="31" s="1"/>
  <c r="AB24" i="21"/>
  <c r="J32" i="31" s="1"/>
  <c r="AC16" i="21"/>
  <c r="G24" i="11" s="1"/>
  <c r="AA21" i="21"/>
  <c r="F29" i="31" s="1"/>
  <c r="AC20" i="21"/>
  <c r="G28" i="24" s="1"/>
  <c r="AB11" i="21"/>
  <c r="J19" i="31" s="1"/>
  <c r="AB9" i="21"/>
  <c r="J17" i="31" s="1"/>
  <c r="AC26" i="21"/>
  <c r="K34" i="31" s="1"/>
  <c r="AA25" i="21"/>
  <c r="F33" i="31" s="1"/>
  <c r="AA9" i="21"/>
  <c r="E9" i="30" s="1"/>
  <c r="AB15" i="21"/>
  <c r="J23" i="31" s="1"/>
  <c r="S47" i="21"/>
  <c r="AF28" i="21" s="1"/>
  <c r="Q36" i="31" s="1"/>
  <c r="AB14" i="21"/>
  <c r="J22" i="31" s="1"/>
  <c r="AD24" i="21"/>
  <c r="H32" i="31" s="1"/>
  <c r="AA20" i="21"/>
  <c r="F28" i="31" s="1"/>
  <c r="L24" i="31"/>
  <c r="AB27" i="21"/>
  <c r="J35" i="31" s="1"/>
  <c r="AB10" i="21"/>
  <c r="J18" i="31" s="1"/>
  <c r="AA29" i="21"/>
  <c r="F37" i="31" s="1"/>
  <c r="AB23" i="21"/>
  <c r="J31" i="31" s="1"/>
  <c r="AB29" i="21"/>
  <c r="J37" i="31" s="1"/>
  <c r="AA24" i="21"/>
  <c r="F32" i="31" s="1"/>
  <c r="AA12" i="21"/>
  <c r="F20" i="31" s="1"/>
  <c r="AC23" i="21"/>
  <c r="G31" i="11" s="1"/>
  <c r="AA13" i="21"/>
  <c r="F21" i="31" s="1"/>
  <c r="AB26" i="21"/>
  <c r="J34" i="31" s="1"/>
  <c r="AA28" i="21"/>
  <c r="F36" i="24" s="1"/>
  <c r="AC14" i="21"/>
  <c r="K22" i="31" s="1"/>
  <c r="AC12" i="21"/>
  <c r="K20" i="31" s="1"/>
  <c r="AA14" i="21"/>
  <c r="F22" i="31" s="1"/>
  <c r="AB20" i="21"/>
  <c r="J28" i="31" s="1"/>
  <c r="AC24" i="21"/>
  <c r="G32" i="24" s="1"/>
  <c r="AD21" i="21"/>
  <c r="H29" i="31" s="1"/>
  <c r="H27" i="30"/>
  <c r="L28" i="31"/>
  <c r="AF29" i="21"/>
  <c r="Q37" i="31" s="1"/>
  <c r="H14" i="30"/>
  <c r="H29" i="30"/>
  <c r="H25" i="30"/>
  <c r="H18" i="30"/>
  <c r="H21" i="30"/>
  <c r="L34" i="31"/>
  <c r="H22" i="30"/>
  <c r="G14" i="30"/>
  <c r="H19" i="30"/>
  <c r="E18" i="30"/>
  <c r="F26" i="11"/>
  <c r="H16" i="30"/>
  <c r="G9" i="30"/>
  <c r="F26" i="24"/>
  <c r="H23" i="30"/>
  <c r="H24" i="30"/>
  <c r="G11" i="30"/>
  <c r="F29" i="24"/>
  <c r="H13" i="30"/>
  <c r="G35" i="11"/>
  <c r="F35" i="11"/>
  <c r="G27" i="30"/>
  <c r="G35" i="24"/>
  <c r="L23" i="31"/>
  <c r="H15" i="30"/>
  <c r="X74" i="23"/>
  <c r="O79" i="23" s="1"/>
  <c r="V79" i="23" s="1"/>
  <c r="G30" i="11" l="1"/>
  <c r="F30" i="11"/>
  <c r="F14" i="30"/>
  <c r="F24" i="24"/>
  <c r="G28" i="11"/>
  <c r="F15" i="30"/>
  <c r="K30" i="31"/>
  <c r="E16" i="30"/>
  <c r="F24" i="11"/>
  <c r="G28" i="30"/>
  <c r="F16" i="30"/>
  <c r="F21" i="30"/>
  <c r="F29" i="30"/>
  <c r="G23" i="30"/>
  <c r="K28" i="31"/>
  <c r="E25" i="30"/>
  <c r="F30" i="24"/>
  <c r="F18" i="30"/>
  <c r="G12" i="30"/>
  <c r="G16" i="30"/>
  <c r="E13" i="30"/>
  <c r="F27" i="30"/>
  <c r="F28" i="30"/>
  <c r="F28" i="24"/>
  <c r="E17" i="30"/>
  <c r="F31" i="11"/>
  <c r="E29" i="30"/>
  <c r="F25" i="24"/>
  <c r="G29" i="11"/>
  <c r="K24" i="31"/>
  <c r="G20" i="30"/>
  <c r="G26" i="24"/>
  <c r="G26" i="11"/>
  <c r="G25" i="24"/>
  <c r="T47" i="21"/>
  <c r="F39" i="24" s="1"/>
  <c r="K31" i="31"/>
  <c r="K32" i="31"/>
  <c r="AF14" i="21"/>
  <c r="Q22" i="31" s="1"/>
  <c r="G32" i="11"/>
  <c r="F27" i="24"/>
  <c r="E28" i="30"/>
  <c r="AF23" i="21"/>
  <c r="Q31" i="31" s="1"/>
  <c r="F24" i="30"/>
  <c r="F18" i="11"/>
  <c r="F22" i="30"/>
  <c r="G10" i="30"/>
  <c r="G25" i="30"/>
  <c r="G20" i="11"/>
  <c r="G27" i="24"/>
  <c r="G27" i="11"/>
  <c r="F17" i="24"/>
  <c r="E27" i="30"/>
  <c r="F35" i="24"/>
  <c r="G19" i="11"/>
  <c r="G21" i="24"/>
  <c r="F25" i="30"/>
  <c r="G21" i="11"/>
  <c r="E21" i="30"/>
  <c r="K18" i="31"/>
  <c r="F23" i="30"/>
  <c r="G18" i="11"/>
  <c r="G26" i="30"/>
  <c r="AF13" i="21"/>
  <c r="Q21" i="31" s="1"/>
  <c r="AF22" i="21"/>
  <c r="Q30" i="31" s="1"/>
  <c r="F17" i="30"/>
  <c r="F19" i="30"/>
  <c r="F29" i="11"/>
  <c r="E19" i="30"/>
  <c r="E23" i="30"/>
  <c r="G13" i="30"/>
  <c r="G15" i="30"/>
  <c r="G22" i="24"/>
  <c r="G33" i="24"/>
  <c r="G17" i="24"/>
  <c r="H11" i="30"/>
  <c r="K25" i="31"/>
  <c r="H20" i="30"/>
  <c r="AF17" i="21"/>
  <c r="Q25" i="31" s="1"/>
  <c r="AF26" i="21"/>
  <c r="Q34" i="31" s="1"/>
  <c r="AF20" i="21"/>
  <c r="Q28" i="31" s="1"/>
  <c r="F37" i="24"/>
  <c r="F27" i="11"/>
  <c r="G19" i="24"/>
  <c r="G34" i="24"/>
  <c r="F10" i="30"/>
  <c r="F31" i="24"/>
  <c r="H10" i="30"/>
  <c r="G17" i="11"/>
  <c r="K29" i="31"/>
  <c r="F25" i="11"/>
  <c r="F12" i="30"/>
  <c r="E11" i="30"/>
  <c r="H12" i="30"/>
  <c r="AF25" i="21"/>
  <c r="Q33" i="31" s="1"/>
  <c r="AF19" i="21"/>
  <c r="Q27" i="31" s="1"/>
  <c r="AF24" i="21"/>
  <c r="Q32" i="31" s="1"/>
  <c r="G34" i="11"/>
  <c r="AF27" i="21"/>
  <c r="Q35" i="31" s="1"/>
  <c r="G22" i="11"/>
  <c r="AF9" i="21"/>
  <c r="Q17" i="31" s="1"/>
  <c r="AF10" i="21"/>
  <c r="Q18" i="31" s="1"/>
  <c r="AF11" i="21"/>
  <c r="Q19" i="31" s="1"/>
  <c r="AF16" i="21"/>
  <c r="Q24" i="31" s="1"/>
  <c r="G31" i="24"/>
  <c r="E12" i="30"/>
  <c r="F20" i="24"/>
  <c r="F20" i="11"/>
  <c r="F36" i="11"/>
  <c r="E20" i="30"/>
  <c r="F28" i="11"/>
  <c r="F19" i="24"/>
  <c r="F23" i="24"/>
  <c r="F19" i="11"/>
  <c r="F20" i="30"/>
  <c r="F34" i="24"/>
  <c r="F9" i="30"/>
  <c r="F36" i="31"/>
  <c r="G29" i="30"/>
  <c r="E26" i="30"/>
  <c r="H17" i="30"/>
  <c r="H9" i="30"/>
  <c r="G24" i="24"/>
  <c r="F37" i="11"/>
  <c r="E15" i="30"/>
  <c r="G18" i="30"/>
  <c r="F23" i="11"/>
  <c r="G33" i="11"/>
  <c r="F21" i="24"/>
  <c r="L35" i="31"/>
  <c r="F34" i="11"/>
  <c r="AF21" i="21"/>
  <c r="Q29" i="31" s="1"/>
  <c r="AF18" i="21"/>
  <c r="Q26" i="31" s="1"/>
  <c r="AF15" i="21"/>
  <c r="Q23" i="31" s="1"/>
  <c r="AF12" i="21"/>
  <c r="Q20" i="31" s="1"/>
  <c r="F32" i="11"/>
  <c r="E10" i="30"/>
  <c r="F13" i="30"/>
  <c r="F17" i="31"/>
  <c r="G19" i="30"/>
  <c r="G22" i="30"/>
  <c r="F18" i="24"/>
  <c r="G24" i="30"/>
  <c r="F11" i="30"/>
  <c r="G36" i="11"/>
  <c r="F21" i="11"/>
  <c r="F22" i="24"/>
  <c r="AE8" i="21"/>
  <c r="F32" i="24"/>
  <c r="F26" i="30"/>
  <c r="E14" i="30"/>
  <c r="F39" i="11"/>
  <c r="E24" i="30"/>
  <c r="G37" i="11"/>
  <c r="G37" i="24"/>
  <c r="F33" i="11"/>
  <c r="G23" i="24"/>
  <c r="F33" i="24"/>
  <c r="E22" i="30"/>
  <c r="G17" i="30"/>
  <c r="G23" i="11"/>
  <c r="G36" i="24"/>
  <c r="F17" i="11"/>
  <c r="F22" i="11"/>
  <c r="H28" i="30"/>
  <c r="G20" i="24"/>
  <c r="G21" i="30"/>
  <c r="P164" i="23"/>
  <c r="Y165" i="23"/>
  <c r="O170" i="23" s="1"/>
  <c r="V170" i="23" s="1"/>
  <c r="T3" i="21" l="1"/>
  <c r="A50" i="13" s="1"/>
</calcChain>
</file>

<file path=xl/sharedStrings.xml><?xml version="1.0" encoding="utf-8"?>
<sst xmlns="http://schemas.openxmlformats.org/spreadsheetml/2006/main" count="860" uniqueCount="605">
  <si>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</si>
  <si>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</si>
  <si>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</si>
  <si>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</si>
  <si>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</si>
  <si>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</si>
  <si>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</si>
  <si>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</si>
  <si>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</si>
  <si>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</si>
  <si>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</si>
  <si>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</si>
  <si>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</si>
  <si>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</si>
  <si>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</si>
  <si>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</si>
  <si>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</si>
  <si>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</si>
  <si>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</si>
  <si>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</si>
  <si>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</si>
  <si>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</si>
  <si>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</si>
  <si>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</si>
  <si>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</si>
  <si>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</si>
  <si>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</si>
  <si>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</si>
  <si>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</si>
  <si>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</si>
  <si>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</si>
  <si>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</si>
  <si>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</si>
  <si>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</si>
  <si>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</si>
  <si>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</si>
  <si>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</si>
  <si>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</si>
  <si>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</si>
  <si>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</si>
  <si>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</si>
  <si>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</si>
  <si>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</si>
  <si>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</si>
  <si>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</si>
  <si>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</si>
  <si>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</si>
  <si>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</si>
  <si>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</si>
  <si>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</si>
  <si>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</si>
  <si>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</si>
  <si>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</si>
  <si>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</si>
  <si>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</si>
  <si>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</si>
  <si>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</si>
  <si>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</si>
  <si>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</si>
  <si>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</si>
  <si>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</si>
  <si>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</si>
  <si>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</si>
  <si>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</si>
  <si>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</si>
  <si>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</si>
  <si>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</si>
  <si>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</si>
  <si>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</si>
  <si>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</si>
  <si>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</si>
  <si>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</si>
  <si>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</si>
  <si>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</si>
  <si>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</si>
  <si>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</si>
  <si>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</si>
  <si>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</si>
  <si>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</si>
  <si>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</si>
  <si>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</si>
  <si>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</si>
  <si>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</si>
  <si>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</si>
  <si>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</si>
  <si>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</si>
  <si>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</si>
  <si>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U</t>
    <phoneticPr fontId="4" type="noConversion"/>
  </si>
  <si>
    <t>k</t>
    <phoneticPr fontId="4" type="noConversion"/>
  </si>
  <si>
    <t>B2. 표준불확도 :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</si>
  <si>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</si>
  <si>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</si>
  <si>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</si>
  <si>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</si>
  <si>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</si>
  <si>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직사각형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</si>
  <si>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</si>
  <si>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</si>
  <si>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</si>
  <si>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</si>
  <si>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</si>
  <si>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</si>
  <si>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</si>
  <si>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</si>
  <si>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</si>
  <si>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</si>
  <si>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</si>
  <si>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</si>
  <si>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</si>
  <si>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</si>
  <si>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</si>
  <si>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</si>
  <si>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</si>
  <si>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</si>
  <si>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</si>
  <si>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</si>
  <si>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</si>
  <si>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</si>
  <si>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</si>
  <si>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</si>
  <si>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</si>
  <si>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</si>
  <si>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</si>
  <si>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</si>
  <si>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</si>
  <si>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</si>
  <si>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</si>
  <si>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</si>
  <si>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</si>
  <si>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</si>
  <si>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</si>
  <si>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</si>
  <si>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</si>
  <si>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</si>
  <si>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</si>
  <si>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k</t>
    <phoneticPr fontId="4" type="noConversion"/>
  </si>
  <si>
    <t>α_avr</t>
  </si>
  <si>
    <t>열팽창계수차</t>
    <phoneticPr fontId="4" type="noConversion"/>
  </si>
  <si>
    <t>Δα</t>
  </si>
  <si>
    <t>Δt</t>
  </si>
  <si>
    <t>t_avr-20</t>
  </si>
  <si>
    <t>δt</t>
  </si>
  <si>
    <t>최소범위</t>
    <phoneticPr fontId="4" type="noConversion"/>
  </si>
  <si>
    <t>Res. (mm)</t>
    <phoneticPr fontId="4" type="noConversion"/>
  </si>
  <si>
    <t>μm</t>
    <phoneticPr fontId="4" type="noConversion"/>
  </si>
  <si>
    <t>평균열팽창계수</t>
    <phoneticPr fontId="4" type="noConversion"/>
  </si>
  <si>
    <t>/℃</t>
    <phoneticPr fontId="4" type="noConversion"/>
  </si>
  <si>
    <t>℃·μm</t>
    <phoneticPr fontId="4" type="noConversion"/>
  </si>
  <si>
    <t>CMC단위</t>
    <phoneticPr fontId="4" type="noConversion"/>
  </si>
  <si>
    <t>2. 교정결과</t>
    <phoneticPr fontId="4" type="noConversion"/>
  </si>
  <si>
    <t>온도차</t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</si>
  <si>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</si>
  <si>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</si>
  <si>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</si>
  <si>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최대범위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</si>
  <si>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</si>
  <si>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</si>
  <si>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</si>
  <si>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</si>
  <si>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</si>
  <si>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</si>
  <si>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</si>
  <si>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</si>
  <si>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Spec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</si>
  <si>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</si>
  <si>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</si>
  <si>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</si>
  <si>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</si>
  <si>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</si>
  <si>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</si>
  <si>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</si>
  <si>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</si>
  <si>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</si>
  <si>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</si>
  <si>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</si>
  <si>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</si>
  <si>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</si>
  <si>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</si>
  <si>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</si>
  <si>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</si>
  <si>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</si>
  <si>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μm</t>
    <phoneticPr fontId="4" type="noConversion"/>
  </si>
  <si>
    <t>μm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</si>
  <si>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</si>
  <si>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</si>
  <si>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</si>
  <si>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</si>
  <si>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</si>
  <si>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℃·μm</t>
    <phoneticPr fontId="4" type="noConversion"/>
  </si>
  <si>
    <t>∞</t>
    <phoneticPr fontId="4" type="noConversion"/>
  </si>
  <si>
    <t>E</t>
    <phoneticPr fontId="4" type="noConversion"/>
  </si>
  <si>
    <t>직사각형</t>
    <phoneticPr fontId="4" type="noConversion"/>
  </si>
  <si>
    <t>/℃·μm</t>
    <phoneticPr fontId="4" type="noConversion"/>
  </si>
  <si>
    <t>G</t>
    <phoneticPr fontId="4" type="noConversion"/>
  </si>
  <si>
    <t>분해능</t>
    <phoneticPr fontId="4" type="noConversion"/>
  </si>
  <si>
    <t>직사각형</t>
    <phoneticPr fontId="4" type="noConversion"/>
  </si>
  <si>
    <t>H</t>
    <phoneticPr fontId="4" type="noConversion"/>
  </si>
  <si>
    <t>mm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</si>
  <si>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</si>
  <si>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</si>
  <si>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</si>
  <si>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k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</si>
  <si>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</si>
  <si>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</si>
  <si>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</si>
  <si>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Number Format</t>
    <phoneticPr fontId="4" type="noConversion"/>
  </si>
  <si>
    <t>신뢰수준(%)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</si>
  <si>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</si>
  <si>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</si>
  <si>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</si>
  <si>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mm</t>
    <phoneticPr fontId="4" type="noConversion"/>
  </si>
  <si>
    <t>mm</t>
    <phoneticPr fontId="4" type="noConversion"/>
  </si>
  <si>
    <t>CMC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</si>
  <si>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</si>
  <si>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</si>
  <si>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</si>
  <si>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</si>
  <si>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0.000</t>
    <phoneticPr fontId="4" type="noConversion"/>
  </si>
  <si>
    <t>0.000 000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</si>
  <si>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</si>
  <si>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</si>
  <si>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</si>
  <si>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</si>
  <si>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</si>
  <si>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눈금값</t>
    <phoneticPr fontId="4" type="noConversion"/>
  </si>
  <si>
    <t>보정값</t>
    <phoneticPr fontId="4" type="noConversion"/>
  </si>
  <si>
    <t>(mm)</t>
    <phoneticPr fontId="4" type="noConversion"/>
  </si>
  <si>
    <t>Nominal</t>
    <phoneticPr fontId="4" type="noConversion"/>
  </si>
  <si>
    <t>Correction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</si>
  <si>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</si>
  <si>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</si>
  <si>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</si>
  <si>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단위</t>
    <phoneticPr fontId="4" type="noConversion"/>
  </si>
  <si>
    <t>■ 반복 측정 결과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</si>
  <si>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</si>
  <si>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</si>
  <si>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</si>
  <si>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</si>
  <si>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</si>
  <si>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</si>
  <si>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</si>
  <si>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</si>
  <si>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</si>
  <si>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</si>
  <si>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</si>
  <si>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</si>
  <si>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기준기의 교정값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</si>
  <si>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</si>
  <si>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기준기의 명목값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</si>
  <si>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</si>
  <si>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</si>
  <si>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</si>
  <si>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</si>
  <si>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</si>
  <si>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</si>
  <si>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</si>
  <si>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</si>
  <si>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</si>
  <si>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</si>
  <si>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</si>
  <si>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</si>
  <si>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</si>
  <si>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</si>
  <si>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</si>
  <si>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C</t>
    <phoneticPr fontId="4" type="noConversion"/>
  </si>
  <si>
    <t>Δα</t>
    <phoneticPr fontId="4" type="noConversion"/>
  </si>
  <si>
    <t>Δt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</si>
  <si>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</si>
  <si>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</si>
  <si>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</si>
  <si>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</si>
  <si>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</si>
  <si>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</si>
  <si>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</si>
  <si>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</si>
  <si>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</si>
  <si>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s</t>
    <phoneticPr fontId="4" type="noConversion"/>
  </si>
  <si>
    <t>=</t>
    <phoneticPr fontId="4" type="noConversion"/>
  </si>
  <si>
    <t>=</t>
    <phoneticPr fontId="4" type="noConversion"/>
  </si>
  <si>
    <t>A4. 감도계수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</si>
  <si>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</si>
  <si>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</si>
  <si>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※ 교정성적서에 주어진 기준기의 측정불확도를 포함인자로 나누어 구한다.</t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</si>
  <si>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</si>
  <si>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</si>
  <si>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</si>
  <si>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</si>
  <si>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</si>
  <si>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</si>
  <si>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</si>
  <si>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</si>
  <si>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</si>
  <si>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</si>
  <si>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</si>
  <si>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</si>
  <si>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μm</t>
    <phoneticPr fontId="4" type="noConversion"/>
  </si>
  <si>
    <t>μm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</si>
  <si>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</si>
  <si>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</si>
  <si>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</si>
  <si>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</si>
  <si>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</si>
  <si>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μm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</si>
  <si>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</si>
  <si>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</si>
  <si>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</si>
  <si>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</si>
  <si>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℃×</t>
    <phoneticPr fontId="4" type="noConversion"/>
  </si>
  <si>
    <t>=</t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</si>
  <si>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</si>
  <si>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</si>
  <si>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</si>
  <si>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</si>
  <si>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</si>
  <si>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</si>
  <si>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×</t>
    <phoneticPr fontId="4" type="noConversion"/>
  </si>
  <si>
    <t>=</t>
    <phoneticPr fontId="4" type="noConversion"/>
  </si>
  <si>
    <t>E5. 불확도 기여량 :</t>
    <phoneticPr fontId="4" type="noConversion"/>
  </si>
  <si>
    <t>｜</t>
    <phoneticPr fontId="4" type="noConversion"/>
  </si>
  <si>
    <t>×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</si>
  <si>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</si>
  <si>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</si>
  <si>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</si>
  <si>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</si>
  <si>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</si>
  <si>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｜</t>
    <phoneticPr fontId="4" type="noConversion"/>
  </si>
  <si>
    <t>/℃·μm</t>
    <phoneticPr fontId="4" type="noConversion"/>
  </si>
  <si>
    <t>×</t>
    <phoneticPr fontId="4" type="noConversion"/>
  </si>
  <si>
    <t>μm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</si>
  <si>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</si>
  <si>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</si>
  <si>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</si>
  <si>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</si>
  <si>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</si>
  <si>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</si>
  <si>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</si>
  <si>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1 ×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</si>
  <si>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</si>
  <si>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</si>
  <si>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</si>
  <si>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</si>
  <si>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</si>
  <si>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</si>
  <si>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</si>
  <si>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</si>
  <si>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</si>
  <si>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</si>
  <si>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</si>
  <si>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</si>
  <si>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</si>
  <si>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</si>
  <si>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</si>
  <si>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</si>
  <si>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</si>
  <si>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</si>
  <si>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</si>
  <si>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</si>
  <si>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</si>
  <si>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t>다이얼게이지 S/N</t>
    <phoneticPr fontId="4" type="noConversion"/>
  </si>
  <si>
    <t>다이얼게이지 S/N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</si>
  <si>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</si>
  <si>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B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</si>
  <si>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기준기의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</si>
  <si>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</si>
  <si>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A3. 확률분포 :</t>
    <phoneticPr fontId="4" type="noConversion"/>
  </si>
  <si>
    <t>※ 여현오차 :</t>
    <phoneticPr fontId="4" type="noConversion"/>
  </si>
  <si>
    <t>여현오차</t>
    <phoneticPr fontId="4" type="noConversion"/>
  </si>
  <si>
    <t>기준기명</t>
    <phoneticPr fontId="4" type="noConversion"/>
  </si>
  <si>
    <t>명목값</t>
    <phoneticPr fontId="4" type="noConversion"/>
  </si>
  <si>
    <t>단위</t>
    <phoneticPr fontId="4" type="noConversion"/>
  </si>
  <si>
    <t>교정값</t>
    <phoneticPr fontId="4" type="noConversion"/>
  </si>
  <si>
    <t>사용블록 #1</t>
    <phoneticPr fontId="4" type="noConversion"/>
  </si>
  <si>
    <t>사용블록 #2</t>
  </si>
  <si>
    <t>사용블록 #3</t>
  </si>
  <si>
    <t>사용블록 #4</t>
  </si>
  <si>
    <t>사용블록 #5</t>
  </si>
  <si>
    <t>블록교정값 #1</t>
    <phoneticPr fontId="4" type="noConversion"/>
  </si>
  <si>
    <t>블록교정값 #2</t>
  </si>
  <si>
    <t>블록교정값 #3</t>
  </si>
  <si>
    <t>블록교정값 #4</t>
  </si>
  <si>
    <t>블록교정값 #5</t>
  </si>
  <si>
    <t>열팽창계수</t>
    <phoneticPr fontId="4" type="noConversion"/>
  </si>
  <si>
    <t>확장불확도 1</t>
    <phoneticPr fontId="4" type="noConversion"/>
  </si>
  <si>
    <t>확장불확도 2</t>
  </si>
  <si>
    <t>불확도 단위</t>
    <phoneticPr fontId="4" type="noConversion"/>
  </si>
  <si>
    <t>보어 게이지의 지시값</t>
    <phoneticPr fontId="4" type="noConversion"/>
  </si>
  <si>
    <t>보어 게이지 지시값</t>
    <phoneticPr fontId="4" type="noConversion"/>
  </si>
  <si>
    <t>표준온도에서 보어 게이지의 보정값</t>
    <phoneticPr fontId="4" type="noConversion"/>
  </si>
  <si>
    <t>보어 게이지와 기준기의 평균열팽창계수</t>
    <phoneticPr fontId="4" type="noConversion"/>
  </si>
  <si>
    <t>보어 게이지와 기준기의 온도차이</t>
    <phoneticPr fontId="4" type="noConversion"/>
  </si>
  <si>
    <t>보어 게이지와 기준기의 열팽창계수 차이</t>
    <phoneticPr fontId="4" type="noConversion"/>
  </si>
  <si>
    <t>보어 게이지와 기준기의 평균 온도값과 기준온도와의 차</t>
    <phoneticPr fontId="4" type="noConversion"/>
  </si>
  <si>
    <t>보어 게이지의 분해능 한계에 대한 보정값 (기대값=0)</t>
    <phoneticPr fontId="4" type="noConversion"/>
  </si>
  <si>
    <t>보어 게이지 설치시 여현오차에 의한 보정값 (기대값=0)</t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</si>
  <si>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보어 게이지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</si>
  <si>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보어 게이지와 기준기의 평균 열팽창계수 :</t>
    <phoneticPr fontId="4" type="noConversion"/>
  </si>
  <si>
    <r>
      <t xml:space="preserve">※ 보어 게이지와 게이지 블록의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</si>
  <si>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</si>
  <si>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</si>
  <si>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</si>
  <si>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</si>
  <si>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</si>
  <si>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</si>
  <si>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</si>
  <si>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교정점(최대)</t>
    <phoneticPr fontId="4" type="noConversion"/>
  </si>
  <si>
    <t>교정점(추가)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</si>
  <si>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</si>
  <si>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</si>
  <si>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</si>
  <si>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측정점 기준</t>
    <phoneticPr fontId="4" type="noConversion"/>
  </si>
  <si>
    <t>추가 측정점마다 10 % 추가</t>
    <phoneticPr fontId="4" type="noConversion"/>
  </si>
  <si>
    <t>※ 인치의 경우 기본수수료에서 80% 추가함.</t>
    <phoneticPr fontId="4" type="noConversion"/>
  </si>
  <si>
    <t>잔여 기여량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</si>
  <si>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</si>
  <si>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</si>
  <si>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명목값</t>
    <phoneticPr fontId="4" type="noConversion"/>
  </si>
  <si>
    <t>명목값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</si>
  <si>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</si>
  <si>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</si>
  <si>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</si>
  <si>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</si>
  <si>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</si>
  <si>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</si>
  <si>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</si>
  <si>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</si>
  <si>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</si>
  <si>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I</t>
    <phoneticPr fontId="4" type="noConversion"/>
  </si>
  <si>
    <t>J</t>
    <phoneticPr fontId="4" type="noConversion"/>
  </si>
  <si>
    <t>부속평면도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</si>
  <si>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F</t>
    </r>
    <phoneticPr fontId="4" type="noConversion"/>
  </si>
  <si>
    <t>번호</t>
  </si>
  <si>
    <t>등록번호</t>
  </si>
  <si>
    <t>기기명(종류)</t>
  </si>
  <si>
    <t>측정범위</t>
    <phoneticPr fontId="4" type="noConversion"/>
  </si>
  <si>
    <t>채널</t>
    <phoneticPr fontId="4" type="noConversion"/>
  </si>
  <si>
    <t>측정방향</t>
    <phoneticPr fontId="4" type="noConversion"/>
  </si>
  <si>
    <t>명목값</t>
  </si>
  <si>
    <t>기준값</t>
  </si>
  <si>
    <t>측정값</t>
  </si>
  <si>
    <t>단위</t>
  </si>
  <si>
    <t>보정값</t>
  </si>
  <si>
    <t>불확도 1</t>
  </si>
  <si>
    <t>불확도 단위</t>
  </si>
  <si>
    <t>포함인자</t>
  </si>
  <si>
    <t>교정일자</t>
  </si>
  <si>
    <t>게이지 블록 부속품 교정데이터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</si>
  <si>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</si>
  <si>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게이지 블록 부속품의 평면도에 의한 보정값 (기대값=0)</t>
    <phoneticPr fontId="4" type="noConversion"/>
  </si>
  <si>
    <t>I</t>
    <phoneticPr fontId="4" type="noConversion"/>
  </si>
  <si>
    <t>J</t>
    <phoneticPr fontId="4" type="noConversion"/>
  </si>
  <si>
    <t>D</t>
    <phoneticPr fontId="4" type="noConversion"/>
  </si>
  <si>
    <t>F</t>
    <phoneticPr fontId="4" type="noConversion"/>
  </si>
  <si>
    <t>D</t>
    <phoneticPr fontId="4" type="noConversion"/>
  </si>
  <si>
    <t>E</t>
    <phoneticPr fontId="4" type="noConversion"/>
  </si>
  <si>
    <t>D2. 표준불확도 :</t>
    <phoneticPr fontId="4" type="noConversion"/>
  </si>
  <si>
    <t>D3. 확률분포 :</t>
    <phoneticPr fontId="4" type="noConversion"/>
  </si>
  <si>
    <t>D4. 감도계수 :</t>
    <phoneticPr fontId="4" type="noConversion"/>
  </si>
  <si>
    <t>E6. 자유도 :</t>
    <phoneticPr fontId="4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</si>
  <si>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4" type="noConversion"/>
  </si>
  <si>
    <t>I1. 추정값 :</t>
    <phoneticPr fontId="4" type="noConversion"/>
  </si>
  <si>
    <t>I2. 표준불확도 :</t>
    <phoneticPr fontId="4" type="noConversion"/>
  </si>
  <si>
    <t>I3. 확률분포 :</t>
    <phoneticPr fontId="4" type="noConversion"/>
  </si>
  <si>
    <t>I4. 감도계수 :</t>
    <phoneticPr fontId="4" type="noConversion"/>
  </si>
  <si>
    <t>I5. 불확도 기여량 :</t>
    <phoneticPr fontId="4" type="noConversion"/>
  </si>
  <si>
    <t>I6. 자유도 :</t>
    <phoneticPr fontId="4" type="noConversion"/>
  </si>
  <si>
    <t>※ 평면도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</si>
  <si>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</si>
  <si>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</si>
  <si>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fees</t>
    <phoneticPr fontId="4" type="noConversion"/>
  </si>
  <si>
    <t>P/F</t>
    <phoneticPr fontId="4" type="noConversion"/>
  </si>
  <si>
    <r>
      <t xml:space="preserve">3. 보어 게이지와 기준기의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</si>
  <si>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보어 게이지와 게이지 블록의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</si>
  <si>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보어 게이지와 기준기의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</si>
  <si>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보어 게이지와 기준기의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</si>
  <si>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9</t>
    </r>
    <r>
      <rPr>
        <b/>
        <sz val="10"/>
        <rFont val="맑은 고딕"/>
        <family val="3"/>
        <charset val="129"/>
        <scheme val="major"/>
      </rPr>
      <t xml:space="preserve">. 게이지 블록 부속품의 평면도에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  <phoneticPr fontId="4" type="noConversion"/>
  </si>
  <si>
    <t>삼각형</t>
    <phoneticPr fontId="4" type="noConversion"/>
  </si>
  <si>
    <t>비고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</si>
  <si>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</si>
  <si>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</si>
  <si>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※ 열평형 상태에서 교정실의 온도가 변화할 경우 보어 게이지의 온도에 변화가 발생하고,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</si>
  <si>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</si>
  <si>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</si>
  <si>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</si>
  <si>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</si>
  <si>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※ 보어 게이지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</si>
  <si>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</si>
  <si>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</si>
  <si>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d</t>
    <phoneticPr fontId="4" type="noConversion"/>
  </si>
  <si>
    <t>μm</t>
    <phoneticPr fontId="4" type="noConversion"/>
  </si>
  <si>
    <t>|</t>
    <phoneticPr fontId="4" type="noConversion"/>
  </si>
  <si>
    <t>※ 보어 게이지 교정시 측정면과 수직으로 설치하여야 하나 정확한 수직으로 설치하기 어렵기 때문에</t>
    <phoneticPr fontId="4" type="noConversion"/>
  </si>
  <si>
    <t>여현오차가 발생한다. 이때 발생하는 여현오차에 직사각형 확률 분포를 적용하여 계산한다.</t>
    <phoneticPr fontId="4" type="noConversion"/>
  </si>
  <si>
    <t>mm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</si>
  <si>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</si>
  <si>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>)</t>
    </r>
    <phoneticPr fontId="4" type="noConversion"/>
  </si>
  <si>
    <t>μm</t>
    <phoneticPr fontId="4" type="noConversion"/>
  </si>
  <si>
    <t>※ 게이지 블록 부속품의 평면도에 의해 오차가 발생할 수 있으므로, 평면도를 반범위로 하는</t>
    <phoneticPr fontId="4" type="noConversion"/>
  </si>
  <si>
    <t>직사각형 확률 분포를 적용하여 계산한다.</t>
    <phoneticPr fontId="4" type="noConversion"/>
  </si>
  <si>
    <t>사용?</t>
    <phoneticPr fontId="4" type="noConversion"/>
  </si>
  <si>
    <t>명목값</t>
    <phoneticPr fontId="4" type="noConversion"/>
  </si>
  <si>
    <t>단위</t>
    <phoneticPr fontId="4" type="noConversion"/>
  </si>
  <si>
    <t>보어 게이지 지시값</t>
    <phoneticPr fontId="4" type="noConversion"/>
  </si>
  <si>
    <t>표준편차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</si>
  <si>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</si>
  <si>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</si>
  <si>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</si>
  <si>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</si>
  <si>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</si>
  <si>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</si>
  <si>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명목값</t>
    <phoneticPr fontId="4" type="noConversion"/>
  </si>
  <si>
    <t>자리수 맞춤</t>
    <phoneticPr fontId="4" type="noConversion"/>
  </si>
  <si>
    <t>표기용</t>
    <phoneticPr fontId="4" type="noConversion"/>
  </si>
  <si>
    <t>1회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</si>
  <si>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</si>
  <si>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</si>
  <si>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</si>
  <si>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</si>
  <si>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</si>
  <si>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</si>
  <si>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Δα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</si>
  <si>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</si>
  <si>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</si>
  <si>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</si>
  <si>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</si>
  <si>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</si>
  <si>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</si>
  <si>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</si>
  <si>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교정값</t>
    <phoneticPr fontId="4" type="noConversion"/>
  </si>
  <si>
    <t>Spec</t>
    <phoneticPr fontId="4" type="noConversion"/>
  </si>
  <si>
    <t>Pass/Fail</t>
    <phoneticPr fontId="4" type="noConversion"/>
  </si>
  <si>
    <t>/℃</t>
    <phoneticPr fontId="4" type="noConversion"/>
  </si>
  <si>
    <t>/℃</t>
    <phoneticPr fontId="4" type="noConversion"/>
  </si>
  <si>
    <t>/℃</t>
    <phoneticPr fontId="4" type="noConversion"/>
  </si>
  <si>
    <t>/℃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</si>
  <si>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</si>
  <si>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</si>
  <si>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</si>
  <si>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</si>
  <si>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mm</t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</si>
  <si>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</si>
  <si>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나눔수</t>
    <phoneticPr fontId="4" type="noConversion"/>
  </si>
  <si>
    <t>분모</t>
    <phoneticPr fontId="4" type="noConversion"/>
  </si>
  <si>
    <t>주 기여량</t>
    <phoneticPr fontId="4" type="noConversion"/>
  </si>
  <si>
    <t>불확도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</si>
  <si>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</si>
  <si>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</si>
  <si>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</si>
  <si>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</si>
  <si>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</si>
  <si>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</si>
  <si>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</si>
  <si>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</si>
  <si>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</si>
  <si>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</si>
  <si>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</si>
  <si>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</si>
  <si>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</si>
  <si>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</si>
  <si>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</si>
  <si>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</si>
  <si>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</si>
  <si>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</si>
  <si>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</si>
  <si>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</si>
  <si>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</si>
  <si>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</si>
  <si>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</si>
  <si>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확률분포별 불확도기여량</t>
    <phoneticPr fontId="4" type="noConversion"/>
  </si>
  <si>
    <t>기타</t>
    <phoneticPr fontId="4" type="noConversion"/>
  </si>
  <si>
    <t>기타</t>
    <phoneticPr fontId="4" type="noConversion"/>
  </si>
  <si>
    <t>직사각형분포</t>
    <phoneticPr fontId="4" type="noConversion"/>
  </si>
  <si>
    <t>영향</t>
    <phoneticPr fontId="4" type="noConversion"/>
  </si>
  <si>
    <t>비율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</si>
  <si>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</si>
  <si>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</si>
  <si>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</si>
  <si>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</si>
  <si>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</si>
  <si>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소수점 자리수</t>
    <phoneticPr fontId="4" type="noConversion"/>
  </si>
  <si>
    <t>5% rule</t>
    <phoneticPr fontId="4" type="noConversion"/>
  </si>
  <si>
    <t>CMC초과?</t>
    <phoneticPr fontId="4" type="noConversion"/>
  </si>
  <si>
    <t>불확도</t>
    <phoneticPr fontId="4" type="noConversion"/>
  </si>
  <si>
    <t>성적서</t>
    <phoneticPr fontId="4" type="noConversion"/>
  </si>
  <si>
    <t>성적서</t>
    <phoneticPr fontId="4" type="noConversion"/>
  </si>
  <si>
    <t>Rawdata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</si>
  <si>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</si>
  <si>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</si>
  <si>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보어 게이지의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</si>
  <si>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</si>
  <si>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</si>
  <si>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보어 게이지 설치시 여현오차에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</si>
  <si>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</si>
  <si>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</si>
  <si>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</si>
  <si>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</si>
  <si>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</si>
  <si>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</si>
  <si>
    <t>Number</t>
    <phoneticPr fontId="4" type="noConversion"/>
  </si>
  <si>
    <t>0.0</t>
    <phoneticPr fontId="4" type="noConversion"/>
  </si>
  <si>
    <t>0.00</t>
    <phoneticPr fontId="4" type="noConversion"/>
  </si>
  <si>
    <t>0.000 0</t>
    <phoneticPr fontId="4" type="noConversion"/>
  </si>
  <si>
    <t>0.000 00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</si>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</sst>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\(0.00\ &quot;μm&quot;\)"/>
    <numFmt numFmtId="207" formatCode="0.00\ &quot;μm&quot;"/>
    <numFmt numFmtId="208" formatCode="0.00\ \℃"/>
    <numFmt numFmtId="209" formatCode="&quot;0.58 ℃×( -&quot;0.00"/>
    <numFmt numFmtId="210" formatCode="0.000\ &quot;mm&quot;"/>
    <numFmt numFmtId="211" formatCode="0.000\ 00"/>
    <numFmt numFmtId="212" formatCode="#\ ###\ ###"/>
    <numFmt numFmtId="213" formatCode="0.0\ &quot;μm&quot;"/>
    <numFmt numFmtId="214" formatCode="0.000\ &quot;μm&quot;"/>
    <numFmt numFmtId="215" formatCode="_-* #,##0_-;\-* #,##0_-;_-* &quot;-&quot;??_-;_-@_-"/>
    <numFmt numFmtId="216" formatCode="0.00_);[Red]\(0.00\)"/>
    <numFmt numFmtId="217" formatCode="0_ "/>
    <numFmt numFmtId="218" formatCode="0.0E+00"/>
  </numFmts>
  <fonts count="102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0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5" applyNumberFormat="0" applyBorder="0" applyAlignment="0" applyProtection="0"/>
    <xf numFmtId="0" fontId="17" fillId="22" borderId="66" applyNumberFormat="0" applyAlignment="0" applyProtection="0">
      <alignment vertical="center"/>
    </xf>
    <xf numFmtId="0" fontId="3" fillId="23" borderId="63" applyNumberFormat="0" applyFont="0" applyAlignment="0" applyProtection="0">
      <alignment vertical="center"/>
    </xf>
    <xf numFmtId="0" fontId="24" fillId="0" borderId="67" applyNumberFormat="0" applyFill="0" applyAlignment="0" applyProtection="0">
      <alignment vertical="center"/>
    </xf>
    <xf numFmtId="0" fontId="25" fillId="7" borderId="66" applyNumberFormat="0" applyAlignment="0" applyProtection="0">
      <alignment vertical="center"/>
    </xf>
    <xf numFmtId="0" fontId="31" fillId="22" borderId="6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0" fontId="17" fillId="22" borderId="71" applyNumberFormat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0" fontId="24" fillId="0" borderId="72" applyNumberFormat="0" applyFill="0" applyAlignment="0" applyProtection="0">
      <alignment vertical="center"/>
    </xf>
    <xf numFmtId="0" fontId="25" fillId="7" borderId="71" applyNumberFormat="0" applyAlignment="0" applyProtection="0">
      <alignment vertical="center"/>
    </xf>
    <xf numFmtId="0" fontId="31" fillId="22" borderId="73" applyNumberFormat="0" applyAlignment="0" applyProtection="0">
      <alignment vertical="center"/>
    </xf>
    <xf numFmtId="0" fontId="6" fillId="0" borderId="0"/>
  </cellStyleXfs>
  <cellXfs count="498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195" fontId="67" fillId="0" borderId="39" xfId="0" applyNumberFormat="1" applyFont="1" applyBorder="1" applyAlignment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8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9" xfId="0" applyNumberFormat="1" applyFont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 wrapText="1"/>
    </xf>
    <xf numFmtId="0" fontId="55" fillId="0" borderId="49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9" fillId="27" borderId="51" xfId="81" applyFont="1" applyFill="1" applyBorder="1" applyAlignment="1">
      <alignment horizontal="center" vertical="center"/>
    </xf>
    <xf numFmtId="0" fontId="52" fillId="0" borderId="49" xfId="0" applyNumberFormat="1" applyFont="1" applyBorder="1" applyAlignment="1">
      <alignment horizontal="center" vertical="center"/>
    </xf>
    <xf numFmtId="0" fontId="76" fillId="33" borderId="49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48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48" xfId="78" applyNumberFormat="1" applyFont="1" applyFill="1" applyBorder="1" applyAlignment="1">
      <alignment horizontal="center" vertical="center"/>
    </xf>
    <xf numFmtId="188" fontId="81" fillId="0" borderId="48" xfId="78" applyNumberFormat="1" applyFont="1" applyFill="1" applyBorder="1" applyAlignment="1">
      <alignment horizontal="center" vertical="center"/>
    </xf>
    <xf numFmtId="188" fontId="81" fillId="0" borderId="48" xfId="0" applyNumberFormat="1" applyFont="1" applyFill="1" applyBorder="1" applyAlignment="1">
      <alignment horizontal="center" vertical="center"/>
    </xf>
    <xf numFmtId="0" fontId="81" fillId="32" borderId="48" xfId="0" applyNumberFormat="1" applyFont="1" applyFill="1" applyBorder="1" applyAlignment="1">
      <alignment horizontal="center" vertical="center"/>
    </xf>
    <xf numFmtId="0" fontId="81" fillId="29" borderId="48" xfId="0" applyNumberFormat="1" applyFont="1" applyFill="1" applyBorder="1" applyAlignment="1">
      <alignment horizontal="center" vertical="center"/>
    </xf>
    <xf numFmtId="0" fontId="81" fillId="34" borderId="48" xfId="0" applyNumberFormat="1" applyFont="1" applyFill="1" applyBorder="1" applyAlignment="1">
      <alignment horizontal="center" vertical="center"/>
    </xf>
    <xf numFmtId="189" fontId="81" fillId="36" borderId="48" xfId="0" applyNumberFormat="1" applyFont="1" applyFill="1" applyBorder="1" applyAlignment="1">
      <alignment horizontal="center" vertical="center"/>
    </xf>
    <xf numFmtId="0" fontId="81" fillId="0" borderId="54" xfId="0" applyNumberFormat="1" applyFont="1" applyFill="1" applyBorder="1" applyAlignment="1">
      <alignment horizontal="center" vertical="center"/>
    </xf>
    <xf numFmtId="199" fontId="81" fillId="29" borderId="55" xfId="0" applyNumberFormat="1" applyFont="1" applyFill="1" applyBorder="1" applyAlignment="1">
      <alignment horizontal="center" vertical="center"/>
    </xf>
    <xf numFmtId="199" fontId="81" fillId="0" borderId="57" xfId="0" applyNumberFormat="1" applyFont="1" applyFill="1" applyBorder="1" applyAlignment="1">
      <alignment horizontal="center" vertical="center"/>
    </xf>
    <xf numFmtId="200" fontId="81" fillId="0" borderId="54" xfId="0" applyNumberFormat="1" applyFont="1" applyFill="1" applyBorder="1" applyAlignment="1">
      <alignment horizontal="center" vertical="center"/>
    </xf>
    <xf numFmtId="0" fontId="81" fillId="35" borderId="54" xfId="0" applyNumberFormat="1" applyFont="1" applyFill="1" applyBorder="1" applyAlignment="1">
      <alignment horizontal="center" vertical="center"/>
    </xf>
    <xf numFmtId="201" fontId="81" fillId="0" borderId="48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1" fillId="32" borderId="48" xfId="0" applyNumberFormat="1" applyFont="1" applyFill="1" applyBorder="1" applyAlignment="1">
      <alignment horizontal="center" vertical="center" wrapText="1"/>
    </xf>
    <xf numFmtId="0" fontId="81" fillId="0" borderId="48" xfId="0" applyNumberFormat="1" applyFont="1" applyFill="1" applyBorder="1" applyAlignment="1">
      <alignment horizontal="center" vertical="center" wrapText="1"/>
    </xf>
    <xf numFmtId="0" fontId="81" fillId="0" borderId="48" xfId="0" applyNumberFormat="1" applyFont="1" applyBorder="1" applyAlignment="1">
      <alignment horizontal="center" vertical="center"/>
    </xf>
    <xf numFmtId="193" fontId="81" fillId="0" borderId="48" xfId="0" applyNumberFormat="1" applyFont="1" applyFill="1" applyBorder="1" applyAlignment="1">
      <alignment horizontal="center" vertical="center"/>
    </xf>
    <xf numFmtId="202" fontId="81" fillId="0" borderId="48" xfId="0" applyNumberFormat="1" applyFont="1" applyFill="1" applyBorder="1" applyAlignment="1">
      <alignment horizontal="center" vertical="center"/>
    </xf>
    <xf numFmtId="203" fontId="81" fillId="0" borderId="48" xfId="0" applyNumberFormat="1" applyFont="1" applyFill="1" applyBorder="1" applyAlignment="1">
      <alignment horizontal="center" vertical="center"/>
    </xf>
    <xf numFmtId="2" fontId="81" fillId="0" borderId="48" xfId="0" applyNumberFormat="1" applyFont="1" applyFill="1" applyBorder="1" applyAlignment="1">
      <alignment horizontal="center" vertical="center"/>
    </xf>
    <xf numFmtId="0" fontId="78" fillId="0" borderId="49" xfId="0" applyFont="1" applyBorder="1" applyAlignment="1">
      <alignment horizontal="center" vertical="center"/>
    </xf>
    <xf numFmtId="204" fontId="81" fillId="0" borderId="48" xfId="0" applyNumberFormat="1" applyFont="1" applyFill="1" applyBorder="1" applyAlignment="1">
      <alignment horizontal="center" vertical="center"/>
    </xf>
    <xf numFmtId="204" fontId="81" fillId="31" borderId="48" xfId="0" applyNumberFormat="1" applyFont="1" applyFill="1" applyBorder="1" applyAlignment="1">
      <alignment horizontal="center" vertical="center"/>
    </xf>
    <xf numFmtId="205" fontId="81" fillId="0" borderId="48" xfId="0" applyNumberFormat="1" applyFont="1" applyFill="1" applyBorder="1" applyAlignment="1">
      <alignment horizontal="center" vertical="center"/>
    </xf>
    <xf numFmtId="2" fontId="81" fillId="32" borderId="48" xfId="0" applyNumberFormat="1" applyFont="1" applyFill="1" applyBorder="1" applyAlignment="1">
      <alignment horizontal="center" vertical="center"/>
    </xf>
    <xf numFmtId="0" fontId="82" fillId="28" borderId="48" xfId="0" applyNumberFormat="1" applyFont="1" applyFill="1" applyBorder="1" applyAlignment="1">
      <alignment horizontal="center" vertical="center" wrapText="1"/>
    </xf>
    <xf numFmtId="0" fontId="82" fillId="28" borderId="48" xfId="0" applyNumberFormat="1" applyFont="1" applyFill="1" applyBorder="1" applyAlignment="1">
      <alignment horizontal="center" vertical="center"/>
    </xf>
    <xf numFmtId="189" fontId="81" fillId="0" borderId="48" xfId="0" applyNumberFormat="1" applyFont="1" applyFill="1" applyBorder="1" applyAlignment="1">
      <alignment horizontal="center" vertical="center"/>
    </xf>
    <xf numFmtId="0" fontId="5" fillId="28" borderId="47" xfId="0" applyNumberFormat="1" applyFont="1" applyFill="1" applyBorder="1" applyAlignment="1">
      <alignment horizontal="center" vertical="center"/>
    </xf>
    <xf numFmtId="0" fontId="86" fillId="35" borderId="53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201" fontId="81" fillId="0" borderId="56" xfId="0" applyNumberFormat="1" applyFont="1" applyFill="1" applyBorder="1" applyAlignment="1">
      <alignment horizontal="center" vertical="center"/>
    </xf>
    <xf numFmtId="201" fontId="81" fillId="0" borderId="54" xfId="0" applyNumberFormat="1" applyFont="1" applyFill="1" applyBorder="1" applyAlignment="1">
      <alignment horizontal="center" vertical="center"/>
    </xf>
    <xf numFmtId="0" fontId="81" fillId="35" borderId="56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7" fontId="67" fillId="0" borderId="0" xfId="0" applyNumberFormat="1" applyFont="1" applyBorder="1" applyAlignment="1">
      <alignment horizontal="center" vertical="center"/>
    </xf>
    <xf numFmtId="1" fontId="67" fillId="0" borderId="0" xfId="0" applyNumberFormat="1" applyFont="1" applyBorder="1" applyAlignment="1">
      <alignment vertical="center" shrinkToFit="1"/>
    </xf>
    <xf numFmtId="0" fontId="67" fillId="0" borderId="43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209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8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3" fontId="93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 shrinkToFit="1"/>
    </xf>
    <xf numFmtId="211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21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8" xfId="0" applyNumberFormat="1" applyFont="1" applyBorder="1" applyAlignment="1">
      <alignment vertical="center"/>
    </xf>
    <xf numFmtId="0" fontId="52" fillId="0" borderId="59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52" fillId="0" borderId="59" xfId="0" applyNumberFormat="1" applyFont="1" applyBorder="1" applyAlignment="1">
      <alignment horizontal="left" vertical="center"/>
    </xf>
    <xf numFmtId="0" fontId="93" fillId="0" borderId="0" xfId="0" applyFont="1" applyBorder="1">
      <alignment vertical="center"/>
    </xf>
    <xf numFmtId="0" fontId="81" fillId="0" borderId="63" xfId="0" applyNumberFormat="1" applyFont="1" applyFill="1" applyBorder="1" applyAlignment="1">
      <alignment horizontal="center" vertical="center"/>
    </xf>
    <xf numFmtId="0" fontId="81" fillId="0" borderId="56" xfId="0" applyNumberFormat="1" applyFont="1" applyFill="1" applyBorder="1" applyAlignment="1">
      <alignment horizontal="center" vertical="center"/>
    </xf>
    <xf numFmtId="216" fontId="81" fillId="0" borderId="48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2" fontId="81" fillId="29" borderId="63" xfId="0" applyNumberFormat="1" applyFont="1" applyFill="1" applyBorder="1" applyAlignment="1">
      <alignment horizontal="center" vertical="center"/>
    </xf>
    <xf numFmtId="0" fontId="52" fillId="0" borderId="49" xfId="0" applyNumberFormat="1" applyFont="1" applyBorder="1" applyAlignment="1">
      <alignment horizontal="center" vertical="center" shrinkToFit="1"/>
    </xf>
    <xf numFmtId="41" fontId="52" fillId="0" borderId="49" xfId="87" applyFont="1" applyBorder="1" applyAlignment="1">
      <alignment horizontal="center" vertical="center"/>
    </xf>
    <xf numFmtId="0" fontId="52" fillId="0" borderId="49" xfId="87" applyNumberFormat="1" applyFont="1" applyBorder="1" applyAlignment="1">
      <alignment horizontal="center" vertical="center"/>
    </xf>
    <xf numFmtId="41" fontId="52" fillId="0" borderId="49" xfId="0" applyNumberFormat="1" applyFont="1" applyBorder="1" applyAlignment="1">
      <alignment horizontal="center" vertical="center"/>
    </xf>
    <xf numFmtId="215" fontId="52" fillId="0" borderId="49" xfId="87" applyNumberFormat="1" applyFont="1" applyBorder="1" applyAlignment="1">
      <alignment horizontal="center" vertical="center"/>
    </xf>
    <xf numFmtId="41" fontId="52" fillId="0" borderId="49" xfId="87" applyNumberFormat="1" applyFont="1" applyBorder="1" applyAlignment="1">
      <alignment horizontal="center" vertical="center"/>
    </xf>
    <xf numFmtId="0" fontId="76" fillId="33" borderId="49" xfId="0" applyFont="1" applyFill="1" applyBorder="1">
      <alignment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95" fillId="28" borderId="69" xfId="0" applyNumberFormat="1" applyFont="1" applyFill="1" applyBorder="1" applyAlignment="1">
      <alignment horizontal="center" vertical="center"/>
    </xf>
    <xf numFmtId="0" fontId="81" fillId="0" borderId="69" xfId="0" applyNumberFormat="1" applyFont="1" applyFill="1" applyBorder="1" applyAlignment="1">
      <alignment horizontal="center" vertical="center"/>
    </xf>
    <xf numFmtId="0" fontId="97" fillId="0" borderId="69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82" fillId="28" borderId="48" xfId="0" applyNumberFormat="1" applyFont="1" applyFill="1" applyBorder="1" applyAlignment="1">
      <alignment horizontal="center" vertical="center" wrapText="1"/>
    </xf>
    <xf numFmtId="0" fontId="48" fillId="0" borderId="0" xfId="79" applyNumberFormat="1" applyFont="1" applyFill="1" applyAlignment="1">
      <alignment horizontal="right" vertical="center" indent="2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81" fillId="34" borderId="69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horizontal="center" vertical="center"/>
    </xf>
    <xf numFmtId="203" fontId="69" fillId="0" borderId="0" xfId="0" applyNumberFormat="1" applyFont="1" applyBorder="1" applyAlignment="1">
      <alignment vertical="center"/>
    </xf>
    <xf numFmtId="0" fontId="82" fillId="28" borderId="69" xfId="0" applyNumberFormat="1" applyFont="1" applyFill="1" applyBorder="1" applyAlignment="1">
      <alignment horizontal="center" vertical="center" shrinkToFit="1"/>
    </xf>
    <xf numFmtId="190" fontId="82" fillId="28" borderId="69" xfId="0" applyNumberFormat="1" applyFont="1" applyFill="1" applyBorder="1" applyAlignment="1">
      <alignment horizontal="center" vertical="center" wrapText="1"/>
    </xf>
    <xf numFmtId="49" fontId="82" fillId="28" borderId="69" xfId="0" applyNumberFormat="1" applyFont="1" applyFill="1" applyBorder="1" applyAlignment="1">
      <alignment horizontal="center" vertical="center"/>
    </xf>
    <xf numFmtId="190" fontId="82" fillId="28" borderId="69" xfId="0" applyNumberFormat="1" applyFont="1" applyFill="1" applyBorder="1" applyAlignment="1">
      <alignment horizontal="center" vertical="center"/>
    </xf>
    <xf numFmtId="0" fontId="82" fillId="28" borderId="69" xfId="0" quotePrefix="1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1" fillId="31" borderId="48" xfId="0" applyNumberFormat="1" applyFont="1" applyFill="1" applyBorder="1" applyAlignment="1">
      <alignment horizontal="center" vertical="center"/>
    </xf>
    <xf numFmtId="196" fontId="81" fillId="0" borderId="69" xfId="0" applyNumberFormat="1" applyFont="1" applyFill="1" applyBorder="1" applyAlignment="1">
      <alignment horizontal="center" vertical="center"/>
    </xf>
    <xf numFmtId="204" fontId="81" fillId="0" borderId="69" xfId="0" applyNumberFormat="1" applyFont="1" applyFill="1" applyBorder="1" applyAlignment="1">
      <alignment horizontal="center" vertical="center"/>
    </xf>
    <xf numFmtId="202" fontId="81" fillId="0" borderId="69" xfId="0" applyNumberFormat="1" applyFont="1" applyFill="1" applyBorder="1" applyAlignment="1">
      <alignment horizontal="center" vertical="center"/>
    </xf>
    <xf numFmtId="2" fontId="81" fillId="32" borderId="69" xfId="86" applyNumberFormat="1" applyFont="1" applyFill="1" applyBorder="1" applyAlignment="1">
      <alignment horizontal="center" vertical="center" wrapText="1"/>
    </xf>
    <xf numFmtId="196" fontId="81" fillId="31" borderId="69" xfId="0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217" fontId="99" fillId="37" borderId="39" xfId="103" applyNumberFormat="1" applyFont="1" applyFill="1" applyBorder="1" applyAlignment="1">
      <alignment horizontal="center" vertical="center" wrapText="1"/>
    </xf>
    <xf numFmtId="49" fontId="60" fillId="37" borderId="39" xfId="79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0" fontId="81" fillId="36" borderId="69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/>
    </xf>
    <xf numFmtId="189" fontId="81" fillId="0" borderId="69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196" fontId="81" fillId="29" borderId="69" xfId="0" applyNumberFormat="1" applyFont="1" applyFill="1" applyBorder="1" applyAlignment="1">
      <alignment horizontal="center" vertical="center"/>
    </xf>
    <xf numFmtId="218" fontId="81" fillId="31" borderId="69" xfId="0" applyNumberFormat="1" applyFont="1" applyFill="1" applyBorder="1" applyAlignment="1">
      <alignment horizontal="center" vertical="center"/>
    </xf>
    <xf numFmtId="0" fontId="81" fillId="38" borderId="69" xfId="0" applyNumberFormat="1" applyFont="1" applyFill="1" applyBorder="1" applyAlignment="1">
      <alignment horizontal="center" vertical="center"/>
    </xf>
    <xf numFmtId="0" fontId="101" fillId="28" borderId="69" xfId="0" applyNumberFormat="1" applyFont="1" applyFill="1" applyBorder="1" applyAlignment="1">
      <alignment horizontal="center" vertical="center"/>
    </xf>
    <xf numFmtId="0" fontId="81" fillId="32" borderId="69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 wrapText="1"/>
    </xf>
    <xf numFmtId="0" fontId="82" fillId="28" borderId="53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9" xfId="79" applyNumberFormat="1" applyFont="1" applyFill="1" applyBorder="1" applyAlignment="1">
      <alignment horizontal="center" vertical="center"/>
    </xf>
    <xf numFmtId="217" fontId="60" fillId="37" borderId="0" xfId="0" applyNumberFormat="1" applyFont="1" applyFill="1" applyBorder="1" applyAlignment="1">
      <alignment horizontal="center" vertical="center" wrapText="1"/>
    </xf>
    <xf numFmtId="217" fontId="60" fillId="37" borderId="39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9" xfId="0" applyNumberFormat="1" applyFont="1" applyFill="1" applyBorder="1" applyAlignment="1">
      <alignment horizontal="center" vertical="center"/>
    </xf>
    <xf numFmtId="217" fontId="48" fillId="37" borderId="0" xfId="0" applyNumberFormat="1" applyFont="1" applyFill="1" applyAlignment="1">
      <alignment horizontal="center" vertical="center"/>
    </xf>
    <xf numFmtId="217" fontId="48" fillId="37" borderId="39" xfId="0" applyNumberFormat="1" applyFont="1" applyFill="1" applyBorder="1" applyAlignment="1">
      <alignment horizontal="center" vertical="center"/>
    </xf>
    <xf numFmtId="217" fontId="60" fillId="37" borderId="0" xfId="0" applyNumberFormat="1" applyFont="1" applyFill="1" applyAlignment="1">
      <alignment horizontal="center" vertical="center"/>
    </xf>
    <xf numFmtId="217" fontId="60" fillId="37" borderId="39" xfId="0" applyNumberFormat="1" applyFont="1" applyFill="1" applyBorder="1" applyAlignment="1">
      <alignment horizontal="center" vertical="center"/>
    </xf>
    <xf numFmtId="217" fontId="99" fillId="37" borderId="0" xfId="103" applyNumberFormat="1" applyFont="1" applyFill="1" applyBorder="1" applyAlignment="1">
      <alignment horizontal="center" vertical="center" wrapText="1"/>
    </xf>
    <xf numFmtId="217" fontId="99" fillId="37" borderId="39" xfId="103" applyNumberFormat="1" applyFont="1" applyFill="1" applyBorder="1" applyAlignment="1">
      <alignment horizontal="center" vertical="center" wrapText="1"/>
    </xf>
    <xf numFmtId="217" fontId="99" fillId="37" borderId="0" xfId="103" applyNumberFormat="1" applyFont="1" applyFill="1" applyBorder="1" applyAlignment="1">
      <alignment horizontal="center" vertical="center"/>
    </xf>
    <xf numFmtId="217" fontId="99" fillId="37" borderId="39" xfId="10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9" xfId="0" applyNumberFormat="1" applyFont="1" applyFill="1" applyBorder="1" applyAlignment="1">
      <alignment horizontal="center" vertical="center"/>
    </xf>
    <xf numFmtId="217" fontId="48" fillId="37" borderId="0" xfId="0" applyNumberFormat="1" applyFont="1" applyFill="1" applyBorder="1" applyAlignment="1">
      <alignment horizontal="center" vertical="center"/>
    </xf>
    <xf numFmtId="217" fontId="60" fillId="37" borderId="0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3" xfId="0" applyNumberFormat="1" applyFont="1" applyFill="1" applyBorder="1" applyAlignment="1">
      <alignment horizontal="center" vertic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198" fontId="1" fillId="0" borderId="44" xfId="78" applyNumberFormat="1" applyFont="1" applyFill="1" applyBorder="1" applyAlignment="1">
      <alignment horizontal="center" vertical="center"/>
    </xf>
    <xf numFmtId="198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196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203" fontId="69" fillId="0" borderId="0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196" fontId="67" fillId="0" borderId="0" xfId="0" applyNumberFormat="1" applyFont="1" applyBorder="1" applyAlignment="1">
      <alignment vertical="center" shrinkToFit="1"/>
    </xf>
    <xf numFmtId="0" fontId="67" fillId="0" borderId="39" xfId="0" applyNumberFormat="1" applyFont="1" applyBorder="1" applyAlignment="1">
      <alignment vertical="center"/>
    </xf>
    <xf numFmtId="0" fontId="67" fillId="0" borderId="43" xfId="0" applyNumberFormat="1" applyFont="1" applyBorder="1" applyAlignment="1">
      <alignment horizontal="center" vertical="center"/>
    </xf>
    <xf numFmtId="210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horizontal="right" vertical="center"/>
    </xf>
    <xf numFmtId="0" fontId="69" fillId="0" borderId="0" xfId="0" applyFont="1" applyBorder="1" applyAlignment="1">
      <alignment horizontal="center" vertical="center"/>
    </xf>
    <xf numFmtId="213" fontId="67" fillId="0" borderId="0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horizontal="left" vertical="center" shrinkToFit="1"/>
    </xf>
    <xf numFmtId="189" fontId="67" fillId="0" borderId="39" xfId="0" applyNumberFormat="1" applyFont="1" applyBorder="1" applyAlignment="1">
      <alignment horizontal="center" vertical="center" shrinkToFit="1"/>
    </xf>
    <xf numFmtId="189" fontId="67" fillId="0" borderId="39" xfId="0" applyNumberFormat="1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208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 shrinkToFit="1"/>
    </xf>
    <xf numFmtId="185" fontId="67" fillId="0" borderId="0" xfId="0" applyNumberFormat="1" applyFont="1" applyBorder="1" applyAlignment="1">
      <alignment horizontal="left" vertical="center"/>
    </xf>
    <xf numFmtId="0" fontId="67" fillId="0" borderId="39" xfId="0" applyFont="1" applyBorder="1" applyAlignment="1">
      <alignment horizontal="center"/>
    </xf>
    <xf numFmtId="192" fontId="67" fillId="0" borderId="62" xfId="0" applyNumberFormat="1" applyFont="1" applyBorder="1" applyAlignment="1">
      <alignment vertical="center"/>
    </xf>
    <xf numFmtId="192" fontId="67" fillId="0" borderId="59" xfId="0" applyNumberFormat="1" applyFont="1" applyBorder="1" applyAlignment="1">
      <alignment vertical="center"/>
    </xf>
    <xf numFmtId="0" fontId="67" fillId="0" borderId="62" xfId="0" applyNumberFormat="1" applyFont="1" applyBorder="1" applyAlignment="1">
      <alignment vertical="center"/>
    </xf>
    <xf numFmtId="0" fontId="67" fillId="0" borderId="59" xfId="0" applyNumberFormat="1" applyFont="1" applyBorder="1" applyAlignment="1">
      <alignment vertical="center"/>
    </xf>
    <xf numFmtId="0" fontId="65" fillId="0" borderId="58" xfId="0" applyFont="1" applyBorder="1" applyAlignment="1">
      <alignment horizontal="center" vertical="center"/>
    </xf>
    <xf numFmtId="0" fontId="65" fillId="0" borderId="62" xfId="0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5" fillId="0" borderId="43" xfId="0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67" fillId="0" borderId="49" xfId="0" applyFont="1" applyBorder="1" applyAlignment="1">
      <alignment horizontal="center" vertical="center"/>
    </xf>
    <xf numFmtId="196" fontId="67" fillId="0" borderId="58" xfId="0" applyNumberFormat="1" applyFont="1" applyBorder="1" applyAlignment="1">
      <alignment vertical="center"/>
    </xf>
    <xf numFmtId="196" fontId="67" fillId="0" borderId="62" xfId="0" applyNumberFormat="1" applyFont="1" applyBorder="1" applyAlignment="1">
      <alignment vertical="center"/>
    </xf>
    <xf numFmtId="196" fontId="67" fillId="0" borderId="39" xfId="0" applyNumberFormat="1" applyFont="1" applyBorder="1" applyAlignment="1">
      <alignment vertical="center"/>
    </xf>
    <xf numFmtId="197" fontId="67" fillId="0" borderId="0" xfId="0" applyNumberFormat="1" applyFont="1" applyBorder="1" applyAlignment="1">
      <alignment vertical="center"/>
    </xf>
    <xf numFmtId="189" fontId="67" fillId="0" borderId="0" xfId="0" applyNumberFormat="1" applyFont="1" applyBorder="1" applyAlignment="1">
      <alignment vertical="center"/>
    </xf>
    <xf numFmtId="0" fontId="67" fillId="0" borderId="58" xfId="0" applyNumberFormat="1" applyFont="1" applyBorder="1" applyAlignment="1">
      <alignment horizontal="right" vertical="center"/>
    </xf>
    <xf numFmtId="0" fontId="67" fillId="0" borderId="62" xfId="0" applyNumberFormat="1" applyFont="1" applyBorder="1" applyAlignment="1">
      <alignment horizontal="right" vertical="center"/>
    </xf>
    <xf numFmtId="0" fontId="67" fillId="0" borderId="58" xfId="0" applyFont="1" applyBorder="1" applyAlignment="1">
      <alignment horizontal="center" vertical="center"/>
    </xf>
    <xf numFmtId="0" fontId="67" fillId="0" borderId="62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0" fontId="67" fillId="0" borderId="58" xfId="0" applyFont="1" applyBorder="1" applyAlignment="1">
      <alignment vertical="center"/>
    </xf>
    <xf numFmtId="0" fontId="67" fillId="0" borderId="62" xfId="0" applyFont="1" applyBorder="1" applyAlignment="1">
      <alignment vertical="center"/>
    </xf>
    <xf numFmtId="0" fontId="67" fillId="0" borderId="62" xfId="0" applyFont="1" applyBorder="1" applyAlignment="1">
      <alignment horizontal="left" vertical="center"/>
    </xf>
    <xf numFmtId="0" fontId="67" fillId="0" borderId="59" xfId="0" applyFont="1" applyBorder="1" applyAlignment="1">
      <alignment horizontal="left" vertical="center"/>
    </xf>
    <xf numFmtId="0" fontId="67" fillId="0" borderId="58" xfId="0" applyNumberFormat="1" applyFont="1" applyBorder="1" applyAlignment="1">
      <alignment vertical="center"/>
    </xf>
    <xf numFmtId="0" fontId="67" fillId="0" borderId="50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7" fillId="0" borderId="60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52" xfId="0" applyFont="1" applyBorder="1" applyAlignment="1">
      <alignment horizontal="center" vertical="center"/>
    </xf>
    <xf numFmtId="0" fontId="69" fillId="0" borderId="61" xfId="0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62" xfId="0" applyNumberFormat="1" applyFont="1" applyBorder="1" applyAlignment="1">
      <alignment horizontal="center" vertical="center"/>
    </xf>
    <xf numFmtId="0" fontId="67" fillId="0" borderId="59" xfId="0" applyNumberFormat="1" applyFont="1" applyBorder="1" applyAlignment="1">
      <alignment horizontal="center" vertical="center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2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62" xfId="0" applyFont="1" applyFill="1" applyBorder="1" applyAlignment="1">
      <alignment horizontal="center" vertical="center" wrapText="1"/>
    </xf>
    <xf numFmtId="0" fontId="67" fillId="32" borderId="59" xfId="0" applyFont="1" applyFill="1" applyBorder="1" applyAlignment="1">
      <alignment horizontal="center" vertical="center" wrapText="1"/>
    </xf>
    <xf numFmtId="2" fontId="67" fillId="0" borderId="58" xfId="0" applyNumberFormat="1" applyFont="1" applyBorder="1" applyAlignment="1">
      <alignment vertical="center"/>
    </xf>
    <xf numFmtId="2" fontId="67" fillId="0" borderId="62" xfId="0" applyNumberFormat="1" applyFont="1" applyBorder="1" applyAlignment="1">
      <alignment vertical="center"/>
    </xf>
    <xf numFmtId="194" fontId="67" fillId="0" borderId="39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52" xfId="0" applyFont="1" applyBorder="1" applyAlignment="1">
      <alignment horizontal="center" vertical="center"/>
    </xf>
    <xf numFmtId="207" fontId="65" fillId="0" borderId="39" xfId="0" applyNumberFormat="1" applyFont="1" applyBorder="1" applyAlignment="1">
      <alignment horizontal="center" vertical="center"/>
    </xf>
    <xf numFmtId="207" fontId="67" fillId="0" borderId="39" xfId="0" applyNumberFormat="1" applyFont="1" applyBorder="1" applyAlignment="1">
      <alignment horizontal="center" vertical="center"/>
    </xf>
    <xf numFmtId="0" fontId="52" fillId="32" borderId="49" xfId="0" applyNumberFormat="1" applyFont="1" applyFill="1" applyBorder="1" applyAlignment="1">
      <alignment horizontal="center" vertical="center" shrinkToFit="1"/>
    </xf>
    <xf numFmtId="0" fontId="52" fillId="32" borderId="49" xfId="0" applyNumberFormat="1" applyFont="1" applyFill="1" applyBorder="1" applyAlignment="1">
      <alignment horizontal="center" vertical="center"/>
    </xf>
    <xf numFmtId="0" fontId="67" fillId="0" borderId="49" xfId="0" applyNumberFormat="1" applyFont="1" applyBorder="1" applyAlignment="1">
      <alignment horizontal="center" vertical="center" shrinkToFit="1"/>
    </xf>
    <xf numFmtId="0" fontId="52" fillId="29" borderId="49" xfId="0" applyNumberFormat="1" applyFont="1" applyFill="1" applyBorder="1" applyAlignment="1">
      <alignment horizontal="center" vertical="center"/>
    </xf>
    <xf numFmtId="196" fontId="67" fillId="0" borderId="0" xfId="0" applyNumberFormat="1" applyFont="1" applyBorder="1" applyAlignment="1">
      <alignment horizontal="right"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0" fontId="82" fillId="28" borderId="47" xfId="0" applyNumberFormat="1" applyFont="1" applyFill="1" applyBorder="1" applyAlignment="1">
      <alignment horizontal="center" vertical="center"/>
    </xf>
    <xf numFmtId="0" fontId="82" fillId="28" borderId="53" xfId="0" applyNumberFormat="1" applyFont="1" applyFill="1" applyBorder="1" applyAlignment="1">
      <alignment horizontal="center" vertical="center"/>
    </xf>
    <xf numFmtId="0" fontId="82" fillId="28" borderId="47" xfId="0" applyNumberFormat="1" applyFont="1" applyFill="1" applyBorder="1" applyAlignment="1">
      <alignment horizontal="center" vertical="center" wrapText="1"/>
    </xf>
    <xf numFmtId="0" fontId="82" fillId="28" borderId="53" xfId="0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5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 wrapText="1"/>
    </xf>
    <xf numFmtId="0" fontId="52" fillId="0" borderId="58" xfId="0" applyNumberFormat="1" applyFont="1" applyBorder="1" applyAlignment="1">
      <alignment horizontal="center" vertical="center"/>
    </xf>
    <xf numFmtId="0" fontId="52" fillId="0" borderId="59" xfId="0" applyNumberFormat="1" applyFont="1" applyBorder="1" applyAlignment="1">
      <alignment horizontal="center" vertical="center"/>
    </xf>
    <xf numFmtId="190" fontId="82" fillId="28" borderId="64" xfId="0" applyNumberFormat="1" applyFont="1" applyFill="1" applyBorder="1" applyAlignment="1">
      <alignment horizontal="center" vertical="center" wrapText="1"/>
    </xf>
    <xf numFmtId="190" fontId="82" fillId="28" borderId="53" xfId="0" applyNumberFormat="1" applyFont="1" applyFill="1" applyBorder="1" applyAlignment="1">
      <alignment horizontal="center" vertical="center" wrapText="1"/>
    </xf>
    <xf numFmtId="189" fontId="81" fillId="0" borderId="69" xfId="0" applyNumberFormat="1" applyFont="1" applyFill="1" applyBorder="1" applyAlignment="1">
      <alignment horizontal="center" vertical="center"/>
    </xf>
    <xf numFmtId="188" fontId="81" fillId="32" borderId="69" xfId="86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41" fontId="52" fillId="0" borderId="60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61" xfId="87" applyFont="1" applyBorder="1" applyAlignment="1">
      <alignment horizontal="center" vertical="center" wrapText="1"/>
    </xf>
    <xf numFmtId="215" fontId="52" fillId="0" borderId="60" xfId="87" applyNumberFormat="1" applyFont="1" applyBorder="1" applyAlignment="1">
      <alignment horizontal="center" vertical="center"/>
    </xf>
    <xf numFmtId="215" fontId="52" fillId="0" borderId="17" xfId="87" applyNumberFormat="1" applyFont="1" applyBorder="1" applyAlignment="1">
      <alignment horizontal="center" vertical="center"/>
    </xf>
    <xf numFmtId="215" fontId="52" fillId="0" borderId="61" xfId="87" applyNumberFormat="1" applyFont="1" applyBorder="1" applyAlignment="1">
      <alignment horizontal="center" vertical="center"/>
    </xf>
    <xf numFmtId="193" fontId="81" fillId="0" borderId="44" xfId="0" applyNumberFormat="1" applyFont="1" applyFill="1" applyBorder="1" applyAlignment="1">
      <alignment horizontal="center" vertical="center"/>
    </xf>
    <xf numFmtId="193" fontId="81" fillId="0" borderId="45" xfId="0" applyNumberFormat="1" applyFont="1" applyFill="1" applyBorder="1" applyAlignment="1">
      <alignment horizontal="center" vertical="center"/>
    </xf>
    <xf numFmtId="193" fontId="81" fillId="0" borderId="46" xfId="0" applyNumberFormat="1" applyFont="1" applyFill="1" applyBorder="1" applyAlignment="1">
      <alignment horizontal="center" vertical="center"/>
    </xf>
    <xf numFmtId="190" fontId="82" fillId="28" borderId="44" xfId="0" applyNumberFormat="1" applyFont="1" applyFill="1" applyBorder="1" applyAlignment="1">
      <alignment horizontal="center" vertical="center" wrapText="1"/>
    </xf>
    <xf numFmtId="190" fontId="82" fillId="28" borderId="46" xfId="0" applyNumberFormat="1" applyFont="1" applyFill="1" applyBorder="1" applyAlignment="1">
      <alignment horizontal="center" vertical="center" wrapText="1"/>
    </xf>
    <xf numFmtId="0" fontId="81" fillId="0" borderId="69" xfId="0" applyNumberFormat="1" applyFont="1" applyFill="1" applyBorder="1" applyAlignment="1">
      <alignment horizontal="left" vertical="center"/>
    </xf>
    <xf numFmtId="49" fontId="81" fillId="0" borderId="69" xfId="0" applyNumberFormat="1" applyFont="1" applyFill="1" applyBorder="1" applyAlignment="1">
      <alignment horizontal="left" vertical="center"/>
    </xf>
  </cellXfs>
  <cellStyles count="10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1352550</xdr:colOff>
      <xdr:row>39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71800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71800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1352550</xdr:colOff>
      <xdr:row>39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581525" y="689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581525" y="689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38</xdr:row>
      <xdr:rowOff>9525</xdr:rowOff>
    </xdr:from>
    <xdr:to>
      <xdr:col>7</xdr:col>
      <xdr:colOff>267929</xdr:colOff>
      <xdr:row>38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26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26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33</xdr:row>
      <xdr:rowOff>80961</xdr:rowOff>
    </xdr:from>
    <xdr:ext cx="567604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1925" y="8101011"/>
              <a:ext cx="567604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1925" y="8101011"/>
              <a:ext cx="567604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𝐵_𝑥=𝑙_𝑠−𝑙_𝑥−(¯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𝑙_0+〖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𝑙〗_𝑐+〖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𝑙〗_𝐹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48</xdr:row>
      <xdr:rowOff>42861</xdr:rowOff>
    </xdr:from>
    <xdr:ext cx="791434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314325" y="11634786"/>
              <a:ext cx="79143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bar>
                              <m:barPr>
                                <m:pos m:val="top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ba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l-G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Δ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ko-KR" alt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314325" y="11634786"/>
              <a:ext cx="79143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𝑢_𝑐^2 (𝐵〗_𝑥)=𝑢^2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ko-KR" alt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+𝑢^2 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𝑙〗_𝑐)+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4763</xdr:colOff>
      <xdr:row>50</xdr:row>
      <xdr:rowOff>9524</xdr:rowOff>
    </xdr:from>
    <xdr:ext cx="6714915" cy="873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61963" y="12077699"/>
              <a:ext cx="6714915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61963" y="12077699"/>
              <a:ext cx="6714915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𝐵〗_𝑥/〖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𝑙〗_𝑠 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=−1,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=1</a:t>
              </a:r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42863</xdr:colOff>
      <xdr:row>76</xdr:row>
      <xdr:rowOff>57149</xdr:rowOff>
    </xdr:from>
    <xdr:ext cx="738087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1262063" y="18316574"/>
              <a:ext cx="73808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1262063" y="18316574"/>
              <a:ext cx="73808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𝐵〗_𝑥/〖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𝑙〗_𝑠 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42863</xdr:colOff>
      <xdr:row>92</xdr:row>
      <xdr:rowOff>57149</xdr:rowOff>
    </xdr:from>
    <xdr:ext cx="74033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1262063" y="22364699"/>
              <a:ext cx="74033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1262063" y="22364699"/>
              <a:ext cx="74033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79</xdr:row>
      <xdr:rowOff>23812</xdr:rowOff>
    </xdr:from>
    <xdr:ext cx="6308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076325" y="18997612"/>
              <a:ext cx="630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076325" y="18997612"/>
              <a:ext cx="630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47625</xdr:colOff>
      <xdr:row>87</xdr:row>
      <xdr:rowOff>23812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876425" y="2114073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76425" y="2114073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87</xdr:row>
      <xdr:rowOff>23812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2590800" y="2114073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2590800" y="2114073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19050</xdr:colOff>
      <xdr:row>90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1847850" y="2185511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1847850" y="2185511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114300</xdr:colOff>
      <xdr:row>90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2552700" y="2185511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2552700" y="2185511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4763</xdr:colOff>
      <xdr:row>108</xdr:row>
      <xdr:rowOff>57149</xdr:rowOff>
    </xdr:from>
    <xdr:ext cx="1347787" cy="371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1223963" y="26174699"/>
              <a:ext cx="1347787" cy="37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1223963" y="26174699"/>
              <a:ext cx="1347787" cy="37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𝐵〗_𝑥/(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∆𝑡∙𝑙_0=</a:t>
              </a:r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26</xdr:col>
      <xdr:colOff>38100</xdr:colOff>
      <xdr:row>97</xdr:row>
      <xdr:rowOff>33337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4000500" y="23531512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4000500" y="23531512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¯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142875</xdr:colOff>
      <xdr:row>98</xdr:row>
      <xdr:rowOff>33337</xdr:rowOff>
    </xdr:from>
    <xdr:ext cx="10333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4105275" y="24007762"/>
              <a:ext cx="1033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4105275" y="24007762"/>
              <a:ext cx="1033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¯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 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100</xdr:row>
      <xdr:rowOff>71437</xdr:rowOff>
    </xdr:from>
    <xdr:ext cx="1801711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3514725" y="24283987"/>
              <a:ext cx="18017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3514725" y="24283987"/>
              <a:ext cx="18017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𝑢^2 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)=1/4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1/4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133350</xdr:colOff>
      <xdr:row>103</xdr:row>
      <xdr:rowOff>23812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/>
            <xdr:cNvSpPr txBox="1"/>
          </xdr:nvSpPr>
          <xdr:spPr>
            <a:xfrm>
              <a:off x="4248150" y="24950737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4248150" y="24950737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9525</xdr:colOff>
      <xdr:row>104</xdr:row>
      <xdr:rowOff>204787</xdr:rowOff>
    </xdr:from>
    <xdr:ext cx="320344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1381125" y="25369837"/>
              <a:ext cx="320344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0.58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/℃</m:t>
                            </m:r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0.58×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/℃</m:t>
                            </m:r>
                          </m:e>
                        </m:d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1381125" y="25369837"/>
              <a:ext cx="320344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𝑢(¯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1/4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1/4 (0.58×〖10〗^(−6)/℃)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109538</xdr:colOff>
      <xdr:row>138</xdr:row>
      <xdr:rowOff>57149</xdr:rowOff>
    </xdr:from>
    <xdr:ext cx="1444626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1328738" y="33556574"/>
              <a:ext cx="1444626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1328738" y="33556574"/>
              <a:ext cx="1444626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112</xdr:row>
      <xdr:rowOff>14287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9525</xdr:colOff>
      <xdr:row>136</xdr:row>
      <xdr:rowOff>14287</xdr:rowOff>
    </xdr:from>
    <xdr:ext cx="4040273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/>
            <xdr:cNvSpPr txBox="1"/>
          </xdr:nvSpPr>
          <xdr:spPr>
            <a:xfrm>
              <a:off x="1381125" y="33037462"/>
              <a:ext cx="4040273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0.58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/℃</m:t>
                            </m:r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0.58×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/℃</m:t>
                            </m:r>
                          </m:e>
                        </m:d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1381125" y="33037462"/>
              <a:ext cx="4040273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(0.58×〖10〗^(−6)/℃)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4763</xdr:colOff>
      <xdr:row>124</xdr:row>
      <xdr:rowOff>57149</xdr:rowOff>
    </xdr:from>
    <xdr:ext cx="1352743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/>
            <xdr:cNvSpPr txBox="1"/>
          </xdr:nvSpPr>
          <xdr:spPr>
            <a:xfrm>
              <a:off x="1223963" y="29270324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77" name="TextBox 76"/>
            <xdr:cNvSpPr txBox="1"/>
          </xdr:nvSpPr>
          <xdr:spPr>
            <a:xfrm>
              <a:off x="1223963" y="29270324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𝐵〗_𝑥/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∙𝑙_0=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14</xdr:col>
      <xdr:colOff>38100</xdr:colOff>
      <xdr:row>122</xdr:row>
      <xdr:rowOff>33337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171700" y="29246512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171700" y="29246512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114</xdr:row>
      <xdr:rowOff>4762</xdr:rowOff>
    </xdr:from>
    <xdr:ext cx="3672800" cy="533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0.41×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1/2</m:t>
                                    </m:r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1/2×0.58×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80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(¯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(0.41×〖10〗^(−6)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4/((1/2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(1/2×0.58×〖10〗^(−6)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142</xdr:row>
      <xdr:rowOff>9525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144</xdr:row>
      <xdr:rowOff>0</xdr:rowOff>
    </xdr:from>
    <xdr:ext cx="2897908" cy="53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0.82×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47625</xdr:colOff>
      <xdr:row>152</xdr:row>
      <xdr:rowOff>28575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/>
            <xdr:cNvSpPr txBox="1"/>
          </xdr:nvSpPr>
          <xdr:spPr>
            <a:xfrm>
              <a:off x="2181225" y="36385500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2181225" y="36385500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133350</xdr:colOff>
      <xdr:row>154</xdr:row>
      <xdr:rowOff>57150</xdr:rowOff>
    </xdr:from>
    <xdr:ext cx="14265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/>
            <xdr:cNvSpPr txBox="1"/>
          </xdr:nvSpPr>
          <xdr:spPr>
            <a:xfrm>
              <a:off x="1352550" y="37604700"/>
              <a:ext cx="14265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1352550" y="37604700"/>
              <a:ext cx="14265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167</xdr:row>
      <xdr:rowOff>57150</xdr:rowOff>
    </xdr:from>
    <xdr:ext cx="840038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/>
            <xdr:cNvSpPr txBox="1"/>
          </xdr:nvSpPr>
          <xdr:spPr>
            <a:xfrm>
              <a:off x="1228725" y="39985950"/>
              <a:ext cx="840038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89" name="TextBox 88"/>
            <xdr:cNvSpPr txBox="1"/>
          </xdr:nvSpPr>
          <xdr:spPr>
            <a:xfrm>
              <a:off x="1228725" y="39985950"/>
              <a:ext cx="840038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15</xdr:col>
      <xdr:colOff>9525</xdr:colOff>
      <xdr:row>165</xdr:row>
      <xdr:rowOff>28575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/>
            <xdr:cNvSpPr txBox="1"/>
          </xdr:nvSpPr>
          <xdr:spPr>
            <a:xfrm>
              <a:off x="2143125" y="3995737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90"/>
            <xdr:cNvSpPr txBox="1"/>
          </xdr:nvSpPr>
          <xdr:spPr>
            <a:xfrm>
              <a:off x="2143125" y="3995737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9525</xdr:colOff>
      <xdr:row>165</xdr:row>
      <xdr:rowOff>28575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2905125" y="3995737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2905125" y="3995737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181</xdr:row>
      <xdr:rowOff>57150</xdr:rowOff>
    </xdr:from>
    <xdr:ext cx="834844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1228725" y="43319700"/>
              <a:ext cx="834844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1228725" y="43319700"/>
              <a:ext cx="834844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170</xdr:row>
      <xdr:rowOff>9525</xdr:rowOff>
    </xdr:from>
    <xdr:ext cx="224997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1076325" y="41128950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1076325" y="41128950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76200</xdr:colOff>
      <xdr:row>179</xdr:row>
      <xdr:rowOff>28575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2209800" y="43291125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2209800" y="43291125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184</xdr:row>
      <xdr:rowOff>9525</xdr:rowOff>
    </xdr:from>
    <xdr:ext cx="2203937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/>
            <xdr:cNvSpPr txBox="1"/>
          </xdr:nvSpPr>
          <xdr:spPr>
            <a:xfrm>
              <a:off x="1076325" y="43986450"/>
              <a:ext cx="220393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97"/>
            <xdr:cNvSpPr txBox="1"/>
          </xdr:nvSpPr>
          <xdr:spPr>
            <a:xfrm>
              <a:off x="1076325" y="43986450"/>
              <a:ext cx="220393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𝑙〗_𝑐 )=1/2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195</xdr:row>
      <xdr:rowOff>57150</xdr:rowOff>
    </xdr:from>
    <xdr:ext cx="860685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1228725" y="46653450"/>
              <a:ext cx="86068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1228725" y="46653450"/>
              <a:ext cx="86068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=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15</xdr:col>
      <xdr:colOff>76200</xdr:colOff>
      <xdr:row>193</xdr:row>
      <xdr:rowOff>28575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2209800" y="43291125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2209800" y="43291125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198</xdr:row>
      <xdr:rowOff>9525</xdr:rowOff>
    </xdr:from>
    <xdr:ext cx="2240742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/>
            <xdr:cNvSpPr txBox="1"/>
          </xdr:nvSpPr>
          <xdr:spPr>
            <a:xfrm>
              <a:off x="1076325" y="47796450"/>
              <a:ext cx="2240742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101"/>
            <xdr:cNvSpPr txBox="1"/>
          </xdr:nvSpPr>
          <xdr:spPr>
            <a:xfrm>
              <a:off x="1076325" y="47796450"/>
              <a:ext cx="2240742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 )=1/2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202</xdr:row>
      <xdr:rowOff>38100</xdr:rowOff>
    </xdr:from>
    <xdr:ext cx="57944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/>
            <xdr:cNvSpPr txBox="1"/>
          </xdr:nvSpPr>
          <xdr:spPr>
            <a:xfrm>
              <a:off x="180975" y="48301275"/>
              <a:ext cx="5794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l-G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Δ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102"/>
            <xdr:cNvSpPr txBox="1"/>
          </xdr:nvSpPr>
          <xdr:spPr>
            <a:xfrm>
              <a:off x="180975" y="48301275"/>
              <a:ext cx="5794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𝑢_𝑐^2 (𝐵〗_𝑥)=𝑢^2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+𝑢^2 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𝑙〗_𝑐)+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123825</xdr:colOff>
      <xdr:row>203</xdr:row>
      <xdr:rowOff>42862</xdr:rowOff>
    </xdr:from>
    <xdr:ext cx="89710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28625" y="490204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28625" y="490204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123825</xdr:colOff>
      <xdr:row>203</xdr:row>
      <xdr:rowOff>42862</xdr:rowOff>
    </xdr:from>
    <xdr:ext cx="89710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1495425" y="490204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1495425" y="490204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203</xdr:row>
      <xdr:rowOff>42862</xdr:rowOff>
    </xdr:from>
    <xdr:ext cx="89710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2562225" y="490204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2562225" y="490204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123825</xdr:colOff>
      <xdr:row>203</xdr:row>
      <xdr:rowOff>42862</xdr:rowOff>
    </xdr:from>
    <xdr:ext cx="89710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/>
            <xdr:cNvSpPr txBox="1"/>
          </xdr:nvSpPr>
          <xdr:spPr>
            <a:xfrm>
              <a:off x="3629025" y="490204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106"/>
            <xdr:cNvSpPr txBox="1"/>
          </xdr:nvSpPr>
          <xdr:spPr>
            <a:xfrm>
              <a:off x="3629025" y="490204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123825</xdr:colOff>
      <xdr:row>203</xdr:row>
      <xdr:rowOff>42862</xdr:rowOff>
    </xdr:from>
    <xdr:ext cx="89710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4695825" y="490204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4695825" y="490204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123825</xdr:colOff>
      <xdr:row>204</xdr:row>
      <xdr:rowOff>33337</xdr:rowOff>
    </xdr:from>
    <xdr:ext cx="89710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/>
            <xdr:cNvSpPr txBox="1"/>
          </xdr:nvSpPr>
          <xdr:spPr>
            <a:xfrm>
              <a:off x="733425" y="492490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108"/>
            <xdr:cNvSpPr txBox="1"/>
          </xdr:nvSpPr>
          <xdr:spPr>
            <a:xfrm>
              <a:off x="733425" y="492490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123825</xdr:colOff>
      <xdr:row>204</xdr:row>
      <xdr:rowOff>33337</xdr:rowOff>
    </xdr:from>
    <xdr:ext cx="89710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/>
            <xdr:cNvSpPr txBox="1"/>
          </xdr:nvSpPr>
          <xdr:spPr>
            <a:xfrm>
              <a:off x="1800225" y="492490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109"/>
            <xdr:cNvSpPr txBox="1"/>
          </xdr:nvSpPr>
          <xdr:spPr>
            <a:xfrm>
              <a:off x="1800225" y="492490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204</xdr:row>
      <xdr:rowOff>33337</xdr:rowOff>
    </xdr:from>
    <xdr:ext cx="89710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/>
            <xdr:cNvSpPr txBox="1"/>
          </xdr:nvSpPr>
          <xdr:spPr>
            <a:xfrm>
              <a:off x="2857500" y="492490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110"/>
            <xdr:cNvSpPr txBox="1"/>
          </xdr:nvSpPr>
          <xdr:spPr>
            <a:xfrm>
              <a:off x="2857500" y="49249012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133350</xdr:colOff>
      <xdr:row>205</xdr:row>
      <xdr:rowOff>33337</xdr:rowOff>
    </xdr:from>
    <xdr:ext cx="89710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438150" y="49487137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438150" y="49487137"/>
              <a:ext cx="89710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123825</xdr:colOff>
      <xdr:row>211</xdr:row>
      <xdr:rowOff>33337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/>
            <xdr:cNvSpPr txBox="1"/>
          </xdr:nvSpPr>
          <xdr:spPr>
            <a:xfrm>
              <a:off x="1343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112"/>
            <xdr:cNvSpPr txBox="1"/>
          </xdr:nvSpPr>
          <xdr:spPr>
            <a:xfrm>
              <a:off x="1343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123825</xdr:colOff>
      <xdr:row>211</xdr:row>
      <xdr:rowOff>33337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/>
            <xdr:cNvSpPr txBox="1"/>
          </xdr:nvSpPr>
          <xdr:spPr>
            <a:xfrm>
              <a:off x="2105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113"/>
            <xdr:cNvSpPr txBox="1"/>
          </xdr:nvSpPr>
          <xdr:spPr>
            <a:xfrm>
              <a:off x="2105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211</xdr:row>
      <xdr:rowOff>33337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/>
            <xdr:cNvSpPr txBox="1"/>
          </xdr:nvSpPr>
          <xdr:spPr>
            <a:xfrm>
              <a:off x="2857500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114"/>
            <xdr:cNvSpPr txBox="1"/>
          </xdr:nvSpPr>
          <xdr:spPr>
            <a:xfrm>
              <a:off x="2857500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123825</xdr:colOff>
      <xdr:row>211</xdr:row>
      <xdr:rowOff>33337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/>
            <xdr:cNvSpPr txBox="1"/>
          </xdr:nvSpPr>
          <xdr:spPr>
            <a:xfrm>
              <a:off x="3629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115"/>
            <xdr:cNvSpPr txBox="1"/>
          </xdr:nvSpPr>
          <xdr:spPr>
            <a:xfrm>
              <a:off x="3629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123825</xdr:colOff>
      <xdr:row>211</xdr:row>
      <xdr:rowOff>33337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/>
            <xdr:cNvSpPr txBox="1"/>
          </xdr:nvSpPr>
          <xdr:spPr>
            <a:xfrm>
              <a:off x="4391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116"/>
            <xdr:cNvSpPr txBox="1"/>
          </xdr:nvSpPr>
          <xdr:spPr>
            <a:xfrm>
              <a:off x="4391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123825</xdr:colOff>
      <xdr:row>211</xdr:row>
      <xdr:rowOff>33337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/>
            <xdr:cNvSpPr txBox="1"/>
          </xdr:nvSpPr>
          <xdr:spPr>
            <a:xfrm>
              <a:off x="5153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117"/>
            <xdr:cNvSpPr txBox="1"/>
          </xdr:nvSpPr>
          <xdr:spPr>
            <a:xfrm>
              <a:off x="5153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123825</xdr:colOff>
      <xdr:row>211</xdr:row>
      <xdr:rowOff>33337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5915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5915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123825</xdr:colOff>
      <xdr:row>211</xdr:row>
      <xdr:rowOff>33337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/>
            <xdr:cNvSpPr txBox="1"/>
          </xdr:nvSpPr>
          <xdr:spPr>
            <a:xfrm>
              <a:off x="6677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6677025" y="50915887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95250</xdr:colOff>
      <xdr:row>210</xdr:row>
      <xdr:rowOff>33337</xdr:rowOff>
    </xdr:from>
    <xdr:ext cx="6798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/>
            <xdr:cNvSpPr txBox="1"/>
          </xdr:nvSpPr>
          <xdr:spPr>
            <a:xfrm>
              <a:off x="4057650" y="50677762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120"/>
            <xdr:cNvSpPr txBox="1"/>
          </xdr:nvSpPr>
          <xdr:spPr>
            <a:xfrm>
              <a:off x="4057650" y="50677762"/>
              <a:ext cx="6798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210</xdr:row>
      <xdr:rowOff>52387</xdr:rowOff>
    </xdr:from>
    <xdr:ext cx="1506695" cy="51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/>
            <xdr:cNvSpPr txBox="1"/>
          </xdr:nvSpPr>
          <xdr:spPr>
            <a:xfrm>
              <a:off x="161925" y="50696812"/>
              <a:ext cx="1506695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latin typeface="Cambria Math" panose="02040503050406030204" pitchFamily="18" charset="0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  <m:d>
                                          <m:dPr>
                                            <m:ctrlPr>
                                              <a:rPr lang="en-US" altLang="ko-K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altLang="ko-KR" sz="11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altLang="ko-KR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altLang="ko-KR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121"/>
            <xdr:cNvSpPr txBox="1"/>
          </xdr:nvSpPr>
          <xdr:spPr>
            <a:xfrm>
              <a:off x="161925" y="50696812"/>
              <a:ext cx="1506695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𝑒𝑓𝑓=(𝑢_𝑐^4 (𝑦))/(∑24_(𝑖=1)^𝑁▒[𝑐_𝑖 𝑢(𝑥_𝑖 )]^4/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_𝑖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60</xdr:row>
      <xdr:rowOff>19050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/>
            <xdr:cNvSpPr txBox="1"/>
          </xdr:nvSpPr>
          <xdr:spPr>
            <a:xfrm>
              <a:off x="704850" y="1446847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122"/>
            <xdr:cNvSpPr txBox="1"/>
          </xdr:nvSpPr>
          <xdr:spPr>
            <a:xfrm>
              <a:off x="704850" y="1446847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¯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39</xdr:row>
      <xdr:rowOff>28575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/>
            <xdr:cNvSpPr txBox="1"/>
          </xdr:nvSpPr>
          <xdr:spPr>
            <a:xfrm>
              <a:off x="485775" y="947737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123"/>
            <xdr:cNvSpPr txBox="1"/>
          </xdr:nvSpPr>
          <xdr:spPr>
            <a:xfrm>
              <a:off x="485775" y="947737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¯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127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3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157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34" t="s">
        <v>0</v>
      </c>
      <c r="B1" s="335"/>
      <c r="C1" s="335"/>
      <c r="D1" s="335"/>
      <c r="E1" s="335"/>
      <c r="F1" s="335"/>
      <c r="G1" s="335"/>
      <c r="H1" s="336"/>
      <c r="I1" s="337"/>
      <c r="J1" s="338"/>
    </row>
    <row r="2" spans="1:13" ht="12.95" customHeight="1">
      <c r="A2" s="314" t="s">
        <v>1</v>
      </c>
      <c r="B2" s="314"/>
      <c r="C2" s="314"/>
      <c r="D2" s="314"/>
      <c r="E2" s="314"/>
      <c r="F2" s="314"/>
      <c r="G2" s="314"/>
      <c r="H2" s="314"/>
      <c r="I2" s="314"/>
      <c r="J2" s="314"/>
    </row>
    <row r="3" spans="1:13" ht="12.95" customHeight="1">
      <c r="A3" s="315" t="s">
        <v>2</v>
      </c>
      <c r="B3" s="316"/>
      <c r="C3" s="339"/>
      <c r="D3" s="339"/>
      <c r="E3" s="339"/>
      <c r="F3" s="316" t="s">
        <v>3</v>
      </c>
      <c r="G3" s="316"/>
      <c r="H3" s="330"/>
      <c r="I3" s="329"/>
      <c r="J3" s="329"/>
    </row>
    <row r="4" spans="1:13" ht="12.95" customHeight="1">
      <c r="A4" s="316" t="s">
        <v>4</v>
      </c>
      <c r="B4" s="316"/>
      <c r="C4" s="340"/>
      <c r="D4" s="316"/>
      <c r="E4" s="316"/>
      <c r="F4" s="316" t="s">
        <v>5</v>
      </c>
      <c r="G4" s="316"/>
      <c r="H4" s="316"/>
      <c r="I4" s="329"/>
      <c r="J4" s="329"/>
    </row>
    <row r="5" spans="1:13" ht="12.95" customHeight="1">
      <c r="A5" s="316" t="s">
        <v>6</v>
      </c>
      <c r="B5" s="316"/>
      <c r="C5" s="316"/>
      <c r="D5" s="329"/>
      <c r="E5" s="329"/>
      <c r="F5" s="315" t="s">
        <v>7</v>
      </c>
      <c r="G5" s="316"/>
      <c r="H5" s="317"/>
      <c r="I5" s="318"/>
      <c r="J5" s="318"/>
    </row>
    <row r="6" spans="1:13" ht="12.95" customHeight="1">
      <c r="A6" s="316" t="s">
        <v>8</v>
      </c>
      <c r="B6" s="316"/>
      <c r="C6" s="316"/>
      <c r="D6" s="329"/>
      <c r="E6" s="329"/>
      <c r="F6" s="315" t="s">
        <v>9</v>
      </c>
      <c r="G6" s="316"/>
      <c r="H6" s="317"/>
      <c r="I6" s="318"/>
      <c r="J6" s="318"/>
    </row>
    <row r="7" spans="1:13" ht="12.95" customHeight="1">
      <c r="A7" s="316" t="s">
        <v>10</v>
      </c>
      <c r="B7" s="316"/>
      <c r="C7" s="332"/>
      <c r="D7" s="329"/>
      <c r="E7" s="329"/>
      <c r="F7" s="315" t="s">
        <v>11</v>
      </c>
      <c r="G7" s="316"/>
      <c r="H7" s="316"/>
      <c r="I7" s="329"/>
      <c r="J7" s="329"/>
    </row>
    <row r="8" spans="1:13" ht="12.95" customHeight="1">
      <c r="A8" s="316" t="s">
        <v>12</v>
      </c>
      <c r="B8" s="316"/>
      <c r="C8" s="330"/>
      <c r="D8" s="331"/>
      <c r="E8" s="331"/>
      <c r="F8" s="315" t="s">
        <v>13</v>
      </c>
      <c r="G8" s="316"/>
      <c r="H8" s="316"/>
      <c r="I8" s="329"/>
      <c r="J8" s="329"/>
    </row>
    <row r="9" spans="1:13" ht="12.95" customHeight="1">
      <c r="A9" s="315" t="s">
        <v>35</v>
      </c>
      <c r="B9" s="316"/>
      <c r="C9" s="317"/>
      <c r="D9" s="318"/>
      <c r="E9" s="318"/>
      <c r="F9" s="333" t="s">
        <v>14</v>
      </c>
      <c r="G9" s="333"/>
      <c r="H9" s="317"/>
      <c r="I9" s="318"/>
      <c r="J9" s="318"/>
    </row>
    <row r="10" spans="1:13" ht="23.25" customHeight="1">
      <c r="A10" s="316" t="s">
        <v>15</v>
      </c>
      <c r="B10" s="316"/>
      <c r="C10" s="317"/>
      <c r="D10" s="318"/>
      <c r="E10" s="318"/>
      <c r="F10" s="316" t="s">
        <v>16</v>
      </c>
      <c r="G10" s="316"/>
      <c r="H10" s="34"/>
      <c r="I10" s="321" t="s">
        <v>17</v>
      </c>
      <c r="J10" s="322"/>
      <c r="K10" s="4"/>
    </row>
    <row r="11" spans="1:13" ht="12.95" customHeight="1">
      <c r="A11" s="314" t="s">
        <v>18</v>
      </c>
      <c r="B11" s="314"/>
      <c r="C11" s="314"/>
      <c r="D11" s="314"/>
      <c r="E11" s="314"/>
      <c r="F11" s="314"/>
      <c r="G11" s="314"/>
      <c r="H11" s="314"/>
      <c r="I11" s="314"/>
      <c r="J11" s="314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23" t="s">
        <v>22</v>
      </c>
      <c r="H12" s="319"/>
      <c r="I12" s="325" t="s">
        <v>23</v>
      </c>
      <c r="J12" s="326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24"/>
      <c r="H13" s="320"/>
      <c r="I13" s="327"/>
      <c r="J13" s="328"/>
      <c r="K13" s="5"/>
    </row>
    <row r="14" spans="1:13" ht="12.95" customHeight="1">
      <c r="A14" s="314" t="s">
        <v>27</v>
      </c>
      <c r="B14" s="314"/>
      <c r="C14" s="314"/>
      <c r="D14" s="314"/>
      <c r="E14" s="314"/>
      <c r="F14" s="314"/>
      <c r="G14" s="314"/>
      <c r="H14" s="314"/>
      <c r="I14" s="314"/>
      <c r="J14" s="314"/>
      <c r="K14" s="5"/>
    </row>
    <row r="15" spans="1:13" ht="39" customHeight="1">
      <c r="A15" s="311"/>
      <c r="B15" s="312"/>
      <c r="C15" s="312"/>
      <c r="D15" s="312"/>
      <c r="E15" s="312"/>
      <c r="F15" s="312"/>
      <c r="G15" s="312"/>
      <c r="H15" s="312"/>
      <c r="I15" s="312"/>
      <c r="J15" s="313"/>
    </row>
    <row r="16" spans="1:13" ht="12.95" customHeight="1">
      <c r="A16" s="314" t="s">
        <v>28</v>
      </c>
      <c r="B16" s="314"/>
      <c r="C16" s="314"/>
      <c r="D16" s="314"/>
      <c r="E16" s="314"/>
      <c r="F16" s="314"/>
      <c r="G16" s="314"/>
      <c r="H16" s="314"/>
      <c r="I16" s="314"/>
      <c r="J16" s="314"/>
    </row>
    <row r="17" spans="1:12" ht="12.95" customHeight="1">
      <c r="A17" s="3" t="s">
        <v>29</v>
      </c>
      <c r="B17" s="315" t="s">
        <v>30</v>
      </c>
      <c r="C17" s="316"/>
      <c r="D17" s="316"/>
      <c r="E17" s="316"/>
      <c r="F17" s="315" t="s">
        <v>31</v>
      </c>
      <c r="G17" s="316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09"/>
      <c r="C18" s="310"/>
      <c r="D18" s="310"/>
      <c r="E18" s="310"/>
      <c r="F18" s="309"/>
      <c r="G18" s="310"/>
      <c r="H18" s="40"/>
      <c r="I18" s="18"/>
      <c r="J18" s="87"/>
      <c r="L18" s="5"/>
    </row>
    <row r="19" spans="1:12" ht="12.95" customHeight="1">
      <c r="A19" s="35"/>
      <c r="B19" s="309"/>
      <c r="C19" s="310"/>
      <c r="D19" s="310"/>
      <c r="E19" s="310"/>
      <c r="F19" s="309"/>
      <c r="G19" s="310"/>
      <c r="H19" s="21"/>
      <c r="I19" s="21"/>
      <c r="J19" s="87"/>
      <c r="L19" s="5"/>
    </row>
    <row r="20" spans="1:12" ht="12.95" customHeight="1">
      <c r="A20" s="35"/>
      <c r="B20" s="309"/>
      <c r="C20" s="310"/>
      <c r="D20" s="310"/>
      <c r="E20" s="310"/>
      <c r="F20" s="309"/>
      <c r="G20" s="310"/>
      <c r="H20" s="32"/>
      <c r="I20" s="32"/>
      <c r="J20" s="87"/>
      <c r="L20" s="5"/>
    </row>
    <row r="21" spans="1:12" ht="12.95" customHeight="1">
      <c r="A21" s="35"/>
      <c r="B21" s="309"/>
      <c r="C21" s="310"/>
      <c r="D21" s="310"/>
      <c r="E21" s="310"/>
      <c r="F21" s="309"/>
      <c r="G21" s="310"/>
      <c r="H21" s="32"/>
      <c r="I21" s="9"/>
      <c r="J21" s="87"/>
      <c r="L21" s="5"/>
    </row>
    <row r="22" spans="1:12" ht="12.95" customHeight="1">
      <c r="A22" s="35"/>
      <c r="B22" s="309"/>
      <c r="C22" s="310"/>
      <c r="D22" s="310"/>
      <c r="E22" s="310"/>
      <c r="F22" s="309"/>
      <c r="G22" s="310"/>
      <c r="H22" s="20"/>
      <c r="I22" s="11"/>
      <c r="J22" s="87"/>
      <c r="L22" s="5"/>
    </row>
    <row r="23" spans="1:12" ht="12.95" customHeight="1">
      <c r="A23" s="35"/>
      <c r="B23" s="309"/>
      <c r="C23" s="310"/>
      <c r="D23" s="310"/>
      <c r="E23" s="310"/>
      <c r="F23" s="309"/>
      <c r="G23" s="310"/>
      <c r="H23" s="11"/>
      <c r="I23" s="9"/>
      <c r="J23" s="87"/>
      <c r="L23" s="5"/>
    </row>
    <row r="24" spans="1:12" ht="12.95" customHeight="1">
      <c r="A24" s="35"/>
      <c r="B24" s="309"/>
      <c r="C24" s="310"/>
      <c r="D24" s="310"/>
      <c r="E24" s="310"/>
      <c r="F24" s="309"/>
      <c r="G24" s="310"/>
      <c r="H24" s="16"/>
      <c r="I24" s="9"/>
      <c r="J24" s="87"/>
      <c r="L24" s="5"/>
    </row>
    <row r="25" spans="1:12" ht="12.95" customHeight="1">
      <c r="A25" s="35"/>
      <c r="B25" s="309"/>
      <c r="C25" s="310"/>
      <c r="D25" s="310"/>
      <c r="E25" s="310"/>
      <c r="F25" s="309"/>
      <c r="G25" s="310"/>
      <c r="H25" s="16"/>
      <c r="I25" s="9"/>
      <c r="J25" s="87"/>
      <c r="L25" s="5"/>
    </row>
    <row r="26" spans="1:12" ht="12.95" customHeight="1">
      <c r="A26" s="35"/>
      <c r="B26" s="309"/>
      <c r="C26" s="310"/>
      <c r="D26" s="310"/>
      <c r="E26" s="310"/>
      <c r="F26" s="309"/>
      <c r="G26" s="310"/>
      <c r="H26" s="16"/>
      <c r="I26" s="9"/>
      <c r="J26" s="87"/>
      <c r="L26" s="5"/>
    </row>
    <row r="27" spans="1:12" ht="12.95" customHeight="1">
      <c r="A27" s="35"/>
      <c r="B27" s="309"/>
      <c r="C27" s="310"/>
      <c r="D27" s="310"/>
      <c r="E27" s="310"/>
      <c r="F27" s="309"/>
      <c r="G27" s="310"/>
      <c r="H27" s="9"/>
      <c r="I27" s="9"/>
      <c r="J27" s="87"/>
    </row>
    <row r="28" spans="1:12" ht="12.95" customHeight="1">
      <c r="A28" s="35"/>
      <c r="B28" s="309"/>
      <c r="C28" s="310"/>
      <c r="D28" s="310"/>
      <c r="E28" s="310"/>
      <c r="F28" s="309"/>
      <c r="G28" s="310"/>
      <c r="H28" s="9"/>
      <c r="I28" s="9"/>
      <c r="J28" s="87"/>
    </row>
    <row r="29" spans="1:12" ht="12.95" customHeight="1">
      <c r="A29" s="35"/>
      <c r="B29" s="309"/>
      <c r="C29" s="310"/>
      <c r="D29" s="310"/>
      <c r="E29" s="310"/>
      <c r="F29" s="309"/>
      <c r="G29" s="310"/>
      <c r="H29" s="9"/>
      <c r="I29" s="9"/>
      <c r="J29" s="87"/>
    </row>
    <row r="30" spans="1:12" ht="12.95" customHeight="1">
      <c r="A30" s="35"/>
      <c r="B30" s="309"/>
      <c r="C30" s="310"/>
      <c r="D30" s="310"/>
      <c r="E30" s="310"/>
      <c r="F30" s="309"/>
      <c r="G30" s="310"/>
      <c r="H30" s="9"/>
      <c r="I30" s="9"/>
      <c r="J30" s="87"/>
    </row>
    <row r="31" spans="1:12" ht="12.95" customHeight="1">
      <c r="A31" s="35"/>
      <c r="B31" s="309"/>
      <c r="C31" s="310"/>
      <c r="D31" s="310"/>
      <c r="E31" s="310"/>
      <c r="F31" s="309"/>
      <c r="G31" s="310"/>
      <c r="H31" s="9"/>
      <c r="I31" s="9"/>
      <c r="J31" s="87"/>
    </row>
    <row r="32" spans="1:12" ht="12.95" customHeight="1">
      <c r="A32" s="35"/>
      <c r="B32" s="309"/>
      <c r="C32" s="310"/>
      <c r="D32" s="310"/>
      <c r="E32" s="310"/>
      <c r="F32" s="309"/>
      <c r="G32" s="310"/>
      <c r="H32" s="9"/>
      <c r="I32" s="9"/>
      <c r="J32" s="87"/>
    </row>
    <row r="33" spans="1:10" ht="12.95" customHeight="1">
      <c r="A33" s="35"/>
      <c r="B33" s="309"/>
      <c r="C33" s="310"/>
      <c r="D33" s="310"/>
      <c r="E33" s="310"/>
      <c r="F33" s="309"/>
      <c r="G33" s="310"/>
      <c r="H33" s="9"/>
      <c r="I33" s="9"/>
      <c r="J33" s="87"/>
    </row>
    <row r="34" spans="1:10" ht="12.95" customHeight="1">
      <c r="A34" s="35"/>
      <c r="B34" s="309"/>
      <c r="C34" s="310"/>
      <c r="D34" s="310"/>
      <c r="E34" s="310"/>
      <c r="F34" s="309"/>
      <c r="G34" s="310"/>
      <c r="H34" s="9"/>
      <c r="I34" s="9"/>
      <c r="J34" s="87"/>
    </row>
    <row r="35" spans="1:10" ht="12.95" customHeight="1">
      <c r="A35" s="35"/>
      <c r="B35" s="309"/>
      <c r="C35" s="310"/>
      <c r="D35" s="310"/>
      <c r="E35" s="310"/>
      <c r="F35" s="309"/>
      <c r="G35" s="310"/>
      <c r="H35" s="9"/>
      <c r="I35" s="9"/>
      <c r="J35" s="87"/>
    </row>
    <row r="36" spans="1:10" ht="12.95" customHeight="1">
      <c r="A36" s="35"/>
      <c r="B36" s="309"/>
      <c r="C36" s="310"/>
      <c r="D36" s="310"/>
      <c r="E36" s="310"/>
      <c r="F36" s="309"/>
      <c r="G36" s="310"/>
      <c r="H36" s="9"/>
      <c r="I36" s="9"/>
      <c r="J36" s="87"/>
    </row>
    <row r="37" spans="1:10" ht="12.95" customHeight="1">
      <c r="A37" s="35"/>
      <c r="B37" s="309"/>
      <c r="C37" s="310"/>
      <c r="D37" s="310"/>
      <c r="E37" s="310"/>
      <c r="F37" s="309"/>
      <c r="G37" s="310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95" t="s">
        <v>37</v>
      </c>
      <c r="B39" s="295"/>
      <c r="C39" s="295"/>
      <c r="D39" s="295"/>
      <c r="E39" s="295"/>
      <c r="F39" s="296" t="s">
        <v>38</v>
      </c>
      <c r="G39" s="299"/>
      <c r="H39" s="300"/>
      <c r="I39" s="300"/>
      <c r="J39" s="301"/>
    </row>
    <row r="40" spans="1:10" ht="12.95" customHeight="1">
      <c r="A40" s="295" t="s">
        <v>39</v>
      </c>
      <c r="B40" s="295"/>
      <c r="C40" s="295"/>
      <c r="D40" s="295"/>
      <c r="E40" s="295"/>
      <c r="F40" s="297"/>
      <c r="G40" s="302"/>
      <c r="H40" s="303"/>
      <c r="I40" s="303"/>
      <c r="J40" s="304"/>
    </row>
    <row r="41" spans="1:10" ht="12.95" customHeight="1">
      <c r="A41" s="295" t="s">
        <v>40</v>
      </c>
      <c r="B41" s="295"/>
      <c r="C41" s="295"/>
      <c r="D41" s="295"/>
      <c r="E41" s="295"/>
      <c r="F41" s="297"/>
      <c r="G41" s="302"/>
      <c r="H41" s="303"/>
      <c r="I41" s="303"/>
      <c r="J41" s="304"/>
    </row>
    <row r="42" spans="1:10" ht="12.95" customHeight="1">
      <c r="A42" s="295" t="s">
        <v>41</v>
      </c>
      <c r="B42" s="295"/>
      <c r="C42" s="308" t="s">
        <v>42</v>
      </c>
      <c r="D42" s="308"/>
      <c r="E42" s="308"/>
      <c r="F42" s="298"/>
      <c r="G42" s="305"/>
      <c r="H42" s="306"/>
      <c r="I42" s="306"/>
      <c r="J42" s="307"/>
    </row>
    <row r="43" spans="1:10" ht="12.95" customHeight="1">
      <c r="A43" s="294" t="s">
        <v>52</v>
      </c>
      <c r="B43" s="294"/>
      <c r="C43" s="294" t="e">
        <f ca="1">Calcu!S3</f>
        <v>#N/A</v>
      </c>
      <c r="D43" s="294"/>
      <c r="E43" s="294"/>
    </row>
    <row r="46" spans="1:10" ht="12.95" customHeight="1">
      <c r="B46" s="1" t="s">
        <v>423</v>
      </c>
    </row>
    <row r="47" spans="1:10" ht="12.95" customHeight="1">
      <c r="B47" s="1" t="s">
        <v>424</v>
      </c>
    </row>
    <row r="48" spans="1:10" ht="12.95" customHeight="1">
      <c r="A48" s="1">
        <f>Calcu!R65</f>
        <v>15500</v>
      </c>
      <c r="B48" s="1" t="s">
        <v>468</v>
      </c>
    </row>
    <row r="49" spans="1:2" ht="12.95" customHeight="1">
      <c r="A49" s="116"/>
    </row>
    <row r="50" spans="1:2" ht="12.95" customHeight="1">
      <c r="A50" s="1" t="str">
        <f>Calcu!T3</f>
        <v>PASS</v>
      </c>
      <c r="B50" s="1" t="s">
        <v>469</v>
      </c>
    </row>
    <row r="52" spans="1:2" ht="12.95" customHeight="1">
      <c r="B52" s="1" t="s">
        <v>562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>
      <selection activeCell="AJ1" sqref="AJ1"/>
    </sheetView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25" width="8.33203125" style="96" bestFit="1" customWidth="1"/>
    <col min="26" max="27" width="4" style="96" bestFit="1" customWidth="1"/>
    <col min="28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23" t="s">
        <v>119</v>
      </c>
      <c r="B1" s="123" t="s">
        <v>66</v>
      </c>
      <c r="C1" s="123" t="s">
        <v>67</v>
      </c>
      <c r="D1" s="123" t="s">
        <v>120</v>
      </c>
      <c r="E1" s="123"/>
      <c r="F1" s="123"/>
      <c r="G1" s="123"/>
      <c r="H1" s="123"/>
      <c r="I1" s="123"/>
      <c r="J1" s="123"/>
      <c r="K1" s="123"/>
      <c r="L1" s="123"/>
      <c r="M1" s="123"/>
      <c r="N1" s="123" t="s">
        <v>121</v>
      </c>
      <c r="O1" s="123" t="s">
        <v>122</v>
      </c>
      <c r="P1" s="123" t="s">
        <v>68</v>
      </c>
      <c r="Q1" s="123" t="s">
        <v>123</v>
      </c>
      <c r="R1" s="123" t="s">
        <v>70</v>
      </c>
      <c r="S1" s="123" t="s">
        <v>69</v>
      </c>
      <c r="T1" s="123" t="s">
        <v>71</v>
      </c>
      <c r="U1" s="123" t="s">
        <v>124</v>
      </c>
      <c r="V1" s="123" t="s">
        <v>72</v>
      </c>
      <c r="W1" s="123" t="s">
        <v>73</v>
      </c>
      <c r="X1" s="123" t="s">
        <v>125</v>
      </c>
      <c r="Y1" s="123" t="s">
        <v>126</v>
      </c>
      <c r="Z1" s="123" t="s">
        <v>127</v>
      </c>
      <c r="AA1" s="123" t="s">
        <v>128</v>
      </c>
      <c r="AB1" s="123"/>
      <c r="AC1" s="123"/>
      <c r="AD1" s="123"/>
      <c r="AE1" s="123"/>
      <c r="AF1" s="123"/>
      <c r="AG1" s="123"/>
      <c r="AH1" s="123"/>
      <c r="AI1" s="123" t="s">
        <v>129</v>
      </c>
      <c r="AJ1" s="228" t="s">
        <v>418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52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8" s="12" customFormat="1" ht="33" customHeight="1">
      <c r="A1" s="15" t="s">
        <v>113</v>
      </c>
    </row>
    <row r="2" spans="1:18" s="12" customFormat="1" ht="17.100000000000001" customHeight="1">
      <c r="A2" s="17" t="s">
        <v>43</v>
      </c>
      <c r="C2" s="97" t="s">
        <v>63</v>
      </c>
      <c r="F2" s="97" t="s">
        <v>75</v>
      </c>
      <c r="K2" s="17" t="s">
        <v>44</v>
      </c>
      <c r="N2" s="17" t="s">
        <v>45</v>
      </c>
    </row>
    <row r="3" spans="1:18" s="12" customFormat="1" ht="27">
      <c r="A3" s="14" t="s">
        <v>114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358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18" t="s">
        <v>115</v>
      </c>
      <c r="Q3" s="118" t="s">
        <v>116</v>
      </c>
      <c r="R3" s="41" t="s">
        <v>117</v>
      </c>
    </row>
    <row r="4" spans="1:18" s="12" customFormat="1" ht="17.100000000000001" customHeight="1">
      <c r="A4" s="117"/>
      <c r="B4" s="23"/>
      <c r="C4" s="23"/>
      <c r="D4" s="55"/>
      <c r="E4" s="42"/>
      <c r="F4" s="23"/>
      <c r="G4" s="23"/>
      <c r="H4" s="98"/>
      <c r="I4" s="42"/>
      <c r="J4" s="23"/>
      <c r="K4" s="23"/>
      <c r="L4" s="23"/>
      <c r="M4" s="23"/>
      <c r="N4" s="23"/>
      <c r="O4" s="23"/>
      <c r="P4" s="119"/>
      <c r="Q4" s="119"/>
      <c r="R4" s="23"/>
    </row>
    <row r="5" spans="1:18" s="12" customFormat="1" ht="17.100000000000001" customHeight="1">
      <c r="A5" s="117"/>
      <c r="B5" s="23"/>
      <c r="C5" s="23"/>
      <c r="D5" s="55"/>
      <c r="E5" s="42"/>
      <c r="F5" s="23"/>
      <c r="G5" s="23"/>
      <c r="H5" s="98"/>
      <c r="I5" s="42"/>
      <c r="J5" s="23"/>
      <c r="K5" s="23"/>
      <c r="L5" s="24"/>
      <c r="M5" s="24"/>
      <c r="N5" s="24"/>
      <c r="O5" s="24"/>
      <c r="P5" s="120"/>
      <c r="Q5" s="120"/>
      <c r="R5" s="24"/>
    </row>
    <row r="6" spans="1:18" s="12" customFormat="1" ht="17.100000000000001" customHeight="1">
      <c r="A6" s="117"/>
      <c r="B6" s="23"/>
      <c r="C6" s="23"/>
      <c r="D6" s="55"/>
      <c r="E6" s="42"/>
      <c r="F6" s="23"/>
      <c r="G6" s="23"/>
      <c r="H6" s="98"/>
      <c r="I6" s="42"/>
      <c r="J6" s="23"/>
      <c r="K6" s="23"/>
      <c r="L6" s="24"/>
      <c r="M6" s="24"/>
      <c r="N6" s="24"/>
      <c r="O6" s="24"/>
      <c r="P6" s="120"/>
      <c r="Q6" s="120"/>
      <c r="R6" s="24"/>
    </row>
    <row r="7" spans="1:18" s="12" customFormat="1" ht="17.100000000000001" customHeight="1">
      <c r="A7" s="117"/>
      <c r="B7" s="23"/>
      <c r="C7" s="23"/>
      <c r="D7" s="55"/>
      <c r="E7" s="42"/>
      <c r="F7" s="23"/>
      <c r="G7" s="23"/>
      <c r="H7" s="98"/>
      <c r="I7" s="42"/>
      <c r="J7" s="23"/>
      <c r="K7" s="23"/>
      <c r="L7" s="24"/>
      <c r="M7" s="24"/>
      <c r="N7" s="24"/>
      <c r="O7" s="24"/>
      <c r="P7" s="120"/>
      <c r="Q7" s="120"/>
      <c r="R7" s="24"/>
    </row>
    <row r="8" spans="1:18" s="12" customFormat="1" ht="17.100000000000001" customHeight="1">
      <c r="A8" s="117"/>
      <c r="B8" s="23"/>
      <c r="C8" s="23"/>
      <c r="D8" s="55"/>
      <c r="E8" s="42"/>
      <c r="F8" s="23"/>
      <c r="G8" s="23"/>
      <c r="H8" s="98"/>
      <c r="I8" s="42"/>
      <c r="J8" s="23"/>
      <c r="K8" s="23"/>
      <c r="L8" s="24"/>
      <c r="M8" s="24"/>
      <c r="N8" s="24"/>
      <c r="O8" s="24"/>
      <c r="P8" s="120"/>
      <c r="Q8" s="120"/>
      <c r="R8" s="24"/>
    </row>
    <row r="9" spans="1:18" s="12" customFormat="1" ht="17.100000000000001" customHeight="1">
      <c r="A9" s="117"/>
      <c r="B9" s="23"/>
      <c r="C9" s="23"/>
      <c r="D9" s="55"/>
      <c r="E9" s="42"/>
      <c r="F9" s="23"/>
      <c r="G9" s="23"/>
      <c r="H9" s="98"/>
      <c r="I9" s="42"/>
      <c r="J9" s="23"/>
      <c r="K9" s="23"/>
      <c r="L9" s="24"/>
      <c r="M9" s="24"/>
      <c r="N9" s="24"/>
      <c r="O9" s="24"/>
      <c r="P9" s="120"/>
      <c r="Q9" s="120"/>
      <c r="R9" s="24"/>
    </row>
    <row r="10" spans="1:18" s="12" customFormat="1" ht="17.100000000000001" customHeight="1">
      <c r="A10" s="117"/>
      <c r="B10" s="23"/>
      <c r="C10" s="23"/>
      <c r="D10" s="55"/>
      <c r="E10" s="42"/>
      <c r="F10" s="23"/>
      <c r="G10" s="23"/>
      <c r="H10" s="98"/>
      <c r="I10" s="42"/>
      <c r="J10" s="23"/>
      <c r="K10" s="23"/>
      <c r="L10" s="24"/>
      <c r="M10" s="24"/>
      <c r="N10" s="24"/>
      <c r="O10" s="24"/>
      <c r="P10" s="120"/>
      <c r="Q10" s="120"/>
      <c r="R10" s="24"/>
    </row>
    <row r="11" spans="1:18" s="12" customFormat="1" ht="17.100000000000001" customHeight="1">
      <c r="A11" s="117"/>
      <c r="B11" s="23"/>
      <c r="C11" s="23"/>
      <c r="D11" s="55"/>
      <c r="E11" s="42"/>
      <c r="F11" s="23"/>
      <c r="G11" s="23"/>
      <c r="H11" s="98"/>
      <c r="I11" s="42"/>
      <c r="J11" s="23"/>
      <c r="K11" s="23"/>
      <c r="L11" s="24"/>
      <c r="M11" s="24"/>
      <c r="N11" s="24"/>
      <c r="O11" s="24"/>
      <c r="P11" s="120"/>
      <c r="Q11" s="120"/>
      <c r="R11" s="24"/>
    </row>
    <row r="12" spans="1:18" s="12" customFormat="1" ht="17.100000000000001" customHeight="1">
      <c r="A12" s="117"/>
      <c r="B12" s="23"/>
      <c r="C12" s="23"/>
      <c r="D12" s="55"/>
      <c r="E12" s="42"/>
      <c r="F12" s="23"/>
      <c r="G12" s="23"/>
      <c r="H12" s="98"/>
      <c r="I12" s="42"/>
      <c r="J12" s="23"/>
      <c r="K12" s="23"/>
      <c r="L12" s="24"/>
      <c r="M12" s="24"/>
      <c r="N12" s="24"/>
      <c r="O12" s="24"/>
      <c r="P12" s="120"/>
      <c r="Q12" s="120"/>
      <c r="R12" s="24"/>
    </row>
    <row r="13" spans="1:18" s="12" customFormat="1" ht="17.100000000000001" customHeight="1">
      <c r="A13" s="117"/>
      <c r="B13" s="23"/>
      <c r="C13" s="23"/>
      <c r="D13" s="55"/>
      <c r="E13" s="42"/>
      <c r="F13" s="23"/>
      <c r="G13" s="23"/>
      <c r="H13" s="98"/>
      <c r="I13" s="42"/>
      <c r="J13" s="23"/>
      <c r="K13" s="23"/>
      <c r="L13" s="24"/>
      <c r="M13" s="24"/>
      <c r="N13" s="24"/>
      <c r="O13" s="24"/>
      <c r="P13" s="120"/>
      <c r="Q13" s="120"/>
      <c r="R13" s="24"/>
    </row>
    <row r="14" spans="1:18" s="12" customFormat="1" ht="17.100000000000001" customHeight="1">
      <c r="A14" s="117"/>
      <c r="B14" s="23"/>
      <c r="C14" s="23"/>
      <c r="D14" s="55"/>
      <c r="E14" s="42"/>
      <c r="F14" s="23"/>
      <c r="G14" s="23"/>
      <c r="H14" s="98"/>
      <c r="I14" s="42"/>
      <c r="J14" s="23"/>
      <c r="K14" s="23"/>
      <c r="L14" s="24"/>
      <c r="M14" s="24"/>
      <c r="N14" s="24"/>
      <c r="O14" s="24"/>
      <c r="P14" s="120"/>
      <c r="Q14" s="120"/>
      <c r="R14" s="24"/>
    </row>
    <row r="15" spans="1:18" s="12" customFormat="1" ht="17.100000000000001" customHeight="1">
      <c r="A15" s="117"/>
      <c r="B15" s="23"/>
      <c r="C15" s="23"/>
      <c r="D15" s="55"/>
      <c r="E15" s="42"/>
      <c r="F15" s="23"/>
      <c r="G15" s="23"/>
      <c r="H15" s="98"/>
      <c r="I15" s="42"/>
      <c r="J15" s="23"/>
      <c r="K15" s="24"/>
      <c r="L15" s="24"/>
      <c r="M15" s="24"/>
      <c r="N15" s="24"/>
      <c r="O15" s="24"/>
      <c r="P15" s="120"/>
      <c r="Q15" s="120"/>
      <c r="R15" s="24"/>
    </row>
    <row r="16" spans="1:18" s="12" customFormat="1" ht="17.100000000000001" customHeight="1">
      <c r="A16" s="117"/>
      <c r="B16" s="23"/>
      <c r="C16" s="23"/>
      <c r="D16" s="55"/>
      <c r="E16" s="42"/>
      <c r="F16" s="23"/>
      <c r="G16" s="23"/>
      <c r="H16" s="98"/>
      <c r="I16" s="42"/>
      <c r="J16" s="23"/>
      <c r="K16" s="24"/>
      <c r="L16" s="24"/>
      <c r="M16" s="24"/>
      <c r="N16" s="24"/>
      <c r="O16" s="24"/>
      <c r="P16" s="120"/>
      <c r="Q16" s="120"/>
      <c r="R16" s="24"/>
    </row>
    <row r="17" spans="1:25" s="12" customFormat="1" ht="17.100000000000001" customHeight="1">
      <c r="A17" s="117"/>
      <c r="B17" s="23"/>
      <c r="C17" s="23"/>
      <c r="D17" s="55"/>
      <c r="E17" s="42"/>
      <c r="F17" s="23"/>
      <c r="G17" s="23"/>
      <c r="H17" s="98"/>
      <c r="I17" s="42"/>
      <c r="J17" s="23"/>
      <c r="K17" s="24"/>
      <c r="L17" s="24"/>
      <c r="M17" s="24"/>
      <c r="N17" s="24"/>
      <c r="O17" s="24"/>
      <c r="P17" s="120"/>
      <c r="Q17" s="120"/>
      <c r="R17" s="24"/>
    </row>
    <row r="18" spans="1:25" s="12" customFormat="1" ht="17.100000000000001" customHeight="1">
      <c r="A18" s="117"/>
      <c r="B18" s="23"/>
      <c r="C18" s="23"/>
      <c r="D18" s="55"/>
      <c r="E18" s="42"/>
      <c r="F18" s="23"/>
      <c r="G18" s="23"/>
      <c r="H18" s="98"/>
      <c r="I18" s="42"/>
      <c r="J18" s="23"/>
      <c r="K18" s="24"/>
      <c r="L18" s="24"/>
      <c r="M18" s="24"/>
      <c r="N18" s="24"/>
      <c r="O18" s="24"/>
      <c r="P18" s="120"/>
      <c r="Q18" s="120"/>
      <c r="R18" s="24"/>
    </row>
    <row r="19" spans="1:25" s="12" customFormat="1" ht="17.100000000000001" customHeight="1">
      <c r="A19" s="117"/>
      <c r="B19" s="119"/>
      <c r="C19" s="119"/>
      <c r="D19" s="119"/>
      <c r="E19" s="119"/>
      <c r="F19" s="119"/>
      <c r="G19" s="119"/>
      <c r="H19" s="119"/>
      <c r="I19" s="119"/>
      <c r="J19" s="119"/>
      <c r="K19" s="120"/>
      <c r="L19" s="120"/>
      <c r="M19" s="120"/>
      <c r="N19" s="120"/>
      <c r="O19" s="120"/>
      <c r="P19" s="120"/>
      <c r="Q19" s="120"/>
      <c r="R19" s="120"/>
    </row>
    <row r="20" spans="1:25" s="12" customFormat="1" ht="17.100000000000001" customHeight="1">
      <c r="A20" s="117"/>
      <c r="B20" s="119"/>
      <c r="C20" s="119"/>
      <c r="D20" s="119"/>
      <c r="E20" s="119"/>
      <c r="F20" s="119"/>
      <c r="G20" s="119"/>
      <c r="H20" s="119"/>
      <c r="I20" s="119"/>
      <c r="J20" s="119"/>
      <c r="K20" s="120"/>
      <c r="L20" s="120"/>
      <c r="M20" s="120"/>
      <c r="N20" s="120"/>
      <c r="O20" s="120"/>
      <c r="P20" s="120"/>
      <c r="Q20" s="120"/>
      <c r="R20" s="120"/>
    </row>
    <row r="21" spans="1:25" s="12" customFormat="1" ht="17.100000000000001" customHeight="1">
      <c r="A21" s="117"/>
      <c r="B21" s="119"/>
      <c r="C21" s="119"/>
      <c r="D21" s="119"/>
      <c r="E21" s="119"/>
      <c r="F21" s="119"/>
      <c r="G21" s="119"/>
      <c r="H21" s="119"/>
      <c r="I21" s="119"/>
      <c r="J21" s="119"/>
      <c r="K21" s="120"/>
      <c r="L21" s="120"/>
      <c r="M21" s="120"/>
      <c r="N21" s="120"/>
      <c r="O21" s="120"/>
      <c r="P21" s="120"/>
      <c r="Q21" s="120"/>
      <c r="R21" s="120"/>
    </row>
    <row r="22" spans="1:25" s="12" customFormat="1" ht="17.100000000000001" customHeight="1">
      <c r="A22" s="117"/>
      <c r="B22" s="119"/>
      <c r="C22" s="119"/>
      <c r="D22" s="119"/>
      <c r="E22" s="119"/>
      <c r="F22" s="119"/>
      <c r="G22" s="119"/>
      <c r="H22" s="119"/>
      <c r="I22" s="119"/>
      <c r="J22" s="119"/>
      <c r="K22" s="120"/>
      <c r="L22" s="120"/>
      <c r="M22" s="120"/>
      <c r="N22" s="120"/>
      <c r="O22" s="120"/>
      <c r="P22" s="120"/>
      <c r="Q22" s="120"/>
      <c r="R22" s="120"/>
    </row>
    <row r="23" spans="1:25" s="12" customFormat="1" ht="17.100000000000001" customHeight="1">
      <c r="A23" s="117"/>
      <c r="B23" s="119"/>
      <c r="C23" s="119"/>
      <c r="D23" s="119"/>
      <c r="E23" s="119"/>
      <c r="F23" s="119"/>
      <c r="G23" s="119"/>
      <c r="H23" s="119"/>
      <c r="I23" s="119"/>
      <c r="J23" s="119"/>
      <c r="K23" s="120"/>
      <c r="L23" s="120"/>
      <c r="M23" s="120"/>
      <c r="N23" s="120"/>
      <c r="O23" s="120"/>
      <c r="P23" s="120"/>
      <c r="Q23" s="120"/>
      <c r="R23" s="120"/>
    </row>
    <row r="24" spans="1:25" s="12" customFormat="1" ht="17.100000000000001" customHeight="1">
      <c r="A24" s="117"/>
      <c r="B24" s="23"/>
      <c r="C24" s="23"/>
      <c r="D24" s="55"/>
      <c r="E24" s="42"/>
      <c r="F24" s="23"/>
      <c r="G24" s="23"/>
      <c r="H24" s="98"/>
      <c r="I24" s="42"/>
      <c r="J24" s="23"/>
      <c r="K24" s="24"/>
      <c r="L24" s="24"/>
      <c r="M24" s="24"/>
      <c r="N24" s="24"/>
      <c r="O24" s="24"/>
      <c r="P24" s="120"/>
      <c r="Q24" s="120"/>
      <c r="R24" s="24"/>
    </row>
    <row r="25" spans="1:25" s="12" customFormat="1" ht="17.100000000000001" customHeight="1"/>
    <row r="26" spans="1:25" s="12" customFormat="1" ht="17.100000000000001" customHeight="1">
      <c r="A26" s="17" t="s">
        <v>118</v>
      </c>
    </row>
    <row r="27" spans="1:25" s="19" customFormat="1" ht="18" customHeight="1">
      <c r="A27" s="121" t="s">
        <v>367</v>
      </c>
      <c r="B27" s="121" t="s">
        <v>368</v>
      </c>
      <c r="C27" s="121" t="s">
        <v>369</v>
      </c>
      <c r="D27" s="121" t="s">
        <v>370</v>
      </c>
      <c r="E27" s="121" t="s">
        <v>476</v>
      </c>
      <c r="F27" s="121" t="s">
        <v>381</v>
      </c>
      <c r="G27" s="121" t="s">
        <v>371</v>
      </c>
      <c r="H27" s="121" t="s">
        <v>372</v>
      </c>
      <c r="I27" s="121" t="s">
        <v>373</v>
      </c>
      <c r="J27" s="121" t="s">
        <v>374</v>
      </c>
      <c r="K27" s="121" t="s">
        <v>375</v>
      </c>
      <c r="L27" s="121" t="s">
        <v>376</v>
      </c>
      <c r="M27" s="121" t="s">
        <v>377</v>
      </c>
      <c r="N27" s="121" t="s">
        <v>378</v>
      </c>
      <c r="O27" s="121" t="s">
        <v>379</v>
      </c>
      <c r="P27" s="121" t="s">
        <v>380</v>
      </c>
      <c r="Q27" s="121" t="s">
        <v>382</v>
      </c>
      <c r="R27" s="121" t="s">
        <v>383</v>
      </c>
      <c r="S27" s="121" t="s">
        <v>384</v>
      </c>
      <c r="T27" s="121" t="s">
        <v>135</v>
      </c>
      <c r="U27" s="12"/>
      <c r="V27" s="12"/>
      <c r="W27" s="12"/>
      <c r="X27" s="12"/>
      <c r="Y27" s="12"/>
    </row>
    <row r="28" spans="1:25" ht="17.100000000000001" customHeight="1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53"/>
      <c r="R28" s="153"/>
      <c r="S28" s="153"/>
      <c r="T28" s="153"/>
      <c r="U28" s="12"/>
      <c r="V28" s="12"/>
      <c r="W28" s="12"/>
      <c r="X28" s="12"/>
      <c r="Y28" s="12"/>
    </row>
    <row r="29" spans="1:25" ht="17.100000000000001" customHeight="1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53"/>
      <c r="R29" s="153"/>
      <c r="S29" s="153"/>
      <c r="T29" s="153"/>
      <c r="U29" s="12"/>
      <c r="V29" s="12"/>
      <c r="W29" s="12"/>
      <c r="X29" s="12"/>
      <c r="Y29" s="12"/>
    </row>
    <row r="30" spans="1:25" ht="17.100000000000001" customHeight="1">
      <c r="A30" s="122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53"/>
      <c r="R30" s="153"/>
      <c r="S30" s="153"/>
      <c r="T30" s="153"/>
      <c r="U30" s="12"/>
      <c r="V30" s="12"/>
      <c r="W30" s="12"/>
      <c r="X30" s="12"/>
      <c r="Y30" s="12"/>
    </row>
    <row r="31" spans="1:25" ht="17.100000000000001" customHeight="1">
      <c r="A31" s="122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53"/>
      <c r="R31" s="153"/>
      <c r="S31" s="153"/>
      <c r="T31" s="153"/>
      <c r="U31" s="12"/>
      <c r="V31" s="12"/>
      <c r="W31" s="12"/>
      <c r="X31" s="12"/>
      <c r="Y31" s="12"/>
    </row>
    <row r="32" spans="1:25" ht="17.100000000000001" customHeight="1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53"/>
      <c r="R32" s="153"/>
      <c r="S32" s="153"/>
      <c r="T32" s="153"/>
      <c r="U32" s="12"/>
      <c r="V32" s="12"/>
      <c r="W32" s="12"/>
      <c r="X32" s="12"/>
      <c r="Y32" s="12"/>
    </row>
    <row r="33" spans="1:25" ht="17.100000000000001" customHeight="1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53"/>
      <c r="R33" s="153"/>
      <c r="S33" s="153"/>
      <c r="T33" s="153"/>
      <c r="U33" s="12"/>
      <c r="V33" s="12"/>
      <c r="W33" s="12"/>
      <c r="X33" s="12"/>
      <c r="Y33" s="12"/>
    </row>
    <row r="34" spans="1:25" ht="17.100000000000001" customHeight="1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53"/>
      <c r="R34" s="153"/>
      <c r="S34" s="153"/>
      <c r="T34" s="153"/>
      <c r="U34" s="12"/>
      <c r="V34" s="12"/>
      <c r="W34" s="12"/>
      <c r="X34" s="12"/>
      <c r="Y34" s="12"/>
    </row>
    <row r="35" spans="1:25" ht="17.100000000000001" customHeight="1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53"/>
      <c r="R35" s="153"/>
      <c r="S35" s="153"/>
      <c r="T35" s="153"/>
      <c r="U35" s="12"/>
      <c r="V35" s="12"/>
      <c r="W35" s="12"/>
      <c r="X35" s="12"/>
      <c r="Y35" s="12"/>
    </row>
    <row r="36" spans="1:25" ht="17.100000000000001" customHeight="1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53"/>
      <c r="R36" s="153"/>
      <c r="S36" s="153"/>
      <c r="T36" s="153"/>
      <c r="U36" s="12"/>
      <c r="V36" s="12"/>
      <c r="W36" s="12"/>
      <c r="X36" s="12"/>
      <c r="Y36" s="12"/>
    </row>
    <row r="37" spans="1:25" ht="17.100000000000001" customHeight="1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53"/>
      <c r="R37" s="153"/>
      <c r="S37" s="153"/>
      <c r="T37" s="153"/>
      <c r="U37" s="12"/>
      <c r="V37" s="12"/>
      <c r="W37" s="12"/>
      <c r="X37" s="12"/>
      <c r="Y37" s="12"/>
    </row>
    <row r="38" spans="1:25" ht="17.100000000000001" customHeight="1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53"/>
      <c r="R38" s="153"/>
      <c r="S38" s="153"/>
      <c r="T38" s="153"/>
      <c r="U38" s="12"/>
      <c r="V38" s="12"/>
      <c r="W38" s="12"/>
      <c r="X38" s="12"/>
      <c r="Y38" s="12"/>
    </row>
    <row r="39" spans="1:25" ht="17.100000000000001" customHeight="1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"/>
      <c r="V39" s="12"/>
      <c r="W39" s="12"/>
      <c r="X39" s="12"/>
      <c r="Y39" s="12"/>
    </row>
    <row r="40" spans="1:25" ht="17.100000000000001" customHeight="1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"/>
      <c r="V40" s="12"/>
      <c r="W40" s="12"/>
      <c r="X40" s="12"/>
      <c r="Y40" s="12"/>
    </row>
    <row r="41" spans="1:25" ht="17.100000000000001" customHeight="1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"/>
      <c r="V41" s="12"/>
      <c r="W41" s="12"/>
      <c r="X41" s="12"/>
      <c r="Y41" s="12"/>
    </row>
    <row r="42" spans="1:25" ht="17.100000000000001" customHeight="1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"/>
      <c r="V42" s="12"/>
      <c r="W42" s="12"/>
      <c r="X42" s="12"/>
      <c r="Y42" s="12"/>
    </row>
    <row r="43" spans="1:25" ht="17.100000000000001" customHeight="1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"/>
      <c r="V43" s="12"/>
      <c r="W43" s="12"/>
      <c r="X43" s="12"/>
      <c r="Y43" s="12"/>
    </row>
    <row r="44" spans="1:25" ht="17.100000000000001" customHeight="1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"/>
      <c r="V44" s="12"/>
      <c r="W44" s="12"/>
      <c r="X44" s="12"/>
      <c r="Y44" s="12"/>
    </row>
    <row r="45" spans="1:25" ht="17.100000000000001" customHeight="1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"/>
      <c r="V45" s="12"/>
      <c r="W45" s="12"/>
      <c r="X45" s="12"/>
      <c r="Y45" s="12"/>
    </row>
    <row r="46" spans="1:25" ht="17.100000000000001" customHeight="1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"/>
      <c r="V46" s="12"/>
      <c r="W46" s="12"/>
      <c r="X46" s="12"/>
      <c r="Y46" s="12"/>
    </row>
    <row r="47" spans="1:25" ht="17.100000000000001" customHeight="1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"/>
      <c r="V47" s="12"/>
      <c r="W47" s="12"/>
      <c r="X47" s="12"/>
      <c r="Y47" s="12"/>
    </row>
    <row r="48" spans="1:25" ht="17.100000000000001" customHeight="1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"/>
      <c r="V48" s="12"/>
      <c r="W48" s="12"/>
      <c r="X48" s="12"/>
      <c r="Y48" s="12"/>
    </row>
    <row r="49" spans="1:36" ht="17.100000000000001" customHeight="1">
      <c r="AE49" s="12"/>
      <c r="AF49" s="12"/>
      <c r="AG49" s="12"/>
      <c r="AH49" s="12"/>
      <c r="AI49" s="12"/>
      <c r="AJ49" s="12"/>
    </row>
    <row r="50" spans="1:36" ht="17.100000000000001" customHeight="1">
      <c r="A50" s="17" t="s">
        <v>445</v>
      </c>
    </row>
    <row r="51" spans="1:36" ht="17.100000000000001" customHeight="1">
      <c r="A51" s="121" t="s">
        <v>430</v>
      </c>
      <c r="B51" s="121" t="s">
        <v>431</v>
      </c>
      <c r="C51" s="121" t="s">
        <v>432</v>
      </c>
      <c r="D51" s="121" t="s">
        <v>433</v>
      </c>
      <c r="E51" s="121" t="s">
        <v>434</v>
      </c>
      <c r="F51" s="121" t="s">
        <v>435</v>
      </c>
      <c r="G51" s="121"/>
      <c r="H51" s="121"/>
      <c r="I51" s="121"/>
      <c r="J51" s="121"/>
      <c r="K51" s="121"/>
      <c r="L51" s="121"/>
      <c r="M51" s="121"/>
      <c r="N51" s="121" t="s">
        <v>436</v>
      </c>
      <c r="O51" s="121" t="s">
        <v>437</v>
      </c>
      <c r="P51" s="121" t="s">
        <v>438</v>
      </c>
      <c r="Q51" s="121" t="s">
        <v>439</v>
      </c>
      <c r="R51" s="121" t="s">
        <v>440</v>
      </c>
      <c r="S51" s="121" t="s">
        <v>439</v>
      </c>
      <c r="T51" s="121" t="s">
        <v>441</v>
      </c>
      <c r="U51" s="121" t="s">
        <v>124</v>
      </c>
      <c r="V51" s="121" t="s">
        <v>442</v>
      </c>
      <c r="W51" s="121" t="s">
        <v>443</v>
      </c>
      <c r="X51" s="121"/>
      <c r="Y51" s="121" t="s">
        <v>76</v>
      </c>
      <c r="Z51" s="121"/>
      <c r="AA51" s="121"/>
      <c r="AB51" s="121"/>
      <c r="AC51" s="121"/>
      <c r="AD51" s="121"/>
      <c r="AE51" s="121"/>
      <c r="AF51" s="121"/>
      <c r="AG51" s="121"/>
      <c r="AH51" s="121"/>
      <c r="AI51" s="121" t="s">
        <v>444</v>
      </c>
      <c r="AJ51" s="121" t="s">
        <v>418</v>
      </c>
    </row>
    <row r="52" spans="1:36" ht="17.100000000000001" customHeight="1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47" customFormat="1" ht="33" customHeight="1">
      <c r="A1" s="341" t="s">
        <v>34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 s="47" customFormat="1" ht="33" customHeight="1">
      <c r="A2" s="341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</row>
    <row r="3" spans="1:12" s="47" customFormat="1" ht="12.75" customHeight="1">
      <c r="A3" s="48" t="s">
        <v>103</v>
      </c>
      <c r="B3" s="48"/>
      <c r="C3" s="48"/>
      <c r="D3" s="48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2"/>
      <c r="F4" s="92"/>
      <c r="G4" s="92"/>
      <c r="H4" s="101"/>
      <c r="I4" s="92"/>
      <c r="J4" s="102"/>
      <c r="K4" s="93"/>
      <c r="L4" s="101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104</v>
      </c>
      <c r="G11" s="38"/>
    </row>
    <row r="12" spans="1:12" ht="15" customHeight="1">
      <c r="F12" s="54" t="str">
        <f>"○ 교정범위 : ("&amp;Calcu!J3&amp;" ~ "&amp;Calcu!K3&amp;") mm"</f>
        <v>○ 교정범위 : (0 ~ 0) mm</v>
      </c>
      <c r="G12" s="54"/>
    </row>
    <row r="13" spans="1:12" ht="15" customHeight="1">
      <c r="A13" s="44"/>
      <c r="B13" s="44"/>
      <c r="C13" s="44"/>
      <c r="D13" s="44"/>
      <c r="F13" s="54" t="str">
        <f ca="1">"○ 최소눈금 : "&amp;Calcu!M3&amp;" mm"</f>
        <v>○ 최소눈금 : 0 mm</v>
      </c>
      <c r="G13" s="54"/>
    </row>
    <row r="14" spans="1:12" ht="15" customHeight="1">
      <c r="A14" s="44"/>
      <c r="B14" s="44"/>
      <c r="C14" s="44"/>
      <c r="D14" s="44"/>
    </row>
    <row r="15" spans="1:12" ht="15" customHeight="1">
      <c r="A15" s="44"/>
      <c r="B15" s="43"/>
      <c r="C15" s="43"/>
      <c r="D15" s="43"/>
      <c r="F15" s="167" t="s">
        <v>224</v>
      </c>
      <c r="G15" s="236" t="s">
        <v>225</v>
      </c>
    </row>
    <row r="16" spans="1:12" ht="15" customHeight="1">
      <c r="A16" s="44"/>
      <c r="B16" s="43"/>
      <c r="C16" s="43"/>
      <c r="D16" s="43"/>
      <c r="F16" s="168" t="s">
        <v>226</v>
      </c>
      <c r="G16" s="237" t="s">
        <v>226</v>
      </c>
    </row>
    <row r="17" spans="1:7" ht="15" customHeight="1">
      <c r="A17" s="44" t="str">
        <f>IF(Calcu!B9=TRUE,"","삭제")</f>
        <v>삭제</v>
      </c>
      <c r="B17" s="43"/>
      <c r="C17" s="43"/>
      <c r="D17" s="43"/>
      <c r="F17" s="171" t="e">
        <f ca="1">Calcu!AA9</f>
        <v>#N/A</v>
      </c>
      <c r="G17" s="171" t="e">
        <f ca="1">Calcu!AC9</f>
        <v>#N/A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F18" s="171" t="e">
        <f ca="1">Calcu!AA10</f>
        <v>#N/A</v>
      </c>
      <c r="G18" s="171" t="e">
        <f ca="1">Calcu!AC10</f>
        <v>#N/A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F19" s="171" t="e">
        <f ca="1">Calcu!AA11</f>
        <v>#N/A</v>
      </c>
      <c r="G19" s="171" t="e">
        <f ca="1">Calcu!AC11</f>
        <v>#N/A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F20" s="171" t="e">
        <f ca="1">Calcu!AA12</f>
        <v>#N/A</v>
      </c>
      <c r="G20" s="171" t="e">
        <f ca="1">Calcu!AC12</f>
        <v>#N/A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F21" s="171" t="e">
        <f ca="1">Calcu!AA13</f>
        <v>#N/A</v>
      </c>
      <c r="G21" s="171" t="e">
        <f ca="1">Calcu!AC13</f>
        <v>#N/A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F22" s="171" t="e">
        <f ca="1">Calcu!AA14</f>
        <v>#N/A</v>
      </c>
      <c r="G22" s="171" t="e">
        <f ca="1">Calcu!AC14</f>
        <v>#N/A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F23" s="171" t="e">
        <f ca="1">Calcu!AA15</f>
        <v>#N/A</v>
      </c>
      <c r="G23" s="171" t="e">
        <f ca="1">Calcu!AC15</f>
        <v>#N/A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F24" s="171" t="e">
        <f ca="1">Calcu!AA16</f>
        <v>#N/A</v>
      </c>
      <c r="G24" s="171" t="e">
        <f ca="1">Calcu!AC16</f>
        <v>#N/A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F25" s="171" t="e">
        <f ca="1">Calcu!AA17</f>
        <v>#N/A</v>
      </c>
      <c r="G25" s="171" t="e">
        <f ca="1">Calcu!AC17</f>
        <v>#N/A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F26" s="171" t="e">
        <f ca="1">Calcu!AA18</f>
        <v>#N/A</v>
      </c>
      <c r="G26" s="171" t="e">
        <f ca="1">Calcu!AC18</f>
        <v>#N/A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F27" s="171" t="e">
        <f ca="1">Calcu!AA19</f>
        <v>#N/A</v>
      </c>
      <c r="G27" s="171" t="e">
        <f ca="1">Calcu!AC19</f>
        <v>#N/A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F28" s="171" t="e">
        <f ca="1">Calcu!AA20</f>
        <v>#N/A</v>
      </c>
      <c r="G28" s="171" t="e">
        <f ca="1">Calcu!AC20</f>
        <v>#N/A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F29" s="171" t="e">
        <f ca="1">Calcu!AA21</f>
        <v>#N/A</v>
      </c>
      <c r="G29" s="171" t="e">
        <f ca="1">Calcu!AC21</f>
        <v>#N/A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F30" s="171" t="e">
        <f ca="1">Calcu!AA22</f>
        <v>#N/A</v>
      </c>
      <c r="G30" s="171" t="e">
        <f ca="1">Calcu!AC22</f>
        <v>#N/A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F31" s="171" t="e">
        <f ca="1">Calcu!AA23</f>
        <v>#N/A</v>
      </c>
      <c r="G31" s="171" t="e">
        <f ca="1">Calcu!AC23</f>
        <v>#N/A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F32" s="171" t="e">
        <f ca="1">Calcu!AA24</f>
        <v>#N/A</v>
      </c>
      <c r="G32" s="171" t="e">
        <f ca="1">Calcu!AC24</f>
        <v>#N/A</v>
      </c>
    </row>
    <row r="33" spans="1:10" ht="15" customHeight="1">
      <c r="A33" s="44" t="str">
        <f>IF(Calcu!B25=TRUE,"","삭제")</f>
        <v>삭제</v>
      </c>
      <c r="B33" s="43"/>
      <c r="C33" s="43"/>
      <c r="D33" s="43"/>
      <c r="F33" s="171" t="e">
        <f ca="1">Calcu!AA25</f>
        <v>#N/A</v>
      </c>
      <c r="G33" s="171" t="e">
        <f ca="1">Calcu!AC25</f>
        <v>#N/A</v>
      </c>
    </row>
    <row r="34" spans="1:10" ht="15" customHeight="1">
      <c r="A34" s="44" t="str">
        <f>IF(Calcu!B26=TRUE,"","삭제")</f>
        <v>삭제</v>
      </c>
      <c r="B34" s="43"/>
      <c r="C34" s="43"/>
      <c r="D34" s="43"/>
      <c r="F34" s="171" t="e">
        <f ca="1">Calcu!AA26</f>
        <v>#N/A</v>
      </c>
      <c r="G34" s="171" t="e">
        <f ca="1">Calcu!AC26</f>
        <v>#N/A</v>
      </c>
    </row>
    <row r="35" spans="1:10" ht="15" customHeight="1">
      <c r="A35" s="44" t="str">
        <f>IF(Calcu!B27=TRUE,"","삭제")</f>
        <v>삭제</v>
      </c>
      <c r="B35" s="43"/>
      <c r="C35" s="43"/>
      <c r="D35" s="43"/>
      <c r="F35" s="171" t="e">
        <f ca="1">Calcu!AA27</f>
        <v>#N/A</v>
      </c>
      <c r="G35" s="171" t="e">
        <f ca="1">Calcu!AC27</f>
        <v>#N/A</v>
      </c>
    </row>
    <row r="36" spans="1:10" ht="15" customHeight="1">
      <c r="A36" s="44" t="str">
        <f>IF(Calcu!B28=TRUE,"","삭제")</f>
        <v>삭제</v>
      </c>
      <c r="B36" s="43"/>
      <c r="C36" s="43"/>
      <c r="D36" s="43"/>
      <c r="F36" s="171" t="e">
        <f ca="1">Calcu!AA28</f>
        <v>#N/A</v>
      </c>
      <c r="G36" s="171" t="e">
        <f ca="1">Calcu!AC28</f>
        <v>#N/A</v>
      </c>
    </row>
    <row r="37" spans="1:10" ht="15" customHeight="1">
      <c r="A37" s="44" t="str">
        <f>IF(Calcu!B29=TRUE,"","삭제")</f>
        <v>삭제</v>
      </c>
      <c r="B37" s="43"/>
      <c r="C37" s="43"/>
      <c r="D37" s="43"/>
      <c r="F37" s="171" t="e">
        <f ca="1">Calcu!AA29</f>
        <v>#N/A</v>
      </c>
      <c r="G37" s="171" t="e">
        <f ca="1">Calcu!AC29</f>
        <v>#N/A</v>
      </c>
    </row>
    <row r="38" spans="1:10" ht="15" customHeight="1">
      <c r="A38" s="44"/>
      <c r="F38" s="103"/>
      <c r="G38" s="232"/>
      <c r="H38" s="51"/>
      <c r="I38" s="51"/>
    </row>
    <row r="39" spans="1:10" ht="15" customHeight="1">
      <c r="A39" s="44"/>
      <c r="F39" s="38" t="e">
        <f ca="1">"● 측정불확도 : "&amp;Calcu!T47</f>
        <v>#N/A</v>
      </c>
      <c r="G39" s="38"/>
      <c r="H39" s="38"/>
    </row>
    <row r="40" spans="1:10" ht="15" customHeight="1">
      <c r="A40" s="44"/>
      <c r="F40" s="239" t="e">
        <f ca="1">IF(Calcu!E57="사다리꼴","(신뢰수준 95 %,","(신뢰수준 약 95 %,")</f>
        <v>#N/A</v>
      </c>
      <c r="G40" s="50" t="e">
        <f ca="1">Calcu!E58&amp;IF(Calcu!E57="사다리꼴",", 사다리꼴 확률분포)",")")</f>
        <v>#N/A</v>
      </c>
      <c r="J40" s="50"/>
    </row>
    <row r="41" spans="1:10" ht="15" customHeight="1">
      <c r="A41" s="44"/>
      <c r="F41" s="53"/>
      <c r="G41" s="53"/>
      <c r="J41" s="50"/>
    </row>
    <row r="42" spans="1:10" ht="15" customHeight="1">
      <c r="A42" s="44"/>
      <c r="F42" s="38" t="str">
        <f>"○ 교정에 사용된 다이얼/디지털 게이지의 기기번호 : "&amp;Calcu!O3</f>
        <v>○ 교정에 사용된 다이얼/디지털 게이지의 기기번호 : 0</v>
      </c>
      <c r="G42" s="38"/>
      <c r="J42" s="50"/>
    </row>
    <row r="43" spans="1:10" ht="15" customHeight="1">
      <c r="F43" s="75"/>
      <c r="G43" s="75"/>
      <c r="H43" s="75"/>
      <c r="I43" s="76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4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81" customFormat="1" ht="33" customHeight="1">
      <c r="A1" s="342" t="s">
        <v>58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</row>
    <row r="2" spans="1:12" s="81" customFormat="1" ht="33" customHeight="1">
      <c r="A2" s="342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0" t="str">
        <f>" 교   정   번   호(Calibration No) : "&amp;기본정보!H3</f>
        <v xml:space="preserve"> 교   정   번   호(Calibration No) : </v>
      </c>
      <c r="B4" s="91"/>
      <c r="C4" s="91"/>
      <c r="D4" s="91"/>
      <c r="E4" s="80"/>
      <c r="F4" s="79"/>
      <c r="G4" s="77"/>
      <c r="H4" s="79"/>
      <c r="I4" s="79"/>
      <c r="J4" s="78"/>
      <c r="K4" s="93"/>
      <c r="L4" s="77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102</v>
      </c>
    </row>
    <row r="12" spans="1:12" ht="15" customHeight="1">
      <c r="F12" s="54" t="str">
        <f>"○ Range : ("&amp;Calcu!J3&amp;" ~ "&amp;Calcu!K3&amp;") mm"</f>
        <v>○ Range : (0 ~ 0) mm</v>
      </c>
    </row>
    <row r="13" spans="1:12" ht="15" customHeight="1">
      <c r="A13" s="44"/>
      <c r="B13" s="44"/>
      <c r="C13" s="44"/>
      <c r="D13" s="44"/>
      <c r="E13" s="44"/>
      <c r="F13" s="54" t="str">
        <f ca="1">"○ Resolution : "&amp;Calcu!M3&amp;" mm"</f>
        <v>○ Resolution : 0 mm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4"/>
      <c r="C15" s="44"/>
      <c r="D15" s="44"/>
      <c r="E15" s="43"/>
      <c r="F15" s="167" t="s">
        <v>227</v>
      </c>
      <c r="G15" s="219" t="s">
        <v>228</v>
      </c>
    </row>
    <row r="16" spans="1:12" ht="15" customHeight="1">
      <c r="A16" s="44"/>
      <c r="B16" s="44"/>
      <c r="C16" s="44"/>
      <c r="D16" s="44"/>
      <c r="E16" s="43"/>
      <c r="F16" s="168" t="s">
        <v>226</v>
      </c>
      <c r="G16" s="220" t="s">
        <v>226</v>
      </c>
    </row>
    <row r="17" spans="1:9" ht="15" customHeight="1">
      <c r="A17" s="44" t="str">
        <f>IF(Calcu!B9=TRUE,"","삭제")</f>
        <v>삭제</v>
      </c>
      <c r="B17" s="44"/>
      <c r="C17" s="44"/>
      <c r="D17" s="44"/>
      <c r="E17" s="43"/>
      <c r="F17" s="171" t="e">
        <f ca="1">Calcu!AA9</f>
        <v>#N/A</v>
      </c>
      <c r="G17" s="171" t="e">
        <f ca="1">Calcu!AC9</f>
        <v>#N/A</v>
      </c>
    </row>
    <row r="18" spans="1:9" ht="15" customHeight="1">
      <c r="A18" s="44" t="str">
        <f>IF(Calcu!B10=TRUE,"","삭제")</f>
        <v>삭제</v>
      </c>
      <c r="B18" s="44"/>
      <c r="C18" s="44"/>
      <c r="D18" s="44"/>
      <c r="E18" s="43"/>
      <c r="F18" s="171" t="e">
        <f ca="1">Calcu!AA10</f>
        <v>#N/A</v>
      </c>
      <c r="G18" s="171" t="e">
        <f ca="1">Calcu!AC10</f>
        <v>#N/A</v>
      </c>
    </row>
    <row r="19" spans="1:9" ht="15" customHeight="1">
      <c r="A19" s="44" t="str">
        <f>IF(Calcu!B11=TRUE,"","삭제")</f>
        <v>삭제</v>
      </c>
      <c r="B19" s="44"/>
      <c r="C19" s="44"/>
      <c r="D19" s="44"/>
      <c r="E19" s="43"/>
      <c r="F19" s="171" t="e">
        <f ca="1">Calcu!AA11</f>
        <v>#N/A</v>
      </c>
      <c r="G19" s="171" t="e">
        <f ca="1">Calcu!AC11</f>
        <v>#N/A</v>
      </c>
    </row>
    <row r="20" spans="1:9" ht="15" customHeight="1">
      <c r="A20" s="44" t="str">
        <f>IF(Calcu!B12=TRUE,"","삭제")</f>
        <v>삭제</v>
      </c>
      <c r="B20" s="44"/>
      <c r="C20" s="44"/>
      <c r="D20" s="44"/>
      <c r="E20" s="43"/>
      <c r="F20" s="171" t="e">
        <f ca="1">Calcu!AA12</f>
        <v>#N/A</v>
      </c>
      <c r="G20" s="171" t="e">
        <f ca="1">Calcu!AC12</f>
        <v>#N/A</v>
      </c>
    </row>
    <row r="21" spans="1:9" ht="15" customHeight="1">
      <c r="A21" s="44" t="str">
        <f>IF(Calcu!B13=TRUE,"","삭제")</f>
        <v>삭제</v>
      </c>
      <c r="B21" s="44"/>
      <c r="C21" s="44"/>
      <c r="D21" s="44"/>
      <c r="E21" s="43"/>
      <c r="F21" s="171" t="e">
        <f ca="1">Calcu!AA13</f>
        <v>#N/A</v>
      </c>
      <c r="G21" s="171" t="e">
        <f ca="1">Calcu!AC13</f>
        <v>#N/A</v>
      </c>
    </row>
    <row r="22" spans="1:9" ht="15" customHeight="1">
      <c r="A22" s="44" t="str">
        <f>IF(Calcu!B14=TRUE,"","삭제")</f>
        <v>삭제</v>
      </c>
      <c r="B22" s="44"/>
      <c r="C22" s="44"/>
      <c r="D22" s="44"/>
      <c r="E22" s="43"/>
      <c r="F22" s="171" t="e">
        <f ca="1">Calcu!AA14</f>
        <v>#N/A</v>
      </c>
      <c r="G22" s="171" t="e">
        <f ca="1">Calcu!AC14</f>
        <v>#N/A</v>
      </c>
    </row>
    <row r="23" spans="1:9" ht="15" customHeight="1">
      <c r="A23" s="44" t="str">
        <f>IF(Calcu!B15=TRUE,"","삭제")</f>
        <v>삭제</v>
      </c>
      <c r="B23" s="44"/>
      <c r="C23" s="44"/>
      <c r="D23" s="44"/>
      <c r="E23" s="43"/>
      <c r="F23" s="171" t="e">
        <f ca="1">Calcu!AA15</f>
        <v>#N/A</v>
      </c>
      <c r="G23" s="171" t="e">
        <f ca="1">Calcu!AC15</f>
        <v>#N/A</v>
      </c>
    </row>
    <row r="24" spans="1:9" ht="15" customHeight="1">
      <c r="A24" s="44" t="str">
        <f>IF(Calcu!B16=TRUE,"","삭제")</f>
        <v>삭제</v>
      </c>
      <c r="B24" s="44"/>
      <c r="C24" s="44"/>
      <c r="D24" s="44"/>
      <c r="E24" s="43"/>
      <c r="F24" s="171" t="e">
        <f ca="1">Calcu!AA16</f>
        <v>#N/A</v>
      </c>
      <c r="G24" s="171" t="e">
        <f ca="1">Calcu!AC16</f>
        <v>#N/A</v>
      </c>
    </row>
    <row r="25" spans="1:9" ht="15" customHeight="1">
      <c r="A25" s="44" t="str">
        <f>IF(Calcu!B17=TRUE,"","삭제")</f>
        <v>삭제</v>
      </c>
      <c r="B25" s="44"/>
      <c r="C25" s="44"/>
      <c r="D25" s="44"/>
      <c r="E25" s="43"/>
      <c r="F25" s="171" t="e">
        <f ca="1">Calcu!AA17</f>
        <v>#N/A</v>
      </c>
      <c r="G25" s="171" t="e">
        <f ca="1">Calcu!AC17</f>
        <v>#N/A</v>
      </c>
    </row>
    <row r="26" spans="1:9" ht="15" customHeight="1">
      <c r="A26" s="44" t="str">
        <f>IF(Calcu!B18=TRUE,"","삭제")</f>
        <v>삭제</v>
      </c>
      <c r="B26" s="44"/>
      <c r="C26" s="44"/>
      <c r="D26" s="44"/>
      <c r="E26" s="43"/>
      <c r="F26" s="171" t="e">
        <f ca="1">Calcu!AA18</f>
        <v>#N/A</v>
      </c>
      <c r="G26" s="171" t="e">
        <f ca="1">Calcu!AC18</f>
        <v>#N/A</v>
      </c>
    </row>
    <row r="27" spans="1:9" ht="15" customHeight="1">
      <c r="A27" s="44" t="str">
        <f>IF(Calcu!B19=TRUE,"","삭제")</f>
        <v>삭제</v>
      </c>
      <c r="B27" s="44"/>
      <c r="C27" s="44"/>
      <c r="D27" s="44"/>
      <c r="E27" s="43"/>
      <c r="F27" s="171" t="e">
        <f ca="1">Calcu!AA19</f>
        <v>#N/A</v>
      </c>
      <c r="G27" s="171" t="e">
        <f ca="1">Calcu!AC19</f>
        <v>#N/A</v>
      </c>
    </row>
    <row r="28" spans="1:9" ht="15" customHeight="1">
      <c r="A28" s="44" t="str">
        <f>IF(Calcu!B20=TRUE,"","삭제")</f>
        <v>삭제</v>
      </c>
      <c r="B28" s="44"/>
      <c r="C28" s="44"/>
      <c r="D28" s="44"/>
      <c r="E28" s="43"/>
      <c r="F28" s="171" t="e">
        <f ca="1">Calcu!AA20</f>
        <v>#N/A</v>
      </c>
      <c r="G28" s="171" t="e">
        <f ca="1">Calcu!AC20</f>
        <v>#N/A</v>
      </c>
    </row>
    <row r="29" spans="1:9" ht="15" customHeight="1">
      <c r="A29" s="44" t="str">
        <f>IF(Calcu!B21=TRUE,"","삭제")</f>
        <v>삭제</v>
      </c>
      <c r="B29" s="44"/>
      <c r="C29" s="44"/>
      <c r="D29" s="44"/>
      <c r="E29" s="43"/>
      <c r="F29" s="171" t="e">
        <f ca="1">Calcu!AA21</f>
        <v>#N/A</v>
      </c>
      <c r="G29" s="171" t="e">
        <f ca="1">Calcu!AC21</f>
        <v>#N/A</v>
      </c>
    </row>
    <row r="30" spans="1:9" ht="15" customHeight="1">
      <c r="A30" s="44" t="str">
        <f>IF(Calcu!B22=TRUE,"","삭제")</f>
        <v>삭제</v>
      </c>
      <c r="B30" s="44"/>
      <c r="C30" s="44"/>
      <c r="D30" s="44"/>
      <c r="E30" s="43"/>
      <c r="F30" s="171" t="e">
        <f ca="1">Calcu!AA22</f>
        <v>#N/A</v>
      </c>
      <c r="G30" s="171" t="e">
        <f ca="1">Calcu!AC22</f>
        <v>#N/A</v>
      </c>
    </row>
    <row r="31" spans="1:9" ht="15" customHeight="1">
      <c r="A31" s="44" t="str">
        <f>IF(Calcu!B23=TRUE,"","삭제")</f>
        <v>삭제</v>
      </c>
      <c r="B31" s="44"/>
      <c r="C31" s="44"/>
      <c r="D31" s="44"/>
      <c r="E31" s="43"/>
      <c r="F31" s="171" t="e">
        <f ca="1">Calcu!AA23</f>
        <v>#N/A</v>
      </c>
      <c r="G31" s="171" t="e">
        <f ca="1">Calcu!AC23</f>
        <v>#N/A</v>
      </c>
    </row>
    <row r="32" spans="1:9" ht="15" customHeight="1">
      <c r="A32" s="44" t="str">
        <f>IF(Calcu!B24=TRUE,"","삭제")</f>
        <v>삭제</v>
      </c>
      <c r="B32" s="44"/>
      <c r="C32" s="44"/>
      <c r="D32" s="44"/>
      <c r="E32" s="43"/>
      <c r="F32" s="171" t="e">
        <f ca="1">Calcu!AA24</f>
        <v>#N/A</v>
      </c>
      <c r="G32" s="171" t="e">
        <f ca="1">Calcu!AC24</f>
        <v>#N/A</v>
      </c>
      <c r="H32" s="51"/>
      <c r="I32" s="51"/>
    </row>
    <row r="33" spans="1:11" ht="15" customHeight="1">
      <c r="A33" s="44" t="str">
        <f>IF(Calcu!B25=TRUE,"","삭제")</f>
        <v>삭제</v>
      </c>
      <c r="B33" s="44"/>
      <c r="C33" s="44"/>
      <c r="D33" s="44"/>
      <c r="E33" s="43"/>
      <c r="F33" s="171" t="e">
        <f ca="1">Calcu!AA25</f>
        <v>#N/A</v>
      </c>
      <c r="G33" s="171" t="e">
        <f ca="1">Calcu!AC25</f>
        <v>#N/A</v>
      </c>
      <c r="H33" s="51"/>
      <c r="I33" s="51"/>
    </row>
    <row r="34" spans="1:11" ht="15" customHeight="1">
      <c r="A34" s="44" t="str">
        <f>IF(Calcu!B26=TRUE,"","삭제")</f>
        <v>삭제</v>
      </c>
      <c r="B34" s="44"/>
      <c r="C34" s="44"/>
      <c r="D34" s="44"/>
      <c r="E34" s="43"/>
      <c r="F34" s="171" t="e">
        <f ca="1">Calcu!AA26</f>
        <v>#N/A</v>
      </c>
      <c r="G34" s="171" t="e">
        <f ca="1">Calcu!AC26</f>
        <v>#N/A</v>
      </c>
      <c r="H34" s="51"/>
      <c r="I34" s="51"/>
    </row>
    <row r="35" spans="1:11" ht="15" customHeight="1">
      <c r="A35" s="44" t="str">
        <f>IF(Calcu!B27=TRUE,"","삭제")</f>
        <v>삭제</v>
      </c>
      <c r="B35" s="44"/>
      <c r="C35" s="44"/>
      <c r="D35" s="44"/>
      <c r="E35" s="43"/>
      <c r="F35" s="171" t="e">
        <f ca="1">Calcu!AA27</f>
        <v>#N/A</v>
      </c>
      <c r="G35" s="171" t="e">
        <f ca="1">Calcu!AC27</f>
        <v>#N/A</v>
      </c>
      <c r="H35" s="51"/>
      <c r="I35" s="51"/>
    </row>
    <row r="36" spans="1:11" ht="15" customHeight="1">
      <c r="A36" s="44" t="str">
        <f>IF(Calcu!B28=TRUE,"","삭제")</f>
        <v>삭제</v>
      </c>
      <c r="B36" s="44"/>
      <c r="C36" s="44"/>
      <c r="D36" s="44"/>
      <c r="E36" s="43"/>
      <c r="F36" s="171" t="e">
        <f ca="1">Calcu!AA28</f>
        <v>#N/A</v>
      </c>
      <c r="G36" s="171" t="e">
        <f ca="1">Calcu!AC28</f>
        <v>#N/A</v>
      </c>
      <c r="H36" s="51"/>
      <c r="I36" s="51"/>
    </row>
    <row r="37" spans="1:11" ht="15" customHeight="1">
      <c r="A37" s="44" t="str">
        <f>IF(Calcu!B29=TRUE,"","삭제")</f>
        <v>삭제</v>
      </c>
      <c r="B37" s="44"/>
      <c r="C37" s="44"/>
      <c r="D37" s="44"/>
      <c r="E37" s="43"/>
      <c r="F37" s="171" t="e">
        <f ca="1">Calcu!AA29</f>
        <v>#N/A</v>
      </c>
      <c r="G37" s="171" t="e">
        <f ca="1">Calcu!AC29</f>
        <v>#N/A</v>
      </c>
      <c r="H37" s="51"/>
      <c r="I37" s="51"/>
    </row>
    <row r="38" spans="1:11" ht="15" customHeight="1">
      <c r="A38" s="44"/>
      <c r="B38" s="44"/>
      <c r="C38" s="44"/>
      <c r="D38" s="44"/>
      <c r="F38" s="103"/>
      <c r="G38" s="103"/>
      <c r="H38" s="51"/>
      <c r="I38" s="51"/>
    </row>
    <row r="39" spans="1:11" ht="15" customHeight="1">
      <c r="A39" s="44"/>
      <c r="B39" s="44"/>
      <c r="C39" s="44"/>
      <c r="D39" s="44"/>
      <c r="F39" s="38" t="e">
        <f ca="1">"● Measurement uncertainty : "&amp;Calcu!T47</f>
        <v>#N/A</v>
      </c>
      <c r="H39" s="38"/>
      <c r="K39" s="50"/>
    </row>
    <row r="40" spans="1:11" ht="15" customHeight="1">
      <c r="A40" s="44"/>
      <c r="B40" s="44"/>
      <c r="C40" s="44"/>
      <c r="D40" s="44"/>
      <c r="G40" s="239" t="e">
        <f ca="1">IF(Calcu!E57="사다리꼴","(Confidence level 95 %,","(Confidence level about 95 %,")</f>
        <v>#N/A</v>
      </c>
      <c r="H40" s="50" t="e">
        <f ca="1">Calcu!E58&amp;")"</f>
        <v>#N/A</v>
      </c>
      <c r="J40" s="53"/>
      <c r="K40" s="50"/>
    </row>
    <row r="41" spans="1:11" ht="15" customHeight="1">
      <c r="A41" s="44" t="e">
        <f ca="1">IF(Calcu!E57="사다리꼴","","삭제")</f>
        <v>#N/A</v>
      </c>
      <c r="B41" s="44"/>
      <c r="C41" s="44"/>
      <c r="D41" s="44"/>
      <c r="F41" s="50" t="e">
        <f ca="1">IF(Calcu!E57="사다리꼴","※ Trapezoid probability distribution.","")</f>
        <v>#N/A</v>
      </c>
      <c r="G41" s="53"/>
      <c r="J41" s="53"/>
      <c r="K41" s="50"/>
    </row>
    <row r="42" spans="1:11" ht="15" customHeight="1">
      <c r="A42" s="44"/>
      <c r="B42" s="44"/>
      <c r="C42" s="44"/>
      <c r="D42" s="44"/>
      <c r="F42" s="50"/>
      <c r="G42" s="53"/>
      <c r="J42" s="53"/>
      <c r="K42" s="50"/>
    </row>
    <row r="43" spans="1:11" ht="15" customHeight="1">
      <c r="A43" s="44"/>
      <c r="B43" s="44"/>
      <c r="C43" s="44"/>
      <c r="D43" s="44"/>
      <c r="F43" s="50" t="str">
        <f>"※ Dial/Digital gauge Serial number : "&amp;Calcu!O3</f>
        <v>※ Dial/Digital gauge Serial number : 0</v>
      </c>
      <c r="G43" s="53"/>
      <c r="J43" s="53"/>
      <c r="K43" s="50"/>
    </row>
    <row r="44" spans="1:11" ht="15" customHeight="1">
      <c r="F44" s="75"/>
      <c r="G44" s="75"/>
      <c r="H44" s="75"/>
      <c r="I44" s="76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41" t="s">
        <v>545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1:17" s="47" customFormat="1" ht="33" customHeight="1">
      <c r="A2" s="341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</row>
    <row r="3" spans="1:17" s="47" customFormat="1" ht="12.75" customHeight="1">
      <c r="A3" s="48" t="s">
        <v>546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1"/>
      <c r="F4" s="92"/>
      <c r="G4" s="92"/>
      <c r="H4" s="92"/>
      <c r="I4" s="92"/>
      <c r="J4" s="92"/>
      <c r="K4" s="102"/>
      <c r="L4" s="93"/>
      <c r="M4" s="101"/>
      <c r="N4" s="101"/>
      <c r="O4" s="101"/>
      <c r="P4" s="101"/>
      <c r="Q4" s="101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E11" s="38"/>
      <c r="F11" s="38" t="s">
        <v>104</v>
      </c>
      <c r="G11" s="38"/>
    </row>
    <row r="12" spans="1:17" ht="15" customHeight="1">
      <c r="E12" s="54"/>
      <c r="F12" s="54" t="str">
        <f>"○ 교정범위 : ("&amp;Calcu!J3&amp;" ~ "&amp;Calcu!K3&amp;") mm"</f>
        <v>○ 교정범위 : (0 ~ 0) mm</v>
      </c>
      <c r="G12" s="54"/>
    </row>
    <row r="13" spans="1:17" ht="15" customHeight="1">
      <c r="A13" s="44"/>
      <c r="C13" s="44"/>
      <c r="E13" s="54"/>
      <c r="F13" s="54" t="str">
        <f ca="1">"○ 최소눈금 : "&amp;Calcu!M3&amp;"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75" customFormat="1" ht="15" customHeight="1">
      <c r="B15" s="348"/>
      <c r="C15" s="350"/>
      <c r="D15" s="350"/>
      <c r="E15" s="352"/>
      <c r="F15" s="354" t="s">
        <v>547</v>
      </c>
      <c r="G15" s="356" t="s">
        <v>548</v>
      </c>
      <c r="H15" s="358" t="s">
        <v>549</v>
      </c>
      <c r="I15" s="360"/>
      <c r="J15" s="361" t="s">
        <v>550</v>
      </c>
      <c r="K15" s="361"/>
      <c r="L15" s="361"/>
      <c r="M15" s="343" t="s">
        <v>551</v>
      </c>
      <c r="N15" s="343"/>
      <c r="O15" s="343"/>
      <c r="P15" s="344"/>
      <c r="Q15" s="346" t="s">
        <v>552</v>
      </c>
    </row>
    <row r="16" spans="1:17" s="276" customFormat="1" ht="22.5">
      <c r="B16" s="349"/>
      <c r="C16" s="351"/>
      <c r="D16" s="351"/>
      <c r="E16" s="353"/>
      <c r="F16" s="355"/>
      <c r="G16" s="357"/>
      <c r="H16" s="359"/>
      <c r="I16" s="351"/>
      <c r="J16" s="278" t="s">
        <v>558</v>
      </c>
      <c r="K16" s="279" t="s">
        <v>559</v>
      </c>
      <c r="L16" s="279" t="s">
        <v>560</v>
      </c>
      <c r="M16" s="278" t="s">
        <v>558</v>
      </c>
      <c r="N16" s="279" t="s">
        <v>559</v>
      </c>
      <c r="O16" s="279" t="s">
        <v>561</v>
      </c>
      <c r="P16" s="345"/>
      <c r="Q16" s="347"/>
    </row>
    <row r="17" spans="1:17" ht="15" customHeight="1">
      <c r="A17" s="44" t="str">
        <f>IF(Calcu!B9=TRUE,"","삭제")</f>
        <v>삭제</v>
      </c>
      <c r="B17" s="43"/>
      <c r="C17" s="43"/>
      <c r="D17" s="43"/>
      <c r="F17" s="51" t="e">
        <f ca="1">Calcu!AA9</f>
        <v>#N/A</v>
      </c>
      <c r="G17" s="51" t="s">
        <v>553</v>
      </c>
      <c r="H17" s="51" t="e">
        <f ca="1">Calcu!AD9</f>
        <v>#N/A</v>
      </c>
      <c r="J17" s="37" t="e">
        <f ca="1">Calcu!AB9</f>
        <v>#N/A</v>
      </c>
      <c r="K17" s="37" t="e">
        <f ca="1">Calcu!AC9</f>
        <v>#N/A</v>
      </c>
      <c r="L17" s="37" t="str">
        <f>LEFT(Calcu!AE9)</f>
        <v/>
      </c>
      <c r="M17" s="37" t="s">
        <v>554</v>
      </c>
      <c r="N17" s="37" t="s">
        <v>555</v>
      </c>
      <c r="O17" s="37" t="s">
        <v>555</v>
      </c>
      <c r="Q17" s="37" t="e">
        <f ca="1">Calcu!AF9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F18" s="51" t="e">
        <f ca="1">Calcu!AA10</f>
        <v>#N/A</v>
      </c>
      <c r="G18" s="51" t="s">
        <v>553</v>
      </c>
      <c r="H18" s="51" t="e">
        <f ca="1">Calcu!AD10</f>
        <v>#N/A</v>
      </c>
      <c r="J18" s="37" t="e">
        <f ca="1">Calcu!AB10</f>
        <v>#N/A</v>
      </c>
      <c r="K18" s="37" t="e">
        <f ca="1">Calcu!AC10</f>
        <v>#N/A</v>
      </c>
      <c r="L18" s="37" t="str">
        <f>LEFT(Calcu!AE10)</f>
        <v/>
      </c>
      <c r="M18" s="37" t="s">
        <v>555</v>
      </c>
      <c r="N18" s="37" t="s">
        <v>554</v>
      </c>
      <c r="O18" s="37" t="s">
        <v>556</v>
      </c>
      <c r="Q18" s="37" t="e">
        <f ca="1">Calcu!AF10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F19" s="51" t="e">
        <f ca="1">Calcu!AA11</f>
        <v>#N/A</v>
      </c>
      <c r="G19" s="51" t="s">
        <v>553</v>
      </c>
      <c r="H19" s="51" t="e">
        <f ca="1">Calcu!AD11</f>
        <v>#N/A</v>
      </c>
      <c r="J19" s="37" t="e">
        <f ca="1">Calcu!AB11</f>
        <v>#N/A</v>
      </c>
      <c r="K19" s="37" t="e">
        <f ca="1">Calcu!AC11</f>
        <v>#N/A</v>
      </c>
      <c r="L19" s="37" t="str">
        <f>LEFT(Calcu!AE11)</f>
        <v/>
      </c>
      <c r="M19" s="37" t="s">
        <v>555</v>
      </c>
      <c r="N19" s="37" t="s">
        <v>555</v>
      </c>
      <c r="O19" s="37" t="s">
        <v>554</v>
      </c>
      <c r="Q19" s="37" t="e">
        <f ca="1">Calcu!AF11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F20" s="51" t="e">
        <f ca="1">Calcu!AA12</f>
        <v>#N/A</v>
      </c>
      <c r="G20" s="51" t="s">
        <v>544</v>
      </c>
      <c r="H20" s="51" t="e">
        <f ca="1">Calcu!AD12</f>
        <v>#N/A</v>
      </c>
      <c r="J20" s="37" t="e">
        <f ca="1">Calcu!AB12</f>
        <v>#N/A</v>
      </c>
      <c r="K20" s="37" t="e">
        <f ca="1">Calcu!AC12</f>
        <v>#N/A</v>
      </c>
      <c r="L20" s="37" t="str">
        <f>LEFT(Calcu!AE12)</f>
        <v/>
      </c>
      <c r="M20" s="37" t="s">
        <v>555</v>
      </c>
      <c r="N20" s="37" t="s">
        <v>554</v>
      </c>
      <c r="O20" s="37" t="s">
        <v>556</v>
      </c>
      <c r="Q20" s="37" t="e">
        <f ca="1">Calcu!AF12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F21" s="51" t="e">
        <f ca="1">Calcu!AA13</f>
        <v>#N/A</v>
      </c>
      <c r="G21" s="51" t="s">
        <v>553</v>
      </c>
      <c r="H21" s="51" t="e">
        <f ca="1">Calcu!AD13</f>
        <v>#N/A</v>
      </c>
      <c r="J21" s="37" t="e">
        <f ca="1">Calcu!AB13</f>
        <v>#N/A</v>
      </c>
      <c r="K21" s="37" t="e">
        <f ca="1">Calcu!AC13</f>
        <v>#N/A</v>
      </c>
      <c r="L21" s="37" t="str">
        <f>LEFT(Calcu!AE13)</f>
        <v/>
      </c>
      <c r="M21" s="37" t="s">
        <v>555</v>
      </c>
      <c r="N21" s="37" t="s">
        <v>556</v>
      </c>
      <c r="O21" s="37" t="s">
        <v>555</v>
      </c>
      <c r="Q21" s="37" t="e">
        <f ca="1">Calcu!AF13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F22" s="51" t="e">
        <f ca="1">Calcu!AA14</f>
        <v>#N/A</v>
      </c>
      <c r="G22" s="51" t="s">
        <v>557</v>
      </c>
      <c r="H22" s="51" t="e">
        <f ca="1">Calcu!AD14</f>
        <v>#N/A</v>
      </c>
      <c r="J22" s="37" t="e">
        <f ca="1">Calcu!AB14</f>
        <v>#N/A</v>
      </c>
      <c r="K22" s="37" t="e">
        <f ca="1">Calcu!AC14</f>
        <v>#N/A</v>
      </c>
      <c r="L22" s="37" t="str">
        <f>LEFT(Calcu!AE14)</f>
        <v/>
      </c>
      <c r="M22" s="37" t="s">
        <v>554</v>
      </c>
      <c r="N22" s="37" t="s">
        <v>556</v>
      </c>
      <c r="O22" s="37" t="s">
        <v>556</v>
      </c>
      <c r="Q22" s="37" t="e">
        <f ca="1">Calcu!AF14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F23" s="51" t="e">
        <f ca="1">Calcu!AA15</f>
        <v>#N/A</v>
      </c>
      <c r="G23" s="51" t="s">
        <v>557</v>
      </c>
      <c r="H23" s="51" t="e">
        <f ca="1">Calcu!AD15</f>
        <v>#N/A</v>
      </c>
      <c r="J23" s="37" t="e">
        <f ca="1">Calcu!AB15</f>
        <v>#N/A</v>
      </c>
      <c r="K23" s="37" t="e">
        <f ca="1">Calcu!AC15</f>
        <v>#N/A</v>
      </c>
      <c r="L23" s="37" t="str">
        <f>LEFT(Calcu!AE15)</f>
        <v/>
      </c>
      <c r="M23" s="37" t="s">
        <v>555</v>
      </c>
      <c r="N23" s="37" t="s">
        <v>555</v>
      </c>
      <c r="O23" s="37" t="s">
        <v>555</v>
      </c>
      <c r="Q23" s="37" t="e">
        <f ca="1">Calcu!AF15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F24" s="51" t="e">
        <f ca="1">Calcu!AA16</f>
        <v>#N/A</v>
      </c>
      <c r="G24" s="51" t="s">
        <v>553</v>
      </c>
      <c r="H24" s="51" t="e">
        <f ca="1">Calcu!AD16</f>
        <v>#N/A</v>
      </c>
      <c r="J24" s="37" t="e">
        <f ca="1">Calcu!AB16</f>
        <v>#N/A</v>
      </c>
      <c r="K24" s="37" t="e">
        <f ca="1">Calcu!AC16</f>
        <v>#N/A</v>
      </c>
      <c r="L24" s="37" t="str">
        <f>LEFT(Calcu!AE16)</f>
        <v/>
      </c>
      <c r="M24" s="37" t="s">
        <v>555</v>
      </c>
      <c r="N24" s="37" t="s">
        <v>555</v>
      </c>
      <c r="O24" s="37" t="s">
        <v>555</v>
      </c>
      <c r="Q24" s="37" t="e">
        <f ca="1">Calcu!AF16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F25" s="51" t="e">
        <f ca="1">Calcu!AA17</f>
        <v>#N/A</v>
      </c>
      <c r="G25" s="51" t="s">
        <v>557</v>
      </c>
      <c r="H25" s="51" t="e">
        <f ca="1">Calcu!AD17</f>
        <v>#N/A</v>
      </c>
      <c r="J25" s="37" t="e">
        <f ca="1">Calcu!AB17</f>
        <v>#N/A</v>
      </c>
      <c r="K25" s="37" t="e">
        <f ca="1">Calcu!AC17</f>
        <v>#N/A</v>
      </c>
      <c r="L25" s="37" t="str">
        <f>LEFT(Calcu!AE17)</f>
        <v/>
      </c>
      <c r="M25" s="37" t="s">
        <v>555</v>
      </c>
      <c r="N25" s="37" t="s">
        <v>555</v>
      </c>
      <c r="O25" s="37" t="s">
        <v>555</v>
      </c>
      <c r="Q25" s="37" t="e">
        <f ca="1">Calcu!AF17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F26" s="51" t="e">
        <f ca="1">Calcu!AA18</f>
        <v>#N/A</v>
      </c>
      <c r="G26" s="51" t="s">
        <v>557</v>
      </c>
      <c r="H26" s="51" t="e">
        <f ca="1">Calcu!AD18</f>
        <v>#N/A</v>
      </c>
      <c r="J26" s="37" t="e">
        <f ca="1">Calcu!AB18</f>
        <v>#N/A</v>
      </c>
      <c r="K26" s="37" t="e">
        <f ca="1">Calcu!AC18</f>
        <v>#N/A</v>
      </c>
      <c r="L26" s="37" t="str">
        <f>LEFT(Calcu!AE18)</f>
        <v/>
      </c>
      <c r="M26" s="37" t="s">
        <v>556</v>
      </c>
      <c r="N26" s="37" t="s">
        <v>555</v>
      </c>
      <c r="O26" s="37" t="s">
        <v>556</v>
      </c>
      <c r="Q26" s="37" t="e">
        <f ca="1">Calcu!AF18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F27" s="51" t="e">
        <f ca="1">Calcu!AA19</f>
        <v>#N/A</v>
      </c>
      <c r="G27" s="51" t="s">
        <v>557</v>
      </c>
      <c r="H27" s="51" t="e">
        <f ca="1">Calcu!AD19</f>
        <v>#N/A</v>
      </c>
      <c r="J27" s="37" t="e">
        <f ca="1">Calcu!AB19</f>
        <v>#N/A</v>
      </c>
      <c r="K27" s="37" t="e">
        <f ca="1">Calcu!AC19</f>
        <v>#N/A</v>
      </c>
      <c r="L27" s="37" t="str">
        <f>LEFT(Calcu!AE19)</f>
        <v/>
      </c>
      <c r="M27" s="37" t="s">
        <v>555</v>
      </c>
      <c r="N27" s="37" t="s">
        <v>556</v>
      </c>
      <c r="O27" s="37" t="s">
        <v>555</v>
      </c>
      <c r="Q27" s="37" t="e">
        <f ca="1">Calcu!AF19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F28" s="51" t="e">
        <f ca="1">Calcu!AA20</f>
        <v>#N/A</v>
      </c>
      <c r="G28" s="51" t="s">
        <v>553</v>
      </c>
      <c r="H28" s="51" t="e">
        <f ca="1">Calcu!AD20</f>
        <v>#N/A</v>
      </c>
      <c r="J28" s="37" t="e">
        <f ca="1">Calcu!AB20</f>
        <v>#N/A</v>
      </c>
      <c r="K28" s="37" t="e">
        <f ca="1">Calcu!AC20</f>
        <v>#N/A</v>
      </c>
      <c r="L28" s="37" t="str">
        <f>LEFT(Calcu!AE20)</f>
        <v/>
      </c>
      <c r="M28" s="37" t="s">
        <v>555</v>
      </c>
      <c r="N28" s="37" t="s">
        <v>556</v>
      </c>
      <c r="O28" s="37" t="s">
        <v>556</v>
      </c>
      <c r="Q28" s="37" t="e">
        <f ca="1">Calcu!AF20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F29" s="51" t="e">
        <f ca="1">Calcu!AA21</f>
        <v>#N/A</v>
      </c>
      <c r="G29" s="51" t="s">
        <v>553</v>
      </c>
      <c r="H29" s="51" t="e">
        <f ca="1">Calcu!AD21</f>
        <v>#N/A</v>
      </c>
      <c r="J29" s="37" t="e">
        <f ca="1">Calcu!AB21</f>
        <v>#N/A</v>
      </c>
      <c r="K29" s="37" t="e">
        <f ca="1">Calcu!AC21</f>
        <v>#N/A</v>
      </c>
      <c r="L29" s="37" t="str">
        <f>LEFT(Calcu!AE21)</f>
        <v/>
      </c>
      <c r="M29" s="37" t="s">
        <v>556</v>
      </c>
      <c r="N29" s="37" t="s">
        <v>556</v>
      </c>
      <c r="O29" s="37" t="s">
        <v>556</v>
      </c>
      <c r="Q29" s="37" t="e">
        <f ca="1">Calcu!AF21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F30" s="51" t="e">
        <f ca="1">Calcu!AA22</f>
        <v>#N/A</v>
      </c>
      <c r="G30" s="51" t="s">
        <v>553</v>
      </c>
      <c r="H30" s="51" t="e">
        <f ca="1">Calcu!AD22</f>
        <v>#N/A</v>
      </c>
      <c r="J30" s="37" t="e">
        <f ca="1">Calcu!AB22</f>
        <v>#N/A</v>
      </c>
      <c r="K30" s="37" t="e">
        <f ca="1">Calcu!AC22</f>
        <v>#N/A</v>
      </c>
      <c r="L30" s="37" t="str">
        <f>LEFT(Calcu!AE22)</f>
        <v/>
      </c>
      <c r="M30" s="37" t="s">
        <v>555</v>
      </c>
      <c r="N30" s="37" t="s">
        <v>555</v>
      </c>
      <c r="O30" s="37" t="s">
        <v>556</v>
      </c>
      <c r="Q30" s="37" t="e">
        <f ca="1">Calcu!AF22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F31" s="51" t="e">
        <f ca="1">Calcu!AA23</f>
        <v>#N/A</v>
      </c>
      <c r="G31" s="51" t="s">
        <v>553</v>
      </c>
      <c r="H31" s="51" t="e">
        <f ca="1">Calcu!AD23</f>
        <v>#N/A</v>
      </c>
      <c r="J31" s="37" t="e">
        <f ca="1">Calcu!AB23</f>
        <v>#N/A</v>
      </c>
      <c r="K31" s="37" t="e">
        <f ca="1">Calcu!AC23</f>
        <v>#N/A</v>
      </c>
      <c r="L31" s="37" t="str">
        <f>LEFT(Calcu!AE23)</f>
        <v/>
      </c>
      <c r="M31" s="37" t="s">
        <v>555</v>
      </c>
      <c r="N31" s="37" t="s">
        <v>555</v>
      </c>
      <c r="O31" s="37" t="s">
        <v>555</v>
      </c>
      <c r="Q31" s="37" t="e">
        <f ca="1">Calcu!AF23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F32" s="51" t="e">
        <f ca="1">Calcu!AA24</f>
        <v>#N/A</v>
      </c>
      <c r="G32" s="51" t="s">
        <v>553</v>
      </c>
      <c r="H32" s="51" t="e">
        <f ca="1">Calcu!AD24</f>
        <v>#N/A</v>
      </c>
      <c r="J32" s="37" t="e">
        <f ca="1">Calcu!AB24</f>
        <v>#N/A</v>
      </c>
      <c r="K32" s="37" t="e">
        <f ca="1">Calcu!AC24</f>
        <v>#N/A</v>
      </c>
      <c r="L32" s="37" t="str">
        <f>LEFT(Calcu!AE24)</f>
        <v/>
      </c>
      <c r="M32" s="37" t="s">
        <v>555</v>
      </c>
      <c r="N32" s="37" t="s">
        <v>555</v>
      </c>
      <c r="O32" s="37" t="s">
        <v>555</v>
      </c>
      <c r="Q32" s="37" t="e">
        <f ca="1">Calcu!AF24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F33" s="51" t="e">
        <f ca="1">Calcu!AA25</f>
        <v>#N/A</v>
      </c>
      <c r="G33" s="51" t="s">
        <v>553</v>
      </c>
      <c r="H33" s="51" t="e">
        <f ca="1">Calcu!AD25</f>
        <v>#N/A</v>
      </c>
      <c r="J33" s="37" t="e">
        <f ca="1">Calcu!AB25</f>
        <v>#N/A</v>
      </c>
      <c r="K33" s="37" t="e">
        <f ca="1">Calcu!AC25</f>
        <v>#N/A</v>
      </c>
      <c r="L33" s="37" t="str">
        <f>LEFT(Calcu!AE25)</f>
        <v/>
      </c>
      <c r="M33" s="37" t="s">
        <v>555</v>
      </c>
      <c r="N33" s="37" t="s">
        <v>555</v>
      </c>
      <c r="O33" s="37" t="s">
        <v>555</v>
      </c>
      <c r="Q33" s="37" t="e">
        <f ca="1">Calcu!AF25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F34" s="51" t="e">
        <f ca="1">Calcu!AA26</f>
        <v>#N/A</v>
      </c>
      <c r="G34" s="51" t="s">
        <v>553</v>
      </c>
      <c r="H34" s="51" t="e">
        <f ca="1">Calcu!AD26</f>
        <v>#N/A</v>
      </c>
      <c r="J34" s="37" t="e">
        <f ca="1">Calcu!AB26</f>
        <v>#N/A</v>
      </c>
      <c r="K34" s="37" t="e">
        <f ca="1">Calcu!AC26</f>
        <v>#N/A</v>
      </c>
      <c r="L34" s="37" t="str">
        <f>LEFT(Calcu!AE26)</f>
        <v/>
      </c>
      <c r="M34" s="37" t="s">
        <v>555</v>
      </c>
      <c r="N34" s="37" t="s">
        <v>555</v>
      </c>
      <c r="O34" s="37" t="s">
        <v>556</v>
      </c>
      <c r="Q34" s="37" t="e">
        <f ca="1">Calcu!AF26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F35" s="51" t="e">
        <f ca="1">Calcu!AA27</f>
        <v>#N/A</v>
      </c>
      <c r="G35" s="51" t="s">
        <v>553</v>
      </c>
      <c r="H35" s="51" t="e">
        <f ca="1">Calcu!AD27</f>
        <v>#N/A</v>
      </c>
      <c r="J35" s="37" t="e">
        <f ca="1">Calcu!AB27</f>
        <v>#N/A</v>
      </c>
      <c r="K35" s="37" t="e">
        <f ca="1">Calcu!AC27</f>
        <v>#N/A</v>
      </c>
      <c r="L35" s="37" t="str">
        <f>LEFT(Calcu!AE27)</f>
        <v/>
      </c>
      <c r="M35" s="37" t="s">
        <v>555</v>
      </c>
      <c r="N35" s="37" t="s">
        <v>555</v>
      </c>
      <c r="O35" s="37" t="s">
        <v>555</v>
      </c>
      <c r="Q35" s="37" t="e">
        <f ca="1">Calcu!AF27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F36" s="51" t="e">
        <f ca="1">Calcu!AA28</f>
        <v>#N/A</v>
      </c>
      <c r="G36" s="51" t="s">
        <v>553</v>
      </c>
      <c r="H36" s="51" t="e">
        <f ca="1">Calcu!AD28</f>
        <v>#N/A</v>
      </c>
      <c r="J36" s="37" t="e">
        <f ca="1">Calcu!AB28</f>
        <v>#N/A</v>
      </c>
      <c r="K36" s="37" t="e">
        <f ca="1">Calcu!AC28</f>
        <v>#N/A</v>
      </c>
      <c r="L36" s="37" t="str">
        <f>LEFT(Calcu!AE28)</f>
        <v/>
      </c>
      <c r="M36" s="37" t="s">
        <v>556</v>
      </c>
      <c r="N36" s="37" t="s">
        <v>555</v>
      </c>
      <c r="O36" s="37" t="s">
        <v>556</v>
      </c>
      <c r="Q36" s="37" t="e">
        <f ca="1">Calcu!AF28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F37" s="51" t="e">
        <f ca="1">Calcu!AA29</f>
        <v>#N/A</v>
      </c>
      <c r="G37" s="51" t="s">
        <v>553</v>
      </c>
      <c r="H37" s="51" t="e">
        <f ca="1">Calcu!AD29</f>
        <v>#N/A</v>
      </c>
      <c r="J37" s="37" t="e">
        <f ca="1">Calcu!AB29</f>
        <v>#N/A</v>
      </c>
      <c r="K37" s="37" t="e">
        <f ca="1">Calcu!AC29</f>
        <v>#N/A</v>
      </c>
      <c r="L37" s="37" t="str">
        <f>LEFT(Calcu!AE29)</f>
        <v/>
      </c>
      <c r="M37" s="37" t="s">
        <v>555</v>
      </c>
      <c r="N37" s="37" t="s">
        <v>556</v>
      </c>
      <c r="O37" s="37" t="s">
        <v>556</v>
      </c>
      <c r="Q37" s="37" t="e">
        <f ca="1">Calcu!AF29</f>
        <v>#N/A</v>
      </c>
    </row>
    <row r="38" spans="1:17" ht="15" customHeight="1">
      <c r="A38" s="44"/>
      <c r="F38" s="51"/>
      <c r="G38" s="51"/>
      <c r="H38" s="51"/>
    </row>
    <row r="39" spans="1:17" ht="15" customHeight="1">
      <c r="A39" s="44"/>
      <c r="G39" s="53" t="e">
        <f ca="1">IF(Calcu!E57="사다리꼴","※ 신뢰수준 95 %,","※ 신뢰수준 약 95 %,")</f>
        <v>#N/A</v>
      </c>
      <c r="H39" s="277" t="e">
        <f ca="1">Calcu!E58&amp;IF(Calcu!E57="사다리꼴",", 사다리꼴 확률분포","")</f>
        <v>#N/A</v>
      </c>
      <c r="K39" s="50"/>
      <c r="Q39" s="53"/>
    </row>
    <row r="40" spans="1:17" ht="15" customHeight="1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4" customWidth="1"/>
    <col min="13" max="13" width="6.77734375" style="111" customWidth="1"/>
    <col min="14" max="16384" width="10.77734375" style="94"/>
  </cols>
  <sheetData>
    <row r="1" spans="1:13" s="81" customFormat="1" ht="33" customHeight="1">
      <c r="A1" s="364" t="s">
        <v>74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83"/>
    </row>
    <row r="2" spans="1:13" s="81" customFormat="1" ht="33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10"/>
    </row>
    <row r="4" spans="1:13" s="83" customFormat="1" ht="13.5" customHeight="1">
      <c r="A4" s="91"/>
      <c r="B4" s="91"/>
      <c r="C4" s="91"/>
      <c r="D4" s="92"/>
      <c r="E4" s="92"/>
      <c r="F4" s="101"/>
      <c r="G4" s="92"/>
      <c r="H4" s="92"/>
      <c r="I4" s="102"/>
      <c r="J4" s="93"/>
      <c r="K4" s="101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229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70" t="s">
        <v>176</v>
      </c>
      <c r="F7" s="170" t="s">
        <v>111</v>
      </c>
      <c r="G7" s="229" t="s">
        <v>110</v>
      </c>
      <c r="H7" s="362" t="s">
        <v>112</v>
      </c>
      <c r="I7" s="51"/>
    </row>
    <row r="8" spans="1:13" s="86" customFormat="1" ht="15" customHeight="1">
      <c r="A8" s="43"/>
      <c r="D8" s="43"/>
      <c r="E8" s="169" t="s">
        <v>230</v>
      </c>
      <c r="F8" s="169" t="s">
        <v>230</v>
      </c>
      <c r="G8" s="169" t="s">
        <v>226</v>
      </c>
      <c r="H8" s="363"/>
      <c r="I8" s="51"/>
    </row>
    <row r="9" spans="1:13" s="86" customFormat="1" ht="15" customHeight="1">
      <c r="A9" s="43" t="str">
        <f>IF(Calcu!B9=TRUE,"","삭제")</f>
        <v>삭제</v>
      </c>
      <c r="D9" s="43"/>
      <c r="E9" s="170" t="e">
        <f ca="1">Calcu!AA9</f>
        <v>#N/A</v>
      </c>
      <c r="F9" s="170" t="e">
        <f ca="1">Calcu!AB9</f>
        <v>#N/A</v>
      </c>
      <c r="G9" s="170" t="e">
        <f ca="1">Calcu!AD9</f>
        <v>#N/A</v>
      </c>
      <c r="H9" s="172" t="str">
        <f>Calcu!AE9</f>
        <v/>
      </c>
      <c r="I9" s="51"/>
    </row>
    <row r="10" spans="1:13" s="86" customFormat="1" ht="15" customHeight="1">
      <c r="A10" s="43" t="str">
        <f>IF(Calcu!B10=TRUE,"","삭제")</f>
        <v>삭제</v>
      </c>
      <c r="D10" s="43"/>
      <c r="E10" s="170" t="e">
        <f ca="1">Calcu!AA10</f>
        <v>#N/A</v>
      </c>
      <c r="F10" s="170" t="e">
        <f ca="1">Calcu!AB10</f>
        <v>#N/A</v>
      </c>
      <c r="G10" s="170" t="e">
        <f ca="1">Calcu!AD10</f>
        <v>#N/A</v>
      </c>
      <c r="H10" s="172" t="str">
        <f>Calcu!AE10</f>
        <v/>
      </c>
      <c r="I10" s="51"/>
    </row>
    <row r="11" spans="1:13" s="86" customFormat="1" ht="15" customHeight="1">
      <c r="A11" s="43" t="str">
        <f>IF(Calcu!B11=TRUE,"","삭제")</f>
        <v>삭제</v>
      </c>
      <c r="D11" s="43"/>
      <c r="E11" s="170" t="e">
        <f ca="1">Calcu!AA11</f>
        <v>#N/A</v>
      </c>
      <c r="F11" s="170" t="e">
        <f ca="1">Calcu!AB11</f>
        <v>#N/A</v>
      </c>
      <c r="G11" s="170" t="e">
        <f ca="1">Calcu!AD11</f>
        <v>#N/A</v>
      </c>
      <c r="H11" s="172" t="str">
        <f>Calcu!AE11</f>
        <v/>
      </c>
      <c r="I11" s="51"/>
    </row>
    <row r="12" spans="1:13" s="86" customFormat="1" ht="15" customHeight="1">
      <c r="A12" s="43" t="str">
        <f>IF(Calcu!B12=TRUE,"","삭제")</f>
        <v>삭제</v>
      </c>
      <c r="D12" s="43"/>
      <c r="E12" s="170" t="e">
        <f ca="1">Calcu!AA12</f>
        <v>#N/A</v>
      </c>
      <c r="F12" s="170" t="e">
        <f ca="1">Calcu!AB12</f>
        <v>#N/A</v>
      </c>
      <c r="G12" s="170" t="e">
        <f ca="1">Calcu!AD12</f>
        <v>#N/A</v>
      </c>
      <c r="H12" s="172" t="str">
        <f>Calcu!AE12</f>
        <v/>
      </c>
      <c r="I12" s="51"/>
    </row>
    <row r="13" spans="1:13" s="86" customFormat="1" ht="15" customHeight="1">
      <c r="A13" s="43" t="str">
        <f>IF(Calcu!B13=TRUE,"","삭제")</f>
        <v>삭제</v>
      </c>
      <c r="D13" s="43"/>
      <c r="E13" s="170" t="e">
        <f ca="1">Calcu!AA13</f>
        <v>#N/A</v>
      </c>
      <c r="F13" s="170" t="e">
        <f ca="1">Calcu!AB13</f>
        <v>#N/A</v>
      </c>
      <c r="G13" s="170" t="e">
        <f ca="1">Calcu!AD13</f>
        <v>#N/A</v>
      </c>
      <c r="H13" s="172" t="str">
        <f>Calcu!AE13</f>
        <v/>
      </c>
      <c r="I13" s="51"/>
    </row>
    <row r="14" spans="1:13" s="86" customFormat="1" ht="15" customHeight="1">
      <c r="A14" s="43" t="str">
        <f>IF(Calcu!B14=TRUE,"","삭제")</f>
        <v>삭제</v>
      </c>
      <c r="D14" s="43"/>
      <c r="E14" s="170" t="e">
        <f ca="1">Calcu!AA14</f>
        <v>#N/A</v>
      </c>
      <c r="F14" s="170" t="e">
        <f ca="1">Calcu!AB14</f>
        <v>#N/A</v>
      </c>
      <c r="G14" s="170" t="e">
        <f ca="1">Calcu!AD14</f>
        <v>#N/A</v>
      </c>
      <c r="H14" s="172" t="str">
        <f>Calcu!AE14</f>
        <v/>
      </c>
      <c r="I14" s="51"/>
    </row>
    <row r="15" spans="1:13" s="86" customFormat="1" ht="15" customHeight="1">
      <c r="A15" s="43" t="str">
        <f>IF(Calcu!B15=TRUE,"","삭제")</f>
        <v>삭제</v>
      </c>
      <c r="D15" s="43"/>
      <c r="E15" s="170" t="e">
        <f ca="1">Calcu!AA15</f>
        <v>#N/A</v>
      </c>
      <c r="F15" s="170" t="e">
        <f ca="1">Calcu!AB15</f>
        <v>#N/A</v>
      </c>
      <c r="G15" s="170" t="e">
        <f ca="1">Calcu!AD15</f>
        <v>#N/A</v>
      </c>
      <c r="H15" s="172" t="str">
        <f>Calcu!AE15</f>
        <v/>
      </c>
      <c r="I15" s="51"/>
    </row>
    <row r="16" spans="1:13" s="86" customFormat="1" ht="15" customHeight="1">
      <c r="A16" s="43" t="str">
        <f>IF(Calcu!B16=TRUE,"","삭제")</f>
        <v>삭제</v>
      </c>
      <c r="D16" s="43"/>
      <c r="E16" s="170" t="e">
        <f ca="1">Calcu!AA16</f>
        <v>#N/A</v>
      </c>
      <c r="F16" s="170" t="e">
        <f ca="1">Calcu!AB16</f>
        <v>#N/A</v>
      </c>
      <c r="G16" s="170" t="e">
        <f ca="1">Calcu!AD16</f>
        <v>#N/A</v>
      </c>
      <c r="H16" s="172" t="str">
        <f>Calcu!AE16</f>
        <v/>
      </c>
      <c r="I16" s="51"/>
    </row>
    <row r="17" spans="1:13" s="86" customFormat="1" ht="15" customHeight="1">
      <c r="A17" s="43" t="str">
        <f>IF(Calcu!B17=TRUE,"","삭제")</f>
        <v>삭제</v>
      </c>
      <c r="D17" s="43"/>
      <c r="E17" s="170" t="e">
        <f ca="1">Calcu!AA17</f>
        <v>#N/A</v>
      </c>
      <c r="F17" s="170" t="e">
        <f ca="1">Calcu!AB17</f>
        <v>#N/A</v>
      </c>
      <c r="G17" s="170" t="e">
        <f ca="1">Calcu!AD17</f>
        <v>#N/A</v>
      </c>
      <c r="H17" s="172" t="str">
        <f>Calcu!AE17</f>
        <v/>
      </c>
      <c r="I17" s="51"/>
    </row>
    <row r="18" spans="1:13" s="86" customFormat="1" ht="15" customHeight="1">
      <c r="A18" s="43" t="str">
        <f>IF(Calcu!B18=TRUE,"","삭제")</f>
        <v>삭제</v>
      </c>
      <c r="D18" s="43"/>
      <c r="E18" s="170" t="e">
        <f ca="1">Calcu!AA18</f>
        <v>#N/A</v>
      </c>
      <c r="F18" s="170" t="e">
        <f ca="1">Calcu!AB18</f>
        <v>#N/A</v>
      </c>
      <c r="G18" s="170" t="e">
        <f ca="1">Calcu!AD18</f>
        <v>#N/A</v>
      </c>
      <c r="H18" s="172" t="str">
        <f>Calcu!AE18</f>
        <v/>
      </c>
      <c r="I18" s="51"/>
    </row>
    <row r="19" spans="1:13" s="86" customFormat="1" ht="15" customHeight="1">
      <c r="A19" s="43" t="str">
        <f>IF(Calcu!B19=TRUE,"","삭제")</f>
        <v>삭제</v>
      </c>
      <c r="D19" s="43"/>
      <c r="E19" s="170" t="e">
        <f ca="1">Calcu!AA19</f>
        <v>#N/A</v>
      </c>
      <c r="F19" s="170" t="e">
        <f ca="1">Calcu!AB19</f>
        <v>#N/A</v>
      </c>
      <c r="G19" s="170" t="e">
        <f ca="1">Calcu!AD19</f>
        <v>#N/A</v>
      </c>
      <c r="H19" s="172" t="str">
        <f>Calcu!AE19</f>
        <v/>
      </c>
      <c r="I19" s="51"/>
    </row>
    <row r="20" spans="1:13" s="86" customFormat="1" ht="15" customHeight="1">
      <c r="A20" s="43" t="str">
        <f>IF(Calcu!B20=TRUE,"","삭제")</f>
        <v>삭제</v>
      </c>
      <c r="D20" s="43"/>
      <c r="E20" s="170" t="e">
        <f ca="1">Calcu!AA20</f>
        <v>#N/A</v>
      </c>
      <c r="F20" s="170" t="e">
        <f ca="1">Calcu!AB20</f>
        <v>#N/A</v>
      </c>
      <c r="G20" s="170" t="e">
        <f ca="1">Calcu!AD20</f>
        <v>#N/A</v>
      </c>
      <c r="H20" s="172" t="str">
        <f>Calcu!AE20</f>
        <v/>
      </c>
      <c r="I20" s="51"/>
    </row>
    <row r="21" spans="1:13" s="86" customFormat="1" ht="15" customHeight="1">
      <c r="A21" s="43" t="str">
        <f>IF(Calcu!B21=TRUE,"","삭제")</f>
        <v>삭제</v>
      </c>
      <c r="D21" s="43"/>
      <c r="E21" s="170" t="e">
        <f ca="1">Calcu!AA21</f>
        <v>#N/A</v>
      </c>
      <c r="F21" s="170" t="e">
        <f ca="1">Calcu!AB21</f>
        <v>#N/A</v>
      </c>
      <c r="G21" s="170" t="e">
        <f ca="1">Calcu!AD21</f>
        <v>#N/A</v>
      </c>
      <c r="H21" s="172" t="str">
        <f>Calcu!AE21</f>
        <v/>
      </c>
      <c r="I21" s="51"/>
    </row>
    <row r="22" spans="1:13" s="86" customFormat="1" ht="15" customHeight="1">
      <c r="A22" s="43" t="str">
        <f>IF(Calcu!B22=TRUE,"","삭제")</f>
        <v>삭제</v>
      </c>
      <c r="D22" s="43"/>
      <c r="E22" s="170" t="e">
        <f ca="1">Calcu!AA22</f>
        <v>#N/A</v>
      </c>
      <c r="F22" s="170" t="e">
        <f ca="1">Calcu!AB22</f>
        <v>#N/A</v>
      </c>
      <c r="G22" s="170" t="e">
        <f ca="1">Calcu!AD22</f>
        <v>#N/A</v>
      </c>
      <c r="H22" s="172" t="str">
        <f>Calcu!AE22</f>
        <v/>
      </c>
      <c r="I22" s="51"/>
    </row>
    <row r="23" spans="1:13" s="86" customFormat="1" ht="15" customHeight="1">
      <c r="A23" s="43" t="str">
        <f>IF(Calcu!B23=TRUE,"","삭제")</f>
        <v>삭제</v>
      </c>
      <c r="D23" s="43"/>
      <c r="E23" s="170" t="e">
        <f ca="1">Calcu!AA23</f>
        <v>#N/A</v>
      </c>
      <c r="F23" s="170" t="e">
        <f ca="1">Calcu!AB23</f>
        <v>#N/A</v>
      </c>
      <c r="G23" s="170" t="e">
        <f ca="1">Calcu!AD23</f>
        <v>#N/A</v>
      </c>
      <c r="H23" s="172" t="str">
        <f>Calcu!AE23</f>
        <v/>
      </c>
      <c r="I23" s="51"/>
    </row>
    <row r="24" spans="1:13" s="86" customFormat="1" ht="15" customHeight="1">
      <c r="A24" s="43" t="str">
        <f>IF(Calcu!B24=TRUE,"","삭제")</f>
        <v>삭제</v>
      </c>
      <c r="D24" s="43"/>
      <c r="E24" s="170" t="e">
        <f ca="1">Calcu!AA24</f>
        <v>#N/A</v>
      </c>
      <c r="F24" s="170" t="e">
        <f ca="1">Calcu!AB24</f>
        <v>#N/A</v>
      </c>
      <c r="G24" s="170" t="e">
        <f ca="1">Calcu!AD24</f>
        <v>#N/A</v>
      </c>
      <c r="H24" s="172" t="str">
        <f>Calcu!AE24</f>
        <v/>
      </c>
      <c r="I24" s="51"/>
    </row>
    <row r="25" spans="1:13" s="86" customFormat="1" ht="15" customHeight="1">
      <c r="A25" s="43" t="str">
        <f>IF(Calcu!B25=TRUE,"","삭제")</f>
        <v>삭제</v>
      </c>
      <c r="D25" s="43"/>
      <c r="E25" s="170" t="e">
        <f ca="1">Calcu!AA25</f>
        <v>#N/A</v>
      </c>
      <c r="F25" s="170" t="e">
        <f ca="1">Calcu!AB25</f>
        <v>#N/A</v>
      </c>
      <c r="G25" s="170" t="e">
        <f ca="1">Calcu!AD25</f>
        <v>#N/A</v>
      </c>
      <c r="H25" s="172" t="str">
        <f>Calcu!AE25</f>
        <v/>
      </c>
      <c r="I25" s="51"/>
    </row>
    <row r="26" spans="1:13" s="86" customFormat="1" ht="15" customHeight="1">
      <c r="A26" s="43" t="str">
        <f>IF(Calcu!B26=TRUE,"","삭제")</f>
        <v>삭제</v>
      </c>
      <c r="D26" s="43"/>
      <c r="E26" s="170" t="e">
        <f ca="1">Calcu!AA26</f>
        <v>#N/A</v>
      </c>
      <c r="F26" s="170" t="e">
        <f ca="1">Calcu!AB26</f>
        <v>#N/A</v>
      </c>
      <c r="G26" s="170" t="e">
        <f ca="1">Calcu!AD26</f>
        <v>#N/A</v>
      </c>
      <c r="H26" s="172" t="str">
        <f>Calcu!AE26</f>
        <v/>
      </c>
      <c r="I26" s="51"/>
    </row>
    <row r="27" spans="1:13" s="86" customFormat="1" ht="15" customHeight="1">
      <c r="A27" s="43" t="str">
        <f>IF(Calcu!B27=TRUE,"","삭제")</f>
        <v>삭제</v>
      </c>
      <c r="D27" s="43"/>
      <c r="E27" s="170" t="e">
        <f ca="1">Calcu!AA27</f>
        <v>#N/A</v>
      </c>
      <c r="F27" s="170" t="e">
        <f ca="1">Calcu!AB27</f>
        <v>#N/A</v>
      </c>
      <c r="G27" s="170" t="e">
        <f ca="1">Calcu!AD27</f>
        <v>#N/A</v>
      </c>
      <c r="H27" s="172" t="str">
        <f>Calcu!AE27</f>
        <v/>
      </c>
      <c r="I27" s="51"/>
    </row>
    <row r="28" spans="1:13" s="86" customFormat="1" ht="15" customHeight="1">
      <c r="A28" s="43" t="str">
        <f>IF(Calcu!B28=TRUE,"","삭제")</f>
        <v>삭제</v>
      </c>
      <c r="D28" s="43"/>
      <c r="E28" s="170" t="e">
        <f ca="1">Calcu!AA28</f>
        <v>#N/A</v>
      </c>
      <c r="F28" s="170" t="e">
        <f ca="1">Calcu!AB28</f>
        <v>#N/A</v>
      </c>
      <c r="G28" s="170" t="e">
        <f ca="1">Calcu!AD28</f>
        <v>#N/A</v>
      </c>
      <c r="H28" s="172" t="str">
        <f>Calcu!AE28</f>
        <v/>
      </c>
    </row>
    <row r="29" spans="1:13" s="86" customFormat="1" ht="15" customHeight="1">
      <c r="A29" s="43" t="str">
        <f>IF(Calcu!B29=TRUE,"","삭제")</f>
        <v>삭제</v>
      </c>
      <c r="D29" s="43"/>
      <c r="E29" s="170" t="e">
        <f ca="1">Calcu!AA29</f>
        <v>#N/A</v>
      </c>
      <c r="F29" s="170" t="e">
        <f ca="1">Calcu!AB29</f>
        <v>#N/A</v>
      </c>
      <c r="G29" s="170" t="e">
        <f ca="1">Calcu!AD29</f>
        <v>#N/A</v>
      </c>
      <c r="H29" s="171" t="str">
        <f>Calcu!AE29</f>
        <v/>
      </c>
    </row>
    <row r="30" spans="1:13" ht="15" customHeight="1">
      <c r="B30" s="94"/>
      <c r="C30" s="94"/>
      <c r="D30" s="75"/>
      <c r="E30" s="112"/>
      <c r="F30" s="112"/>
      <c r="G30" s="112"/>
      <c r="H30" s="112"/>
      <c r="I30" s="75"/>
      <c r="J30" s="111"/>
      <c r="K30" s="94"/>
      <c r="M30" s="94"/>
    </row>
    <row r="31" spans="1:13" ht="15" customHeight="1">
      <c r="J31" s="94"/>
      <c r="K31" s="111"/>
      <c r="M31" s="94"/>
    </row>
    <row r="32" spans="1:13" ht="15" customHeight="1">
      <c r="J32" s="94"/>
      <c r="K32" s="111"/>
      <c r="M32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64" t="s">
        <v>59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</row>
    <row r="2" spans="1:12" s="81" customFormat="1" ht="33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1"/>
      <c r="F4" s="92"/>
      <c r="G4" s="92"/>
      <c r="H4" s="102"/>
      <c r="I4" s="93"/>
      <c r="J4" s="101"/>
      <c r="K4" s="101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5"/>
      <c r="C11" s="112"/>
      <c r="D11" s="112"/>
      <c r="E11" s="112"/>
      <c r="F11" s="112"/>
      <c r="G11" s="112"/>
      <c r="H11" s="113"/>
      <c r="I11" s="113"/>
      <c r="J11" s="112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3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4" t="s">
        <v>2</v>
      </c>
      <c r="C3" s="105">
        <f>기본정보!C3</f>
        <v>0</v>
      </c>
      <c r="D3" s="104" t="s">
        <v>105</v>
      </c>
      <c r="E3" s="372">
        <f>기본정보!H3</f>
        <v>0</v>
      </c>
      <c r="F3" s="373"/>
      <c r="G3" s="104" t="s">
        <v>109</v>
      </c>
      <c r="H3" s="107">
        <f>기본정보!H8</f>
        <v>0</v>
      </c>
      <c r="I3" s="25"/>
    </row>
    <row r="4" spans="1:30" s="28" customFormat="1" ht="15" customHeight="1">
      <c r="A4" s="46"/>
      <c r="B4" s="104" t="s">
        <v>32</v>
      </c>
      <c r="C4" s="106">
        <f>기본정보!C8</f>
        <v>0</v>
      </c>
      <c r="D4" s="104" t="s">
        <v>106</v>
      </c>
      <c r="E4" s="370">
        <f>기본정보!H4</f>
        <v>0</v>
      </c>
      <c r="F4" s="371"/>
      <c r="G4" s="104" t="s">
        <v>14</v>
      </c>
      <c r="H4" s="107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107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04" t="s">
        <v>130</v>
      </c>
      <c r="C7" s="104" t="s">
        <v>62</v>
      </c>
      <c r="D7" s="104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5">
        <f>Calcu!E3</f>
        <v>0</v>
      </c>
      <c r="C8" s="105">
        <f>Calcu!F3</f>
        <v>0</v>
      </c>
      <c r="D8" s="105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8" t="s">
        <v>108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9" t="s">
        <v>221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65" t="s">
        <v>415</v>
      </c>
      <c r="C12" s="367" t="s">
        <v>385</v>
      </c>
      <c r="D12" s="368"/>
      <c r="E12" s="368"/>
      <c r="F12" s="368"/>
      <c r="G12" s="369"/>
      <c r="H12" s="25"/>
      <c r="I12" s="25"/>
      <c r="J12" s="28"/>
      <c r="K12" s="28"/>
      <c r="L12" s="28"/>
      <c r="M12" s="28"/>
    </row>
    <row r="13" spans="1:30" ht="13.5" customHeight="1">
      <c r="B13" s="366"/>
      <c r="C13" s="104" t="s">
        <v>101</v>
      </c>
      <c r="D13" s="104" t="s">
        <v>77</v>
      </c>
      <c r="E13" s="104" t="s">
        <v>78</v>
      </c>
      <c r="F13" s="104" t="s">
        <v>222</v>
      </c>
      <c r="G13" s="104" t="s">
        <v>223</v>
      </c>
      <c r="H13" s="25"/>
      <c r="I13" s="25"/>
      <c r="J13" s="28"/>
      <c r="K13" s="28"/>
      <c r="L13" s="28"/>
      <c r="M13" s="28"/>
    </row>
    <row r="14" spans="1:30" ht="13.5" customHeight="1">
      <c r="B14" s="104">
        <f>D8</f>
        <v>0</v>
      </c>
      <c r="C14" s="104">
        <f t="shared" ref="C14:G14" si="0">B14</f>
        <v>0</v>
      </c>
      <c r="D14" s="104">
        <f t="shared" si="0"/>
        <v>0</v>
      </c>
      <c r="E14" s="104">
        <f t="shared" si="0"/>
        <v>0</v>
      </c>
      <c r="F14" s="104">
        <f t="shared" si="0"/>
        <v>0</v>
      </c>
      <c r="G14" s="104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105" t="str">
        <f>Calcu!C9</f>
        <v/>
      </c>
      <c r="C15" s="105" t="str">
        <f>IF(Calcu!$B9=FALSE,"",TEXT(Calcu!E9,Calcu!$Q$47))</f>
        <v/>
      </c>
      <c r="D15" s="105" t="str">
        <f>IF(Calcu!$B9=FALSE,"",TEXT(Calcu!F9,Calcu!$Q$47))</f>
        <v/>
      </c>
      <c r="E15" s="105" t="str">
        <f>IF(Calcu!$B9=FALSE,"",TEXT(Calcu!G9,Calcu!$Q$47))</f>
        <v/>
      </c>
      <c r="F15" s="105" t="str">
        <f>IF(Calcu!$B9=FALSE,"",TEXT(Calcu!H9,Calcu!$Q$47))</f>
        <v/>
      </c>
      <c r="G15" s="105" t="str">
        <f>IF(Calcu!$B9=FALSE,"",TEXT(Calcu!I9,Calcu!$Q$47))</f>
        <v/>
      </c>
      <c r="H15" s="25"/>
      <c r="I15" s="25"/>
      <c r="J15" s="28"/>
      <c r="K15" s="28"/>
      <c r="L15" s="28"/>
      <c r="M15" s="28"/>
    </row>
    <row r="16" spans="1:30" ht="13.5" customHeight="1">
      <c r="B16" s="105" t="str">
        <f>Calcu!C10</f>
        <v/>
      </c>
      <c r="C16" s="105" t="str">
        <f>IF(Calcu!$B10=FALSE,"",TEXT(Calcu!E10,Calcu!$Q$47))</f>
        <v/>
      </c>
      <c r="D16" s="105" t="str">
        <f>IF(Calcu!$B10=FALSE,"",TEXT(Calcu!F10,Calcu!$Q$47))</f>
        <v/>
      </c>
      <c r="E16" s="105" t="str">
        <f>IF(Calcu!$B10=FALSE,"",TEXT(Calcu!G10,Calcu!$Q$47))</f>
        <v/>
      </c>
      <c r="F16" s="105" t="str">
        <f>IF(Calcu!$B10=FALSE,"",TEXT(Calcu!H10,Calcu!$Q$47))</f>
        <v/>
      </c>
      <c r="G16" s="105" t="str">
        <f>IF(Calcu!$B10=FALSE,"",TEXT(Calcu!I10,Calcu!$Q$47))</f>
        <v/>
      </c>
      <c r="H16" s="25"/>
      <c r="I16" s="25"/>
      <c r="J16" s="28"/>
      <c r="K16" s="28"/>
      <c r="L16" s="28"/>
      <c r="M16" s="28"/>
    </row>
    <row r="17" spans="2:13" ht="13.5" customHeight="1">
      <c r="B17" s="105" t="str">
        <f>Calcu!C11</f>
        <v/>
      </c>
      <c r="C17" s="105" t="str">
        <f>IF(Calcu!$B11=FALSE,"",TEXT(Calcu!E11,Calcu!$Q$47))</f>
        <v/>
      </c>
      <c r="D17" s="105" t="str">
        <f>IF(Calcu!$B11=FALSE,"",TEXT(Calcu!F11,Calcu!$Q$47))</f>
        <v/>
      </c>
      <c r="E17" s="105" t="str">
        <f>IF(Calcu!$B11=FALSE,"",TEXT(Calcu!G11,Calcu!$Q$47))</f>
        <v/>
      </c>
      <c r="F17" s="105" t="str">
        <f>IF(Calcu!$B11=FALSE,"",TEXT(Calcu!H11,Calcu!$Q$47))</f>
        <v/>
      </c>
      <c r="G17" s="105" t="str">
        <f>IF(Calcu!$B11=FALSE,"",TEXT(Calcu!I11,Calcu!$Q$47))</f>
        <v/>
      </c>
      <c r="H17" s="25"/>
      <c r="I17" s="25"/>
      <c r="J17" s="28"/>
      <c r="K17" s="28"/>
      <c r="L17" s="28"/>
      <c r="M17" s="28"/>
    </row>
    <row r="18" spans="2:13" ht="13.5" customHeight="1">
      <c r="B18" s="105" t="str">
        <f>Calcu!C12</f>
        <v/>
      </c>
      <c r="C18" s="105" t="str">
        <f>IF(Calcu!$B12=FALSE,"",TEXT(Calcu!E12,Calcu!$Q$47))</f>
        <v/>
      </c>
      <c r="D18" s="105" t="str">
        <f>IF(Calcu!$B12=FALSE,"",TEXT(Calcu!F12,Calcu!$Q$47))</f>
        <v/>
      </c>
      <c r="E18" s="105" t="str">
        <f>IF(Calcu!$B12=FALSE,"",TEXT(Calcu!G12,Calcu!$Q$47))</f>
        <v/>
      </c>
      <c r="F18" s="105" t="str">
        <f>IF(Calcu!$B12=FALSE,"",TEXT(Calcu!H12,Calcu!$Q$47))</f>
        <v/>
      </c>
      <c r="G18" s="105" t="str">
        <f>IF(Calcu!$B12=FALSE,"",TEXT(Calcu!I12,Calcu!$Q$47))</f>
        <v/>
      </c>
      <c r="H18" s="25"/>
      <c r="I18" s="25"/>
      <c r="J18" s="28"/>
      <c r="K18" s="28"/>
      <c r="L18" s="28"/>
      <c r="M18" s="28"/>
    </row>
    <row r="19" spans="2:13" ht="13.5" customHeight="1">
      <c r="B19" s="105" t="str">
        <f>Calcu!C13</f>
        <v/>
      </c>
      <c r="C19" s="105" t="str">
        <f>IF(Calcu!$B13=FALSE,"",TEXT(Calcu!E13,Calcu!$Q$47))</f>
        <v/>
      </c>
      <c r="D19" s="105" t="str">
        <f>IF(Calcu!$B13=FALSE,"",TEXT(Calcu!F13,Calcu!$Q$47))</f>
        <v/>
      </c>
      <c r="E19" s="105" t="str">
        <f>IF(Calcu!$B13=FALSE,"",TEXT(Calcu!G13,Calcu!$Q$47))</f>
        <v/>
      </c>
      <c r="F19" s="105" t="str">
        <f>IF(Calcu!$B13=FALSE,"",TEXT(Calcu!H13,Calcu!$Q$47))</f>
        <v/>
      </c>
      <c r="G19" s="105" t="str">
        <f>IF(Calcu!$B13=FALSE,"",TEXT(Calcu!I13,Calcu!$Q$47))</f>
        <v/>
      </c>
      <c r="H19" s="25"/>
      <c r="I19" s="25"/>
      <c r="J19" s="28"/>
      <c r="K19" s="28"/>
      <c r="L19" s="28"/>
      <c r="M19" s="28"/>
    </row>
    <row r="20" spans="2:13" ht="13.5" customHeight="1">
      <c r="B20" s="105" t="str">
        <f>Calcu!C14</f>
        <v/>
      </c>
      <c r="C20" s="105" t="str">
        <f>IF(Calcu!$B14=FALSE,"",TEXT(Calcu!E14,Calcu!$Q$47))</f>
        <v/>
      </c>
      <c r="D20" s="105" t="str">
        <f>IF(Calcu!$B14=FALSE,"",TEXT(Calcu!F14,Calcu!$Q$47))</f>
        <v/>
      </c>
      <c r="E20" s="105" t="str">
        <f>IF(Calcu!$B14=FALSE,"",TEXT(Calcu!G14,Calcu!$Q$47))</f>
        <v/>
      </c>
      <c r="F20" s="105" t="str">
        <f>IF(Calcu!$B14=FALSE,"",TEXT(Calcu!H14,Calcu!$Q$47))</f>
        <v/>
      </c>
      <c r="G20" s="105" t="str">
        <f>IF(Calcu!$B14=FALSE,"",TEXT(Calcu!I14,Calcu!$Q$47))</f>
        <v/>
      </c>
      <c r="H20" s="25"/>
      <c r="I20" s="25"/>
      <c r="J20" s="28"/>
      <c r="K20" s="28"/>
      <c r="L20" s="28"/>
      <c r="M20" s="28"/>
    </row>
    <row r="21" spans="2:13" ht="13.5" customHeight="1">
      <c r="B21" s="105" t="str">
        <f>Calcu!C15</f>
        <v/>
      </c>
      <c r="C21" s="105" t="str">
        <f>IF(Calcu!$B15=FALSE,"",TEXT(Calcu!E15,Calcu!$Q$47))</f>
        <v/>
      </c>
      <c r="D21" s="105" t="str">
        <f>IF(Calcu!$B15=FALSE,"",TEXT(Calcu!F15,Calcu!$Q$47))</f>
        <v/>
      </c>
      <c r="E21" s="105" t="str">
        <f>IF(Calcu!$B15=FALSE,"",TEXT(Calcu!G15,Calcu!$Q$47))</f>
        <v/>
      </c>
      <c r="F21" s="105" t="str">
        <f>IF(Calcu!$B15=FALSE,"",TEXT(Calcu!H15,Calcu!$Q$47))</f>
        <v/>
      </c>
      <c r="G21" s="105" t="str">
        <f>IF(Calcu!$B15=FALSE,"",TEXT(Calcu!I15,Calcu!$Q$47))</f>
        <v/>
      </c>
    </row>
    <row r="22" spans="2:13" ht="13.5" customHeight="1">
      <c r="B22" s="105" t="str">
        <f>Calcu!C16</f>
        <v/>
      </c>
      <c r="C22" s="105" t="str">
        <f>IF(Calcu!$B16=FALSE,"",TEXT(Calcu!E16,Calcu!$Q$47))</f>
        <v/>
      </c>
      <c r="D22" s="105" t="str">
        <f>IF(Calcu!$B16=FALSE,"",TEXT(Calcu!F16,Calcu!$Q$47))</f>
        <v/>
      </c>
      <c r="E22" s="105" t="str">
        <f>IF(Calcu!$B16=FALSE,"",TEXT(Calcu!G16,Calcu!$Q$47))</f>
        <v/>
      </c>
      <c r="F22" s="105" t="str">
        <f>IF(Calcu!$B16=FALSE,"",TEXT(Calcu!H16,Calcu!$Q$47))</f>
        <v/>
      </c>
      <c r="G22" s="105" t="str">
        <f>IF(Calcu!$B16=FALSE,"",TEXT(Calcu!I16,Calcu!$Q$47))</f>
        <v/>
      </c>
    </row>
    <row r="23" spans="2:13" ht="13.5" customHeight="1">
      <c r="B23" s="105" t="str">
        <f>Calcu!C17</f>
        <v/>
      </c>
      <c r="C23" s="105" t="str">
        <f>IF(Calcu!$B17=FALSE,"",TEXT(Calcu!E17,Calcu!$Q$47))</f>
        <v/>
      </c>
      <c r="D23" s="105" t="str">
        <f>IF(Calcu!$B17=FALSE,"",TEXT(Calcu!F17,Calcu!$Q$47))</f>
        <v/>
      </c>
      <c r="E23" s="105" t="str">
        <f>IF(Calcu!$B17=FALSE,"",TEXT(Calcu!G17,Calcu!$Q$47))</f>
        <v/>
      </c>
      <c r="F23" s="105" t="str">
        <f>IF(Calcu!$B17=FALSE,"",TEXT(Calcu!H17,Calcu!$Q$47))</f>
        <v/>
      </c>
      <c r="G23" s="105" t="str">
        <f>IF(Calcu!$B17=FALSE,"",TEXT(Calcu!I17,Calcu!$Q$47))</f>
        <v/>
      </c>
    </row>
    <row r="24" spans="2:13" ht="13.5" customHeight="1">
      <c r="B24" s="105" t="str">
        <f>Calcu!C18</f>
        <v/>
      </c>
      <c r="C24" s="105" t="str">
        <f>IF(Calcu!$B18=FALSE,"",TEXT(Calcu!E18,Calcu!$Q$47))</f>
        <v/>
      </c>
      <c r="D24" s="105" t="str">
        <f>IF(Calcu!$B18=FALSE,"",TEXT(Calcu!F18,Calcu!$Q$47))</f>
        <v/>
      </c>
      <c r="E24" s="105" t="str">
        <f>IF(Calcu!$B18=FALSE,"",TEXT(Calcu!G18,Calcu!$Q$47))</f>
        <v/>
      </c>
      <c r="F24" s="105" t="str">
        <f>IF(Calcu!$B18=FALSE,"",TEXT(Calcu!H18,Calcu!$Q$47))</f>
        <v/>
      </c>
      <c r="G24" s="105" t="str">
        <f>IF(Calcu!$B18=FALSE,"",TEXT(Calcu!I18,Calcu!$Q$47))</f>
        <v/>
      </c>
    </row>
    <row r="25" spans="2:13" ht="13.5" customHeight="1">
      <c r="B25" s="105" t="str">
        <f>Calcu!C19</f>
        <v/>
      </c>
      <c r="C25" s="105" t="str">
        <f>IF(Calcu!$B19=FALSE,"",TEXT(Calcu!E19,Calcu!$Q$47))</f>
        <v/>
      </c>
      <c r="D25" s="105" t="str">
        <f>IF(Calcu!$B19=FALSE,"",TEXT(Calcu!F19,Calcu!$Q$47))</f>
        <v/>
      </c>
      <c r="E25" s="105" t="str">
        <f>IF(Calcu!$B19=FALSE,"",TEXT(Calcu!G19,Calcu!$Q$47))</f>
        <v/>
      </c>
      <c r="F25" s="105" t="str">
        <f>IF(Calcu!$B19=FALSE,"",TEXT(Calcu!H19,Calcu!$Q$47))</f>
        <v/>
      </c>
      <c r="G25" s="105" t="str">
        <f>IF(Calcu!$B19=FALSE,"",TEXT(Calcu!I19,Calcu!$Q$47))</f>
        <v/>
      </c>
    </row>
    <row r="26" spans="2:13" ht="13.5" customHeight="1">
      <c r="B26" s="105" t="str">
        <f>Calcu!C20</f>
        <v/>
      </c>
      <c r="C26" s="105" t="str">
        <f>IF(Calcu!$B20=FALSE,"",TEXT(Calcu!E20,Calcu!$Q$47))</f>
        <v/>
      </c>
      <c r="D26" s="105" t="str">
        <f>IF(Calcu!$B20=FALSE,"",TEXT(Calcu!F20,Calcu!$Q$47))</f>
        <v/>
      </c>
      <c r="E26" s="105" t="str">
        <f>IF(Calcu!$B20=FALSE,"",TEXT(Calcu!G20,Calcu!$Q$47))</f>
        <v/>
      </c>
      <c r="F26" s="105" t="str">
        <f>IF(Calcu!$B20=FALSE,"",TEXT(Calcu!H20,Calcu!$Q$47))</f>
        <v/>
      </c>
      <c r="G26" s="105" t="str">
        <f>IF(Calcu!$B20=FALSE,"",TEXT(Calcu!I20,Calcu!$Q$47))</f>
        <v/>
      </c>
    </row>
    <row r="27" spans="2:13" ht="13.5" customHeight="1">
      <c r="B27" s="105" t="str">
        <f>Calcu!C21</f>
        <v/>
      </c>
      <c r="C27" s="105" t="str">
        <f>IF(Calcu!$B21=FALSE,"",TEXT(Calcu!E21,Calcu!$Q$47))</f>
        <v/>
      </c>
      <c r="D27" s="105" t="str">
        <f>IF(Calcu!$B21=FALSE,"",TEXT(Calcu!F21,Calcu!$Q$47))</f>
        <v/>
      </c>
      <c r="E27" s="105" t="str">
        <f>IF(Calcu!$B21=FALSE,"",TEXT(Calcu!G21,Calcu!$Q$47))</f>
        <v/>
      </c>
      <c r="F27" s="105" t="str">
        <f>IF(Calcu!$B21=FALSE,"",TEXT(Calcu!H21,Calcu!$Q$47))</f>
        <v/>
      </c>
      <c r="G27" s="105" t="str">
        <f>IF(Calcu!$B21=FALSE,"",TEXT(Calcu!I21,Calcu!$Q$47))</f>
        <v/>
      </c>
    </row>
    <row r="28" spans="2:13" ht="13.5" customHeight="1">
      <c r="B28" s="105" t="str">
        <f>Calcu!C22</f>
        <v/>
      </c>
      <c r="C28" s="105" t="str">
        <f>IF(Calcu!$B22=FALSE,"",TEXT(Calcu!E22,Calcu!$Q$47))</f>
        <v/>
      </c>
      <c r="D28" s="105" t="str">
        <f>IF(Calcu!$B22=FALSE,"",TEXT(Calcu!F22,Calcu!$Q$47))</f>
        <v/>
      </c>
      <c r="E28" s="105" t="str">
        <f>IF(Calcu!$B22=FALSE,"",TEXT(Calcu!G22,Calcu!$Q$47))</f>
        <v/>
      </c>
      <c r="F28" s="105" t="str">
        <f>IF(Calcu!$B22=FALSE,"",TEXT(Calcu!H22,Calcu!$Q$47))</f>
        <v/>
      </c>
      <c r="G28" s="105" t="str">
        <f>IF(Calcu!$B22=FALSE,"",TEXT(Calcu!I22,Calcu!$Q$47))</f>
        <v/>
      </c>
    </row>
    <row r="29" spans="2:13" ht="13.5" customHeight="1">
      <c r="B29" s="105" t="str">
        <f>Calcu!C23</f>
        <v/>
      </c>
      <c r="C29" s="105" t="str">
        <f>IF(Calcu!$B23=FALSE,"",TEXT(Calcu!E23,Calcu!$Q$47))</f>
        <v/>
      </c>
      <c r="D29" s="105" t="str">
        <f>IF(Calcu!$B23=FALSE,"",TEXT(Calcu!F23,Calcu!$Q$47))</f>
        <v/>
      </c>
      <c r="E29" s="105" t="str">
        <f>IF(Calcu!$B23=FALSE,"",TEXT(Calcu!G23,Calcu!$Q$47))</f>
        <v/>
      </c>
      <c r="F29" s="105" t="str">
        <f>IF(Calcu!$B23=FALSE,"",TEXT(Calcu!H23,Calcu!$Q$47))</f>
        <v/>
      </c>
      <c r="G29" s="105" t="str">
        <f>IF(Calcu!$B23=FALSE,"",TEXT(Calcu!I23,Calcu!$Q$47))</f>
        <v/>
      </c>
    </row>
    <row r="30" spans="2:13" ht="13.5" customHeight="1">
      <c r="B30" s="105" t="str">
        <f>Calcu!C24</f>
        <v/>
      </c>
      <c r="C30" s="105" t="str">
        <f>IF(Calcu!$B24=FALSE,"",TEXT(Calcu!E24,Calcu!$Q$47))</f>
        <v/>
      </c>
      <c r="D30" s="105" t="str">
        <f>IF(Calcu!$B24=FALSE,"",TEXT(Calcu!F24,Calcu!$Q$47))</f>
        <v/>
      </c>
      <c r="E30" s="105" t="str">
        <f>IF(Calcu!$B24=FALSE,"",TEXT(Calcu!G24,Calcu!$Q$47))</f>
        <v/>
      </c>
      <c r="F30" s="105" t="str">
        <f>IF(Calcu!$B24=FALSE,"",TEXT(Calcu!H24,Calcu!$Q$47))</f>
        <v/>
      </c>
      <c r="G30" s="105" t="str">
        <f>IF(Calcu!$B24=FALSE,"",TEXT(Calcu!I24,Calcu!$Q$47))</f>
        <v/>
      </c>
    </row>
    <row r="31" spans="2:13" ht="13.5" customHeight="1">
      <c r="B31" s="105" t="str">
        <f>Calcu!C25</f>
        <v/>
      </c>
      <c r="C31" s="105" t="str">
        <f>IF(Calcu!$B25=FALSE,"",TEXT(Calcu!E25,Calcu!$Q$47))</f>
        <v/>
      </c>
      <c r="D31" s="105" t="str">
        <f>IF(Calcu!$B25=FALSE,"",TEXT(Calcu!F25,Calcu!$Q$47))</f>
        <v/>
      </c>
      <c r="E31" s="105" t="str">
        <f>IF(Calcu!$B25=FALSE,"",TEXT(Calcu!G25,Calcu!$Q$47))</f>
        <v/>
      </c>
      <c r="F31" s="105" t="str">
        <f>IF(Calcu!$B25=FALSE,"",TEXT(Calcu!H25,Calcu!$Q$47))</f>
        <v/>
      </c>
      <c r="G31" s="105" t="str">
        <f>IF(Calcu!$B25=FALSE,"",TEXT(Calcu!I25,Calcu!$Q$47))</f>
        <v/>
      </c>
    </row>
    <row r="32" spans="2:13" ht="13.5" customHeight="1">
      <c r="B32" s="105" t="str">
        <f>Calcu!C26</f>
        <v/>
      </c>
      <c r="C32" s="105" t="str">
        <f>IF(Calcu!$B26=FALSE,"",TEXT(Calcu!E26,Calcu!$Q$47))</f>
        <v/>
      </c>
      <c r="D32" s="105" t="str">
        <f>IF(Calcu!$B26=FALSE,"",TEXT(Calcu!F26,Calcu!$Q$47))</f>
        <v/>
      </c>
      <c r="E32" s="105" t="str">
        <f>IF(Calcu!$B26=FALSE,"",TEXT(Calcu!G26,Calcu!$Q$47))</f>
        <v/>
      </c>
      <c r="F32" s="105" t="str">
        <f>IF(Calcu!$B26=FALSE,"",TEXT(Calcu!H26,Calcu!$Q$47))</f>
        <v/>
      </c>
      <c r="G32" s="105" t="str">
        <f>IF(Calcu!$B26=FALSE,"",TEXT(Calcu!I26,Calcu!$Q$47))</f>
        <v/>
      </c>
    </row>
    <row r="33" spans="2:7" ht="13.5" customHeight="1">
      <c r="B33" s="105" t="str">
        <f>Calcu!C27</f>
        <v/>
      </c>
      <c r="C33" s="105" t="str">
        <f>IF(Calcu!$B27=FALSE,"",TEXT(Calcu!E27,Calcu!$Q$47))</f>
        <v/>
      </c>
      <c r="D33" s="105" t="str">
        <f>IF(Calcu!$B27=FALSE,"",TEXT(Calcu!F27,Calcu!$Q$47))</f>
        <v/>
      </c>
      <c r="E33" s="105" t="str">
        <f>IF(Calcu!$B27=FALSE,"",TEXT(Calcu!G27,Calcu!$Q$47))</f>
        <v/>
      </c>
      <c r="F33" s="105" t="str">
        <f>IF(Calcu!$B27=FALSE,"",TEXT(Calcu!H27,Calcu!$Q$47))</f>
        <v/>
      </c>
      <c r="G33" s="105" t="str">
        <f>IF(Calcu!$B27=FALSE,"",TEXT(Calcu!I27,Calcu!$Q$47))</f>
        <v/>
      </c>
    </row>
    <row r="34" spans="2:7" ht="13.5" customHeight="1">
      <c r="B34" s="105" t="str">
        <f>Calcu!C28</f>
        <v/>
      </c>
      <c r="C34" s="105" t="str">
        <f>IF(Calcu!$B28=FALSE,"",TEXT(Calcu!E28,Calcu!$Q$47))</f>
        <v/>
      </c>
      <c r="D34" s="105" t="str">
        <f>IF(Calcu!$B28=FALSE,"",TEXT(Calcu!F28,Calcu!$Q$47))</f>
        <v/>
      </c>
      <c r="E34" s="105" t="str">
        <f>IF(Calcu!$B28=FALSE,"",TEXT(Calcu!G28,Calcu!$Q$47))</f>
        <v/>
      </c>
      <c r="F34" s="105" t="str">
        <f>IF(Calcu!$B28=FALSE,"",TEXT(Calcu!H28,Calcu!$Q$47))</f>
        <v/>
      </c>
      <c r="G34" s="105" t="str">
        <f>IF(Calcu!$B28=FALSE,"",TEXT(Calcu!I28,Calcu!$Q$47))</f>
        <v/>
      </c>
    </row>
    <row r="35" spans="2:7" ht="13.5" customHeight="1">
      <c r="B35" s="105" t="str">
        <f>Calcu!C29</f>
        <v/>
      </c>
      <c r="C35" s="105" t="str">
        <f>IF(Calcu!$B29=FALSE,"",TEXT(Calcu!E29,Calcu!$Q$47))</f>
        <v/>
      </c>
      <c r="D35" s="105" t="str">
        <f>IF(Calcu!$B29=FALSE,"",TEXT(Calcu!F29,Calcu!$Q$47))</f>
        <v/>
      </c>
      <c r="E35" s="105" t="str">
        <f>IF(Calcu!$B29=FALSE,"",TEXT(Calcu!G29,Calcu!$Q$47))</f>
        <v/>
      </c>
      <c r="F35" s="105" t="str">
        <f>IF(Calcu!$B29=FALSE,"",TEXT(Calcu!H29,Calcu!$Q$47))</f>
        <v/>
      </c>
      <c r="G35" s="105" t="str">
        <f>IF(Calcu!$B29=FALSE,"",TEXT(Calcu!I29,Calcu!$Q$47))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26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70" customFormat="1" ht="31.5">
      <c r="A1" s="69" t="s">
        <v>79</v>
      </c>
    </row>
    <row r="2" spans="1:44" s="70" customFormat="1" ht="18.75" customHeight="1"/>
    <row r="3" spans="1:44" s="70" customFormat="1" ht="18.75" customHeight="1">
      <c r="A3" s="71" t="s">
        <v>231</v>
      </c>
    </row>
    <row r="4" spans="1:44" s="70" customFormat="1" ht="18.75" customHeight="1">
      <c r="B4" s="457" t="s">
        <v>232</v>
      </c>
      <c r="C4" s="457"/>
      <c r="D4" s="457"/>
      <c r="E4" s="457"/>
      <c r="F4" s="457"/>
      <c r="G4" s="457"/>
      <c r="H4" s="458" t="s">
        <v>80</v>
      </c>
      <c r="I4" s="458"/>
      <c r="J4" s="458"/>
      <c r="K4" s="458"/>
      <c r="L4" s="458"/>
      <c r="M4" s="458"/>
    </row>
    <row r="5" spans="1:44" s="70" customFormat="1" ht="18.75" customHeight="1">
      <c r="B5" s="459">
        <f>Calcu!H3</f>
        <v>0</v>
      </c>
      <c r="C5" s="459"/>
      <c r="D5" s="459"/>
      <c r="E5" s="459"/>
      <c r="F5" s="459"/>
      <c r="G5" s="459"/>
      <c r="H5" s="460">
        <f>Calcu!I3</f>
        <v>1</v>
      </c>
      <c r="I5" s="460"/>
      <c r="J5" s="460"/>
      <c r="K5" s="460"/>
      <c r="L5" s="460"/>
      <c r="M5" s="460"/>
    </row>
    <row r="6" spans="1:44" s="70" customFormat="1" ht="18.75" customHeight="1"/>
    <row r="7" spans="1:44" ht="18.75" customHeight="1">
      <c r="A7" s="58" t="s">
        <v>233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</row>
    <row r="8" spans="1:44" ht="18.75" customHeight="1">
      <c r="A8" s="58"/>
      <c r="B8" s="439" t="s">
        <v>416</v>
      </c>
      <c r="C8" s="440"/>
      <c r="D8" s="440"/>
      <c r="E8" s="440"/>
      <c r="F8" s="441"/>
      <c r="G8" s="445" t="s">
        <v>386</v>
      </c>
      <c r="H8" s="446"/>
      <c r="I8" s="446"/>
      <c r="J8" s="446"/>
      <c r="K8" s="446"/>
      <c r="L8" s="446"/>
      <c r="M8" s="446"/>
      <c r="N8" s="446"/>
      <c r="O8" s="446"/>
      <c r="P8" s="446"/>
      <c r="Q8" s="446"/>
      <c r="R8" s="446"/>
      <c r="S8" s="446"/>
      <c r="T8" s="446"/>
      <c r="U8" s="446"/>
      <c r="V8" s="446"/>
      <c r="W8" s="446"/>
      <c r="X8" s="446"/>
      <c r="Y8" s="446"/>
      <c r="Z8" s="446"/>
      <c r="AA8" s="446"/>
      <c r="AB8" s="446"/>
      <c r="AC8" s="446"/>
      <c r="AD8" s="446"/>
      <c r="AE8" s="447"/>
      <c r="AF8" s="439" t="s">
        <v>234</v>
      </c>
      <c r="AG8" s="440"/>
      <c r="AH8" s="440"/>
      <c r="AI8" s="440"/>
      <c r="AJ8" s="441"/>
      <c r="AK8" s="439" t="s">
        <v>81</v>
      </c>
      <c r="AL8" s="440"/>
      <c r="AM8" s="440"/>
      <c r="AN8" s="440"/>
      <c r="AO8" s="441"/>
    </row>
    <row r="9" spans="1:44" ht="18.75" customHeight="1">
      <c r="A9" s="58"/>
      <c r="B9" s="442"/>
      <c r="C9" s="443"/>
      <c r="D9" s="443"/>
      <c r="E9" s="443"/>
      <c r="F9" s="444"/>
      <c r="G9" s="445" t="s">
        <v>235</v>
      </c>
      <c r="H9" s="446"/>
      <c r="I9" s="446"/>
      <c r="J9" s="446"/>
      <c r="K9" s="447"/>
      <c r="L9" s="445" t="s">
        <v>236</v>
      </c>
      <c r="M9" s="446"/>
      <c r="N9" s="446"/>
      <c r="O9" s="446"/>
      <c r="P9" s="447"/>
      <c r="Q9" s="445" t="s">
        <v>237</v>
      </c>
      <c r="R9" s="446"/>
      <c r="S9" s="446"/>
      <c r="T9" s="446"/>
      <c r="U9" s="447"/>
      <c r="V9" s="445" t="s">
        <v>238</v>
      </c>
      <c r="W9" s="446"/>
      <c r="X9" s="446"/>
      <c r="Y9" s="446"/>
      <c r="Z9" s="447"/>
      <c r="AA9" s="445" t="s">
        <v>239</v>
      </c>
      <c r="AB9" s="446"/>
      <c r="AC9" s="446"/>
      <c r="AD9" s="446"/>
      <c r="AE9" s="447"/>
      <c r="AF9" s="442"/>
      <c r="AG9" s="443"/>
      <c r="AH9" s="443"/>
      <c r="AI9" s="443"/>
      <c r="AJ9" s="444"/>
      <c r="AK9" s="442"/>
      <c r="AL9" s="443"/>
      <c r="AM9" s="443"/>
      <c r="AN9" s="443"/>
      <c r="AO9" s="444"/>
    </row>
    <row r="10" spans="1:44" ht="18.75" customHeight="1">
      <c r="A10" s="58"/>
      <c r="B10" s="445" t="s">
        <v>240</v>
      </c>
      <c r="C10" s="446"/>
      <c r="D10" s="446"/>
      <c r="E10" s="446"/>
      <c r="F10" s="447"/>
      <c r="G10" s="445" t="str">
        <f>B10</f>
        <v>mm</v>
      </c>
      <c r="H10" s="446"/>
      <c r="I10" s="446"/>
      <c r="J10" s="446"/>
      <c r="K10" s="447"/>
      <c r="L10" s="445" t="str">
        <f>G10</f>
        <v>mm</v>
      </c>
      <c r="M10" s="446"/>
      <c r="N10" s="446"/>
      <c r="O10" s="446"/>
      <c r="P10" s="447"/>
      <c r="Q10" s="445" t="str">
        <f>L10</f>
        <v>mm</v>
      </c>
      <c r="R10" s="446"/>
      <c r="S10" s="446"/>
      <c r="T10" s="446"/>
      <c r="U10" s="447"/>
      <c r="V10" s="445" t="str">
        <f>Q10</f>
        <v>mm</v>
      </c>
      <c r="W10" s="446"/>
      <c r="X10" s="446"/>
      <c r="Y10" s="446"/>
      <c r="Z10" s="447"/>
      <c r="AA10" s="445" t="str">
        <f>V10</f>
        <v>mm</v>
      </c>
      <c r="AB10" s="446"/>
      <c r="AC10" s="446"/>
      <c r="AD10" s="446"/>
      <c r="AE10" s="447"/>
      <c r="AF10" s="445" t="s">
        <v>241</v>
      </c>
      <c r="AG10" s="446"/>
      <c r="AH10" s="446"/>
      <c r="AI10" s="446"/>
      <c r="AJ10" s="447"/>
      <c r="AK10" s="445" t="s">
        <v>197</v>
      </c>
      <c r="AL10" s="446"/>
      <c r="AM10" s="446"/>
      <c r="AN10" s="446"/>
      <c r="AO10" s="447"/>
    </row>
    <row r="11" spans="1:44" ht="18.75" customHeight="1">
      <c r="A11" s="58"/>
      <c r="B11" s="436" t="str">
        <f>Calcu!T9</f>
        <v/>
      </c>
      <c r="C11" s="437"/>
      <c r="D11" s="437"/>
      <c r="E11" s="437"/>
      <c r="F11" s="438"/>
      <c r="G11" s="436" t="str">
        <f>IF(Calcu!B9=TRUE,Calcu!E9*$H$5,"")</f>
        <v/>
      </c>
      <c r="H11" s="437"/>
      <c r="I11" s="437"/>
      <c r="J11" s="437"/>
      <c r="K11" s="438"/>
      <c r="L11" s="436" t="str">
        <f>IF(Calcu!B9=TRUE,Calcu!F9*H$5,"")</f>
        <v/>
      </c>
      <c r="M11" s="437"/>
      <c r="N11" s="437"/>
      <c r="O11" s="437"/>
      <c r="P11" s="438"/>
      <c r="Q11" s="436" t="str">
        <f>IF(Calcu!B9=TRUE,Calcu!G9*H$5,"")</f>
        <v/>
      </c>
      <c r="R11" s="437"/>
      <c r="S11" s="437"/>
      <c r="T11" s="437"/>
      <c r="U11" s="438"/>
      <c r="V11" s="436" t="str">
        <f>IF(Calcu!B9=TRUE,Calcu!H9*H$5,"")</f>
        <v/>
      </c>
      <c r="W11" s="437"/>
      <c r="X11" s="437"/>
      <c r="Y11" s="437"/>
      <c r="Z11" s="438"/>
      <c r="AA11" s="436" t="str">
        <f>IF(Calcu!B9=TRUE,Calcu!I9*H$5,"")</f>
        <v/>
      </c>
      <c r="AB11" s="437"/>
      <c r="AC11" s="437"/>
      <c r="AD11" s="437"/>
      <c r="AE11" s="438"/>
      <c r="AF11" s="436" t="str">
        <f>Calcu!M9</f>
        <v/>
      </c>
      <c r="AG11" s="437"/>
      <c r="AH11" s="437"/>
      <c r="AI11" s="437"/>
      <c r="AJ11" s="438"/>
      <c r="AK11" s="436" t="str">
        <f>Calcu!K9</f>
        <v/>
      </c>
      <c r="AL11" s="437"/>
      <c r="AM11" s="437"/>
      <c r="AN11" s="437"/>
      <c r="AO11" s="438"/>
    </row>
    <row r="12" spans="1:44" ht="18.75" customHeight="1">
      <c r="A12" s="58"/>
      <c r="B12" s="436" t="str">
        <f>Calcu!T10</f>
        <v/>
      </c>
      <c r="C12" s="437"/>
      <c r="D12" s="437"/>
      <c r="E12" s="437"/>
      <c r="F12" s="438"/>
      <c r="G12" s="436" t="str">
        <f>IF(Calcu!B10=TRUE,Calcu!E10*$H$5,"")</f>
        <v/>
      </c>
      <c r="H12" s="437"/>
      <c r="I12" s="437"/>
      <c r="J12" s="437"/>
      <c r="K12" s="438"/>
      <c r="L12" s="436" t="str">
        <f>IF(Calcu!B10=TRUE,Calcu!F10*H$5,"")</f>
        <v/>
      </c>
      <c r="M12" s="437"/>
      <c r="N12" s="437"/>
      <c r="O12" s="437"/>
      <c r="P12" s="438"/>
      <c r="Q12" s="436" t="str">
        <f>IF(Calcu!B10=TRUE,Calcu!G10*H$5,"")</f>
        <v/>
      </c>
      <c r="R12" s="437"/>
      <c r="S12" s="437"/>
      <c r="T12" s="437"/>
      <c r="U12" s="438"/>
      <c r="V12" s="436" t="str">
        <f>IF(Calcu!B10=TRUE,Calcu!H10*H$5,"")</f>
        <v/>
      </c>
      <c r="W12" s="437"/>
      <c r="X12" s="437"/>
      <c r="Y12" s="437"/>
      <c r="Z12" s="438"/>
      <c r="AA12" s="436" t="str">
        <f>IF(Calcu!B10=TRUE,Calcu!I10*H$5,"")</f>
        <v/>
      </c>
      <c r="AB12" s="437"/>
      <c r="AC12" s="437"/>
      <c r="AD12" s="437"/>
      <c r="AE12" s="438"/>
      <c r="AF12" s="436" t="str">
        <f>Calcu!M10</f>
        <v/>
      </c>
      <c r="AG12" s="437"/>
      <c r="AH12" s="437"/>
      <c r="AI12" s="437"/>
      <c r="AJ12" s="438"/>
      <c r="AK12" s="436" t="str">
        <f>Calcu!K10</f>
        <v/>
      </c>
      <c r="AL12" s="437"/>
      <c r="AM12" s="437"/>
      <c r="AN12" s="437"/>
      <c r="AO12" s="438"/>
    </row>
    <row r="13" spans="1:44" ht="18.75" customHeight="1">
      <c r="A13" s="58"/>
      <c r="B13" s="436" t="str">
        <f>Calcu!T11</f>
        <v/>
      </c>
      <c r="C13" s="437"/>
      <c r="D13" s="437"/>
      <c r="E13" s="437"/>
      <c r="F13" s="438"/>
      <c r="G13" s="436" t="str">
        <f>IF(Calcu!B11=TRUE,Calcu!E11*$H$5,"")</f>
        <v/>
      </c>
      <c r="H13" s="437"/>
      <c r="I13" s="437"/>
      <c r="J13" s="437"/>
      <c r="K13" s="438"/>
      <c r="L13" s="436" t="str">
        <f>IF(Calcu!B11=TRUE,Calcu!F11*H$5,"")</f>
        <v/>
      </c>
      <c r="M13" s="437"/>
      <c r="N13" s="437"/>
      <c r="O13" s="437"/>
      <c r="P13" s="438"/>
      <c r="Q13" s="436" t="str">
        <f>IF(Calcu!B11=TRUE,Calcu!G11*H$5,"")</f>
        <v/>
      </c>
      <c r="R13" s="437"/>
      <c r="S13" s="437"/>
      <c r="T13" s="437"/>
      <c r="U13" s="438"/>
      <c r="V13" s="436" t="str">
        <f>IF(Calcu!B11=TRUE,Calcu!H11*H$5,"")</f>
        <v/>
      </c>
      <c r="W13" s="437"/>
      <c r="X13" s="437"/>
      <c r="Y13" s="437"/>
      <c r="Z13" s="438"/>
      <c r="AA13" s="436" t="str">
        <f>IF(Calcu!B11=TRUE,Calcu!I11*H$5,"")</f>
        <v/>
      </c>
      <c r="AB13" s="437"/>
      <c r="AC13" s="437"/>
      <c r="AD13" s="437"/>
      <c r="AE13" s="438"/>
      <c r="AF13" s="436" t="str">
        <f>Calcu!M11</f>
        <v/>
      </c>
      <c r="AG13" s="437"/>
      <c r="AH13" s="437"/>
      <c r="AI13" s="437"/>
      <c r="AJ13" s="438"/>
      <c r="AK13" s="436" t="str">
        <f>Calcu!K11</f>
        <v/>
      </c>
      <c r="AL13" s="437"/>
      <c r="AM13" s="437"/>
      <c r="AN13" s="437"/>
      <c r="AO13" s="438"/>
    </row>
    <row r="14" spans="1:44" ht="18.75" customHeight="1">
      <c r="A14" s="58"/>
      <c r="B14" s="436" t="str">
        <f>Calcu!T12</f>
        <v/>
      </c>
      <c r="C14" s="437"/>
      <c r="D14" s="437"/>
      <c r="E14" s="437"/>
      <c r="F14" s="438"/>
      <c r="G14" s="436" t="str">
        <f>IF(Calcu!B12=TRUE,Calcu!E12*$H$5,"")</f>
        <v/>
      </c>
      <c r="H14" s="437"/>
      <c r="I14" s="437"/>
      <c r="J14" s="437"/>
      <c r="K14" s="438"/>
      <c r="L14" s="436" t="str">
        <f>IF(Calcu!B12=TRUE,Calcu!F12*H$5,"")</f>
        <v/>
      </c>
      <c r="M14" s="437"/>
      <c r="N14" s="437"/>
      <c r="O14" s="437"/>
      <c r="P14" s="438"/>
      <c r="Q14" s="436" t="str">
        <f>IF(Calcu!B12=TRUE,Calcu!G12*H$5,"")</f>
        <v/>
      </c>
      <c r="R14" s="437"/>
      <c r="S14" s="437"/>
      <c r="T14" s="437"/>
      <c r="U14" s="438"/>
      <c r="V14" s="436" t="str">
        <f>IF(Calcu!B12=TRUE,Calcu!H12*H$5,"")</f>
        <v/>
      </c>
      <c r="W14" s="437"/>
      <c r="X14" s="437"/>
      <c r="Y14" s="437"/>
      <c r="Z14" s="438"/>
      <c r="AA14" s="436" t="str">
        <f>IF(Calcu!B12=TRUE,Calcu!I12*H$5,"")</f>
        <v/>
      </c>
      <c r="AB14" s="437"/>
      <c r="AC14" s="437"/>
      <c r="AD14" s="437"/>
      <c r="AE14" s="438"/>
      <c r="AF14" s="436" t="str">
        <f>Calcu!M12</f>
        <v/>
      </c>
      <c r="AG14" s="437"/>
      <c r="AH14" s="437"/>
      <c r="AI14" s="437"/>
      <c r="AJ14" s="438"/>
      <c r="AK14" s="436" t="str">
        <f>Calcu!K12</f>
        <v/>
      </c>
      <c r="AL14" s="437"/>
      <c r="AM14" s="437"/>
      <c r="AN14" s="437"/>
      <c r="AO14" s="438"/>
    </row>
    <row r="15" spans="1:44" ht="18.75" customHeight="1">
      <c r="A15" s="58"/>
      <c r="B15" s="436" t="str">
        <f>Calcu!T13</f>
        <v/>
      </c>
      <c r="C15" s="437"/>
      <c r="D15" s="437"/>
      <c r="E15" s="437"/>
      <c r="F15" s="438"/>
      <c r="G15" s="436" t="str">
        <f>IF(Calcu!B13=TRUE,Calcu!E13*$H$5,"")</f>
        <v/>
      </c>
      <c r="H15" s="437"/>
      <c r="I15" s="437"/>
      <c r="J15" s="437"/>
      <c r="K15" s="438"/>
      <c r="L15" s="436" t="str">
        <f>IF(Calcu!B13=TRUE,Calcu!F13*H$5,"")</f>
        <v/>
      </c>
      <c r="M15" s="437"/>
      <c r="N15" s="437"/>
      <c r="O15" s="437"/>
      <c r="P15" s="438"/>
      <c r="Q15" s="436" t="str">
        <f>IF(Calcu!B13=TRUE,Calcu!G13*H$5,"")</f>
        <v/>
      </c>
      <c r="R15" s="437"/>
      <c r="S15" s="437"/>
      <c r="T15" s="437"/>
      <c r="U15" s="438"/>
      <c r="V15" s="436" t="str">
        <f>IF(Calcu!B13=TRUE,Calcu!H13*H$5,"")</f>
        <v/>
      </c>
      <c r="W15" s="437"/>
      <c r="X15" s="437"/>
      <c r="Y15" s="437"/>
      <c r="Z15" s="438"/>
      <c r="AA15" s="436" t="str">
        <f>IF(Calcu!B13=TRUE,Calcu!I13*H$5,"")</f>
        <v/>
      </c>
      <c r="AB15" s="437"/>
      <c r="AC15" s="437"/>
      <c r="AD15" s="437"/>
      <c r="AE15" s="438"/>
      <c r="AF15" s="436" t="str">
        <f>Calcu!M13</f>
        <v/>
      </c>
      <c r="AG15" s="437"/>
      <c r="AH15" s="437"/>
      <c r="AI15" s="437"/>
      <c r="AJ15" s="438"/>
      <c r="AK15" s="436" t="str">
        <f>Calcu!K13</f>
        <v/>
      </c>
      <c r="AL15" s="437"/>
      <c r="AM15" s="437"/>
      <c r="AN15" s="437"/>
      <c r="AO15" s="438"/>
    </row>
    <row r="16" spans="1:44" ht="18.75" customHeight="1">
      <c r="A16" s="58"/>
      <c r="B16" s="436" t="str">
        <f>Calcu!T14</f>
        <v/>
      </c>
      <c r="C16" s="437"/>
      <c r="D16" s="437"/>
      <c r="E16" s="437"/>
      <c r="F16" s="438"/>
      <c r="G16" s="436" t="str">
        <f>IF(Calcu!B14=TRUE,Calcu!E14*$H$5,"")</f>
        <v/>
      </c>
      <c r="H16" s="437"/>
      <c r="I16" s="437"/>
      <c r="J16" s="437"/>
      <c r="K16" s="438"/>
      <c r="L16" s="436" t="str">
        <f>IF(Calcu!B14=TRUE,Calcu!F14*H$5,"")</f>
        <v/>
      </c>
      <c r="M16" s="437"/>
      <c r="N16" s="437"/>
      <c r="O16" s="437"/>
      <c r="P16" s="438"/>
      <c r="Q16" s="436" t="str">
        <f>IF(Calcu!B14=TRUE,Calcu!G14*H$5,"")</f>
        <v/>
      </c>
      <c r="R16" s="437"/>
      <c r="S16" s="437"/>
      <c r="T16" s="437"/>
      <c r="U16" s="438"/>
      <c r="V16" s="436" t="str">
        <f>IF(Calcu!B14=TRUE,Calcu!H14*H$5,"")</f>
        <v/>
      </c>
      <c r="W16" s="437"/>
      <c r="X16" s="437"/>
      <c r="Y16" s="437"/>
      <c r="Z16" s="438"/>
      <c r="AA16" s="436" t="str">
        <f>IF(Calcu!B14=TRUE,Calcu!I14*H$5,"")</f>
        <v/>
      </c>
      <c r="AB16" s="437"/>
      <c r="AC16" s="437"/>
      <c r="AD16" s="437"/>
      <c r="AE16" s="438"/>
      <c r="AF16" s="436" t="str">
        <f>Calcu!M14</f>
        <v/>
      </c>
      <c r="AG16" s="437"/>
      <c r="AH16" s="437"/>
      <c r="AI16" s="437"/>
      <c r="AJ16" s="438"/>
      <c r="AK16" s="436" t="str">
        <f>Calcu!K14</f>
        <v/>
      </c>
      <c r="AL16" s="437"/>
      <c r="AM16" s="437"/>
      <c r="AN16" s="437"/>
      <c r="AO16" s="438"/>
    </row>
    <row r="17" spans="1:46" ht="18.75" customHeight="1">
      <c r="A17" s="58"/>
      <c r="B17" s="436" t="str">
        <f>Calcu!T15</f>
        <v/>
      </c>
      <c r="C17" s="437"/>
      <c r="D17" s="437"/>
      <c r="E17" s="437"/>
      <c r="F17" s="438"/>
      <c r="G17" s="436" t="str">
        <f>IF(Calcu!B15=TRUE,Calcu!E15*$H$5,"")</f>
        <v/>
      </c>
      <c r="H17" s="437"/>
      <c r="I17" s="437"/>
      <c r="J17" s="437"/>
      <c r="K17" s="438"/>
      <c r="L17" s="436" t="str">
        <f>IF(Calcu!B15=TRUE,Calcu!F15*H$5,"")</f>
        <v/>
      </c>
      <c r="M17" s="437"/>
      <c r="N17" s="437"/>
      <c r="O17" s="437"/>
      <c r="P17" s="438"/>
      <c r="Q17" s="436" t="str">
        <f>IF(Calcu!B15=TRUE,Calcu!G15*H$5,"")</f>
        <v/>
      </c>
      <c r="R17" s="437"/>
      <c r="S17" s="437"/>
      <c r="T17" s="437"/>
      <c r="U17" s="438"/>
      <c r="V17" s="436" t="str">
        <f>IF(Calcu!B15=TRUE,Calcu!H15*H$5,"")</f>
        <v/>
      </c>
      <c r="W17" s="437"/>
      <c r="X17" s="437"/>
      <c r="Y17" s="437"/>
      <c r="Z17" s="438"/>
      <c r="AA17" s="436" t="str">
        <f>IF(Calcu!B15=TRUE,Calcu!I15*H$5,"")</f>
        <v/>
      </c>
      <c r="AB17" s="437"/>
      <c r="AC17" s="437"/>
      <c r="AD17" s="437"/>
      <c r="AE17" s="438"/>
      <c r="AF17" s="436" t="str">
        <f>Calcu!M15</f>
        <v/>
      </c>
      <c r="AG17" s="437"/>
      <c r="AH17" s="437"/>
      <c r="AI17" s="437"/>
      <c r="AJ17" s="438"/>
      <c r="AK17" s="436" t="str">
        <f>Calcu!K15</f>
        <v/>
      </c>
      <c r="AL17" s="437"/>
      <c r="AM17" s="437"/>
      <c r="AN17" s="437"/>
      <c r="AO17" s="438"/>
    </row>
    <row r="18" spans="1:46" ht="18.75" customHeight="1">
      <c r="A18" s="58"/>
      <c r="B18" s="436" t="str">
        <f>Calcu!T16</f>
        <v/>
      </c>
      <c r="C18" s="437"/>
      <c r="D18" s="437"/>
      <c r="E18" s="437"/>
      <c r="F18" s="438"/>
      <c r="G18" s="436" t="str">
        <f>IF(Calcu!B16=TRUE,Calcu!E16*$H$5,"")</f>
        <v/>
      </c>
      <c r="H18" s="437"/>
      <c r="I18" s="437"/>
      <c r="J18" s="437"/>
      <c r="K18" s="438"/>
      <c r="L18" s="436" t="str">
        <f>IF(Calcu!B16=TRUE,Calcu!F16*H$5,"")</f>
        <v/>
      </c>
      <c r="M18" s="437"/>
      <c r="N18" s="437"/>
      <c r="O18" s="437"/>
      <c r="P18" s="438"/>
      <c r="Q18" s="436" t="str">
        <f>IF(Calcu!B16=TRUE,Calcu!G16*H$5,"")</f>
        <v/>
      </c>
      <c r="R18" s="437"/>
      <c r="S18" s="437"/>
      <c r="T18" s="437"/>
      <c r="U18" s="438"/>
      <c r="V18" s="436" t="str">
        <f>IF(Calcu!B16=TRUE,Calcu!H16*H$5,"")</f>
        <v/>
      </c>
      <c r="W18" s="437"/>
      <c r="X18" s="437"/>
      <c r="Y18" s="437"/>
      <c r="Z18" s="438"/>
      <c r="AA18" s="436" t="str">
        <f>IF(Calcu!B16=TRUE,Calcu!I16*H$5,"")</f>
        <v/>
      </c>
      <c r="AB18" s="437"/>
      <c r="AC18" s="437"/>
      <c r="AD18" s="437"/>
      <c r="AE18" s="438"/>
      <c r="AF18" s="436" t="str">
        <f>Calcu!M16</f>
        <v/>
      </c>
      <c r="AG18" s="437"/>
      <c r="AH18" s="437"/>
      <c r="AI18" s="437"/>
      <c r="AJ18" s="438"/>
      <c r="AK18" s="436" t="str">
        <f>Calcu!K16</f>
        <v/>
      </c>
      <c r="AL18" s="437"/>
      <c r="AM18" s="437"/>
      <c r="AN18" s="437"/>
      <c r="AO18" s="438"/>
    </row>
    <row r="19" spans="1:46" ht="18.75" customHeight="1">
      <c r="A19" s="58"/>
      <c r="B19" s="436" t="str">
        <f>Calcu!T17</f>
        <v/>
      </c>
      <c r="C19" s="437"/>
      <c r="D19" s="437"/>
      <c r="E19" s="437"/>
      <c r="F19" s="438"/>
      <c r="G19" s="436" t="str">
        <f>IF(Calcu!B17=TRUE,Calcu!E17*$H$5,"")</f>
        <v/>
      </c>
      <c r="H19" s="437"/>
      <c r="I19" s="437"/>
      <c r="J19" s="437"/>
      <c r="K19" s="438"/>
      <c r="L19" s="436" t="str">
        <f>IF(Calcu!B17=TRUE,Calcu!F17*H$5,"")</f>
        <v/>
      </c>
      <c r="M19" s="437"/>
      <c r="N19" s="437"/>
      <c r="O19" s="437"/>
      <c r="P19" s="438"/>
      <c r="Q19" s="436" t="str">
        <f>IF(Calcu!B17=TRUE,Calcu!G17*H$5,"")</f>
        <v/>
      </c>
      <c r="R19" s="437"/>
      <c r="S19" s="437"/>
      <c r="T19" s="437"/>
      <c r="U19" s="438"/>
      <c r="V19" s="436" t="str">
        <f>IF(Calcu!B17=TRUE,Calcu!H17*H$5,"")</f>
        <v/>
      </c>
      <c r="W19" s="437"/>
      <c r="X19" s="437"/>
      <c r="Y19" s="437"/>
      <c r="Z19" s="438"/>
      <c r="AA19" s="436" t="str">
        <f>IF(Calcu!B17=TRUE,Calcu!I17*H$5,"")</f>
        <v/>
      </c>
      <c r="AB19" s="437"/>
      <c r="AC19" s="437"/>
      <c r="AD19" s="437"/>
      <c r="AE19" s="438"/>
      <c r="AF19" s="436" t="str">
        <f>Calcu!M17</f>
        <v/>
      </c>
      <c r="AG19" s="437"/>
      <c r="AH19" s="437"/>
      <c r="AI19" s="437"/>
      <c r="AJ19" s="438"/>
      <c r="AK19" s="436" t="str">
        <f>Calcu!K17</f>
        <v/>
      </c>
      <c r="AL19" s="437"/>
      <c r="AM19" s="437"/>
      <c r="AN19" s="437"/>
      <c r="AO19" s="438"/>
    </row>
    <row r="20" spans="1:46" ht="18.75" customHeight="1">
      <c r="A20" s="58"/>
      <c r="B20" s="436" t="str">
        <f>Calcu!T18</f>
        <v/>
      </c>
      <c r="C20" s="437"/>
      <c r="D20" s="437"/>
      <c r="E20" s="437"/>
      <c r="F20" s="438"/>
      <c r="G20" s="436" t="str">
        <f>IF(Calcu!B18=TRUE,Calcu!E18*$H$5,"")</f>
        <v/>
      </c>
      <c r="H20" s="437"/>
      <c r="I20" s="437"/>
      <c r="J20" s="437"/>
      <c r="K20" s="438"/>
      <c r="L20" s="436" t="str">
        <f>IF(Calcu!B18=TRUE,Calcu!F18*H$5,"")</f>
        <v/>
      </c>
      <c r="M20" s="437"/>
      <c r="N20" s="437"/>
      <c r="O20" s="437"/>
      <c r="P20" s="438"/>
      <c r="Q20" s="436" t="str">
        <f>IF(Calcu!B18=TRUE,Calcu!G18*H$5,"")</f>
        <v/>
      </c>
      <c r="R20" s="437"/>
      <c r="S20" s="437"/>
      <c r="T20" s="437"/>
      <c r="U20" s="438"/>
      <c r="V20" s="436" t="str">
        <f>IF(Calcu!B18=TRUE,Calcu!H18*H$5,"")</f>
        <v/>
      </c>
      <c r="W20" s="437"/>
      <c r="X20" s="437"/>
      <c r="Y20" s="437"/>
      <c r="Z20" s="438"/>
      <c r="AA20" s="436" t="str">
        <f>IF(Calcu!B18=TRUE,Calcu!I18*H$5,"")</f>
        <v/>
      </c>
      <c r="AB20" s="437"/>
      <c r="AC20" s="437"/>
      <c r="AD20" s="437"/>
      <c r="AE20" s="438"/>
      <c r="AF20" s="436" t="str">
        <f>Calcu!M18</f>
        <v/>
      </c>
      <c r="AG20" s="437"/>
      <c r="AH20" s="437"/>
      <c r="AI20" s="437"/>
      <c r="AJ20" s="438"/>
      <c r="AK20" s="436" t="str">
        <f>Calcu!K18</f>
        <v/>
      </c>
      <c r="AL20" s="437"/>
      <c r="AM20" s="437"/>
      <c r="AN20" s="437"/>
      <c r="AO20" s="438"/>
    </row>
    <row r="21" spans="1:46" ht="18.75" customHeight="1">
      <c r="A21" s="58"/>
      <c r="B21" s="436" t="str">
        <f>Calcu!T19</f>
        <v/>
      </c>
      <c r="C21" s="437"/>
      <c r="D21" s="437"/>
      <c r="E21" s="437"/>
      <c r="F21" s="438"/>
      <c r="G21" s="436" t="str">
        <f>IF(Calcu!B19=TRUE,Calcu!E19*$H$5,"")</f>
        <v/>
      </c>
      <c r="H21" s="437"/>
      <c r="I21" s="437"/>
      <c r="J21" s="437"/>
      <c r="K21" s="438"/>
      <c r="L21" s="436" t="str">
        <f>IF(Calcu!B19=TRUE,Calcu!F19*H$5,"")</f>
        <v/>
      </c>
      <c r="M21" s="437"/>
      <c r="N21" s="437"/>
      <c r="O21" s="437"/>
      <c r="P21" s="438"/>
      <c r="Q21" s="436" t="str">
        <f>IF(Calcu!B19=TRUE,Calcu!G19*H$5,"")</f>
        <v/>
      </c>
      <c r="R21" s="437"/>
      <c r="S21" s="437"/>
      <c r="T21" s="437"/>
      <c r="U21" s="438"/>
      <c r="V21" s="436" t="str">
        <f>IF(Calcu!B19=TRUE,Calcu!H19*H$5,"")</f>
        <v/>
      </c>
      <c r="W21" s="437"/>
      <c r="X21" s="437"/>
      <c r="Y21" s="437"/>
      <c r="Z21" s="438"/>
      <c r="AA21" s="436" t="str">
        <f>IF(Calcu!B19=TRUE,Calcu!I19*H$5,"")</f>
        <v/>
      </c>
      <c r="AB21" s="437"/>
      <c r="AC21" s="437"/>
      <c r="AD21" s="437"/>
      <c r="AE21" s="438"/>
      <c r="AF21" s="436" t="str">
        <f>Calcu!M19</f>
        <v/>
      </c>
      <c r="AG21" s="437"/>
      <c r="AH21" s="437"/>
      <c r="AI21" s="437"/>
      <c r="AJ21" s="438"/>
      <c r="AK21" s="436" t="str">
        <f>Calcu!K19</f>
        <v/>
      </c>
      <c r="AL21" s="437"/>
      <c r="AM21" s="437"/>
      <c r="AN21" s="437"/>
      <c r="AO21" s="438"/>
    </row>
    <row r="22" spans="1:46" ht="18.75" customHeight="1">
      <c r="A22" s="58"/>
      <c r="B22" s="436" t="str">
        <f>Calcu!T20</f>
        <v/>
      </c>
      <c r="C22" s="437"/>
      <c r="D22" s="437"/>
      <c r="E22" s="437"/>
      <c r="F22" s="438"/>
      <c r="G22" s="436" t="str">
        <f>IF(Calcu!B20=TRUE,Calcu!E20*$H$5,"")</f>
        <v/>
      </c>
      <c r="H22" s="437"/>
      <c r="I22" s="437"/>
      <c r="J22" s="437"/>
      <c r="K22" s="438"/>
      <c r="L22" s="436" t="str">
        <f>IF(Calcu!B20=TRUE,Calcu!F20*H$5,"")</f>
        <v/>
      </c>
      <c r="M22" s="437"/>
      <c r="N22" s="437"/>
      <c r="O22" s="437"/>
      <c r="P22" s="438"/>
      <c r="Q22" s="436" t="str">
        <f>IF(Calcu!B20=TRUE,Calcu!G20*H$5,"")</f>
        <v/>
      </c>
      <c r="R22" s="437"/>
      <c r="S22" s="437"/>
      <c r="T22" s="437"/>
      <c r="U22" s="438"/>
      <c r="V22" s="436" t="str">
        <f>IF(Calcu!B20=TRUE,Calcu!H20*H$5,"")</f>
        <v/>
      </c>
      <c r="W22" s="437"/>
      <c r="X22" s="437"/>
      <c r="Y22" s="437"/>
      <c r="Z22" s="438"/>
      <c r="AA22" s="436" t="str">
        <f>IF(Calcu!B20=TRUE,Calcu!I20*H$5,"")</f>
        <v/>
      </c>
      <c r="AB22" s="437"/>
      <c r="AC22" s="437"/>
      <c r="AD22" s="437"/>
      <c r="AE22" s="438"/>
      <c r="AF22" s="436" t="str">
        <f>Calcu!M20</f>
        <v/>
      </c>
      <c r="AG22" s="437"/>
      <c r="AH22" s="437"/>
      <c r="AI22" s="437"/>
      <c r="AJ22" s="438"/>
      <c r="AK22" s="436" t="str">
        <f>Calcu!K20</f>
        <v/>
      </c>
      <c r="AL22" s="437"/>
      <c r="AM22" s="437"/>
      <c r="AN22" s="437"/>
      <c r="AO22" s="438"/>
    </row>
    <row r="23" spans="1:46" ht="18.75" customHeight="1">
      <c r="A23" s="58"/>
      <c r="B23" s="436" t="str">
        <f>Calcu!T21</f>
        <v/>
      </c>
      <c r="C23" s="437"/>
      <c r="D23" s="437"/>
      <c r="E23" s="437"/>
      <c r="F23" s="438"/>
      <c r="G23" s="436" t="str">
        <f>IF(Calcu!B21=TRUE,Calcu!E21*$H$5,"")</f>
        <v/>
      </c>
      <c r="H23" s="437"/>
      <c r="I23" s="437"/>
      <c r="J23" s="437"/>
      <c r="K23" s="438"/>
      <c r="L23" s="436" t="str">
        <f>IF(Calcu!B21=TRUE,Calcu!F21*H$5,"")</f>
        <v/>
      </c>
      <c r="M23" s="437"/>
      <c r="N23" s="437"/>
      <c r="O23" s="437"/>
      <c r="P23" s="438"/>
      <c r="Q23" s="436" t="str">
        <f>IF(Calcu!B21=TRUE,Calcu!G21*H$5,"")</f>
        <v/>
      </c>
      <c r="R23" s="437"/>
      <c r="S23" s="437"/>
      <c r="T23" s="437"/>
      <c r="U23" s="438"/>
      <c r="V23" s="436" t="str">
        <f>IF(Calcu!B21=TRUE,Calcu!H21*H$5,"")</f>
        <v/>
      </c>
      <c r="W23" s="437"/>
      <c r="X23" s="437"/>
      <c r="Y23" s="437"/>
      <c r="Z23" s="438"/>
      <c r="AA23" s="436" t="str">
        <f>IF(Calcu!B21=TRUE,Calcu!I21*H$5,"")</f>
        <v/>
      </c>
      <c r="AB23" s="437"/>
      <c r="AC23" s="437"/>
      <c r="AD23" s="437"/>
      <c r="AE23" s="438"/>
      <c r="AF23" s="436" t="str">
        <f>Calcu!M21</f>
        <v/>
      </c>
      <c r="AG23" s="437"/>
      <c r="AH23" s="437"/>
      <c r="AI23" s="437"/>
      <c r="AJ23" s="438"/>
      <c r="AK23" s="436" t="str">
        <f>Calcu!K21</f>
        <v/>
      </c>
      <c r="AL23" s="437"/>
      <c r="AM23" s="437"/>
      <c r="AN23" s="437"/>
      <c r="AO23" s="438"/>
    </row>
    <row r="24" spans="1:46" ht="18.75" customHeight="1">
      <c r="A24" s="58"/>
      <c r="B24" s="436" t="str">
        <f>Calcu!T22</f>
        <v/>
      </c>
      <c r="C24" s="437"/>
      <c r="D24" s="437"/>
      <c r="E24" s="437"/>
      <c r="F24" s="438"/>
      <c r="G24" s="436" t="str">
        <f>IF(Calcu!B22=TRUE,Calcu!E22*$H$5,"")</f>
        <v/>
      </c>
      <c r="H24" s="437"/>
      <c r="I24" s="437"/>
      <c r="J24" s="437"/>
      <c r="K24" s="438"/>
      <c r="L24" s="436" t="str">
        <f>IF(Calcu!B22=TRUE,Calcu!F22*H$5,"")</f>
        <v/>
      </c>
      <c r="M24" s="437"/>
      <c r="N24" s="437"/>
      <c r="O24" s="437"/>
      <c r="P24" s="438"/>
      <c r="Q24" s="436" t="str">
        <f>IF(Calcu!B22=TRUE,Calcu!G22*H$5,"")</f>
        <v/>
      </c>
      <c r="R24" s="437"/>
      <c r="S24" s="437"/>
      <c r="T24" s="437"/>
      <c r="U24" s="438"/>
      <c r="V24" s="436" t="str">
        <f>IF(Calcu!B22=TRUE,Calcu!H22*H$5,"")</f>
        <v/>
      </c>
      <c r="W24" s="437"/>
      <c r="X24" s="437"/>
      <c r="Y24" s="437"/>
      <c r="Z24" s="438"/>
      <c r="AA24" s="436" t="str">
        <f>IF(Calcu!B22=TRUE,Calcu!I22*H$5,"")</f>
        <v/>
      </c>
      <c r="AB24" s="437"/>
      <c r="AC24" s="437"/>
      <c r="AD24" s="437"/>
      <c r="AE24" s="438"/>
      <c r="AF24" s="436" t="str">
        <f>Calcu!M22</f>
        <v/>
      </c>
      <c r="AG24" s="437"/>
      <c r="AH24" s="437"/>
      <c r="AI24" s="437"/>
      <c r="AJ24" s="438"/>
      <c r="AK24" s="436" t="str">
        <f>Calcu!K22</f>
        <v/>
      </c>
      <c r="AL24" s="437"/>
      <c r="AM24" s="437"/>
      <c r="AN24" s="437"/>
      <c r="AO24" s="438"/>
    </row>
    <row r="25" spans="1:46" ht="18.75" customHeight="1">
      <c r="A25" s="58"/>
      <c r="B25" s="436" t="str">
        <f>Calcu!T23</f>
        <v/>
      </c>
      <c r="C25" s="437"/>
      <c r="D25" s="437"/>
      <c r="E25" s="437"/>
      <c r="F25" s="438"/>
      <c r="G25" s="436" t="str">
        <f>IF(Calcu!B23=TRUE,Calcu!E23*$H$5,"")</f>
        <v/>
      </c>
      <c r="H25" s="437"/>
      <c r="I25" s="437"/>
      <c r="J25" s="437"/>
      <c r="K25" s="438"/>
      <c r="L25" s="436" t="str">
        <f>IF(Calcu!B23=TRUE,Calcu!F23*H$5,"")</f>
        <v/>
      </c>
      <c r="M25" s="437"/>
      <c r="N25" s="437"/>
      <c r="O25" s="437"/>
      <c r="P25" s="438"/>
      <c r="Q25" s="436" t="str">
        <f>IF(Calcu!B23=TRUE,Calcu!G23*H$5,"")</f>
        <v/>
      </c>
      <c r="R25" s="437"/>
      <c r="S25" s="437"/>
      <c r="T25" s="437"/>
      <c r="U25" s="438"/>
      <c r="V25" s="436" t="str">
        <f>IF(Calcu!B23=TRUE,Calcu!H23*H$5,"")</f>
        <v/>
      </c>
      <c r="W25" s="437"/>
      <c r="X25" s="437"/>
      <c r="Y25" s="437"/>
      <c r="Z25" s="438"/>
      <c r="AA25" s="436" t="str">
        <f>IF(Calcu!B23=TRUE,Calcu!I23*H$5,"")</f>
        <v/>
      </c>
      <c r="AB25" s="437"/>
      <c r="AC25" s="437"/>
      <c r="AD25" s="437"/>
      <c r="AE25" s="438"/>
      <c r="AF25" s="436" t="str">
        <f>Calcu!M23</f>
        <v/>
      </c>
      <c r="AG25" s="437"/>
      <c r="AH25" s="437"/>
      <c r="AI25" s="437"/>
      <c r="AJ25" s="438"/>
      <c r="AK25" s="436" t="str">
        <f>Calcu!K23</f>
        <v/>
      </c>
      <c r="AL25" s="437"/>
      <c r="AM25" s="437"/>
      <c r="AN25" s="437"/>
      <c r="AO25" s="438"/>
    </row>
    <row r="26" spans="1:46" ht="18.75" customHeight="1">
      <c r="A26" s="58"/>
      <c r="B26" s="436" t="str">
        <f>Calcu!T24</f>
        <v/>
      </c>
      <c r="C26" s="437"/>
      <c r="D26" s="437"/>
      <c r="E26" s="437"/>
      <c r="F26" s="438"/>
      <c r="G26" s="436" t="str">
        <f>IF(Calcu!B24=TRUE,Calcu!E24*$H$5,"")</f>
        <v/>
      </c>
      <c r="H26" s="437"/>
      <c r="I26" s="437"/>
      <c r="J26" s="437"/>
      <c r="K26" s="438"/>
      <c r="L26" s="436" t="str">
        <f>IF(Calcu!B24=TRUE,Calcu!F24*H$5,"")</f>
        <v/>
      </c>
      <c r="M26" s="437"/>
      <c r="N26" s="437"/>
      <c r="O26" s="437"/>
      <c r="P26" s="438"/>
      <c r="Q26" s="436" t="str">
        <f>IF(Calcu!B24=TRUE,Calcu!G24*H$5,"")</f>
        <v/>
      </c>
      <c r="R26" s="437"/>
      <c r="S26" s="437"/>
      <c r="T26" s="437"/>
      <c r="U26" s="438"/>
      <c r="V26" s="436" t="str">
        <f>IF(Calcu!B24=TRUE,Calcu!H24*H$5,"")</f>
        <v/>
      </c>
      <c r="W26" s="437"/>
      <c r="X26" s="437"/>
      <c r="Y26" s="437"/>
      <c r="Z26" s="438"/>
      <c r="AA26" s="436" t="str">
        <f>IF(Calcu!B24=TRUE,Calcu!I24*H$5,"")</f>
        <v/>
      </c>
      <c r="AB26" s="437"/>
      <c r="AC26" s="437"/>
      <c r="AD26" s="437"/>
      <c r="AE26" s="438"/>
      <c r="AF26" s="436" t="str">
        <f>Calcu!M24</f>
        <v/>
      </c>
      <c r="AG26" s="437"/>
      <c r="AH26" s="437"/>
      <c r="AI26" s="437"/>
      <c r="AJ26" s="438"/>
      <c r="AK26" s="436" t="str">
        <f>Calcu!K24</f>
        <v/>
      </c>
      <c r="AL26" s="437"/>
      <c r="AM26" s="437"/>
      <c r="AN26" s="437"/>
      <c r="AO26" s="438"/>
    </row>
    <row r="27" spans="1:46" ht="18.75" customHeight="1">
      <c r="A27" s="58"/>
      <c r="B27" s="436" t="str">
        <f>Calcu!T25</f>
        <v/>
      </c>
      <c r="C27" s="437"/>
      <c r="D27" s="437"/>
      <c r="E27" s="437"/>
      <c r="F27" s="438"/>
      <c r="G27" s="436" t="str">
        <f>IF(Calcu!B25=TRUE,Calcu!E25*$H$5,"")</f>
        <v/>
      </c>
      <c r="H27" s="437"/>
      <c r="I27" s="437"/>
      <c r="J27" s="437"/>
      <c r="K27" s="438"/>
      <c r="L27" s="436" t="str">
        <f>IF(Calcu!B25=TRUE,Calcu!F25*H$5,"")</f>
        <v/>
      </c>
      <c r="M27" s="437"/>
      <c r="N27" s="437"/>
      <c r="O27" s="437"/>
      <c r="P27" s="438"/>
      <c r="Q27" s="436" t="str">
        <f>IF(Calcu!B25=TRUE,Calcu!G25*H$5,"")</f>
        <v/>
      </c>
      <c r="R27" s="437"/>
      <c r="S27" s="437"/>
      <c r="T27" s="437"/>
      <c r="U27" s="438"/>
      <c r="V27" s="436" t="str">
        <f>IF(Calcu!B25=TRUE,Calcu!H25*H$5,"")</f>
        <v/>
      </c>
      <c r="W27" s="437"/>
      <c r="X27" s="437"/>
      <c r="Y27" s="437"/>
      <c r="Z27" s="438"/>
      <c r="AA27" s="436" t="str">
        <f>IF(Calcu!B25=TRUE,Calcu!I25*H$5,"")</f>
        <v/>
      </c>
      <c r="AB27" s="437"/>
      <c r="AC27" s="437"/>
      <c r="AD27" s="437"/>
      <c r="AE27" s="438"/>
      <c r="AF27" s="436" t="str">
        <f>Calcu!M25</f>
        <v/>
      </c>
      <c r="AG27" s="437"/>
      <c r="AH27" s="437"/>
      <c r="AI27" s="437"/>
      <c r="AJ27" s="438"/>
      <c r="AK27" s="436" t="str">
        <f>Calcu!K25</f>
        <v/>
      </c>
      <c r="AL27" s="437"/>
      <c r="AM27" s="437"/>
      <c r="AN27" s="437"/>
      <c r="AO27" s="438"/>
    </row>
    <row r="28" spans="1:46" ht="18.75" customHeight="1">
      <c r="A28" s="58"/>
      <c r="B28" s="436" t="str">
        <f>Calcu!T26</f>
        <v/>
      </c>
      <c r="C28" s="437"/>
      <c r="D28" s="437"/>
      <c r="E28" s="437"/>
      <c r="F28" s="438"/>
      <c r="G28" s="436" t="str">
        <f>IF(Calcu!B26=TRUE,Calcu!E26*$H$5,"")</f>
        <v/>
      </c>
      <c r="H28" s="437"/>
      <c r="I28" s="437"/>
      <c r="J28" s="437"/>
      <c r="K28" s="438"/>
      <c r="L28" s="436" t="str">
        <f>IF(Calcu!B26=TRUE,Calcu!F26*H$5,"")</f>
        <v/>
      </c>
      <c r="M28" s="437"/>
      <c r="N28" s="437"/>
      <c r="O28" s="437"/>
      <c r="P28" s="438"/>
      <c r="Q28" s="436" t="str">
        <f>IF(Calcu!B26=TRUE,Calcu!G26*H$5,"")</f>
        <v/>
      </c>
      <c r="R28" s="437"/>
      <c r="S28" s="437"/>
      <c r="T28" s="437"/>
      <c r="U28" s="438"/>
      <c r="V28" s="436" t="str">
        <f>IF(Calcu!B26=TRUE,Calcu!H26*H$5,"")</f>
        <v/>
      </c>
      <c r="W28" s="437"/>
      <c r="X28" s="437"/>
      <c r="Y28" s="437"/>
      <c r="Z28" s="438"/>
      <c r="AA28" s="436" t="str">
        <f>IF(Calcu!B26=TRUE,Calcu!I26*H$5,"")</f>
        <v/>
      </c>
      <c r="AB28" s="437"/>
      <c r="AC28" s="437"/>
      <c r="AD28" s="437"/>
      <c r="AE28" s="438"/>
      <c r="AF28" s="436" t="str">
        <f>Calcu!M26</f>
        <v/>
      </c>
      <c r="AG28" s="437"/>
      <c r="AH28" s="437"/>
      <c r="AI28" s="437"/>
      <c r="AJ28" s="438"/>
      <c r="AK28" s="436" t="str">
        <f>Calcu!K26</f>
        <v/>
      </c>
      <c r="AL28" s="437"/>
      <c r="AM28" s="437"/>
      <c r="AN28" s="437"/>
      <c r="AO28" s="438"/>
    </row>
    <row r="29" spans="1:46" ht="18.75" customHeight="1">
      <c r="A29" s="58"/>
      <c r="B29" s="436" t="str">
        <f>Calcu!T27</f>
        <v/>
      </c>
      <c r="C29" s="437"/>
      <c r="D29" s="437"/>
      <c r="E29" s="437"/>
      <c r="F29" s="438"/>
      <c r="G29" s="436" t="str">
        <f>IF(Calcu!B27=TRUE,Calcu!E27*$H$5,"")</f>
        <v/>
      </c>
      <c r="H29" s="437"/>
      <c r="I29" s="437"/>
      <c r="J29" s="437"/>
      <c r="K29" s="438"/>
      <c r="L29" s="436" t="str">
        <f>IF(Calcu!B27=TRUE,Calcu!F27*H$5,"")</f>
        <v/>
      </c>
      <c r="M29" s="437"/>
      <c r="N29" s="437"/>
      <c r="O29" s="437"/>
      <c r="P29" s="438"/>
      <c r="Q29" s="436" t="str">
        <f>IF(Calcu!B27=TRUE,Calcu!G27*H$5,"")</f>
        <v/>
      </c>
      <c r="R29" s="437"/>
      <c r="S29" s="437"/>
      <c r="T29" s="437"/>
      <c r="U29" s="438"/>
      <c r="V29" s="436" t="str">
        <f>IF(Calcu!B27=TRUE,Calcu!H27*H$5,"")</f>
        <v/>
      </c>
      <c r="W29" s="437"/>
      <c r="X29" s="437"/>
      <c r="Y29" s="437"/>
      <c r="Z29" s="438"/>
      <c r="AA29" s="436" t="str">
        <f>IF(Calcu!B27=TRUE,Calcu!I27*H$5,"")</f>
        <v/>
      </c>
      <c r="AB29" s="437"/>
      <c r="AC29" s="437"/>
      <c r="AD29" s="437"/>
      <c r="AE29" s="438"/>
      <c r="AF29" s="436" t="str">
        <f>Calcu!M27</f>
        <v/>
      </c>
      <c r="AG29" s="437"/>
      <c r="AH29" s="437"/>
      <c r="AI29" s="437"/>
      <c r="AJ29" s="438"/>
      <c r="AK29" s="436" t="str">
        <f>Calcu!K27</f>
        <v/>
      </c>
      <c r="AL29" s="437"/>
      <c r="AM29" s="437"/>
      <c r="AN29" s="437"/>
      <c r="AO29" s="438"/>
    </row>
    <row r="30" spans="1:46" ht="18.75" customHeight="1">
      <c r="A30" s="58"/>
      <c r="B30" s="436" t="str">
        <f>Calcu!T28</f>
        <v/>
      </c>
      <c r="C30" s="437"/>
      <c r="D30" s="437"/>
      <c r="E30" s="437"/>
      <c r="F30" s="438"/>
      <c r="G30" s="436" t="str">
        <f>IF(Calcu!B28=TRUE,Calcu!E28*$H$5,"")</f>
        <v/>
      </c>
      <c r="H30" s="437"/>
      <c r="I30" s="437"/>
      <c r="J30" s="437"/>
      <c r="K30" s="438"/>
      <c r="L30" s="436" t="str">
        <f>IF(Calcu!B28=TRUE,Calcu!F28*H$5,"")</f>
        <v/>
      </c>
      <c r="M30" s="437"/>
      <c r="N30" s="437"/>
      <c r="O30" s="437"/>
      <c r="P30" s="438"/>
      <c r="Q30" s="436" t="str">
        <f>IF(Calcu!B28=TRUE,Calcu!G28*H$5,"")</f>
        <v/>
      </c>
      <c r="R30" s="437"/>
      <c r="S30" s="437"/>
      <c r="T30" s="437"/>
      <c r="U30" s="438"/>
      <c r="V30" s="436" t="str">
        <f>IF(Calcu!B28=TRUE,Calcu!H28*H$5,"")</f>
        <v/>
      </c>
      <c r="W30" s="437"/>
      <c r="X30" s="437"/>
      <c r="Y30" s="437"/>
      <c r="Z30" s="438"/>
      <c r="AA30" s="436" t="str">
        <f>IF(Calcu!B28=TRUE,Calcu!I28*H$5,"")</f>
        <v/>
      </c>
      <c r="AB30" s="437"/>
      <c r="AC30" s="437"/>
      <c r="AD30" s="437"/>
      <c r="AE30" s="438"/>
      <c r="AF30" s="436" t="str">
        <f>Calcu!M28</f>
        <v/>
      </c>
      <c r="AG30" s="437"/>
      <c r="AH30" s="437"/>
      <c r="AI30" s="437"/>
      <c r="AJ30" s="438"/>
      <c r="AK30" s="436" t="str">
        <f>Calcu!K28</f>
        <v/>
      </c>
      <c r="AL30" s="437"/>
      <c r="AM30" s="437"/>
      <c r="AN30" s="437"/>
      <c r="AO30" s="438"/>
    </row>
    <row r="31" spans="1:46" ht="18.75" customHeight="1">
      <c r="A31" s="58"/>
      <c r="B31" s="436" t="str">
        <f>Calcu!T29</f>
        <v/>
      </c>
      <c r="C31" s="437"/>
      <c r="D31" s="437"/>
      <c r="E31" s="437"/>
      <c r="F31" s="438"/>
      <c r="G31" s="436" t="str">
        <f>IF(Calcu!B29=TRUE,Calcu!E29*$H$5,"")</f>
        <v/>
      </c>
      <c r="H31" s="437"/>
      <c r="I31" s="437"/>
      <c r="J31" s="437"/>
      <c r="K31" s="438"/>
      <c r="L31" s="436" t="str">
        <f>IF(Calcu!B29=TRUE,Calcu!F29*H$5,"")</f>
        <v/>
      </c>
      <c r="M31" s="437"/>
      <c r="N31" s="437"/>
      <c r="O31" s="437"/>
      <c r="P31" s="438"/>
      <c r="Q31" s="436" t="str">
        <f>IF(Calcu!B29=TRUE,Calcu!G29*H$5,"")</f>
        <v/>
      </c>
      <c r="R31" s="437"/>
      <c r="S31" s="437"/>
      <c r="T31" s="437"/>
      <c r="U31" s="438"/>
      <c r="V31" s="436" t="str">
        <f>IF(Calcu!B29=TRUE,Calcu!H29*H$5,"")</f>
        <v/>
      </c>
      <c r="W31" s="437"/>
      <c r="X31" s="437"/>
      <c r="Y31" s="437"/>
      <c r="Z31" s="438"/>
      <c r="AA31" s="436" t="str">
        <f>IF(Calcu!B29=TRUE,Calcu!I29*H$5,"")</f>
        <v/>
      </c>
      <c r="AB31" s="437"/>
      <c r="AC31" s="437"/>
      <c r="AD31" s="437"/>
      <c r="AE31" s="438"/>
      <c r="AF31" s="436" t="str">
        <f>Calcu!M29</f>
        <v/>
      </c>
      <c r="AG31" s="437"/>
      <c r="AH31" s="437"/>
      <c r="AI31" s="437"/>
      <c r="AJ31" s="438"/>
      <c r="AK31" s="436" t="str">
        <f>Calcu!K29</f>
        <v/>
      </c>
      <c r="AL31" s="437"/>
      <c r="AM31" s="437"/>
      <c r="AN31" s="437"/>
      <c r="AO31" s="438"/>
    </row>
    <row r="32" spans="1:46" ht="18.75" customHeight="1">
      <c r="A32" s="58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</row>
    <row r="33" spans="1:69" ht="18.75" customHeight="1">
      <c r="A33" s="58" t="s">
        <v>242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</row>
    <row r="34" spans="1:69" ht="18.75" customHeight="1">
      <c r="A34" s="72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</row>
    <row r="35" spans="1:69" ht="18.75" customHeight="1">
      <c r="A35" s="72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</row>
    <row r="36" spans="1:69" ht="18.75" customHeight="1">
      <c r="A36" s="72"/>
      <c r="B36" s="57"/>
      <c r="C36" s="407" t="s">
        <v>360</v>
      </c>
      <c r="D36" s="407"/>
      <c r="E36" s="407"/>
      <c r="F36" s="173" t="s">
        <v>243</v>
      </c>
      <c r="G36" s="57" t="s">
        <v>387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W36" s="60"/>
      <c r="X36" s="60"/>
      <c r="Y36" s="60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</row>
    <row r="37" spans="1:69" ht="18.75" customHeight="1">
      <c r="A37" s="72"/>
      <c r="B37" s="57"/>
      <c r="C37" s="407" t="s">
        <v>245</v>
      </c>
      <c r="D37" s="407"/>
      <c r="E37" s="407"/>
      <c r="F37" s="173" t="s">
        <v>243</v>
      </c>
      <c r="G37" s="57" t="s">
        <v>246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</row>
    <row r="38" spans="1:69" ht="18.75" customHeight="1">
      <c r="A38" s="72"/>
      <c r="B38" s="57"/>
      <c r="C38" s="407" t="s">
        <v>244</v>
      </c>
      <c r="D38" s="407"/>
      <c r="E38" s="407"/>
      <c r="F38" s="173" t="s">
        <v>243</v>
      </c>
      <c r="G38" s="57" t="s">
        <v>385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</row>
    <row r="39" spans="1:69" ht="18.75" customHeight="1">
      <c r="A39" s="72"/>
      <c r="B39" s="57"/>
      <c r="C39" s="407" t="s">
        <v>247</v>
      </c>
      <c r="D39" s="407"/>
      <c r="E39" s="407"/>
      <c r="F39" s="173" t="s">
        <v>243</v>
      </c>
      <c r="G39" s="57" t="s">
        <v>248</v>
      </c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</row>
    <row r="40" spans="1:69" ht="18.75" customHeight="1">
      <c r="A40" s="72"/>
      <c r="B40" s="57"/>
      <c r="C40" s="407"/>
      <c r="D40" s="407"/>
      <c r="E40" s="407"/>
      <c r="F40" s="173" t="s">
        <v>243</v>
      </c>
      <c r="G40" s="57" t="s">
        <v>388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</row>
    <row r="41" spans="1:69" ht="18.75" customHeight="1">
      <c r="A41" s="72"/>
      <c r="B41" s="57"/>
      <c r="C41" s="407" t="s">
        <v>249</v>
      </c>
      <c r="D41" s="407"/>
      <c r="E41" s="407"/>
      <c r="F41" s="173" t="s">
        <v>243</v>
      </c>
      <c r="G41" s="57" t="s">
        <v>389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</row>
    <row r="42" spans="1:69" ht="18.75" customHeight="1">
      <c r="A42" s="72"/>
      <c r="B42" s="57"/>
      <c r="C42" s="407" t="s">
        <v>250</v>
      </c>
      <c r="D42" s="407"/>
      <c r="E42" s="407"/>
      <c r="F42" s="173" t="s">
        <v>243</v>
      </c>
      <c r="G42" s="57" t="s">
        <v>390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</row>
    <row r="43" spans="1:69" ht="18.75" customHeight="1">
      <c r="A43" s="72"/>
      <c r="B43" s="57"/>
      <c r="C43" s="407" t="s">
        <v>251</v>
      </c>
      <c r="D43" s="407"/>
      <c r="E43" s="407"/>
      <c r="F43" s="173" t="s">
        <v>243</v>
      </c>
      <c r="G43" s="57" t="s">
        <v>391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</row>
    <row r="44" spans="1:69" ht="18.75" customHeight="1">
      <c r="A44" s="72"/>
      <c r="B44" s="57"/>
      <c r="C44" s="407" t="s">
        <v>586</v>
      </c>
      <c r="D44" s="407"/>
      <c r="E44" s="407"/>
      <c r="F44" s="173" t="s">
        <v>243</v>
      </c>
      <c r="G44" s="57" t="s">
        <v>392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</row>
    <row r="45" spans="1:69" ht="18.75" customHeight="1">
      <c r="A45" s="72"/>
      <c r="B45" s="57"/>
      <c r="C45" s="407" t="s">
        <v>589</v>
      </c>
      <c r="D45" s="407"/>
      <c r="E45" s="407"/>
      <c r="F45" s="218" t="s">
        <v>243</v>
      </c>
      <c r="G45" s="57" t="s">
        <v>393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</row>
    <row r="46" spans="1:69" ht="18.75" customHeight="1">
      <c r="A46" s="72"/>
      <c r="B46" s="57"/>
      <c r="C46" s="407" t="s">
        <v>446</v>
      </c>
      <c r="D46" s="407"/>
      <c r="E46" s="407"/>
      <c r="F46" s="240" t="s">
        <v>243</v>
      </c>
      <c r="G46" s="57" t="s">
        <v>447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</row>
    <row r="47" spans="1:69" ht="18.75" customHeight="1">
      <c r="A47" s="72"/>
      <c r="B47" s="57"/>
      <c r="C47" s="407"/>
      <c r="D47" s="407"/>
      <c r="E47" s="40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</row>
    <row r="48" spans="1:69" ht="18.75" customHeight="1">
      <c r="A48" s="58" t="s">
        <v>252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</row>
    <row r="49" spans="1:46" ht="18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</row>
    <row r="50" spans="1:46" ht="18.75" customHeight="1">
      <c r="A50" s="57"/>
      <c r="B50" s="57"/>
      <c r="C50" s="57" t="s">
        <v>253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</row>
    <row r="51" spans="1:46" ht="18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</row>
    <row r="52" spans="1:46" ht="18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</row>
    <row r="53" spans="1:46" ht="18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46" ht="18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46" ht="18.75" customHeight="1">
      <c r="A55" s="61" t="s">
        <v>254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46" ht="18.75" customHeight="1">
      <c r="A56" s="57"/>
      <c r="B56" s="426"/>
      <c r="C56" s="427"/>
      <c r="D56" s="418"/>
      <c r="E56" s="419"/>
      <c r="F56" s="419"/>
      <c r="G56" s="420"/>
      <c r="H56" s="410">
        <v>1</v>
      </c>
      <c r="I56" s="410"/>
      <c r="J56" s="410"/>
      <c r="K56" s="410"/>
      <c r="L56" s="410"/>
      <c r="M56" s="410"/>
      <c r="N56" s="410"/>
      <c r="O56" s="410">
        <v>2</v>
      </c>
      <c r="P56" s="410"/>
      <c r="Q56" s="410"/>
      <c r="R56" s="410"/>
      <c r="S56" s="410"/>
      <c r="T56" s="410"/>
      <c r="U56" s="410"/>
      <c r="V56" s="410">
        <v>3</v>
      </c>
      <c r="W56" s="410"/>
      <c r="X56" s="410"/>
      <c r="Y56" s="410"/>
      <c r="Z56" s="410"/>
      <c r="AA56" s="418">
        <v>4</v>
      </c>
      <c r="AB56" s="419"/>
      <c r="AC56" s="419"/>
      <c r="AD56" s="419"/>
      <c r="AE56" s="419"/>
      <c r="AF56" s="419"/>
      <c r="AG56" s="420"/>
      <c r="AH56" s="410">
        <v>5</v>
      </c>
      <c r="AI56" s="410"/>
      <c r="AJ56" s="410"/>
      <c r="AK56" s="410"/>
      <c r="AL56" s="410"/>
      <c r="AM56" s="410"/>
      <c r="AN56" s="410"/>
      <c r="AO56" s="410"/>
      <c r="AP56" s="410">
        <v>6</v>
      </c>
      <c r="AQ56" s="410"/>
      <c r="AR56" s="410"/>
      <c r="AS56" s="410"/>
      <c r="AT56" s="57"/>
    </row>
    <row r="57" spans="1:46" ht="18.75" customHeight="1">
      <c r="A57" s="57"/>
      <c r="B57" s="428"/>
      <c r="C57" s="429"/>
      <c r="D57" s="426" t="s">
        <v>255</v>
      </c>
      <c r="E57" s="394"/>
      <c r="F57" s="394"/>
      <c r="G57" s="427"/>
      <c r="H57" s="432" t="s">
        <v>256</v>
      </c>
      <c r="I57" s="432"/>
      <c r="J57" s="432"/>
      <c r="K57" s="432"/>
      <c r="L57" s="432"/>
      <c r="M57" s="432"/>
      <c r="N57" s="432"/>
      <c r="O57" s="432" t="s">
        <v>257</v>
      </c>
      <c r="P57" s="432"/>
      <c r="Q57" s="432"/>
      <c r="R57" s="432"/>
      <c r="S57" s="432"/>
      <c r="T57" s="432"/>
      <c r="U57" s="432"/>
      <c r="V57" s="432" t="s">
        <v>258</v>
      </c>
      <c r="W57" s="432"/>
      <c r="X57" s="432"/>
      <c r="Y57" s="432"/>
      <c r="Z57" s="432"/>
      <c r="AA57" s="426" t="s">
        <v>259</v>
      </c>
      <c r="AB57" s="394"/>
      <c r="AC57" s="394"/>
      <c r="AD57" s="394"/>
      <c r="AE57" s="394"/>
      <c r="AF57" s="394"/>
      <c r="AG57" s="427"/>
      <c r="AH57" s="432" t="s">
        <v>260</v>
      </c>
      <c r="AI57" s="432"/>
      <c r="AJ57" s="432"/>
      <c r="AK57" s="432"/>
      <c r="AL57" s="432"/>
      <c r="AM57" s="432"/>
      <c r="AN57" s="432"/>
      <c r="AO57" s="432"/>
      <c r="AP57" s="432" t="s">
        <v>261</v>
      </c>
      <c r="AQ57" s="432"/>
      <c r="AR57" s="432"/>
      <c r="AS57" s="432"/>
      <c r="AT57" s="57"/>
    </row>
    <row r="58" spans="1:46" ht="18.75" customHeight="1">
      <c r="A58" s="57"/>
      <c r="B58" s="430"/>
      <c r="C58" s="431"/>
      <c r="D58" s="433" t="s">
        <v>262</v>
      </c>
      <c r="E58" s="406"/>
      <c r="F58" s="406"/>
      <c r="G58" s="434"/>
      <c r="H58" s="435" t="s">
        <v>420</v>
      </c>
      <c r="I58" s="435"/>
      <c r="J58" s="435"/>
      <c r="K58" s="435"/>
      <c r="L58" s="435"/>
      <c r="M58" s="435"/>
      <c r="N58" s="435"/>
      <c r="O58" s="435" t="s">
        <v>421</v>
      </c>
      <c r="P58" s="435"/>
      <c r="Q58" s="435"/>
      <c r="R58" s="435"/>
      <c r="S58" s="435"/>
      <c r="T58" s="435"/>
      <c r="U58" s="435"/>
      <c r="V58" s="435"/>
      <c r="W58" s="435"/>
      <c r="X58" s="435"/>
      <c r="Y58" s="435"/>
      <c r="Z58" s="435"/>
      <c r="AA58" s="452" t="s">
        <v>419</v>
      </c>
      <c r="AB58" s="453"/>
      <c r="AC58" s="453"/>
      <c r="AD58" s="453"/>
      <c r="AE58" s="453"/>
      <c r="AF58" s="453"/>
      <c r="AG58" s="454"/>
      <c r="AH58" s="435" t="s">
        <v>422</v>
      </c>
      <c r="AI58" s="435"/>
      <c r="AJ58" s="435"/>
      <c r="AK58" s="435"/>
      <c r="AL58" s="435"/>
      <c r="AM58" s="435"/>
      <c r="AN58" s="435"/>
      <c r="AO58" s="435"/>
      <c r="AP58" s="435"/>
      <c r="AQ58" s="435"/>
      <c r="AR58" s="435"/>
      <c r="AS58" s="435"/>
      <c r="AT58" s="57"/>
    </row>
    <row r="59" spans="1:46" ht="18.75" customHeight="1">
      <c r="A59" s="57"/>
      <c r="B59" s="410" t="s">
        <v>177</v>
      </c>
      <c r="C59" s="410"/>
      <c r="D59" s="403" t="s">
        <v>263</v>
      </c>
      <c r="E59" s="404"/>
      <c r="F59" s="404"/>
      <c r="G59" s="405"/>
      <c r="H59" s="416" t="e">
        <f ca="1">Calcu!E34</f>
        <v>#N/A</v>
      </c>
      <c r="I59" s="417"/>
      <c r="J59" s="417"/>
      <c r="K59" s="417"/>
      <c r="L59" s="417"/>
      <c r="M59" s="401" t="str">
        <f>Calcu!F34</f>
        <v>mm</v>
      </c>
      <c r="N59" s="402"/>
      <c r="O59" s="411" t="e">
        <f ca="1">Calcu!J34</f>
        <v>#N/A</v>
      </c>
      <c r="P59" s="412"/>
      <c r="Q59" s="412"/>
      <c r="R59" s="412"/>
      <c r="S59" s="399" t="str">
        <f>Calcu!K34</f>
        <v>μm</v>
      </c>
      <c r="T59" s="401"/>
      <c r="U59" s="402"/>
      <c r="V59" s="410" t="str">
        <f>Calcu!L34</f>
        <v>정규</v>
      </c>
      <c r="W59" s="410"/>
      <c r="X59" s="410"/>
      <c r="Y59" s="410"/>
      <c r="Z59" s="410"/>
      <c r="AA59" s="418">
        <f>Calcu!O34</f>
        <v>1</v>
      </c>
      <c r="AB59" s="419"/>
      <c r="AC59" s="419"/>
      <c r="AD59" s="419"/>
      <c r="AE59" s="419"/>
      <c r="AF59" s="419"/>
      <c r="AG59" s="420"/>
      <c r="AH59" s="411" t="e">
        <f ca="1">Calcu!Q34</f>
        <v>#N/A</v>
      </c>
      <c r="AI59" s="412"/>
      <c r="AJ59" s="412"/>
      <c r="AK59" s="412"/>
      <c r="AL59" s="412"/>
      <c r="AM59" s="399" t="str">
        <f>Calcu!R34</f>
        <v>μm</v>
      </c>
      <c r="AN59" s="399"/>
      <c r="AO59" s="400"/>
      <c r="AP59" s="410" t="str">
        <f>Calcu!S34</f>
        <v>∞</v>
      </c>
      <c r="AQ59" s="410"/>
      <c r="AR59" s="410"/>
      <c r="AS59" s="410"/>
      <c r="AT59" s="57"/>
    </row>
    <row r="60" spans="1:46" ht="18.75" customHeight="1">
      <c r="A60" s="57"/>
      <c r="B60" s="410" t="s">
        <v>361</v>
      </c>
      <c r="C60" s="410"/>
      <c r="D60" s="403" t="s">
        <v>244</v>
      </c>
      <c r="E60" s="404"/>
      <c r="F60" s="404"/>
      <c r="G60" s="405"/>
      <c r="H60" s="416" t="e">
        <f ca="1">Calcu!E35</f>
        <v>#N/A</v>
      </c>
      <c r="I60" s="417"/>
      <c r="J60" s="417"/>
      <c r="K60" s="417"/>
      <c r="L60" s="417"/>
      <c r="M60" s="401" t="str">
        <f>Calcu!F35</f>
        <v>mm</v>
      </c>
      <c r="N60" s="402"/>
      <c r="O60" s="411">
        <f>Calcu!J35</f>
        <v>0</v>
      </c>
      <c r="P60" s="412"/>
      <c r="Q60" s="412"/>
      <c r="R60" s="412"/>
      <c r="S60" s="399" t="str">
        <f>Calcu!K35</f>
        <v>μm</v>
      </c>
      <c r="T60" s="401"/>
      <c r="U60" s="402"/>
      <c r="V60" s="410" t="str">
        <f>Calcu!L35</f>
        <v>직사각형</v>
      </c>
      <c r="W60" s="410"/>
      <c r="X60" s="410"/>
      <c r="Y60" s="410"/>
      <c r="Z60" s="410"/>
      <c r="AA60" s="418">
        <f>Calcu!O35</f>
        <v>-1</v>
      </c>
      <c r="AB60" s="419"/>
      <c r="AC60" s="419"/>
      <c r="AD60" s="419"/>
      <c r="AE60" s="419"/>
      <c r="AF60" s="419"/>
      <c r="AG60" s="420"/>
      <c r="AH60" s="411">
        <f>Calcu!Q35</f>
        <v>0</v>
      </c>
      <c r="AI60" s="412"/>
      <c r="AJ60" s="412"/>
      <c r="AK60" s="412"/>
      <c r="AL60" s="412"/>
      <c r="AM60" s="399" t="str">
        <f>Calcu!R35</f>
        <v>μm</v>
      </c>
      <c r="AN60" s="399"/>
      <c r="AO60" s="400"/>
      <c r="AP60" s="410" t="str">
        <f>Calcu!S35</f>
        <v>∞</v>
      </c>
      <c r="AQ60" s="410"/>
      <c r="AR60" s="410"/>
      <c r="AS60" s="410"/>
      <c r="AT60" s="57"/>
    </row>
    <row r="61" spans="1:46" ht="18.75" customHeight="1">
      <c r="A61" s="57"/>
      <c r="B61" s="410" t="s">
        <v>264</v>
      </c>
      <c r="C61" s="410"/>
      <c r="D61" s="403"/>
      <c r="E61" s="404"/>
      <c r="F61" s="404"/>
      <c r="G61" s="405"/>
      <c r="H61" s="416" t="e">
        <f ca="1">Calcu!E36</f>
        <v>#N/A</v>
      </c>
      <c r="I61" s="417"/>
      <c r="J61" s="417"/>
      <c r="K61" s="417"/>
      <c r="L61" s="417"/>
      <c r="M61" s="401" t="str">
        <f>Calcu!F36</f>
        <v>/℃</v>
      </c>
      <c r="N61" s="402"/>
      <c r="O61" s="425">
        <f>Calcu!J36</f>
        <v>4.0824829046386305E-7</v>
      </c>
      <c r="P61" s="401"/>
      <c r="Q61" s="401"/>
      <c r="R61" s="401"/>
      <c r="S61" s="399" t="str">
        <f>Calcu!K36</f>
        <v>/℃</v>
      </c>
      <c r="T61" s="401"/>
      <c r="U61" s="402"/>
      <c r="V61" s="410" t="str">
        <f>Calcu!L36</f>
        <v>삼각형</v>
      </c>
      <c r="W61" s="410"/>
      <c r="X61" s="410"/>
      <c r="Y61" s="410"/>
      <c r="Z61" s="410"/>
      <c r="AA61" s="421" t="e">
        <f>Calcu!O36</f>
        <v>#VALUE!</v>
      </c>
      <c r="AB61" s="422"/>
      <c r="AC61" s="422"/>
      <c r="AD61" s="422"/>
      <c r="AE61" s="423" t="str">
        <f>Calcu!P36</f>
        <v>℃·μm</v>
      </c>
      <c r="AF61" s="423"/>
      <c r="AG61" s="424"/>
      <c r="AH61" s="411" t="e">
        <f>Calcu!Q36</f>
        <v>#VALUE!</v>
      </c>
      <c r="AI61" s="412"/>
      <c r="AJ61" s="412"/>
      <c r="AK61" s="412"/>
      <c r="AL61" s="412"/>
      <c r="AM61" s="399" t="str">
        <f>Calcu!R36</f>
        <v>μm</v>
      </c>
      <c r="AN61" s="399"/>
      <c r="AO61" s="400"/>
      <c r="AP61" s="410">
        <f>Calcu!S36</f>
        <v>100</v>
      </c>
      <c r="AQ61" s="410"/>
      <c r="AR61" s="410"/>
      <c r="AS61" s="410"/>
      <c r="AT61" s="57"/>
    </row>
    <row r="62" spans="1:46" ht="18.75" customHeight="1">
      <c r="A62" s="57"/>
      <c r="B62" s="410" t="s">
        <v>452</v>
      </c>
      <c r="C62" s="410"/>
      <c r="D62" s="403" t="s">
        <v>266</v>
      </c>
      <c r="E62" s="404"/>
      <c r="F62" s="404"/>
      <c r="G62" s="405"/>
      <c r="H62" s="416" t="str">
        <f>Calcu!E37</f>
        <v/>
      </c>
      <c r="I62" s="417"/>
      <c r="J62" s="417"/>
      <c r="K62" s="417"/>
      <c r="L62" s="417"/>
      <c r="M62" s="401" t="str">
        <f>Calcu!F37</f>
        <v>℃</v>
      </c>
      <c r="N62" s="402"/>
      <c r="O62" s="448">
        <f>Calcu!J37</f>
        <v>0.28867513459481292</v>
      </c>
      <c r="P62" s="449"/>
      <c r="Q62" s="449"/>
      <c r="R62" s="449"/>
      <c r="S62" s="399" t="str">
        <f>Calcu!K37</f>
        <v>℃</v>
      </c>
      <c r="T62" s="401"/>
      <c r="U62" s="402"/>
      <c r="V62" s="410" t="str">
        <f>Calcu!L37</f>
        <v>직사각형</v>
      </c>
      <c r="W62" s="410"/>
      <c r="X62" s="410"/>
      <c r="Y62" s="410"/>
      <c r="Z62" s="410"/>
      <c r="AA62" s="421" t="e">
        <f ca="1">Calcu!O37</f>
        <v>#N/A</v>
      </c>
      <c r="AB62" s="422"/>
      <c r="AC62" s="422"/>
      <c r="AD62" s="422"/>
      <c r="AE62" s="423" t="str">
        <f>Calcu!P37</f>
        <v>/℃·μm</v>
      </c>
      <c r="AF62" s="423"/>
      <c r="AG62" s="424"/>
      <c r="AH62" s="411" t="e">
        <f ca="1">Calcu!Q37</f>
        <v>#N/A</v>
      </c>
      <c r="AI62" s="412"/>
      <c r="AJ62" s="412"/>
      <c r="AK62" s="412"/>
      <c r="AL62" s="412"/>
      <c r="AM62" s="399" t="str">
        <f>Calcu!R37</f>
        <v>μm</v>
      </c>
      <c r="AN62" s="399"/>
      <c r="AO62" s="400"/>
      <c r="AP62" s="410">
        <f>Calcu!S37</f>
        <v>12</v>
      </c>
      <c r="AQ62" s="410"/>
      <c r="AR62" s="410"/>
      <c r="AS62" s="410"/>
      <c r="AT62" s="57"/>
    </row>
    <row r="63" spans="1:46" ht="18.75" customHeight="1">
      <c r="A63" s="57"/>
      <c r="B63" s="410" t="s">
        <v>453</v>
      </c>
      <c r="C63" s="410"/>
      <c r="D63" s="403" t="s">
        <v>265</v>
      </c>
      <c r="E63" s="404"/>
      <c r="F63" s="404"/>
      <c r="G63" s="405"/>
      <c r="H63" s="416" t="e">
        <f ca="1">Calcu!E38</f>
        <v>#N/A</v>
      </c>
      <c r="I63" s="417"/>
      <c r="J63" s="417"/>
      <c r="K63" s="417"/>
      <c r="L63" s="417"/>
      <c r="M63" s="401" t="str">
        <f>Calcu!F38</f>
        <v>/℃</v>
      </c>
      <c r="N63" s="402"/>
      <c r="O63" s="425">
        <f>Calcu!J38</f>
        <v>8.1649658092772609E-7</v>
      </c>
      <c r="P63" s="401"/>
      <c r="Q63" s="401"/>
      <c r="R63" s="401"/>
      <c r="S63" s="399" t="str">
        <f>Calcu!K38</f>
        <v>/℃</v>
      </c>
      <c r="T63" s="401"/>
      <c r="U63" s="402"/>
      <c r="V63" s="410" t="str">
        <f>Calcu!L38</f>
        <v>삼각형</v>
      </c>
      <c r="W63" s="410"/>
      <c r="X63" s="410"/>
      <c r="Y63" s="410"/>
      <c r="Z63" s="410"/>
      <c r="AA63" s="421" t="e">
        <f>Calcu!O38</f>
        <v>#VALUE!</v>
      </c>
      <c r="AB63" s="422"/>
      <c r="AC63" s="422"/>
      <c r="AD63" s="422"/>
      <c r="AE63" s="423" t="str">
        <f>Calcu!P38</f>
        <v>℃·μm</v>
      </c>
      <c r="AF63" s="423"/>
      <c r="AG63" s="424"/>
      <c r="AH63" s="411" t="e">
        <f>Calcu!Q38</f>
        <v>#VALUE!</v>
      </c>
      <c r="AI63" s="412"/>
      <c r="AJ63" s="412"/>
      <c r="AK63" s="412"/>
      <c r="AL63" s="412"/>
      <c r="AM63" s="399" t="str">
        <f>Calcu!R38</f>
        <v>μm</v>
      </c>
      <c r="AN63" s="399"/>
      <c r="AO63" s="400"/>
      <c r="AP63" s="410">
        <f>Calcu!S38</f>
        <v>100</v>
      </c>
      <c r="AQ63" s="410"/>
      <c r="AR63" s="410"/>
      <c r="AS63" s="410"/>
      <c r="AT63" s="57"/>
    </row>
    <row r="64" spans="1:46" ht="18.75" customHeight="1">
      <c r="A64" s="57"/>
      <c r="B64" s="410" t="s">
        <v>267</v>
      </c>
      <c r="C64" s="410"/>
      <c r="D64" s="403" t="s">
        <v>268</v>
      </c>
      <c r="E64" s="404"/>
      <c r="F64" s="404"/>
      <c r="G64" s="405"/>
      <c r="H64" s="416" t="str">
        <f>Calcu!E39</f>
        <v/>
      </c>
      <c r="I64" s="417"/>
      <c r="J64" s="417"/>
      <c r="K64" s="417"/>
      <c r="L64" s="417"/>
      <c r="M64" s="401" t="str">
        <f>Calcu!F39</f>
        <v>℃</v>
      </c>
      <c r="N64" s="402"/>
      <c r="O64" s="411">
        <f>Calcu!J39</f>
        <v>0.57735026918962584</v>
      </c>
      <c r="P64" s="412"/>
      <c r="Q64" s="412"/>
      <c r="R64" s="412"/>
      <c r="S64" s="399" t="str">
        <f>Calcu!K39</f>
        <v>℃</v>
      </c>
      <c r="T64" s="401"/>
      <c r="U64" s="402"/>
      <c r="V64" s="410" t="str">
        <f>Calcu!L39</f>
        <v>직사각형</v>
      </c>
      <c r="W64" s="410"/>
      <c r="X64" s="410"/>
      <c r="Y64" s="410"/>
      <c r="Z64" s="410"/>
      <c r="AA64" s="421" t="e">
        <f ca="1">Calcu!O39</f>
        <v>#N/A</v>
      </c>
      <c r="AB64" s="422"/>
      <c r="AC64" s="422"/>
      <c r="AD64" s="422"/>
      <c r="AE64" s="423" t="str">
        <f>Calcu!P39</f>
        <v>/℃·μm</v>
      </c>
      <c r="AF64" s="423"/>
      <c r="AG64" s="424"/>
      <c r="AH64" s="411" t="e">
        <f ca="1">Calcu!Q39</f>
        <v>#N/A</v>
      </c>
      <c r="AI64" s="412"/>
      <c r="AJ64" s="412"/>
      <c r="AK64" s="412"/>
      <c r="AL64" s="412"/>
      <c r="AM64" s="399" t="str">
        <f>Calcu!R39</f>
        <v>μm</v>
      </c>
      <c r="AN64" s="399"/>
      <c r="AO64" s="400"/>
      <c r="AP64" s="410">
        <f>Calcu!S39</f>
        <v>12</v>
      </c>
      <c r="AQ64" s="410"/>
      <c r="AR64" s="410"/>
      <c r="AS64" s="410"/>
      <c r="AT64" s="57"/>
    </row>
    <row r="65" spans="1:46" ht="18.75" customHeight="1">
      <c r="A65" s="57"/>
      <c r="B65" s="410" t="s">
        <v>269</v>
      </c>
      <c r="C65" s="410"/>
      <c r="D65" s="403" t="s">
        <v>586</v>
      </c>
      <c r="E65" s="404"/>
      <c r="F65" s="404"/>
      <c r="G65" s="405"/>
      <c r="H65" s="416">
        <f>Calcu!E40</f>
        <v>0</v>
      </c>
      <c r="I65" s="417"/>
      <c r="J65" s="417"/>
      <c r="K65" s="417"/>
      <c r="L65" s="417"/>
      <c r="M65" s="401" t="str">
        <f>Calcu!F40</f>
        <v>mm</v>
      </c>
      <c r="N65" s="402"/>
      <c r="O65" s="411">
        <f>Calcu!J40</f>
        <v>0</v>
      </c>
      <c r="P65" s="412"/>
      <c r="Q65" s="412"/>
      <c r="R65" s="412"/>
      <c r="S65" s="399" t="str">
        <f>Calcu!K40</f>
        <v>μm</v>
      </c>
      <c r="T65" s="401"/>
      <c r="U65" s="402"/>
      <c r="V65" s="410" t="str">
        <f>Calcu!L40</f>
        <v>직사각형</v>
      </c>
      <c r="W65" s="410"/>
      <c r="X65" s="410"/>
      <c r="Y65" s="410"/>
      <c r="Z65" s="410"/>
      <c r="AA65" s="418">
        <f>Calcu!O40</f>
        <v>1</v>
      </c>
      <c r="AB65" s="419"/>
      <c r="AC65" s="419"/>
      <c r="AD65" s="419"/>
      <c r="AE65" s="419"/>
      <c r="AF65" s="419"/>
      <c r="AG65" s="420"/>
      <c r="AH65" s="411">
        <f>Calcu!Q40</f>
        <v>0</v>
      </c>
      <c r="AI65" s="412"/>
      <c r="AJ65" s="412"/>
      <c r="AK65" s="412"/>
      <c r="AL65" s="412"/>
      <c r="AM65" s="399" t="str">
        <f>Calcu!R40</f>
        <v>μm</v>
      </c>
      <c r="AN65" s="399"/>
      <c r="AO65" s="400"/>
      <c r="AP65" s="410" t="str">
        <f>Calcu!S40</f>
        <v>∞</v>
      </c>
      <c r="AQ65" s="410"/>
      <c r="AR65" s="410"/>
      <c r="AS65" s="410"/>
      <c r="AT65" s="57"/>
    </row>
    <row r="66" spans="1:46" ht="18.75" customHeight="1">
      <c r="A66" s="57"/>
      <c r="B66" s="410" t="s">
        <v>196</v>
      </c>
      <c r="C66" s="410"/>
      <c r="D66" s="403" t="s">
        <v>589</v>
      </c>
      <c r="E66" s="404"/>
      <c r="F66" s="404"/>
      <c r="G66" s="405"/>
      <c r="H66" s="416">
        <f>Calcu!E41</f>
        <v>0</v>
      </c>
      <c r="I66" s="417"/>
      <c r="J66" s="417"/>
      <c r="K66" s="417"/>
      <c r="L66" s="417"/>
      <c r="M66" s="401" t="str">
        <f>Calcu!F41</f>
        <v>mm</v>
      </c>
      <c r="N66" s="402"/>
      <c r="O66" s="411">
        <f>Calcu!J41</f>
        <v>0</v>
      </c>
      <c r="P66" s="412"/>
      <c r="Q66" s="412"/>
      <c r="R66" s="412"/>
      <c r="S66" s="399" t="str">
        <f>Calcu!K41</f>
        <v>μm</v>
      </c>
      <c r="T66" s="401"/>
      <c r="U66" s="402"/>
      <c r="V66" s="410" t="str">
        <f>Calcu!L41</f>
        <v>직사각형</v>
      </c>
      <c r="W66" s="410"/>
      <c r="X66" s="410"/>
      <c r="Y66" s="410"/>
      <c r="Z66" s="410"/>
      <c r="AA66" s="418">
        <f>Calcu!O41</f>
        <v>1</v>
      </c>
      <c r="AB66" s="419"/>
      <c r="AC66" s="419"/>
      <c r="AD66" s="419"/>
      <c r="AE66" s="419"/>
      <c r="AF66" s="419"/>
      <c r="AG66" s="420"/>
      <c r="AH66" s="411">
        <f>Calcu!Q41</f>
        <v>0</v>
      </c>
      <c r="AI66" s="412"/>
      <c r="AJ66" s="412"/>
      <c r="AK66" s="412"/>
      <c r="AL66" s="412"/>
      <c r="AM66" s="399" t="str">
        <f>Calcu!R41</f>
        <v>μm</v>
      </c>
      <c r="AN66" s="399"/>
      <c r="AO66" s="400"/>
      <c r="AP66" s="410" t="str">
        <f>Calcu!S41</f>
        <v>∞</v>
      </c>
      <c r="AQ66" s="410"/>
      <c r="AR66" s="410"/>
      <c r="AS66" s="410"/>
      <c r="AT66" s="57"/>
    </row>
    <row r="67" spans="1:46" ht="18.75" customHeight="1">
      <c r="A67" s="57"/>
      <c r="B67" s="410" t="s">
        <v>448</v>
      </c>
      <c r="C67" s="410"/>
      <c r="D67" s="403" t="s">
        <v>446</v>
      </c>
      <c r="E67" s="404"/>
      <c r="F67" s="404"/>
      <c r="G67" s="405"/>
      <c r="H67" s="416">
        <f>Calcu!E42</f>
        <v>0</v>
      </c>
      <c r="I67" s="417"/>
      <c r="J67" s="417"/>
      <c r="K67" s="417"/>
      <c r="L67" s="417"/>
      <c r="M67" s="401" t="str">
        <f>Calcu!F42</f>
        <v>mm</v>
      </c>
      <c r="N67" s="402"/>
      <c r="O67" s="411" t="e">
        <f>Calcu!J42</f>
        <v>#N/A</v>
      </c>
      <c r="P67" s="412"/>
      <c r="Q67" s="412"/>
      <c r="R67" s="412"/>
      <c r="S67" s="399" t="str">
        <f>Calcu!K42</f>
        <v>μm</v>
      </c>
      <c r="T67" s="401"/>
      <c r="U67" s="402"/>
      <c r="V67" s="410" t="str">
        <f>Calcu!L42</f>
        <v>직사각형</v>
      </c>
      <c r="W67" s="410"/>
      <c r="X67" s="410"/>
      <c r="Y67" s="410"/>
      <c r="Z67" s="410"/>
      <c r="AA67" s="418">
        <f>Calcu!O42</f>
        <v>1</v>
      </c>
      <c r="AB67" s="419"/>
      <c r="AC67" s="419"/>
      <c r="AD67" s="419"/>
      <c r="AE67" s="419"/>
      <c r="AF67" s="419"/>
      <c r="AG67" s="420"/>
      <c r="AH67" s="411" t="e">
        <f>Calcu!Q42</f>
        <v>#N/A</v>
      </c>
      <c r="AI67" s="412"/>
      <c r="AJ67" s="412"/>
      <c r="AK67" s="412"/>
      <c r="AL67" s="412"/>
      <c r="AM67" s="399" t="str">
        <f>Calcu!R42</f>
        <v>μm</v>
      </c>
      <c r="AN67" s="399"/>
      <c r="AO67" s="400"/>
      <c r="AP67" s="410" t="str">
        <f>Calcu!S42</f>
        <v>∞</v>
      </c>
      <c r="AQ67" s="410"/>
      <c r="AR67" s="410"/>
      <c r="AS67" s="410"/>
      <c r="AT67" s="57"/>
    </row>
    <row r="68" spans="1:46" ht="18.75" customHeight="1">
      <c r="A68" s="57"/>
      <c r="B68" s="410" t="s">
        <v>449</v>
      </c>
      <c r="C68" s="410"/>
      <c r="D68" s="403" t="s">
        <v>413</v>
      </c>
      <c r="E68" s="404"/>
      <c r="F68" s="404"/>
      <c r="G68" s="405"/>
      <c r="H68" s="416" t="e">
        <f ca="1">Calcu!E43</f>
        <v>#N/A</v>
      </c>
      <c r="I68" s="417"/>
      <c r="J68" s="417"/>
      <c r="K68" s="417"/>
      <c r="L68" s="417"/>
      <c r="M68" s="401" t="str">
        <f>Calcu!F43</f>
        <v>mm</v>
      </c>
      <c r="N68" s="402"/>
      <c r="O68" s="418"/>
      <c r="P68" s="419"/>
      <c r="Q68" s="419"/>
      <c r="R68" s="419"/>
      <c r="S68" s="419"/>
      <c r="T68" s="419"/>
      <c r="U68" s="420"/>
      <c r="V68" s="410"/>
      <c r="W68" s="410"/>
      <c r="X68" s="410"/>
      <c r="Y68" s="410"/>
      <c r="Z68" s="410"/>
      <c r="AA68" s="418"/>
      <c r="AB68" s="419"/>
      <c r="AC68" s="419"/>
      <c r="AD68" s="419"/>
      <c r="AE68" s="419"/>
      <c r="AF68" s="419"/>
      <c r="AG68" s="420"/>
      <c r="AH68" s="411" t="e">
        <f ca="1">Calcu!Q43</f>
        <v>#N/A</v>
      </c>
      <c r="AI68" s="412"/>
      <c r="AJ68" s="412"/>
      <c r="AK68" s="412"/>
      <c r="AL68" s="412"/>
      <c r="AM68" s="399" t="str">
        <f>Calcu!R43</f>
        <v>μm</v>
      </c>
      <c r="AN68" s="399"/>
      <c r="AO68" s="400"/>
      <c r="AP68" s="410" t="e">
        <f>Calcu!S43</f>
        <v>#VALUE!</v>
      </c>
      <c r="AQ68" s="410"/>
      <c r="AR68" s="410"/>
      <c r="AS68" s="410"/>
      <c r="AT68" s="57"/>
    </row>
    <row r="69" spans="1:46" ht="18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46" ht="18.75" customHeight="1">
      <c r="A70" s="58" t="s">
        <v>270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46" ht="18.75" customHeight="1">
      <c r="A71" s="57"/>
      <c r="B71" s="61" t="s">
        <v>362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46" ht="18.75" customHeight="1">
      <c r="A72" s="57"/>
      <c r="B72" s="61"/>
      <c r="C72" s="57" t="s">
        <v>282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46" ht="18.75" customHeight="1">
      <c r="A73" s="57"/>
      <c r="B73" s="57"/>
      <c r="C73" s="57" t="s">
        <v>363</v>
      </c>
      <c r="D73" s="57"/>
      <c r="E73" s="57"/>
      <c r="F73" s="57"/>
      <c r="G73" s="57"/>
      <c r="H73" s="57"/>
      <c r="I73" s="414" t="e">
        <f ca="1">H59</f>
        <v>#N/A</v>
      </c>
      <c r="J73" s="414"/>
      <c r="K73" s="414"/>
      <c r="L73" s="414"/>
      <c r="M73" s="414"/>
      <c r="N73" s="376" t="str">
        <f>M59</f>
        <v>mm</v>
      </c>
      <c r="O73" s="376"/>
      <c r="P73" s="176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46" ht="18.75" customHeight="1">
      <c r="A74" s="57"/>
      <c r="B74" s="57"/>
      <c r="C74" s="409" t="s">
        <v>273</v>
      </c>
      <c r="D74" s="409"/>
      <c r="E74" s="409"/>
      <c r="F74" s="409"/>
      <c r="G74" s="409"/>
      <c r="H74" s="409"/>
      <c r="I74" s="409"/>
      <c r="J74" s="407" t="s">
        <v>477</v>
      </c>
      <c r="K74" s="407"/>
      <c r="L74" s="407"/>
      <c r="M74" s="407" t="s">
        <v>277</v>
      </c>
      <c r="N74" s="406" t="s">
        <v>87</v>
      </c>
      <c r="O74" s="406"/>
      <c r="P74" s="407" t="s">
        <v>277</v>
      </c>
      <c r="Q74" s="413" t="e">
        <f ca="1">Calcu!J34*Calcu!I34</f>
        <v>#N/A</v>
      </c>
      <c r="R74" s="413"/>
      <c r="S74" s="413"/>
      <c r="T74" s="100" t="s">
        <v>144</v>
      </c>
      <c r="U74" s="100"/>
      <c r="V74" s="100"/>
      <c r="W74" s="407" t="s">
        <v>277</v>
      </c>
      <c r="X74" s="375" t="e">
        <f ca="1">Q74/2</f>
        <v>#N/A</v>
      </c>
      <c r="Y74" s="375"/>
      <c r="Z74" s="375"/>
      <c r="AA74" s="377" t="str">
        <f>T74</f>
        <v>μm</v>
      </c>
      <c r="AB74" s="377"/>
      <c r="AC74" s="176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46" ht="18.75" customHeight="1">
      <c r="A75" s="57"/>
      <c r="B75" s="57"/>
      <c r="C75" s="409"/>
      <c r="D75" s="409"/>
      <c r="E75" s="409"/>
      <c r="F75" s="409"/>
      <c r="G75" s="409"/>
      <c r="H75" s="409"/>
      <c r="I75" s="409"/>
      <c r="J75" s="407"/>
      <c r="K75" s="407"/>
      <c r="L75" s="407"/>
      <c r="M75" s="407"/>
      <c r="N75" s="408" t="s">
        <v>88</v>
      </c>
      <c r="O75" s="408"/>
      <c r="P75" s="407"/>
      <c r="Q75" s="394">
        <v>2</v>
      </c>
      <c r="R75" s="394"/>
      <c r="S75" s="394"/>
      <c r="T75" s="394"/>
      <c r="U75" s="394"/>
      <c r="V75" s="394"/>
      <c r="W75" s="407"/>
      <c r="X75" s="375"/>
      <c r="Y75" s="375"/>
      <c r="Z75" s="375"/>
      <c r="AA75" s="377"/>
      <c r="AB75" s="37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46" ht="18.75" customHeight="1">
      <c r="A76" s="57"/>
      <c r="B76" s="57"/>
      <c r="C76" s="57" t="s">
        <v>364</v>
      </c>
      <c r="D76" s="57"/>
      <c r="E76" s="57"/>
      <c r="F76" s="57"/>
      <c r="G76" s="57"/>
      <c r="H76" s="57"/>
      <c r="I76" s="379" t="str">
        <f>V59</f>
        <v>정규</v>
      </c>
      <c r="J76" s="379"/>
      <c r="K76" s="379"/>
      <c r="L76" s="379"/>
      <c r="M76" s="379"/>
      <c r="N76" s="379"/>
      <c r="O76" s="379"/>
      <c r="P76" s="379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46" ht="18.75" customHeight="1">
      <c r="A77" s="57"/>
      <c r="B77" s="57"/>
      <c r="C77" s="374" t="s">
        <v>279</v>
      </c>
      <c r="D77" s="374"/>
      <c r="E77" s="374"/>
      <c r="F77" s="374"/>
      <c r="G77" s="374"/>
      <c r="H77" s="374"/>
      <c r="I77" s="175"/>
      <c r="J77" s="175"/>
      <c r="K77" s="57"/>
      <c r="L77" s="57"/>
      <c r="N77" s="379">
        <f>AA59</f>
        <v>1</v>
      </c>
      <c r="O77" s="379"/>
      <c r="P77" s="57"/>
      <c r="Q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</row>
    <row r="78" spans="1:46" ht="18.75" customHeight="1">
      <c r="A78" s="57"/>
      <c r="B78" s="57"/>
      <c r="C78" s="374"/>
      <c r="D78" s="374"/>
      <c r="E78" s="374"/>
      <c r="F78" s="374"/>
      <c r="G78" s="374"/>
      <c r="H78" s="374"/>
      <c r="I78" s="178"/>
      <c r="J78" s="178"/>
      <c r="K78" s="57"/>
      <c r="L78" s="57"/>
      <c r="N78" s="379"/>
      <c r="O78" s="379"/>
      <c r="P78" s="57"/>
      <c r="Q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</row>
    <row r="79" spans="1:46" s="57" customFormat="1" ht="18.75" customHeight="1">
      <c r="C79" s="57" t="s">
        <v>83</v>
      </c>
      <c r="K79" s="180" t="s">
        <v>84</v>
      </c>
      <c r="L79" s="451">
        <f>N77</f>
        <v>1</v>
      </c>
      <c r="M79" s="451"/>
      <c r="N79" s="175" t="s">
        <v>85</v>
      </c>
      <c r="O79" s="375" t="e">
        <f ca="1">X74</f>
        <v>#N/A</v>
      </c>
      <c r="P79" s="375"/>
      <c r="Q79" s="375"/>
      <c r="R79" s="377" t="str">
        <f>AA74</f>
        <v>μm</v>
      </c>
      <c r="S79" s="376"/>
      <c r="T79" s="180" t="s">
        <v>84</v>
      </c>
      <c r="U79" s="74" t="s">
        <v>277</v>
      </c>
      <c r="V79" s="375" t="e">
        <f ca="1">O79</f>
        <v>#N/A</v>
      </c>
      <c r="W79" s="375"/>
      <c r="X79" s="375"/>
      <c r="Y79" s="377" t="str">
        <f>R79</f>
        <v>μm</v>
      </c>
      <c r="Z79" s="376"/>
      <c r="AA79" s="176"/>
      <c r="AB79" s="175"/>
      <c r="AC79" s="175"/>
    </row>
    <row r="80" spans="1:46" ht="18.75" customHeight="1">
      <c r="A80" s="57"/>
      <c r="B80" s="57"/>
      <c r="C80" s="247" t="s">
        <v>86</v>
      </c>
      <c r="D80" s="247"/>
      <c r="E80" s="247"/>
      <c r="F80" s="247"/>
      <c r="G80" s="24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248"/>
      <c r="T80" s="248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</row>
    <row r="81" spans="1:48" s="57" customFormat="1" ht="18.75" customHeight="1"/>
    <row r="82" spans="1:48" ht="18.75" customHeight="1">
      <c r="A82" s="57"/>
      <c r="B82" s="61" t="s">
        <v>394</v>
      </c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</row>
    <row r="83" spans="1:48" ht="18.75" customHeight="1">
      <c r="A83" s="57"/>
      <c r="C83" s="57" t="s">
        <v>271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</row>
    <row r="84" spans="1:48" ht="18.75" customHeight="1">
      <c r="A84" s="57"/>
      <c r="C84" s="61"/>
      <c r="D84" s="57" t="s">
        <v>272</v>
      </c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</row>
    <row r="85" spans="1:48" ht="18.75" customHeight="1">
      <c r="B85" s="57"/>
      <c r="C85" s="57" t="s">
        <v>283</v>
      </c>
      <c r="D85" s="57"/>
      <c r="E85" s="57"/>
      <c r="F85" s="57"/>
      <c r="G85" s="57"/>
      <c r="H85" s="57"/>
      <c r="I85" s="376" t="e">
        <f ca="1">H60</f>
        <v>#N/A</v>
      </c>
      <c r="J85" s="376"/>
      <c r="K85" s="376"/>
      <c r="L85" s="376"/>
      <c r="M85" s="376"/>
      <c r="N85" s="376" t="str">
        <f>M60</f>
        <v>mm</v>
      </c>
      <c r="O85" s="376"/>
      <c r="P85" s="176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</row>
    <row r="86" spans="1:48" ht="18.75" customHeight="1">
      <c r="B86" s="57"/>
      <c r="C86" s="57" t="s">
        <v>89</v>
      </c>
      <c r="D86" s="57"/>
      <c r="E86" s="57"/>
      <c r="F86" s="57"/>
      <c r="G86" s="57"/>
      <c r="H86" s="57"/>
      <c r="I86" s="57"/>
      <c r="J86" s="62" t="s">
        <v>274</v>
      </c>
      <c r="K86" s="57"/>
      <c r="L86" s="57"/>
      <c r="M86" s="57"/>
      <c r="N86" s="57"/>
      <c r="O86" s="57"/>
      <c r="P86" s="57"/>
      <c r="Q86" s="376">
        <f>MAX(AK11:AO31)*1000</f>
        <v>0</v>
      </c>
      <c r="R86" s="376"/>
      <c r="S86" s="376"/>
      <c r="T86" s="415" t="s">
        <v>275</v>
      </c>
      <c r="U86" s="415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</row>
    <row r="87" spans="1:48" ht="18.75" customHeight="1">
      <c r="B87" s="57"/>
      <c r="C87" s="57"/>
      <c r="D87" s="57"/>
      <c r="E87" s="57"/>
      <c r="F87" s="57"/>
      <c r="G87" s="57"/>
      <c r="H87" s="57"/>
      <c r="I87" s="57"/>
      <c r="J87" s="407" t="s">
        <v>478</v>
      </c>
      <c r="K87" s="407"/>
      <c r="L87" s="407"/>
      <c r="M87" s="407" t="s">
        <v>278</v>
      </c>
      <c r="N87" s="406" t="s">
        <v>276</v>
      </c>
      <c r="O87" s="406"/>
      <c r="P87" s="407" t="s">
        <v>278</v>
      </c>
      <c r="Q87" s="383">
        <f>Q86</f>
        <v>0</v>
      </c>
      <c r="R87" s="383"/>
      <c r="S87" s="383"/>
      <c r="T87" s="450" t="str">
        <f>T86</f>
        <v>μm</v>
      </c>
      <c r="U87" s="450"/>
      <c r="V87" s="407" t="s">
        <v>277</v>
      </c>
      <c r="W87" s="375">
        <f>Q87/SQRT(5)</f>
        <v>0</v>
      </c>
      <c r="X87" s="375"/>
      <c r="Y87" s="375"/>
      <c r="Z87" s="377" t="str">
        <f>T86</f>
        <v>μm</v>
      </c>
      <c r="AA87" s="377"/>
      <c r="AB87" s="174"/>
      <c r="AC87" s="174"/>
      <c r="AD87" s="174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</row>
    <row r="88" spans="1:48" ht="18.75" customHeight="1">
      <c r="B88" s="57"/>
      <c r="C88" s="57"/>
      <c r="D88" s="57"/>
      <c r="E88" s="57"/>
      <c r="F88" s="57"/>
      <c r="G88" s="57"/>
      <c r="H88" s="57"/>
      <c r="I88" s="57"/>
      <c r="J88" s="407"/>
      <c r="K88" s="407"/>
      <c r="L88" s="407"/>
      <c r="M88" s="407"/>
      <c r="N88" s="408"/>
      <c r="O88" s="408"/>
      <c r="P88" s="407"/>
      <c r="Q88" s="394"/>
      <c r="R88" s="394"/>
      <c r="S88" s="394"/>
      <c r="T88" s="394"/>
      <c r="U88" s="394"/>
      <c r="V88" s="407"/>
      <c r="W88" s="375"/>
      <c r="X88" s="375"/>
      <c r="Y88" s="375"/>
      <c r="Z88" s="377"/>
      <c r="AA88" s="377"/>
      <c r="AB88" s="174"/>
      <c r="AC88" s="174"/>
      <c r="AD88" s="174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</row>
    <row r="89" spans="1:48" ht="18.75" customHeight="1">
      <c r="B89" s="57"/>
      <c r="C89" s="214" t="s">
        <v>356</v>
      </c>
      <c r="D89" s="57"/>
      <c r="F89" s="57"/>
      <c r="G89" s="57"/>
      <c r="H89" s="57"/>
      <c r="I89" s="57"/>
      <c r="J89" s="204"/>
      <c r="K89" s="204"/>
      <c r="L89" s="204"/>
      <c r="M89" s="204"/>
      <c r="N89" s="205"/>
      <c r="O89" s="205"/>
      <c r="P89" s="205"/>
      <c r="Q89" s="201"/>
      <c r="R89" s="201"/>
      <c r="S89" s="201"/>
      <c r="T89" s="201"/>
      <c r="U89" s="201"/>
      <c r="V89" s="205"/>
      <c r="W89" s="202"/>
      <c r="X89" s="202"/>
      <c r="Y89" s="202"/>
      <c r="Z89" s="203"/>
      <c r="AA89" s="203"/>
      <c r="AB89" s="203"/>
      <c r="AC89" s="203"/>
      <c r="AD89" s="203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</row>
    <row r="90" spans="1:48" ht="18.75" customHeight="1">
      <c r="B90" s="57"/>
      <c r="C90" s="57"/>
      <c r="D90" s="57"/>
      <c r="E90" s="214"/>
      <c r="F90" s="57"/>
      <c r="G90" s="57"/>
      <c r="H90" s="57"/>
      <c r="I90" s="57"/>
      <c r="J90" s="407" t="s">
        <v>478</v>
      </c>
      <c r="K90" s="407"/>
      <c r="L90" s="407"/>
      <c r="M90" s="407" t="s">
        <v>278</v>
      </c>
      <c r="N90" s="406" t="s">
        <v>357</v>
      </c>
      <c r="O90" s="406"/>
      <c r="P90" s="407" t="s">
        <v>277</v>
      </c>
      <c r="Q90" s="383">
        <f>Calcu!N3*1000</f>
        <v>0</v>
      </c>
      <c r="R90" s="383"/>
      <c r="S90" s="383"/>
      <c r="T90" s="450" t="str">
        <f>T86</f>
        <v>μm</v>
      </c>
      <c r="U90" s="450"/>
      <c r="V90" s="407" t="s">
        <v>277</v>
      </c>
      <c r="W90" s="375">
        <f>Q90/(2*SQRT(3))</f>
        <v>0</v>
      </c>
      <c r="X90" s="375"/>
      <c r="Y90" s="375"/>
      <c r="Z90" s="377" t="str">
        <f>T86</f>
        <v>μm</v>
      </c>
      <c r="AA90" s="377"/>
      <c r="AB90" s="203"/>
      <c r="AC90" s="203"/>
      <c r="AD90" s="203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</row>
    <row r="91" spans="1:48" ht="18.75" customHeight="1">
      <c r="B91" s="57"/>
      <c r="C91" s="57"/>
      <c r="D91" s="57"/>
      <c r="E91" s="214"/>
      <c r="F91" s="57"/>
      <c r="G91" s="57"/>
      <c r="H91" s="57"/>
      <c r="I91" s="57"/>
      <c r="J91" s="407"/>
      <c r="K91" s="407"/>
      <c r="L91" s="407"/>
      <c r="M91" s="407"/>
      <c r="N91" s="408"/>
      <c r="O91" s="408"/>
      <c r="P91" s="407"/>
      <c r="Q91" s="394"/>
      <c r="R91" s="394"/>
      <c r="S91" s="394"/>
      <c r="T91" s="394"/>
      <c r="U91" s="394"/>
      <c r="V91" s="407"/>
      <c r="W91" s="375"/>
      <c r="X91" s="375"/>
      <c r="Y91" s="375"/>
      <c r="Z91" s="377"/>
      <c r="AA91" s="377"/>
      <c r="AB91" s="203"/>
      <c r="AC91" s="203"/>
      <c r="AD91" s="203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</row>
    <row r="92" spans="1:48" ht="18.75" customHeight="1">
      <c r="B92" s="57"/>
      <c r="C92" s="57" t="s">
        <v>90</v>
      </c>
      <c r="D92" s="57"/>
      <c r="E92" s="57"/>
      <c r="F92" s="57"/>
      <c r="G92" s="57"/>
      <c r="H92" s="57"/>
      <c r="I92" s="379" t="str">
        <f>V60</f>
        <v>직사각형</v>
      </c>
      <c r="J92" s="379"/>
      <c r="K92" s="379"/>
      <c r="L92" s="379"/>
      <c r="M92" s="379"/>
      <c r="N92" s="379"/>
      <c r="O92" s="379"/>
      <c r="P92" s="379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</row>
    <row r="93" spans="1:48" ht="18.75" customHeight="1">
      <c r="B93" s="57"/>
      <c r="C93" s="374" t="s">
        <v>91</v>
      </c>
      <c r="D93" s="374"/>
      <c r="E93" s="374"/>
      <c r="F93" s="374"/>
      <c r="G93" s="374"/>
      <c r="H93" s="374"/>
      <c r="I93" s="175"/>
      <c r="J93" s="175"/>
      <c r="K93" s="57"/>
      <c r="L93" s="57"/>
      <c r="N93" s="379">
        <f>AA60</f>
        <v>-1</v>
      </c>
      <c r="O93" s="379"/>
      <c r="P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</row>
    <row r="94" spans="1:48" ht="18.75" customHeight="1">
      <c r="B94" s="57"/>
      <c r="C94" s="374"/>
      <c r="D94" s="374"/>
      <c r="E94" s="374"/>
      <c r="F94" s="374"/>
      <c r="G94" s="374"/>
      <c r="H94" s="374"/>
      <c r="I94" s="178"/>
      <c r="J94" s="178"/>
      <c r="K94" s="57"/>
      <c r="L94" s="57"/>
      <c r="N94" s="379"/>
      <c r="O94" s="379"/>
      <c r="P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</row>
    <row r="95" spans="1:48" ht="18.75" customHeight="1">
      <c r="B95" s="57"/>
      <c r="C95" s="57" t="s">
        <v>284</v>
      </c>
      <c r="D95" s="57"/>
      <c r="E95" s="57"/>
      <c r="F95" s="57"/>
      <c r="G95" s="57"/>
      <c r="H95" s="57"/>
      <c r="I95" s="57"/>
      <c r="J95" s="57"/>
      <c r="K95" s="180" t="s">
        <v>84</v>
      </c>
      <c r="L95" s="451">
        <f>N93</f>
        <v>-1</v>
      </c>
      <c r="M95" s="451"/>
      <c r="N95" s="175" t="s">
        <v>280</v>
      </c>
      <c r="O95" s="375">
        <f>AH60</f>
        <v>0</v>
      </c>
      <c r="P95" s="375"/>
      <c r="Q95" s="375"/>
      <c r="R95" s="377" t="str">
        <f>Z87</f>
        <v>μm</v>
      </c>
      <c r="S95" s="376"/>
      <c r="T95" s="180" t="s">
        <v>84</v>
      </c>
      <c r="U95" s="74" t="s">
        <v>278</v>
      </c>
      <c r="V95" s="375">
        <f>O95</f>
        <v>0</v>
      </c>
      <c r="W95" s="375"/>
      <c r="X95" s="375"/>
      <c r="Y95" s="377" t="str">
        <f>R95</f>
        <v>μm</v>
      </c>
      <c r="Z95" s="376"/>
      <c r="AA95" s="176"/>
      <c r="AB95" s="57"/>
      <c r="AC95" s="57"/>
      <c r="AD95" s="57"/>
      <c r="AE95" s="57"/>
      <c r="AF95" s="57"/>
      <c r="AP95" s="57"/>
      <c r="AQ95" s="57"/>
      <c r="AR95" s="57"/>
      <c r="AS95" s="57"/>
      <c r="AT95" s="57"/>
      <c r="AU95" s="57"/>
      <c r="AV95" s="57"/>
    </row>
    <row r="96" spans="1:48" ht="18.75" customHeight="1">
      <c r="B96" s="57"/>
      <c r="C96" s="57" t="s">
        <v>92</v>
      </c>
      <c r="D96" s="57"/>
      <c r="E96" s="57"/>
      <c r="F96" s="57"/>
      <c r="G96" s="57"/>
      <c r="H96" s="57"/>
      <c r="I96" s="114" t="s">
        <v>281</v>
      </c>
      <c r="J96" s="114"/>
      <c r="K96" s="114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57"/>
      <c r="AB96" s="57"/>
      <c r="AC96" s="57"/>
      <c r="AD96" s="57"/>
      <c r="AE96" s="57"/>
      <c r="AF96" s="57"/>
    </row>
    <row r="97" spans="1:83" ht="18.75" customHeight="1">
      <c r="B97" s="57"/>
      <c r="C97" s="57"/>
      <c r="D97" s="57"/>
      <c r="E97" s="57"/>
      <c r="F97" s="57"/>
      <c r="G97" s="57"/>
      <c r="H97" s="57"/>
      <c r="I97" s="114"/>
      <c r="J97" s="99"/>
      <c r="K97" s="114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57"/>
      <c r="AB97" s="57"/>
      <c r="AC97" s="57"/>
      <c r="AD97" s="57"/>
      <c r="AE97" s="57"/>
      <c r="AF97" s="57"/>
    </row>
    <row r="98" spans="1:83" s="181" customFormat="1" ht="18.75" customHeight="1">
      <c r="A98" s="173"/>
      <c r="B98" s="58" t="s">
        <v>470</v>
      </c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5"/>
      <c r="AZ98" s="175"/>
      <c r="BA98" s="175"/>
      <c r="BB98" s="175"/>
      <c r="BC98" s="175"/>
      <c r="BD98" s="175"/>
      <c r="BE98" s="175"/>
      <c r="BF98" s="175"/>
      <c r="BG98" s="59"/>
      <c r="BH98" s="59"/>
      <c r="BI98" s="59"/>
      <c r="BJ98" s="59"/>
      <c r="BK98" s="59"/>
      <c r="BL98" s="59"/>
      <c r="BM98" s="59"/>
    </row>
    <row r="99" spans="1:83" s="181" customFormat="1" ht="18.75" customHeight="1">
      <c r="A99" s="250"/>
      <c r="B99" s="58"/>
      <c r="C99" s="463" t="s">
        <v>395</v>
      </c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3"/>
      <c r="O99" s="463"/>
      <c r="P99" s="463"/>
      <c r="Q99" s="463"/>
      <c r="R99" s="463"/>
      <c r="S99" s="463"/>
      <c r="T99" s="463"/>
      <c r="U99" s="463"/>
      <c r="W99" s="60"/>
      <c r="X99" s="175"/>
      <c r="Y99" s="60"/>
      <c r="Z99" s="173"/>
      <c r="AA99" s="175"/>
      <c r="AB99" s="173"/>
      <c r="AC99" s="173"/>
      <c r="AD99" s="182"/>
      <c r="AE99" s="173"/>
      <c r="AF99" s="173"/>
      <c r="AG99" s="175"/>
      <c r="AH99" s="175"/>
      <c r="AI99" s="251"/>
      <c r="AJ99" s="251"/>
      <c r="AK99" s="251"/>
      <c r="AL99" s="250"/>
      <c r="AM99" s="250"/>
      <c r="AN99" s="250"/>
      <c r="AO99" s="250"/>
      <c r="AP99" s="250"/>
      <c r="AQ99" s="250"/>
      <c r="AR99" s="250"/>
      <c r="AS99" s="250"/>
      <c r="AT99" s="250"/>
      <c r="AU99" s="250"/>
      <c r="AV99" s="250"/>
      <c r="AW99" s="250"/>
      <c r="AX99" s="250"/>
      <c r="AY99" s="251"/>
      <c r="AZ99" s="251"/>
      <c r="BA99" s="251"/>
      <c r="BB99" s="251"/>
      <c r="BC99" s="251"/>
      <c r="BD99" s="251"/>
      <c r="BE99" s="251"/>
      <c r="BF99" s="251"/>
      <c r="BG99" s="59"/>
      <c r="BH99" s="59"/>
      <c r="BI99" s="59"/>
      <c r="BJ99" s="59"/>
      <c r="BK99" s="59"/>
      <c r="BL99" s="59"/>
      <c r="BM99" s="59"/>
    </row>
    <row r="100" spans="1:83" s="181" customFormat="1" ht="18.75" customHeight="1">
      <c r="B100" s="173"/>
      <c r="C100" s="178" t="s">
        <v>285</v>
      </c>
      <c r="D100" s="173"/>
      <c r="E100" s="173"/>
      <c r="F100" s="173"/>
      <c r="G100" s="173"/>
      <c r="H100" s="387" t="e">
        <f ca="1">H61*10^6</f>
        <v>#N/A</v>
      </c>
      <c r="I100" s="387"/>
      <c r="J100" s="387"/>
      <c r="K100" s="176" t="s">
        <v>286</v>
      </c>
      <c r="L100" s="173"/>
      <c r="M100" s="173"/>
      <c r="N100" s="176"/>
      <c r="O100" s="176"/>
      <c r="P100" s="176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60"/>
      <c r="AG100" s="175"/>
      <c r="AH100" s="175"/>
      <c r="AI100" s="175"/>
      <c r="AJ100" s="175"/>
      <c r="AK100" s="175"/>
      <c r="AL100" s="175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5"/>
      <c r="BA100" s="175"/>
      <c r="BB100" s="175"/>
      <c r="BC100" s="175"/>
      <c r="BD100" s="175"/>
      <c r="BE100" s="175"/>
      <c r="BF100" s="175"/>
      <c r="BG100" s="175"/>
      <c r="BH100" s="59"/>
      <c r="BI100" s="59"/>
      <c r="BJ100" s="59"/>
      <c r="BK100" s="59"/>
      <c r="BL100" s="59"/>
      <c r="BM100" s="59"/>
    </row>
    <row r="101" spans="1:83" s="181" customFormat="1" ht="18.75" customHeight="1">
      <c r="B101" s="173"/>
      <c r="C101" s="374" t="s">
        <v>287</v>
      </c>
      <c r="D101" s="374"/>
      <c r="E101" s="374"/>
      <c r="F101" s="374"/>
      <c r="G101" s="374"/>
      <c r="H101" s="374"/>
      <c r="I101" s="374"/>
      <c r="J101" s="379" t="s">
        <v>288</v>
      </c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3"/>
      <c r="AL101" s="173"/>
      <c r="AM101" s="173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59"/>
      <c r="BI101" s="59"/>
      <c r="BJ101" s="59"/>
      <c r="BK101" s="59"/>
      <c r="BL101" s="59"/>
      <c r="BM101" s="59"/>
      <c r="BN101" s="59"/>
    </row>
    <row r="102" spans="1:83" s="181" customFormat="1" ht="18.75" customHeight="1">
      <c r="B102" s="173"/>
      <c r="C102" s="374"/>
      <c r="D102" s="374"/>
      <c r="E102" s="374"/>
      <c r="F102" s="374"/>
      <c r="G102" s="374"/>
      <c r="H102" s="374"/>
      <c r="I102" s="374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175"/>
      <c r="Y102" s="175"/>
      <c r="Z102" s="175"/>
      <c r="AA102" s="175"/>
      <c r="AB102" s="175"/>
      <c r="AC102" s="175"/>
      <c r="AD102" s="175"/>
      <c r="AE102" s="175"/>
      <c r="AF102" s="173"/>
      <c r="AG102" s="175"/>
      <c r="AH102" s="175"/>
      <c r="AI102" s="175"/>
      <c r="AJ102" s="175"/>
      <c r="AK102" s="173"/>
      <c r="AL102" s="173"/>
      <c r="AM102" s="173"/>
      <c r="AN102" s="175"/>
      <c r="AO102" s="175"/>
      <c r="AP102" s="175"/>
      <c r="AQ102" s="175"/>
      <c r="AR102" s="175"/>
      <c r="AS102" s="173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59"/>
      <c r="BI102" s="59"/>
      <c r="BJ102" s="59"/>
      <c r="BK102" s="59"/>
      <c r="BL102" s="59"/>
      <c r="BM102" s="59"/>
      <c r="BN102" s="59"/>
    </row>
    <row r="103" spans="1:83" s="181" customFormat="1" ht="18.75" customHeight="1">
      <c r="B103" s="173"/>
      <c r="C103" s="175"/>
      <c r="D103" s="175"/>
      <c r="E103" s="175"/>
      <c r="F103" s="175"/>
      <c r="G103" s="175"/>
      <c r="H103" s="175"/>
      <c r="I103" s="173"/>
      <c r="J103" s="379" t="s">
        <v>289</v>
      </c>
      <c r="K103" s="379"/>
      <c r="L103" s="379"/>
      <c r="M103" s="379"/>
      <c r="N103" s="379"/>
      <c r="O103" s="379"/>
      <c r="P103" s="379"/>
      <c r="Q103" s="379"/>
      <c r="R103" s="379"/>
      <c r="S103" s="379"/>
      <c r="T103" s="379"/>
      <c r="U103" s="379"/>
      <c r="V103" s="379"/>
      <c r="W103" s="379"/>
      <c r="X103" s="379"/>
      <c r="Y103" s="379"/>
      <c r="Z103" s="379"/>
      <c r="AA103" s="398" t="s">
        <v>290</v>
      </c>
      <c r="AB103" s="398"/>
      <c r="AC103" s="398"/>
      <c r="AD103" s="398"/>
      <c r="AE103" s="398"/>
      <c r="AF103" s="378" t="s">
        <v>277</v>
      </c>
      <c r="AG103" s="379" t="s">
        <v>291</v>
      </c>
      <c r="AH103" s="379"/>
      <c r="AI103" s="379"/>
      <c r="AJ103" s="379"/>
      <c r="AK103" s="379"/>
      <c r="AL103" s="379"/>
      <c r="AM103" s="173"/>
      <c r="AN103" s="175"/>
      <c r="AO103" s="175"/>
      <c r="AP103" s="175"/>
      <c r="AQ103" s="175"/>
      <c r="AR103" s="175"/>
      <c r="AS103" s="173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59"/>
      <c r="BI103" s="59"/>
      <c r="BJ103" s="59"/>
      <c r="BK103" s="59"/>
      <c r="BL103" s="59"/>
      <c r="BM103" s="59"/>
      <c r="BN103" s="59"/>
    </row>
    <row r="104" spans="1:83" s="181" customFormat="1" ht="18.75" customHeight="1">
      <c r="B104" s="173"/>
      <c r="C104" s="175"/>
      <c r="D104" s="175"/>
      <c r="E104" s="175"/>
      <c r="F104" s="175"/>
      <c r="G104" s="175"/>
      <c r="H104" s="175"/>
      <c r="I104" s="173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79"/>
      <c r="AA104" s="175"/>
      <c r="AB104" s="173"/>
      <c r="AC104" s="173"/>
      <c r="AD104" s="173"/>
      <c r="AE104" s="173"/>
      <c r="AF104" s="378"/>
      <c r="AG104" s="379"/>
      <c r="AH104" s="379"/>
      <c r="AI104" s="379"/>
      <c r="AJ104" s="379"/>
      <c r="AK104" s="379"/>
      <c r="AL104" s="379"/>
      <c r="AM104" s="173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59"/>
      <c r="BI104" s="59"/>
      <c r="BJ104" s="59"/>
      <c r="BK104" s="59"/>
      <c r="BL104" s="59"/>
      <c r="BM104" s="59"/>
      <c r="BN104" s="59"/>
    </row>
    <row r="105" spans="1:83" s="181" customFormat="1" ht="18.75" customHeight="1">
      <c r="B105" s="173"/>
      <c r="C105" s="175"/>
      <c r="D105" s="175"/>
      <c r="E105" s="175"/>
      <c r="F105" s="175"/>
      <c r="G105" s="175"/>
      <c r="H105" s="251"/>
      <c r="I105" s="175"/>
      <c r="J105" s="173"/>
      <c r="K105" s="178" t="s">
        <v>292</v>
      </c>
      <c r="L105" s="178"/>
      <c r="M105" s="178"/>
      <c r="N105" s="178"/>
      <c r="O105" s="178"/>
      <c r="P105" s="178"/>
      <c r="Q105" s="178"/>
      <c r="R105" s="178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3"/>
      <c r="AH105" s="175"/>
      <c r="AI105" s="175"/>
      <c r="AJ105" s="175"/>
      <c r="AK105" s="173"/>
      <c r="AL105" s="173"/>
      <c r="AM105" s="173"/>
      <c r="AN105" s="173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3"/>
      <c r="BN105" s="59"/>
      <c r="BO105" s="59"/>
      <c r="BP105" s="59"/>
      <c r="BQ105" s="59"/>
      <c r="BR105" s="59"/>
      <c r="BS105" s="59"/>
      <c r="BX105" s="59"/>
      <c r="CE105" s="59"/>
    </row>
    <row r="106" spans="1:83" s="181" customFormat="1" ht="18.75" customHeight="1">
      <c r="B106" s="173"/>
      <c r="C106" s="175"/>
      <c r="D106" s="175"/>
      <c r="E106" s="175"/>
      <c r="F106" s="175"/>
      <c r="G106" s="175"/>
      <c r="H106" s="251"/>
      <c r="I106" s="175"/>
      <c r="J106" s="114"/>
      <c r="K106" s="114"/>
      <c r="L106" s="114"/>
      <c r="M106" s="173"/>
      <c r="N106" s="114"/>
      <c r="O106" s="114"/>
      <c r="P106" s="114"/>
      <c r="Q106" s="114"/>
      <c r="R106" s="114"/>
      <c r="S106" s="114"/>
      <c r="T106" s="114"/>
      <c r="U106" s="114"/>
      <c r="V106" s="173"/>
      <c r="W106" s="183"/>
      <c r="X106" s="183"/>
      <c r="Y106" s="183"/>
      <c r="Z106" s="173"/>
      <c r="AF106" s="379" t="s">
        <v>293</v>
      </c>
      <c r="AG106" s="379"/>
      <c r="AH106" s="379"/>
      <c r="AI106" s="379"/>
      <c r="AJ106" s="379"/>
      <c r="AK106" s="173"/>
      <c r="AL106" s="184"/>
      <c r="AM106" s="184"/>
      <c r="AN106" s="173"/>
      <c r="AO106" s="173"/>
      <c r="AU106" s="173"/>
      <c r="AV106" s="173"/>
      <c r="AW106" s="173"/>
      <c r="AX106" s="173"/>
      <c r="AY106" s="173"/>
      <c r="AZ106" s="175"/>
      <c r="BA106" s="175"/>
      <c r="BB106" s="175"/>
      <c r="BC106" s="175"/>
      <c r="BD106" s="175"/>
      <c r="BE106" s="175"/>
      <c r="BF106" s="175"/>
      <c r="BG106" s="175"/>
      <c r="BH106" s="173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CE106" s="59"/>
    </row>
    <row r="107" spans="1:83" s="181" customFormat="1" ht="18.75" customHeight="1">
      <c r="B107" s="173"/>
      <c r="C107" s="175"/>
      <c r="D107" s="175"/>
      <c r="E107" s="175"/>
      <c r="F107" s="175"/>
      <c r="G107" s="175"/>
      <c r="H107" s="251"/>
      <c r="I107" s="175"/>
      <c r="J107" s="114"/>
      <c r="K107" s="114"/>
      <c r="L107" s="114"/>
      <c r="M107" s="173"/>
      <c r="N107" s="114"/>
      <c r="O107" s="114"/>
      <c r="P107" s="114"/>
      <c r="Q107" s="114"/>
      <c r="R107" s="114"/>
      <c r="S107" s="114"/>
      <c r="T107" s="114"/>
      <c r="U107" s="114"/>
      <c r="V107" s="173"/>
      <c r="W107" s="183"/>
      <c r="X107" s="183"/>
      <c r="Y107" s="183"/>
      <c r="Z107" s="173"/>
      <c r="AF107" s="379"/>
      <c r="AG107" s="379"/>
      <c r="AH107" s="379"/>
      <c r="AI107" s="379"/>
      <c r="AJ107" s="379"/>
      <c r="AK107" s="173"/>
      <c r="AL107" s="184"/>
      <c r="AM107" s="184"/>
      <c r="AN107" s="173"/>
      <c r="AO107" s="173"/>
      <c r="AU107" s="173"/>
      <c r="AV107" s="173"/>
      <c r="AW107" s="173"/>
      <c r="AX107" s="173"/>
      <c r="AY107" s="173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59"/>
      <c r="BJ107" s="59"/>
      <c r="BK107" s="59"/>
      <c r="BL107" s="59"/>
      <c r="BM107" s="59"/>
    </row>
    <row r="108" spans="1:83" s="181" customFormat="1" ht="18.75" customHeight="1">
      <c r="B108" s="173"/>
      <c r="C108" s="175" t="s">
        <v>94</v>
      </c>
      <c r="D108" s="175"/>
      <c r="E108" s="175"/>
      <c r="F108" s="175"/>
      <c r="G108" s="175"/>
      <c r="H108" s="175"/>
      <c r="I108" s="379" t="str">
        <f>V61</f>
        <v>삼각형</v>
      </c>
      <c r="J108" s="379"/>
      <c r="K108" s="379"/>
      <c r="L108" s="379"/>
      <c r="M108" s="379"/>
      <c r="N108" s="379"/>
      <c r="O108" s="379"/>
      <c r="P108" s="379"/>
      <c r="Q108" s="175"/>
      <c r="R108" s="175"/>
      <c r="S108" s="175"/>
      <c r="T108" s="175"/>
      <c r="U108" s="175"/>
      <c r="V108" s="175"/>
      <c r="W108" s="175"/>
      <c r="X108" s="175"/>
      <c r="Y108" s="175"/>
      <c r="Z108" s="173"/>
      <c r="AA108" s="173"/>
      <c r="AB108" s="173"/>
      <c r="AC108" s="173"/>
      <c r="AD108" s="173"/>
      <c r="AE108" s="173"/>
      <c r="AF108" s="173"/>
      <c r="AG108" s="173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59"/>
      <c r="BI108" s="59"/>
      <c r="BJ108" s="59"/>
      <c r="BK108" s="59"/>
      <c r="BL108" s="59"/>
      <c r="BM108" s="59"/>
      <c r="BN108" s="59"/>
    </row>
    <row r="109" spans="1:83" s="181" customFormat="1" ht="18.75" customHeight="1">
      <c r="B109" s="173"/>
      <c r="C109" s="374" t="s">
        <v>96</v>
      </c>
      <c r="D109" s="374"/>
      <c r="E109" s="374"/>
      <c r="F109" s="374"/>
      <c r="G109" s="374"/>
      <c r="H109" s="374"/>
      <c r="I109" s="175"/>
      <c r="J109" s="175"/>
      <c r="K109" s="175"/>
      <c r="L109" s="175"/>
      <c r="M109" s="175"/>
      <c r="N109" s="175"/>
      <c r="O109" s="175"/>
      <c r="R109" s="386" t="e">
        <f>-H62</f>
        <v>#VALUE!</v>
      </c>
      <c r="S109" s="386"/>
      <c r="T109" s="374" t="s">
        <v>294</v>
      </c>
      <c r="U109" s="374"/>
      <c r="V109" s="396">
        <f>Calcu!N36</f>
        <v>0</v>
      </c>
      <c r="W109" s="396"/>
      <c r="X109" s="396"/>
      <c r="Y109" s="374" t="s">
        <v>296</v>
      </c>
      <c r="Z109" s="374"/>
      <c r="AA109" s="378" t="s">
        <v>277</v>
      </c>
      <c r="AB109" s="376" t="e">
        <f>R109*V109</f>
        <v>#VALUE!</v>
      </c>
      <c r="AC109" s="376"/>
      <c r="AD109" s="376"/>
      <c r="AE109" s="376"/>
      <c r="AF109" s="374" t="s">
        <v>297</v>
      </c>
      <c r="AG109" s="374"/>
      <c r="AH109" s="374"/>
      <c r="AI109" s="374"/>
      <c r="AJ109" s="374"/>
      <c r="AK109" s="374"/>
      <c r="AL109" s="374"/>
      <c r="AM109" s="175"/>
      <c r="AN109" s="175"/>
      <c r="AO109" s="175"/>
      <c r="AP109" s="175"/>
      <c r="AQ109" s="175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59"/>
      <c r="BI109" s="59"/>
      <c r="BJ109" s="59"/>
      <c r="BK109" s="59"/>
      <c r="BL109" s="59"/>
      <c r="BM109" s="59"/>
    </row>
    <row r="110" spans="1:83" s="181" customFormat="1" ht="18.75" customHeight="1">
      <c r="B110" s="173"/>
      <c r="C110" s="374"/>
      <c r="D110" s="374"/>
      <c r="E110" s="374"/>
      <c r="F110" s="374"/>
      <c r="G110" s="374"/>
      <c r="H110" s="374"/>
      <c r="I110" s="175"/>
      <c r="J110" s="175"/>
      <c r="K110" s="175"/>
      <c r="L110" s="175"/>
      <c r="M110" s="175"/>
      <c r="N110" s="175"/>
      <c r="O110" s="175"/>
      <c r="R110" s="386"/>
      <c r="S110" s="386"/>
      <c r="T110" s="374"/>
      <c r="U110" s="374"/>
      <c r="V110" s="396"/>
      <c r="W110" s="396"/>
      <c r="X110" s="396"/>
      <c r="Y110" s="374"/>
      <c r="Z110" s="374"/>
      <c r="AA110" s="378"/>
      <c r="AB110" s="376"/>
      <c r="AC110" s="376"/>
      <c r="AD110" s="376"/>
      <c r="AE110" s="376"/>
      <c r="AF110" s="374"/>
      <c r="AG110" s="374"/>
      <c r="AH110" s="374"/>
      <c r="AI110" s="374"/>
      <c r="AJ110" s="374"/>
      <c r="AK110" s="374"/>
      <c r="AL110" s="374"/>
      <c r="AM110" s="175"/>
      <c r="AN110" s="175"/>
      <c r="AO110" s="175"/>
      <c r="AP110" s="175"/>
      <c r="AQ110" s="175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59"/>
      <c r="BI110" s="59"/>
      <c r="BJ110" s="59"/>
      <c r="BK110" s="59"/>
      <c r="BL110" s="59"/>
      <c r="BM110" s="59"/>
    </row>
    <row r="111" spans="1:83" s="181" customFormat="1" ht="18.75" customHeight="1">
      <c r="B111" s="173"/>
      <c r="C111" s="175" t="s">
        <v>298</v>
      </c>
      <c r="D111" s="175"/>
      <c r="E111" s="175"/>
      <c r="F111" s="175"/>
      <c r="G111" s="175"/>
      <c r="H111" s="175"/>
      <c r="I111" s="175"/>
      <c r="J111" s="173"/>
      <c r="K111" s="57" t="s">
        <v>299</v>
      </c>
      <c r="L111" s="386" t="e">
        <f>AB109</f>
        <v>#VALUE!</v>
      </c>
      <c r="M111" s="386"/>
      <c r="N111" s="386"/>
      <c r="O111" s="386"/>
      <c r="P111" s="184" t="s">
        <v>300</v>
      </c>
      <c r="Q111" s="173"/>
      <c r="R111" s="173"/>
      <c r="S111" s="173"/>
      <c r="T111" s="173"/>
      <c r="U111" s="173"/>
      <c r="V111" s="173"/>
      <c r="W111" s="173"/>
      <c r="X111" s="173"/>
      <c r="Y111" s="57" t="s">
        <v>301</v>
      </c>
      <c r="Z111" s="173" t="s">
        <v>277</v>
      </c>
      <c r="AA111" s="375" t="e">
        <f>ABS(L111*O61)</f>
        <v>#VALUE!</v>
      </c>
      <c r="AB111" s="375"/>
      <c r="AC111" s="375"/>
      <c r="AD111" s="178" t="s">
        <v>302</v>
      </c>
      <c r="AE111" s="178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85"/>
      <c r="AV111" s="184"/>
      <c r="AW111" s="175"/>
      <c r="AX111" s="173"/>
    </row>
    <row r="112" spans="1:83" s="181" customFormat="1" ht="18.75" customHeight="1">
      <c r="B112" s="173"/>
      <c r="C112" s="243" t="s">
        <v>97</v>
      </c>
      <c r="D112" s="243"/>
      <c r="E112" s="243"/>
      <c r="F112" s="243"/>
      <c r="G112" s="243"/>
      <c r="H112" s="243" t="s">
        <v>458</v>
      </c>
      <c r="J112" s="175"/>
      <c r="K112" s="175"/>
      <c r="L112" s="175"/>
      <c r="M112" s="175"/>
      <c r="N112" s="175"/>
      <c r="O112" s="175"/>
      <c r="P112" s="175"/>
      <c r="Q112" s="175"/>
      <c r="R112" s="184"/>
      <c r="S112" s="175"/>
      <c r="T112" s="175"/>
      <c r="U112" s="175"/>
      <c r="W112" s="57"/>
      <c r="X112" s="175"/>
      <c r="Y112" s="175"/>
      <c r="Z112" s="175"/>
      <c r="AA112" s="175"/>
      <c r="AB112" s="175"/>
      <c r="AC112" s="175"/>
      <c r="AD112" s="175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</row>
    <row r="113" spans="2:68" s="181" customFormat="1" ht="18.75" customHeight="1">
      <c r="B113" s="241"/>
      <c r="C113" s="243"/>
      <c r="D113" s="243"/>
      <c r="E113" s="243"/>
      <c r="F113" s="243"/>
      <c r="G113" s="243"/>
      <c r="H113" s="243"/>
      <c r="J113" s="243"/>
      <c r="K113" s="243"/>
      <c r="L113" s="243"/>
      <c r="M113" s="243"/>
      <c r="N113" s="243"/>
      <c r="O113" s="243"/>
      <c r="P113" s="243"/>
      <c r="Q113" s="243"/>
      <c r="R113" s="184"/>
      <c r="S113" s="243"/>
      <c r="T113" s="243"/>
      <c r="U113" s="243"/>
      <c r="W113" s="57"/>
      <c r="X113" s="243"/>
      <c r="Y113" s="243"/>
      <c r="Z113" s="243"/>
      <c r="AA113" s="243"/>
      <c r="AB113" s="243"/>
      <c r="AC113" s="243"/>
      <c r="AD113" s="243"/>
      <c r="AE113" s="241"/>
      <c r="AF113" s="241"/>
      <c r="AG113" s="241"/>
      <c r="AH113" s="241"/>
      <c r="AI113" s="241"/>
      <c r="AJ113" s="241"/>
      <c r="AK113" s="241"/>
      <c r="AL113" s="241"/>
      <c r="AM113" s="241"/>
      <c r="AN113" s="241"/>
      <c r="AO113" s="241"/>
      <c r="AP113" s="241"/>
      <c r="AQ113" s="241"/>
      <c r="AR113" s="241"/>
      <c r="AS113" s="241"/>
      <c r="AT113" s="241"/>
      <c r="AU113" s="241"/>
      <c r="AV113" s="241"/>
      <c r="AW113" s="241"/>
      <c r="AX113" s="241"/>
    </row>
    <row r="114" spans="2:68" s="181" customFormat="1" ht="18.75" customHeight="1">
      <c r="B114" s="241"/>
      <c r="C114" s="243"/>
      <c r="D114" s="243"/>
      <c r="E114" s="243"/>
      <c r="F114" s="243"/>
      <c r="G114" s="243"/>
      <c r="H114" s="243"/>
      <c r="J114" s="243"/>
      <c r="K114" s="243"/>
      <c r="L114" s="243"/>
      <c r="M114" s="243"/>
      <c r="N114" s="243"/>
      <c r="O114" s="243"/>
      <c r="P114" s="243"/>
      <c r="Q114" s="243"/>
      <c r="R114" s="184"/>
      <c r="S114" s="243"/>
      <c r="T114" s="243"/>
      <c r="U114" s="243"/>
      <c r="W114" s="57"/>
      <c r="X114" s="243"/>
      <c r="Y114" s="243"/>
      <c r="Z114" s="243"/>
      <c r="AA114" s="243"/>
      <c r="AB114" s="243"/>
      <c r="AC114" s="243"/>
      <c r="AD114" s="243"/>
      <c r="AE114" s="241"/>
      <c r="AF114" s="241"/>
      <c r="AG114" s="241"/>
      <c r="AH114" s="241"/>
      <c r="AI114" s="241"/>
      <c r="AJ114" s="241"/>
      <c r="AK114" s="241"/>
      <c r="AL114" s="241"/>
      <c r="AM114" s="241"/>
      <c r="AN114" s="241"/>
      <c r="AO114" s="241"/>
      <c r="AP114" s="241"/>
      <c r="AQ114" s="241"/>
      <c r="AR114" s="241"/>
      <c r="AS114" s="241"/>
      <c r="AT114" s="241"/>
      <c r="AU114" s="241"/>
      <c r="AV114" s="241"/>
      <c r="AW114" s="241"/>
      <c r="AX114" s="241"/>
    </row>
    <row r="115" spans="2:68" s="181" customFormat="1" ht="18.75" customHeight="1">
      <c r="B115" s="241"/>
      <c r="C115" s="243"/>
      <c r="D115" s="243"/>
      <c r="E115" s="243"/>
      <c r="F115" s="243"/>
      <c r="G115" s="243"/>
      <c r="H115" s="243"/>
      <c r="J115" s="243"/>
      <c r="K115" s="243"/>
      <c r="L115" s="243"/>
      <c r="M115" s="243"/>
      <c r="N115" s="243"/>
      <c r="O115" s="243"/>
      <c r="P115" s="243"/>
      <c r="Q115" s="243"/>
      <c r="R115" s="184"/>
      <c r="S115" s="243"/>
      <c r="T115" s="243"/>
      <c r="U115" s="243"/>
      <c r="W115" s="57"/>
      <c r="X115" s="243"/>
      <c r="Y115" s="243"/>
      <c r="Z115" s="243"/>
      <c r="AA115" s="243"/>
      <c r="AB115" s="243"/>
      <c r="AC115" s="243"/>
      <c r="AD115" s="243"/>
      <c r="AE115" s="241"/>
      <c r="AF115" s="241"/>
      <c r="AG115" s="241"/>
      <c r="AH115" s="241"/>
      <c r="AI115" s="241"/>
      <c r="AJ115" s="241"/>
      <c r="AK115" s="241"/>
      <c r="AL115" s="241"/>
      <c r="AM115" s="241"/>
      <c r="AN115" s="241"/>
      <c r="AO115" s="241"/>
      <c r="AP115" s="241"/>
      <c r="AQ115" s="241"/>
      <c r="AR115" s="241"/>
      <c r="AS115" s="241"/>
      <c r="AT115" s="241"/>
      <c r="AU115" s="241"/>
      <c r="AV115" s="241"/>
      <c r="AW115" s="241"/>
      <c r="AX115" s="241"/>
    </row>
    <row r="116" spans="2:68" s="181" customFormat="1" ht="18.75" customHeight="1">
      <c r="B116" s="241"/>
      <c r="C116" s="243"/>
      <c r="D116" s="243"/>
      <c r="E116" s="243"/>
      <c r="F116" s="243"/>
      <c r="G116" s="243"/>
      <c r="H116" s="243"/>
      <c r="J116" s="243"/>
      <c r="K116" s="243"/>
      <c r="L116" s="243"/>
      <c r="M116" s="243"/>
      <c r="N116" s="243"/>
      <c r="O116" s="243"/>
      <c r="P116" s="243"/>
      <c r="Q116" s="243"/>
      <c r="R116" s="184"/>
      <c r="S116" s="243"/>
      <c r="T116" s="243"/>
      <c r="U116" s="243"/>
      <c r="W116" s="57"/>
      <c r="X116" s="243"/>
      <c r="Y116" s="243"/>
      <c r="Z116" s="243"/>
      <c r="AA116" s="243"/>
      <c r="AB116" s="243"/>
      <c r="AC116" s="243"/>
      <c r="AD116" s="243"/>
      <c r="AE116" s="241"/>
      <c r="AF116" s="241"/>
      <c r="AG116" s="241"/>
      <c r="AH116" s="241"/>
      <c r="AI116" s="241"/>
      <c r="AJ116" s="241"/>
      <c r="AK116" s="241"/>
      <c r="AL116" s="241"/>
      <c r="AM116" s="241"/>
      <c r="AN116" s="241"/>
      <c r="AO116" s="241"/>
      <c r="AP116" s="241"/>
      <c r="AQ116" s="241"/>
      <c r="AR116" s="241"/>
      <c r="AS116" s="241"/>
      <c r="AT116" s="241"/>
      <c r="AU116" s="241"/>
      <c r="AV116" s="241"/>
      <c r="AW116" s="241"/>
      <c r="AX116" s="241"/>
    </row>
    <row r="117" spans="2:68" s="181" customFormat="1" ht="18.75" customHeight="1">
      <c r="B117" s="173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84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5"/>
      <c r="BI117" s="175"/>
      <c r="BJ117" s="175"/>
      <c r="BK117" s="175"/>
    </row>
    <row r="118" spans="2:68" s="181" customFormat="1" ht="18.75" customHeight="1">
      <c r="B118" s="58" t="s">
        <v>471</v>
      </c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3"/>
      <c r="AI118" s="173"/>
      <c r="AJ118" s="173"/>
      <c r="AK118" s="173"/>
      <c r="AL118" s="173"/>
      <c r="AM118" s="173"/>
      <c r="AN118" s="173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59"/>
      <c r="BI118" s="59"/>
      <c r="BJ118" s="59"/>
      <c r="BK118" s="59"/>
      <c r="BL118" s="59"/>
      <c r="BM118" s="59"/>
      <c r="BN118" s="59"/>
    </row>
    <row r="119" spans="2:68" s="181" customFormat="1" ht="18.75" customHeight="1">
      <c r="B119" s="58"/>
      <c r="C119" s="251" t="s">
        <v>479</v>
      </c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  <c r="AG119" s="251"/>
      <c r="AH119" s="251"/>
      <c r="AI119" s="251"/>
      <c r="AJ119" s="251"/>
      <c r="AK119" s="251"/>
      <c r="AL119" s="251"/>
      <c r="AM119" s="250"/>
      <c r="AN119" s="250"/>
      <c r="AO119" s="251"/>
      <c r="AP119" s="251"/>
      <c r="AQ119" s="251"/>
      <c r="AR119" s="251"/>
      <c r="AS119" s="251"/>
      <c r="AT119" s="251"/>
      <c r="AU119" s="251"/>
      <c r="AV119" s="251"/>
      <c r="AW119" s="251"/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59"/>
      <c r="BI119" s="59"/>
      <c r="BJ119" s="59"/>
      <c r="BK119" s="59"/>
      <c r="BL119" s="59"/>
      <c r="BM119" s="59"/>
      <c r="BN119" s="59"/>
    </row>
    <row r="120" spans="2:68" s="181" customFormat="1" ht="18.75" customHeight="1">
      <c r="B120" s="58"/>
      <c r="C120" s="251"/>
      <c r="D120" s="251" t="str">
        <f>"이때 온도 드리프트가 "&amp;N122&amp;" ℃정도 라고 추정하면"</f>
        <v>이때 온도 드리프트가 0.5 ℃정도 라고 추정하면</v>
      </c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  <c r="AG120" s="251"/>
      <c r="AH120" s="251"/>
      <c r="AI120" s="251"/>
      <c r="AJ120" s="251"/>
      <c r="AK120" s="251"/>
      <c r="AL120" s="251"/>
      <c r="AM120" s="250"/>
      <c r="AN120" s="250"/>
      <c r="AO120" s="251"/>
      <c r="AP120" s="251"/>
      <c r="AQ120" s="251"/>
      <c r="AR120" s="251"/>
      <c r="AS120" s="251"/>
      <c r="AT120" s="251"/>
      <c r="AU120" s="251"/>
      <c r="AV120" s="251"/>
      <c r="AW120" s="251"/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59"/>
      <c r="BI120" s="59"/>
      <c r="BJ120" s="59"/>
      <c r="BK120" s="59"/>
      <c r="BL120" s="59"/>
      <c r="BM120" s="59"/>
      <c r="BN120" s="59"/>
    </row>
    <row r="121" spans="2:68" s="181" customFormat="1" ht="18.75" customHeight="1">
      <c r="B121" s="173"/>
      <c r="C121" s="178" t="s">
        <v>98</v>
      </c>
      <c r="D121" s="173"/>
      <c r="E121" s="173"/>
      <c r="F121" s="173"/>
      <c r="G121" s="173"/>
      <c r="H121" s="397" t="str">
        <f>H62</f>
        <v/>
      </c>
      <c r="I121" s="397"/>
      <c r="J121" s="397"/>
      <c r="K121" s="397"/>
      <c r="L121" s="397"/>
      <c r="M121" s="397"/>
      <c r="N121" s="397"/>
      <c r="O121" s="397"/>
      <c r="P121" s="176"/>
      <c r="Q121" s="175"/>
      <c r="R121" s="175"/>
      <c r="S121" s="175"/>
      <c r="T121" s="175"/>
      <c r="U121" s="175"/>
      <c r="V121" s="175"/>
      <c r="W121" s="173"/>
      <c r="X121" s="173"/>
      <c r="Y121" s="173"/>
      <c r="Z121" s="175"/>
      <c r="AA121" s="175"/>
      <c r="AB121" s="175"/>
      <c r="AC121" s="175"/>
      <c r="AD121" s="175"/>
      <c r="AE121" s="175"/>
      <c r="AF121" s="175"/>
      <c r="AG121" s="175"/>
      <c r="AH121" s="173"/>
      <c r="AI121" s="173"/>
      <c r="AJ121" s="173"/>
      <c r="AK121" s="173"/>
      <c r="AL121" s="173"/>
      <c r="AM121" s="173"/>
      <c r="AN121" s="173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59"/>
      <c r="BI121" s="59"/>
      <c r="BJ121" s="59"/>
      <c r="BK121" s="59"/>
      <c r="BL121" s="59"/>
      <c r="BM121" s="59"/>
    </row>
    <row r="122" spans="2:68" s="181" customFormat="1" ht="18.75" customHeight="1">
      <c r="B122" s="173"/>
      <c r="C122" s="374" t="s">
        <v>454</v>
      </c>
      <c r="D122" s="374"/>
      <c r="E122" s="374"/>
      <c r="F122" s="374"/>
      <c r="G122" s="374"/>
      <c r="H122" s="374"/>
      <c r="I122" s="374"/>
      <c r="J122" s="388" t="s">
        <v>480</v>
      </c>
      <c r="K122" s="388"/>
      <c r="L122" s="388"/>
      <c r="M122" s="378" t="s">
        <v>277</v>
      </c>
      <c r="N122" s="383">
        <f>Calcu!G37</f>
        <v>0.5</v>
      </c>
      <c r="O122" s="383"/>
      <c r="P122" s="255" t="s">
        <v>481</v>
      </c>
      <c r="Q122" s="255"/>
      <c r="R122" s="378" t="s">
        <v>277</v>
      </c>
      <c r="S122" s="462">
        <f>N122/SQRT(3)</f>
        <v>0.28867513459481292</v>
      </c>
      <c r="T122" s="462"/>
      <c r="U122" s="462"/>
      <c r="V122" s="376" t="str">
        <f>P122</f>
        <v>℃</v>
      </c>
      <c r="W122" s="376"/>
      <c r="X122" s="253"/>
      <c r="Y122" s="175"/>
      <c r="Z122" s="175"/>
      <c r="AA122" s="173"/>
      <c r="AB122" s="173"/>
      <c r="AC122" s="173"/>
      <c r="AD122" s="173"/>
      <c r="BC122" s="175"/>
      <c r="BD122" s="175"/>
      <c r="BE122" s="175"/>
      <c r="BF122" s="175"/>
      <c r="BG122" s="175"/>
      <c r="BH122" s="175"/>
      <c r="BI122" s="175"/>
      <c r="BJ122" s="59"/>
      <c r="BK122" s="59"/>
      <c r="BL122" s="59"/>
      <c r="BM122" s="59"/>
      <c r="BN122" s="59"/>
      <c r="BO122" s="59"/>
      <c r="BP122" s="59"/>
    </row>
    <row r="123" spans="2:68" s="181" customFormat="1" ht="18.75" customHeight="1">
      <c r="B123" s="173"/>
      <c r="C123" s="374"/>
      <c r="D123" s="374"/>
      <c r="E123" s="374"/>
      <c r="F123" s="374"/>
      <c r="G123" s="374"/>
      <c r="H123" s="374"/>
      <c r="I123" s="374"/>
      <c r="J123" s="388"/>
      <c r="K123" s="388"/>
      <c r="L123" s="388"/>
      <c r="M123" s="378"/>
      <c r="N123" s="188"/>
      <c r="O123" s="188"/>
      <c r="P123" s="250"/>
      <c r="Q123" s="250"/>
      <c r="R123" s="378"/>
      <c r="S123" s="462"/>
      <c r="T123" s="462"/>
      <c r="U123" s="462"/>
      <c r="V123" s="376"/>
      <c r="W123" s="376"/>
      <c r="X123" s="253"/>
      <c r="Y123" s="175"/>
      <c r="Z123" s="175"/>
      <c r="AA123" s="173"/>
      <c r="AB123" s="173"/>
      <c r="AC123" s="173"/>
      <c r="AD123" s="173"/>
      <c r="BC123" s="175"/>
      <c r="BD123" s="175"/>
      <c r="BE123" s="175"/>
      <c r="BF123" s="175"/>
      <c r="BG123" s="175"/>
      <c r="BH123" s="175"/>
      <c r="BI123" s="175"/>
      <c r="BJ123" s="59"/>
      <c r="BK123" s="59"/>
      <c r="BL123" s="59"/>
      <c r="BM123" s="59"/>
      <c r="BN123" s="59"/>
      <c r="BO123" s="59"/>
      <c r="BP123" s="59"/>
    </row>
    <row r="124" spans="2:68" s="181" customFormat="1" ht="18.75" customHeight="1">
      <c r="B124" s="173"/>
      <c r="C124" s="175" t="s">
        <v>455</v>
      </c>
      <c r="D124" s="175"/>
      <c r="E124" s="175"/>
      <c r="F124" s="175"/>
      <c r="G124" s="175"/>
      <c r="H124" s="175"/>
      <c r="I124" s="379" t="str">
        <f>V62</f>
        <v>직사각형</v>
      </c>
      <c r="J124" s="379"/>
      <c r="K124" s="379"/>
      <c r="L124" s="379"/>
      <c r="M124" s="379"/>
      <c r="N124" s="379"/>
      <c r="O124" s="379"/>
      <c r="P124" s="379"/>
      <c r="Q124" s="175"/>
      <c r="R124" s="175"/>
      <c r="S124" s="175"/>
      <c r="T124" s="175"/>
      <c r="U124" s="175"/>
      <c r="V124" s="175"/>
      <c r="W124" s="175"/>
      <c r="X124" s="175"/>
      <c r="Y124" s="175"/>
      <c r="Z124" s="173"/>
      <c r="AA124" s="173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59"/>
      <c r="BI124" s="59"/>
      <c r="BJ124" s="59"/>
      <c r="BK124" s="59"/>
      <c r="BL124" s="59"/>
    </row>
    <row r="125" spans="2:68" s="181" customFormat="1" ht="18.75" customHeight="1">
      <c r="B125" s="173"/>
      <c r="C125" s="374" t="s">
        <v>456</v>
      </c>
      <c r="D125" s="374"/>
      <c r="E125" s="374"/>
      <c r="F125" s="374"/>
      <c r="G125" s="374"/>
      <c r="H125" s="374"/>
      <c r="I125" s="175"/>
      <c r="J125" s="175"/>
      <c r="K125" s="175"/>
      <c r="L125" s="175"/>
      <c r="M125" s="175"/>
      <c r="N125" s="175"/>
      <c r="O125" s="173"/>
      <c r="R125" s="374" t="e">
        <f ca="1">-H61*10^6</f>
        <v>#N/A</v>
      </c>
      <c r="S125" s="374"/>
      <c r="T125" s="374"/>
      <c r="U125" s="374" t="s">
        <v>286</v>
      </c>
      <c r="V125" s="374"/>
      <c r="W125" s="374"/>
      <c r="X125" s="374"/>
      <c r="Y125" s="378" t="s">
        <v>315</v>
      </c>
      <c r="Z125" s="396">
        <f>Calcu!N37</f>
        <v>0</v>
      </c>
      <c r="AA125" s="396"/>
      <c r="AB125" s="396"/>
      <c r="AC125" s="374" t="s">
        <v>296</v>
      </c>
      <c r="AD125" s="374"/>
      <c r="AE125" s="378" t="s">
        <v>316</v>
      </c>
      <c r="AF125" s="386" t="e">
        <f ca="1">R125*10^-6*Z125</f>
        <v>#N/A</v>
      </c>
      <c r="AG125" s="386"/>
      <c r="AH125" s="386"/>
      <c r="AI125" s="374" t="s">
        <v>192</v>
      </c>
      <c r="AJ125" s="374"/>
      <c r="AK125" s="374"/>
      <c r="AL125" s="374"/>
      <c r="AM125" s="374"/>
      <c r="AN125" s="374"/>
      <c r="AO125" s="374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3"/>
      <c r="BD125" s="173"/>
      <c r="BE125" s="173"/>
      <c r="BF125" s="173"/>
      <c r="BG125" s="173"/>
      <c r="BH125" s="173"/>
    </row>
    <row r="126" spans="2:68" s="181" customFormat="1" ht="18.75" customHeight="1">
      <c r="B126" s="173"/>
      <c r="C126" s="374"/>
      <c r="D126" s="374"/>
      <c r="E126" s="374"/>
      <c r="F126" s="374"/>
      <c r="G126" s="374"/>
      <c r="H126" s="374"/>
      <c r="I126" s="175"/>
      <c r="J126" s="175"/>
      <c r="K126" s="175"/>
      <c r="L126" s="175"/>
      <c r="M126" s="175"/>
      <c r="N126" s="175"/>
      <c r="O126" s="173"/>
      <c r="R126" s="374"/>
      <c r="S126" s="374"/>
      <c r="T126" s="374"/>
      <c r="U126" s="374"/>
      <c r="V126" s="374"/>
      <c r="W126" s="374"/>
      <c r="X126" s="374"/>
      <c r="Y126" s="378"/>
      <c r="Z126" s="396"/>
      <c r="AA126" s="396"/>
      <c r="AB126" s="396"/>
      <c r="AC126" s="374"/>
      <c r="AD126" s="374"/>
      <c r="AE126" s="378"/>
      <c r="AF126" s="386"/>
      <c r="AG126" s="386"/>
      <c r="AH126" s="386"/>
      <c r="AI126" s="374"/>
      <c r="AJ126" s="374"/>
      <c r="AK126" s="374"/>
      <c r="AL126" s="374"/>
      <c r="AM126" s="374"/>
      <c r="AN126" s="374"/>
      <c r="AO126" s="374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3"/>
      <c r="BD126" s="173"/>
      <c r="BE126" s="173"/>
      <c r="BF126" s="173"/>
      <c r="BG126" s="173"/>
      <c r="BH126" s="173"/>
    </row>
    <row r="127" spans="2:68" s="181" customFormat="1" ht="18.75" customHeight="1">
      <c r="B127" s="173"/>
      <c r="C127" s="175" t="s">
        <v>309</v>
      </c>
      <c r="D127" s="175"/>
      <c r="E127" s="175"/>
      <c r="F127" s="175"/>
      <c r="G127" s="175"/>
      <c r="H127" s="175"/>
      <c r="I127" s="175"/>
      <c r="J127" s="173"/>
      <c r="K127" s="57" t="s">
        <v>318</v>
      </c>
      <c r="L127" s="386" t="e">
        <f ca="1">AF125</f>
        <v>#N/A</v>
      </c>
      <c r="M127" s="386"/>
      <c r="N127" s="386"/>
      <c r="O127" s="184" t="s">
        <v>192</v>
      </c>
      <c r="P127" s="173"/>
      <c r="Q127" s="173"/>
      <c r="R127" s="173" t="s">
        <v>319</v>
      </c>
      <c r="S127" s="395">
        <f>S122</f>
        <v>0.28867513459481292</v>
      </c>
      <c r="T127" s="395"/>
      <c r="U127" s="395"/>
      <c r="V127" s="395"/>
      <c r="W127" s="57" t="s">
        <v>299</v>
      </c>
      <c r="X127" s="173" t="s">
        <v>277</v>
      </c>
      <c r="Y127" s="375" t="e">
        <f ca="1">ABS(L127*S127)</f>
        <v>#N/A</v>
      </c>
      <c r="Z127" s="375"/>
      <c r="AA127" s="375"/>
      <c r="AB127" s="178" t="s">
        <v>144</v>
      </c>
      <c r="AC127" s="178"/>
      <c r="AD127" s="173"/>
      <c r="AE127" s="173"/>
      <c r="AF127" s="189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90"/>
      <c r="AQ127" s="190"/>
      <c r="AR127" s="190"/>
      <c r="AS127" s="175"/>
      <c r="AT127" s="175"/>
      <c r="AU127" s="175"/>
      <c r="AV127" s="191"/>
      <c r="AW127" s="191"/>
      <c r="AX127" s="191"/>
      <c r="AY127" s="191"/>
      <c r="AZ127" s="191"/>
      <c r="BA127" s="191"/>
      <c r="BB127" s="173"/>
      <c r="BC127" s="173"/>
      <c r="BD127" s="173"/>
      <c r="BE127" s="173"/>
      <c r="BF127" s="173"/>
      <c r="BG127" s="173"/>
    </row>
    <row r="128" spans="2:68" s="181" customFormat="1" ht="18.75" customHeight="1">
      <c r="B128" s="173"/>
      <c r="C128" s="374" t="s">
        <v>99</v>
      </c>
      <c r="D128" s="374"/>
      <c r="E128" s="374"/>
      <c r="F128" s="374"/>
      <c r="G128" s="374"/>
      <c r="H128" s="247"/>
      <c r="J128" s="247"/>
      <c r="K128" s="247"/>
      <c r="L128" s="247"/>
      <c r="M128" s="247"/>
      <c r="N128" s="247"/>
      <c r="O128" s="247"/>
      <c r="P128" s="247"/>
      <c r="Q128" s="247"/>
      <c r="R128" s="184"/>
      <c r="S128" s="247"/>
      <c r="T128" s="247"/>
      <c r="U128" s="247"/>
      <c r="W128" s="57" t="s">
        <v>466</v>
      </c>
      <c r="X128" s="247"/>
      <c r="Y128" s="247"/>
      <c r="Z128" s="247"/>
      <c r="AA128" s="247"/>
      <c r="AB128" s="247"/>
      <c r="AC128" s="247"/>
      <c r="AD128" s="175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5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</row>
    <row r="129" spans="2:76" s="181" customFormat="1" ht="18.75" customHeight="1">
      <c r="B129" s="173"/>
      <c r="C129" s="374"/>
      <c r="D129" s="374"/>
      <c r="E129" s="374"/>
      <c r="F129" s="374"/>
      <c r="G129" s="374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184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  <c r="AC129" s="246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</row>
    <row r="130" spans="2:76" s="181" customFormat="1" ht="18.75" customHeight="1">
      <c r="B130" s="173"/>
      <c r="C130" s="175"/>
      <c r="D130" s="175"/>
      <c r="E130" s="175"/>
      <c r="F130" s="175"/>
      <c r="G130" s="173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</row>
    <row r="131" spans="2:76" s="181" customFormat="1" ht="18.75" customHeight="1">
      <c r="B131" s="58" t="s">
        <v>472</v>
      </c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3"/>
      <c r="BC131" s="173"/>
      <c r="BD131" s="173"/>
      <c r="BE131" s="173"/>
      <c r="BF131" s="173"/>
      <c r="BG131" s="173"/>
    </row>
    <row r="132" spans="2:76" s="181" customFormat="1" ht="18.75" customHeight="1">
      <c r="B132" s="58"/>
      <c r="C132" s="175" t="s">
        <v>396</v>
      </c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3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3"/>
      <c r="AE132" s="173"/>
      <c r="AF132" s="173"/>
      <c r="AG132" s="173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251"/>
      <c r="AT132" s="251"/>
      <c r="AU132" s="251"/>
      <c r="AV132" s="251"/>
      <c r="AW132" s="251"/>
      <c r="AX132" s="251"/>
      <c r="AY132" s="251"/>
      <c r="AZ132" s="251"/>
      <c r="BA132" s="251"/>
      <c r="BB132" s="250"/>
      <c r="BC132" s="250"/>
      <c r="BD132" s="250"/>
      <c r="BE132" s="250"/>
      <c r="BF132" s="250"/>
      <c r="BG132" s="250"/>
    </row>
    <row r="133" spans="2:76" s="181" customFormat="1" ht="18.75" customHeight="1">
      <c r="B133" s="173"/>
      <c r="C133" s="178" t="s">
        <v>311</v>
      </c>
      <c r="D133" s="173"/>
      <c r="E133" s="173"/>
      <c r="F133" s="173"/>
      <c r="G133" s="173"/>
      <c r="H133" s="387" t="e">
        <f ca="1">H63*10^6</f>
        <v>#N/A</v>
      </c>
      <c r="I133" s="387"/>
      <c r="J133" s="387"/>
      <c r="K133" s="176" t="s">
        <v>303</v>
      </c>
      <c r="L133" s="176"/>
      <c r="M133" s="176"/>
      <c r="N133" s="176"/>
      <c r="O133" s="176"/>
      <c r="P133" s="176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</row>
    <row r="134" spans="2:76" s="181" customFormat="1" ht="18.75" customHeight="1">
      <c r="B134" s="173"/>
      <c r="C134" s="175" t="s">
        <v>312</v>
      </c>
      <c r="D134" s="175"/>
      <c r="E134" s="175"/>
      <c r="F134" s="175"/>
      <c r="G134" s="175"/>
      <c r="H134" s="175"/>
      <c r="I134" s="173"/>
      <c r="J134" s="175" t="s">
        <v>304</v>
      </c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3"/>
      <c r="V134" s="173"/>
      <c r="W134" s="60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3"/>
      <c r="AM134" s="173"/>
      <c r="AN134" s="173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59"/>
      <c r="BI134" s="59"/>
      <c r="BJ134" s="59"/>
      <c r="BK134" s="59"/>
      <c r="BL134" s="59"/>
      <c r="BM134" s="59"/>
    </row>
    <row r="135" spans="2:76" s="181" customFormat="1" ht="18.75" customHeight="1">
      <c r="B135" s="173"/>
      <c r="C135" s="175"/>
      <c r="D135" s="175"/>
      <c r="E135" s="175"/>
      <c r="F135" s="175"/>
      <c r="G135" s="175"/>
      <c r="H135" s="175"/>
      <c r="I135" s="173"/>
      <c r="J135" s="175" t="s">
        <v>305</v>
      </c>
      <c r="K135" s="175"/>
      <c r="L135" s="175"/>
      <c r="M135" s="175"/>
      <c r="N135" s="175"/>
      <c r="O135" s="175"/>
      <c r="P135" s="175"/>
      <c r="Q135" s="175"/>
      <c r="R135" s="175"/>
      <c r="S135" s="175"/>
      <c r="T135" s="173"/>
      <c r="U135" s="175"/>
      <c r="V135" s="60"/>
      <c r="W135" s="175"/>
      <c r="X135" s="175"/>
      <c r="Y135" s="175"/>
      <c r="Z135" s="175"/>
      <c r="AA135" s="175"/>
      <c r="AB135" s="175"/>
      <c r="AC135" s="175"/>
      <c r="AD135" s="173"/>
      <c r="AE135" s="175"/>
      <c r="AF135" s="175"/>
      <c r="AG135" s="175"/>
      <c r="AH135" s="175"/>
      <c r="AI135" s="175"/>
      <c r="AJ135" s="175"/>
      <c r="AK135" s="173"/>
      <c r="AL135" s="173"/>
      <c r="AM135" s="173"/>
      <c r="AN135" s="173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59"/>
      <c r="BI135" s="59"/>
      <c r="BJ135" s="59"/>
      <c r="BK135" s="59"/>
      <c r="BL135" s="59"/>
      <c r="BM135" s="59"/>
      <c r="BN135" s="59"/>
    </row>
    <row r="136" spans="2:76" s="181" customFormat="1" ht="18.75" customHeight="1">
      <c r="B136" s="173"/>
      <c r="C136" s="175"/>
      <c r="D136" s="175"/>
      <c r="E136" s="175"/>
      <c r="F136" s="175"/>
      <c r="G136" s="175"/>
      <c r="H136" s="251"/>
      <c r="I136" s="175"/>
      <c r="J136" s="173"/>
      <c r="K136" s="178" t="s">
        <v>306</v>
      </c>
      <c r="L136" s="178"/>
      <c r="M136" s="178"/>
      <c r="N136" s="178"/>
      <c r="O136" s="178"/>
      <c r="P136" s="178"/>
      <c r="Q136" s="178"/>
      <c r="R136" s="178"/>
      <c r="S136" s="178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83"/>
      <c r="AH136" s="175"/>
      <c r="AI136" s="175"/>
      <c r="AJ136" s="175"/>
      <c r="AK136" s="175"/>
      <c r="AL136" s="173"/>
      <c r="AM136" s="173"/>
      <c r="AN136" s="173"/>
      <c r="AO136" s="173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59"/>
      <c r="BJ136" s="59"/>
      <c r="BK136" s="59"/>
      <c r="BL136" s="59"/>
      <c r="BM136" s="59"/>
      <c r="BN136" s="59"/>
      <c r="BO136" s="59"/>
    </row>
    <row r="137" spans="2:76" s="181" customFormat="1" ht="18.75" customHeight="1">
      <c r="B137" s="173"/>
      <c r="C137" s="175"/>
      <c r="D137" s="175"/>
      <c r="E137" s="175"/>
      <c r="F137" s="175"/>
      <c r="G137" s="175"/>
      <c r="H137" s="251"/>
      <c r="I137" s="175"/>
      <c r="J137" s="173"/>
      <c r="K137" s="173"/>
      <c r="L137" s="114"/>
      <c r="M137" s="114"/>
      <c r="N137" s="173"/>
      <c r="O137" s="173"/>
      <c r="P137" s="173"/>
      <c r="Q137" s="173"/>
      <c r="R137" s="173"/>
      <c r="S137" s="173"/>
      <c r="T137" s="379"/>
      <c r="U137" s="379"/>
      <c r="V137" s="379"/>
      <c r="W137" s="379"/>
      <c r="X137" s="379"/>
      <c r="Y137" s="379"/>
      <c r="Z137" s="173"/>
      <c r="AA137" s="175"/>
      <c r="AB137" s="183"/>
      <c r="AC137" s="183"/>
      <c r="AD137" s="183"/>
      <c r="AE137" s="183"/>
      <c r="AF137" s="183"/>
      <c r="AG137" s="173"/>
      <c r="AH137" s="183"/>
      <c r="AI137" s="183"/>
      <c r="AJ137" s="183"/>
      <c r="AK137" s="183"/>
      <c r="AL137" s="173"/>
      <c r="AM137" s="184"/>
      <c r="AN137" s="184"/>
      <c r="AO137" s="184"/>
      <c r="AP137" s="184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</row>
    <row r="138" spans="2:76" s="181" customFormat="1" ht="18.75" customHeight="1">
      <c r="B138" s="173"/>
      <c r="C138" s="175" t="s">
        <v>313</v>
      </c>
      <c r="D138" s="175"/>
      <c r="E138" s="175"/>
      <c r="F138" s="175"/>
      <c r="G138" s="175"/>
      <c r="H138" s="175"/>
      <c r="I138" s="379" t="str">
        <f>V63</f>
        <v>삼각형</v>
      </c>
      <c r="J138" s="379"/>
      <c r="K138" s="379"/>
      <c r="L138" s="379"/>
      <c r="M138" s="379"/>
      <c r="N138" s="379"/>
      <c r="O138" s="379"/>
      <c r="P138" s="379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3"/>
      <c r="AB138" s="173"/>
      <c r="AC138" s="173"/>
      <c r="AD138" s="173"/>
      <c r="AE138" s="173"/>
      <c r="AF138" s="115"/>
      <c r="AG138" s="173"/>
      <c r="AH138" s="173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75"/>
      <c r="AT138" s="175"/>
      <c r="AU138" s="175"/>
      <c r="AV138" s="175"/>
      <c r="AW138" s="175"/>
      <c r="AX138" s="175"/>
      <c r="AY138" s="175"/>
      <c r="AZ138" s="175"/>
      <c r="BA138" s="175"/>
      <c r="BB138" s="175"/>
    </row>
    <row r="139" spans="2:76" s="181" customFormat="1" ht="18.75" customHeight="1">
      <c r="B139" s="173"/>
      <c r="C139" s="374" t="s">
        <v>314</v>
      </c>
      <c r="D139" s="374"/>
      <c r="E139" s="374"/>
      <c r="F139" s="374"/>
      <c r="G139" s="374"/>
      <c r="H139" s="374"/>
      <c r="I139" s="175"/>
      <c r="J139" s="173"/>
      <c r="K139" s="175"/>
      <c r="L139" s="175"/>
      <c r="M139" s="175"/>
      <c r="N139" s="175"/>
      <c r="O139" s="175"/>
      <c r="P139" s="175"/>
      <c r="S139" s="376" t="e">
        <f>-H64</f>
        <v>#VALUE!</v>
      </c>
      <c r="T139" s="376"/>
      <c r="U139" s="374" t="s">
        <v>307</v>
      </c>
      <c r="V139" s="374"/>
      <c r="W139" s="396">
        <f>Calcu!N38</f>
        <v>0</v>
      </c>
      <c r="X139" s="396"/>
      <c r="Y139" s="396"/>
      <c r="Z139" s="374" t="s">
        <v>295</v>
      </c>
      <c r="AA139" s="374"/>
      <c r="AB139" s="378" t="s">
        <v>308</v>
      </c>
      <c r="AC139" s="386" t="e">
        <f>S139*W139</f>
        <v>#VALUE!</v>
      </c>
      <c r="AD139" s="386"/>
      <c r="AE139" s="386"/>
      <c r="AF139" s="386"/>
      <c r="AG139" s="374" t="s">
        <v>147</v>
      </c>
      <c r="AH139" s="374"/>
      <c r="AI139" s="374"/>
      <c r="AJ139" s="374"/>
      <c r="AK139" s="374"/>
      <c r="AL139" s="374"/>
      <c r="AM139" s="374"/>
      <c r="AN139" s="173"/>
      <c r="AO139" s="173"/>
      <c r="AP139" s="173"/>
      <c r="AQ139" s="173"/>
      <c r="AR139" s="173"/>
      <c r="AS139" s="173"/>
      <c r="AT139" s="173"/>
      <c r="AU139" s="173"/>
      <c r="AV139" s="173"/>
      <c r="AW139" s="173"/>
      <c r="AX139" s="173"/>
      <c r="AY139" s="173"/>
      <c r="AZ139" s="173"/>
      <c r="BA139" s="175"/>
      <c r="BB139" s="175"/>
      <c r="BC139" s="175"/>
      <c r="BD139" s="175"/>
      <c r="BE139" s="175"/>
      <c r="BF139" s="175"/>
      <c r="BG139" s="175"/>
      <c r="BH139" s="59"/>
      <c r="BI139" s="59"/>
      <c r="BJ139" s="59"/>
      <c r="BK139" s="59"/>
      <c r="BL139" s="59"/>
      <c r="BM139" s="59"/>
      <c r="BN139" s="59"/>
    </row>
    <row r="140" spans="2:76" s="181" customFormat="1" ht="18.75" customHeight="1">
      <c r="B140" s="173"/>
      <c r="C140" s="374"/>
      <c r="D140" s="374"/>
      <c r="E140" s="374"/>
      <c r="F140" s="374"/>
      <c r="G140" s="374"/>
      <c r="H140" s="374"/>
      <c r="I140" s="175"/>
      <c r="J140" s="175"/>
      <c r="K140" s="175"/>
      <c r="L140" s="175"/>
      <c r="M140" s="175"/>
      <c r="N140" s="175"/>
      <c r="O140" s="175"/>
      <c r="P140" s="173"/>
      <c r="S140" s="376"/>
      <c r="T140" s="376"/>
      <c r="U140" s="374"/>
      <c r="V140" s="374"/>
      <c r="W140" s="396"/>
      <c r="X140" s="396"/>
      <c r="Y140" s="396"/>
      <c r="Z140" s="374"/>
      <c r="AA140" s="374"/>
      <c r="AB140" s="378"/>
      <c r="AC140" s="386"/>
      <c r="AD140" s="386"/>
      <c r="AE140" s="386"/>
      <c r="AF140" s="386"/>
      <c r="AG140" s="374"/>
      <c r="AH140" s="374"/>
      <c r="AI140" s="374"/>
      <c r="AJ140" s="374"/>
      <c r="AK140" s="374"/>
      <c r="AL140" s="374"/>
      <c r="AM140" s="374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173"/>
      <c r="AZ140" s="173"/>
      <c r="BA140" s="175"/>
      <c r="BB140" s="175"/>
      <c r="BC140" s="175"/>
      <c r="BD140" s="175"/>
      <c r="BE140" s="175"/>
      <c r="BF140" s="175"/>
      <c r="BG140" s="175"/>
      <c r="BH140" s="59"/>
      <c r="BI140" s="59"/>
      <c r="BJ140" s="59"/>
    </row>
    <row r="141" spans="2:76" s="181" customFormat="1" ht="18.75" customHeight="1">
      <c r="B141" s="173"/>
      <c r="C141" s="175" t="s">
        <v>317</v>
      </c>
      <c r="D141" s="175"/>
      <c r="E141" s="175"/>
      <c r="F141" s="175"/>
      <c r="G141" s="175"/>
      <c r="H141" s="175"/>
      <c r="I141" s="175"/>
      <c r="J141" s="173"/>
      <c r="K141" s="57" t="s">
        <v>301</v>
      </c>
      <c r="L141" s="386" t="e">
        <f>AC139</f>
        <v>#VALUE!</v>
      </c>
      <c r="M141" s="386"/>
      <c r="N141" s="386"/>
      <c r="O141" s="386"/>
      <c r="P141" s="184" t="s">
        <v>310</v>
      </c>
      <c r="Q141" s="173"/>
      <c r="R141" s="173"/>
      <c r="S141" s="173"/>
      <c r="T141" s="173"/>
      <c r="U141" s="173"/>
      <c r="V141" s="173"/>
      <c r="W141" s="173"/>
      <c r="X141" s="173"/>
      <c r="Y141" s="57" t="s">
        <v>299</v>
      </c>
      <c r="Z141" s="173" t="s">
        <v>308</v>
      </c>
      <c r="AA141" s="375" t="e">
        <f>ABS(L141*O63)</f>
        <v>#VALUE!</v>
      </c>
      <c r="AB141" s="375"/>
      <c r="AC141" s="375"/>
      <c r="AD141" s="178" t="s">
        <v>144</v>
      </c>
      <c r="AE141" s="178"/>
      <c r="AF141" s="173"/>
      <c r="AG141" s="173"/>
      <c r="AH141" s="173"/>
      <c r="AI141" s="173"/>
      <c r="AJ141" s="173"/>
      <c r="AK141" s="173"/>
      <c r="AL141" s="173"/>
      <c r="AM141" s="173"/>
      <c r="AN141" s="173"/>
      <c r="AO141" s="173"/>
      <c r="AP141" s="173"/>
      <c r="AQ141" s="173"/>
      <c r="AR141" s="173"/>
      <c r="AS141" s="184"/>
      <c r="AT141" s="175"/>
      <c r="AU141" s="175"/>
      <c r="AV141" s="175"/>
      <c r="AW141" s="185"/>
      <c r="AX141" s="184"/>
      <c r="AY141" s="175"/>
      <c r="AZ141" s="175"/>
      <c r="BA141" s="175"/>
      <c r="BB141" s="175"/>
      <c r="BC141" s="175"/>
      <c r="BD141" s="175"/>
      <c r="BE141" s="173"/>
      <c r="BF141" s="175"/>
      <c r="BG141" s="175"/>
      <c r="BH141" s="59"/>
      <c r="BI141" s="59"/>
      <c r="BJ141" s="59"/>
    </row>
    <row r="142" spans="2:76" s="181" customFormat="1" ht="18.75" customHeight="1">
      <c r="B142" s="173"/>
      <c r="C142" s="243" t="s">
        <v>457</v>
      </c>
      <c r="D142" s="243"/>
      <c r="E142" s="243"/>
      <c r="F142" s="243"/>
      <c r="G142" s="243"/>
      <c r="H142" s="243" t="s">
        <v>458</v>
      </c>
      <c r="I142" s="175"/>
      <c r="J142" s="175"/>
      <c r="K142" s="175"/>
      <c r="L142" s="175"/>
      <c r="M142" s="175"/>
      <c r="N142" s="175"/>
      <c r="O142" s="175"/>
      <c r="P142" s="175"/>
      <c r="Q142" s="175"/>
      <c r="R142" s="184"/>
      <c r="S142" s="175"/>
      <c r="T142" s="175"/>
      <c r="U142" s="175"/>
      <c r="V142" s="57"/>
      <c r="W142" s="175"/>
      <c r="X142" s="175"/>
      <c r="Y142" s="175"/>
      <c r="Z142" s="175"/>
      <c r="AA142" s="175"/>
      <c r="AB142" s="175"/>
      <c r="AC142" s="175"/>
      <c r="AD142" s="175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O142" s="186"/>
      <c r="BP142" s="186"/>
      <c r="BQ142" s="186"/>
      <c r="BR142" s="186"/>
      <c r="BS142" s="186"/>
      <c r="BT142" s="186"/>
      <c r="BU142" s="186"/>
      <c r="BV142" s="187"/>
      <c r="BW142" s="187"/>
      <c r="BX142" s="187"/>
    </row>
    <row r="143" spans="2:76" s="181" customFormat="1" ht="18.75" customHeight="1">
      <c r="B143" s="241"/>
      <c r="C143" s="243"/>
      <c r="D143" s="243"/>
      <c r="E143" s="243"/>
      <c r="F143" s="243"/>
      <c r="G143" s="243"/>
      <c r="H143" s="114"/>
      <c r="I143" s="243"/>
      <c r="J143" s="243"/>
      <c r="K143" s="243"/>
      <c r="L143" s="243"/>
      <c r="M143" s="243"/>
      <c r="N143" s="243"/>
      <c r="O143" s="243"/>
      <c r="P143" s="243"/>
      <c r="Q143" s="243"/>
      <c r="R143" s="184"/>
      <c r="S143" s="243"/>
      <c r="T143" s="243"/>
      <c r="U143" s="243"/>
      <c r="V143" s="57"/>
      <c r="W143" s="243"/>
      <c r="X143" s="243"/>
      <c r="Y143" s="243"/>
      <c r="Z143" s="243"/>
      <c r="AA143" s="243"/>
      <c r="AB143" s="243"/>
      <c r="AC143" s="243"/>
      <c r="AD143" s="243"/>
      <c r="AE143" s="241"/>
      <c r="AF143" s="241"/>
      <c r="AG143" s="241"/>
      <c r="AH143" s="241"/>
      <c r="AI143" s="241"/>
      <c r="AJ143" s="241"/>
      <c r="AK143" s="241"/>
      <c r="AL143" s="241"/>
      <c r="AM143" s="241"/>
      <c r="AN143" s="241"/>
      <c r="AO143" s="241"/>
      <c r="AP143" s="241"/>
      <c r="AQ143" s="241"/>
      <c r="AR143" s="241"/>
      <c r="AS143" s="241"/>
      <c r="AT143" s="241"/>
      <c r="AU143" s="241"/>
      <c r="AV143" s="241"/>
      <c r="AW143" s="241"/>
      <c r="AX143" s="241"/>
      <c r="AY143" s="241"/>
      <c r="AZ143" s="241"/>
      <c r="BA143" s="241"/>
      <c r="BB143" s="241"/>
      <c r="BC143" s="241"/>
      <c r="BD143" s="241"/>
      <c r="BE143" s="241"/>
      <c r="BF143" s="241"/>
      <c r="BG143" s="241"/>
      <c r="BO143" s="245"/>
      <c r="BP143" s="245"/>
      <c r="BQ143" s="245"/>
      <c r="BR143" s="245"/>
      <c r="BS143" s="245"/>
      <c r="BT143" s="245"/>
      <c r="BU143" s="245"/>
      <c r="BV143" s="187"/>
      <c r="BW143" s="187"/>
      <c r="BX143" s="187"/>
    </row>
    <row r="144" spans="2:76" s="181" customFormat="1" ht="18.75" customHeight="1">
      <c r="B144" s="241"/>
      <c r="C144" s="243"/>
      <c r="D144" s="243"/>
      <c r="E144" s="243"/>
      <c r="F144" s="243"/>
      <c r="G144" s="243"/>
      <c r="H144" s="114"/>
      <c r="I144" s="243"/>
      <c r="J144" s="243"/>
      <c r="K144" s="243"/>
      <c r="L144" s="243"/>
      <c r="M144" s="243"/>
      <c r="N144" s="243"/>
      <c r="O144" s="243"/>
      <c r="P144" s="243"/>
      <c r="Q144" s="243"/>
      <c r="R144" s="184"/>
      <c r="S144" s="243"/>
      <c r="T144" s="243"/>
      <c r="U144" s="243"/>
      <c r="V144" s="57"/>
      <c r="W144" s="243"/>
      <c r="X144" s="243"/>
      <c r="Y144" s="243"/>
      <c r="Z144" s="243"/>
      <c r="AA144" s="243"/>
      <c r="AB144" s="243"/>
      <c r="AC144" s="243"/>
      <c r="AD144" s="243"/>
      <c r="AE144" s="241"/>
      <c r="AF144" s="241"/>
      <c r="AG144" s="241"/>
      <c r="AH144" s="241"/>
      <c r="AI144" s="241"/>
      <c r="AJ144" s="241"/>
      <c r="AK144" s="241"/>
      <c r="AL144" s="241"/>
      <c r="AM144" s="241"/>
      <c r="AN144" s="241"/>
      <c r="AO144" s="241"/>
      <c r="AP144" s="241"/>
      <c r="AQ144" s="241"/>
      <c r="AR144" s="241"/>
      <c r="AS144" s="241"/>
      <c r="AT144" s="241"/>
      <c r="AU144" s="241"/>
      <c r="AV144" s="241"/>
      <c r="AW144" s="241"/>
      <c r="AX144" s="241"/>
      <c r="AY144" s="241"/>
      <c r="AZ144" s="241"/>
      <c r="BA144" s="241"/>
      <c r="BB144" s="241"/>
      <c r="BC144" s="241"/>
      <c r="BD144" s="241"/>
      <c r="BE144" s="241"/>
      <c r="BF144" s="241"/>
      <c r="BG144" s="241"/>
      <c r="BO144" s="245"/>
      <c r="BP144" s="245"/>
      <c r="BQ144" s="245"/>
      <c r="BR144" s="245"/>
      <c r="BS144" s="245"/>
      <c r="BT144" s="245"/>
      <c r="BU144" s="245"/>
      <c r="BV144" s="187"/>
      <c r="BW144" s="187"/>
      <c r="BX144" s="187"/>
    </row>
    <row r="145" spans="2:76" s="181" customFormat="1" ht="18.75" customHeight="1">
      <c r="B145" s="241"/>
      <c r="C145" s="243"/>
      <c r="D145" s="243"/>
      <c r="E145" s="243"/>
      <c r="F145" s="243"/>
      <c r="G145" s="243"/>
      <c r="H145" s="114"/>
      <c r="I145" s="243"/>
      <c r="J145" s="243"/>
      <c r="K145" s="243"/>
      <c r="L145" s="243"/>
      <c r="M145" s="243"/>
      <c r="N145" s="243"/>
      <c r="O145" s="243"/>
      <c r="P145" s="243"/>
      <c r="Q145" s="243"/>
      <c r="R145" s="184"/>
      <c r="S145" s="243"/>
      <c r="T145" s="243"/>
      <c r="U145" s="243"/>
      <c r="V145" s="57"/>
      <c r="W145" s="243"/>
      <c r="X145" s="243"/>
      <c r="Y145" s="243"/>
      <c r="Z145" s="243"/>
      <c r="AA145" s="243"/>
      <c r="AB145" s="243"/>
      <c r="AC145" s="243"/>
      <c r="AD145" s="243"/>
      <c r="AE145" s="241"/>
      <c r="AF145" s="241"/>
      <c r="AG145" s="241"/>
      <c r="AH145" s="241"/>
      <c r="AI145" s="241"/>
      <c r="AJ145" s="241"/>
      <c r="AK145" s="241"/>
      <c r="AL145" s="241"/>
      <c r="AM145" s="241"/>
      <c r="AN145" s="241"/>
      <c r="AO145" s="241"/>
      <c r="AP145" s="241"/>
      <c r="AQ145" s="241"/>
      <c r="AR145" s="241"/>
      <c r="AS145" s="241"/>
      <c r="AT145" s="241"/>
      <c r="AU145" s="241"/>
      <c r="AV145" s="241"/>
      <c r="AW145" s="241"/>
      <c r="AX145" s="241"/>
      <c r="AY145" s="241"/>
      <c r="AZ145" s="241"/>
      <c r="BA145" s="241"/>
      <c r="BB145" s="241"/>
      <c r="BC145" s="241"/>
      <c r="BD145" s="241"/>
      <c r="BE145" s="241"/>
      <c r="BF145" s="241"/>
      <c r="BG145" s="241"/>
      <c r="BO145" s="245"/>
      <c r="BP145" s="245"/>
      <c r="BQ145" s="245"/>
      <c r="BR145" s="245"/>
      <c r="BS145" s="245"/>
      <c r="BT145" s="245"/>
      <c r="BU145" s="245"/>
      <c r="BV145" s="187"/>
      <c r="BW145" s="187"/>
      <c r="BX145" s="187"/>
    </row>
    <row r="146" spans="2:76" s="181" customFormat="1" ht="18.75" customHeight="1">
      <c r="B146" s="241"/>
      <c r="C146" s="243"/>
      <c r="D146" s="243"/>
      <c r="E146" s="243"/>
      <c r="F146" s="243"/>
      <c r="G146" s="243"/>
      <c r="H146" s="114"/>
      <c r="I146" s="243"/>
      <c r="J146" s="243"/>
      <c r="K146" s="243"/>
      <c r="L146" s="243"/>
      <c r="M146" s="243"/>
      <c r="N146" s="243"/>
      <c r="O146" s="243"/>
      <c r="P146" s="243"/>
      <c r="Q146" s="243"/>
      <c r="R146" s="184"/>
      <c r="S146" s="243"/>
      <c r="T146" s="243"/>
      <c r="U146" s="243"/>
      <c r="V146" s="57"/>
      <c r="W146" s="243"/>
      <c r="X146" s="243"/>
      <c r="Y146" s="243"/>
      <c r="Z146" s="243"/>
      <c r="AA146" s="243"/>
      <c r="AB146" s="243"/>
      <c r="AC146" s="243"/>
      <c r="AD146" s="243"/>
      <c r="AE146" s="241"/>
      <c r="AF146" s="241"/>
      <c r="AG146" s="241"/>
      <c r="AH146" s="241"/>
      <c r="AI146" s="241"/>
      <c r="AJ146" s="241"/>
      <c r="AK146" s="241"/>
      <c r="AL146" s="241"/>
      <c r="AM146" s="241"/>
      <c r="AN146" s="241"/>
      <c r="AO146" s="241"/>
      <c r="AP146" s="241"/>
      <c r="AQ146" s="241"/>
      <c r="AR146" s="241"/>
      <c r="AS146" s="241"/>
      <c r="AT146" s="241"/>
      <c r="AU146" s="241"/>
      <c r="AV146" s="241"/>
      <c r="AW146" s="241"/>
      <c r="AX146" s="241"/>
      <c r="AY146" s="241"/>
      <c r="AZ146" s="241"/>
      <c r="BA146" s="241"/>
      <c r="BB146" s="241"/>
      <c r="BC146" s="241"/>
      <c r="BD146" s="241"/>
      <c r="BE146" s="241"/>
      <c r="BF146" s="241"/>
      <c r="BG146" s="241"/>
      <c r="BO146" s="245"/>
      <c r="BP146" s="245"/>
      <c r="BQ146" s="245"/>
      <c r="BR146" s="245"/>
      <c r="BS146" s="245"/>
      <c r="BT146" s="245"/>
      <c r="BU146" s="245"/>
      <c r="BV146" s="187"/>
      <c r="BW146" s="187"/>
      <c r="BX146" s="187"/>
    </row>
    <row r="147" spans="2:76" s="181" customFormat="1" ht="18.75" customHeight="1">
      <c r="B147" s="173"/>
      <c r="C147" s="175"/>
      <c r="D147" s="175"/>
      <c r="E147" s="175"/>
      <c r="F147" s="175"/>
      <c r="G147" s="173"/>
      <c r="H147" s="114"/>
      <c r="I147" s="175"/>
      <c r="J147" s="175"/>
      <c r="K147" s="175"/>
      <c r="L147" s="175"/>
      <c r="M147" s="175"/>
      <c r="N147" s="175"/>
      <c r="O147" s="175"/>
      <c r="P147" s="175"/>
      <c r="Q147" s="175"/>
      <c r="R147" s="184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3"/>
      <c r="AF147" s="173"/>
      <c r="AG147" s="173"/>
      <c r="AH147" s="173"/>
      <c r="AI147" s="173"/>
      <c r="AJ147" s="173"/>
      <c r="AK147" s="173"/>
      <c r="AL147" s="173"/>
      <c r="AM147" s="173"/>
      <c r="AN147" s="173"/>
      <c r="AO147" s="173"/>
      <c r="AP147" s="173"/>
      <c r="AQ147" s="173"/>
      <c r="AR147" s="173"/>
      <c r="AS147" s="173"/>
      <c r="AT147" s="173"/>
      <c r="AU147" s="173"/>
      <c r="AV147" s="173"/>
      <c r="AW147" s="173"/>
      <c r="AX147" s="173"/>
      <c r="AY147" s="173"/>
      <c r="AZ147" s="173"/>
      <c r="BA147" s="173"/>
      <c r="BB147" s="173"/>
      <c r="BC147" s="173"/>
      <c r="BD147" s="173"/>
      <c r="BE147" s="173"/>
      <c r="BF147" s="173"/>
      <c r="BG147" s="173"/>
    </row>
    <row r="148" spans="2:76" s="181" customFormat="1" ht="18.75" customHeight="1">
      <c r="B148" s="58" t="s">
        <v>473</v>
      </c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75"/>
      <c r="AT148" s="175"/>
      <c r="AU148" s="175"/>
      <c r="AV148" s="175"/>
      <c r="AW148" s="175"/>
      <c r="AX148" s="175"/>
      <c r="AY148" s="175"/>
      <c r="AZ148" s="175"/>
      <c r="BA148" s="175"/>
      <c r="BB148" s="175"/>
      <c r="BC148" s="175"/>
      <c r="BD148" s="175"/>
      <c r="BE148" s="175"/>
      <c r="BF148" s="175"/>
      <c r="BG148" s="175"/>
      <c r="BH148" s="59"/>
      <c r="BI148" s="59"/>
      <c r="BJ148" s="59"/>
      <c r="BK148" s="59"/>
      <c r="BL148" s="59"/>
      <c r="BM148" s="59"/>
      <c r="BN148" s="59"/>
    </row>
    <row r="149" spans="2:76" s="181" customFormat="1" ht="18.75" customHeight="1">
      <c r="B149" s="58"/>
      <c r="C149" s="251" t="str">
        <f>"※ 측정실 공기중의 온도를 측정하였고, 측정에 사용된 온도계의 불확도가 "&amp;N152&amp;" ℃를 넘지 않으므로,"</f>
        <v>※ 측정실 공기중의 온도를 측정하였고, 측정에 사용된 온도계의 불확도가 1 ℃를 넘지 않으므로,</v>
      </c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  <c r="AD149" s="251"/>
      <c r="AE149" s="251"/>
      <c r="AF149" s="251"/>
      <c r="AG149" s="251"/>
      <c r="AH149" s="251"/>
      <c r="AI149" s="251"/>
      <c r="AJ149" s="251"/>
      <c r="AK149" s="251"/>
      <c r="AL149" s="251"/>
      <c r="AM149" s="251"/>
      <c r="AN149" s="251"/>
      <c r="AO149" s="251"/>
      <c r="AP149" s="251"/>
      <c r="AQ149" s="251"/>
      <c r="AR149" s="251"/>
      <c r="AS149" s="251"/>
      <c r="AT149" s="251"/>
      <c r="AU149" s="251"/>
      <c r="AV149" s="251"/>
      <c r="AW149" s="251"/>
      <c r="AX149" s="251"/>
      <c r="AY149" s="251"/>
      <c r="AZ149" s="251"/>
      <c r="BA149" s="251"/>
      <c r="BB149" s="251"/>
      <c r="BC149" s="251"/>
      <c r="BD149" s="251"/>
      <c r="BE149" s="251"/>
      <c r="BF149" s="251"/>
      <c r="BG149" s="251"/>
      <c r="BH149" s="59"/>
      <c r="BI149" s="59"/>
      <c r="BJ149" s="59"/>
      <c r="BK149" s="59"/>
      <c r="BL149" s="59"/>
      <c r="BM149" s="59"/>
      <c r="BN149" s="59"/>
    </row>
    <row r="150" spans="2:76" s="181" customFormat="1" ht="18.75" customHeight="1">
      <c r="B150" s="58"/>
      <c r="C150" s="251"/>
      <c r="D150" s="251" t="s">
        <v>482</v>
      </c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  <c r="AD150" s="251"/>
      <c r="AE150" s="251"/>
      <c r="AF150" s="251"/>
      <c r="AG150" s="251"/>
      <c r="AH150" s="251"/>
      <c r="AI150" s="251"/>
      <c r="AJ150" s="251"/>
      <c r="AK150" s="251"/>
      <c r="AL150" s="251"/>
      <c r="AM150" s="251"/>
      <c r="AN150" s="251"/>
      <c r="AO150" s="251"/>
      <c r="AP150" s="251"/>
      <c r="AQ150" s="251"/>
      <c r="AR150" s="251"/>
      <c r="AS150" s="251"/>
      <c r="AT150" s="251"/>
      <c r="AU150" s="251"/>
      <c r="AV150" s="251"/>
      <c r="AW150" s="251"/>
      <c r="AX150" s="251"/>
      <c r="AY150" s="251"/>
      <c r="AZ150" s="251"/>
      <c r="BA150" s="251"/>
      <c r="BB150" s="251"/>
      <c r="BC150" s="251"/>
      <c r="BD150" s="251"/>
      <c r="BE150" s="251"/>
      <c r="BF150" s="251"/>
      <c r="BG150" s="251"/>
      <c r="BH150" s="59"/>
      <c r="BI150" s="59"/>
      <c r="BJ150" s="59"/>
      <c r="BK150" s="59"/>
      <c r="BL150" s="59"/>
      <c r="BM150" s="59"/>
      <c r="BN150" s="59"/>
    </row>
    <row r="151" spans="2:76" s="181" customFormat="1" ht="18.75" customHeight="1">
      <c r="B151" s="173"/>
      <c r="C151" s="178" t="s">
        <v>320</v>
      </c>
      <c r="D151" s="173"/>
      <c r="E151" s="173"/>
      <c r="F151" s="173"/>
      <c r="G151" s="173"/>
      <c r="H151" s="397" t="str">
        <f>H64</f>
        <v/>
      </c>
      <c r="I151" s="397"/>
      <c r="J151" s="397"/>
      <c r="K151" s="397"/>
      <c r="L151" s="397"/>
      <c r="M151" s="397"/>
      <c r="N151" s="397"/>
      <c r="O151" s="397"/>
      <c r="P151" s="176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  <c r="AO151" s="175"/>
      <c r="AP151" s="175"/>
      <c r="AQ151" s="175"/>
      <c r="AR151" s="175"/>
      <c r="AS151" s="175"/>
      <c r="AT151" s="175"/>
      <c r="AU151" s="175"/>
      <c r="AV151" s="175"/>
      <c r="AW151" s="175"/>
      <c r="AX151" s="175"/>
      <c r="AY151" s="175"/>
      <c r="AZ151" s="175"/>
      <c r="BA151" s="175"/>
      <c r="BB151" s="175"/>
      <c r="BC151" s="175"/>
      <c r="BD151" s="175"/>
      <c r="BE151" s="175"/>
      <c r="BF151" s="175"/>
      <c r="BG151" s="175"/>
      <c r="BH151" s="59"/>
      <c r="BI151" s="59"/>
      <c r="BJ151" s="59"/>
      <c r="BK151" s="59"/>
      <c r="BL151" s="59"/>
      <c r="BM151" s="59"/>
    </row>
    <row r="152" spans="2:76" s="181" customFormat="1" ht="18.75" customHeight="1">
      <c r="B152" s="173"/>
      <c r="C152" s="374" t="s">
        <v>321</v>
      </c>
      <c r="D152" s="374"/>
      <c r="E152" s="374"/>
      <c r="F152" s="374"/>
      <c r="G152" s="374"/>
      <c r="H152" s="374"/>
      <c r="I152" s="374"/>
      <c r="J152" s="388" t="s">
        <v>483</v>
      </c>
      <c r="K152" s="388"/>
      <c r="L152" s="388"/>
      <c r="M152" s="378" t="s">
        <v>277</v>
      </c>
      <c r="N152" s="383">
        <f>Calcu!G39</f>
        <v>1</v>
      </c>
      <c r="O152" s="383"/>
      <c r="P152" s="255" t="s">
        <v>481</v>
      </c>
      <c r="Q152" s="258"/>
      <c r="R152" s="378" t="s">
        <v>277</v>
      </c>
      <c r="S152" s="462">
        <f>N152/SQRT(3)</f>
        <v>0.57735026918962584</v>
      </c>
      <c r="T152" s="462"/>
      <c r="U152" s="462"/>
      <c r="V152" s="376" t="str">
        <f>P152</f>
        <v>℃</v>
      </c>
      <c r="W152" s="376"/>
      <c r="X152" s="253"/>
      <c r="Y152" s="192"/>
      <c r="Z152" s="193"/>
      <c r="AA152" s="193"/>
      <c r="AB152" s="193"/>
      <c r="AC152" s="175"/>
      <c r="AD152" s="175"/>
      <c r="AE152" s="175"/>
      <c r="AF152" s="175"/>
      <c r="AG152" s="175"/>
      <c r="AH152" s="175"/>
      <c r="AI152" s="175"/>
      <c r="AM152" s="175"/>
      <c r="AN152" s="175"/>
      <c r="AO152" s="173"/>
      <c r="AP152" s="173"/>
      <c r="AQ152" s="173"/>
      <c r="AR152" s="173"/>
      <c r="AS152" s="175"/>
      <c r="AT152" s="175"/>
      <c r="AU152" s="175"/>
      <c r="AV152" s="175"/>
      <c r="AW152" s="175"/>
      <c r="AX152" s="175"/>
      <c r="AY152" s="175"/>
      <c r="AZ152" s="175"/>
      <c r="BA152" s="175"/>
      <c r="BB152" s="175"/>
      <c r="BC152" s="175"/>
      <c r="BD152" s="175"/>
      <c r="BE152" s="175"/>
      <c r="BF152" s="175"/>
      <c r="BG152" s="175"/>
      <c r="BH152" s="175"/>
      <c r="BI152" s="175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</row>
    <row r="153" spans="2:76" s="181" customFormat="1" ht="18.75" customHeight="1">
      <c r="B153" s="173"/>
      <c r="C153" s="374"/>
      <c r="D153" s="374"/>
      <c r="E153" s="374"/>
      <c r="F153" s="374"/>
      <c r="G153" s="374"/>
      <c r="H153" s="374"/>
      <c r="I153" s="374"/>
      <c r="J153" s="388"/>
      <c r="K153" s="388"/>
      <c r="L153" s="388"/>
      <c r="M153" s="378"/>
      <c r="N153" s="250"/>
      <c r="O153" s="250"/>
      <c r="P153" s="250"/>
      <c r="Q153" s="250"/>
      <c r="R153" s="378"/>
      <c r="S153" s="462"/>
      <c r="T153" s="462"/>
      <c r="U153" s="462"/>
      <c r="V153" s="376"/>
      <c r="W153" s="376"/>
      <c r="X153" s="253"/>
      <c r="Y153" s="192"/>
      <c r="Z153" s="193"/>
      <c r="AA153" s="193"/>
      <c r="AB153" s="193"/>
      <c r="AC153" s="175"/>
      <c r="AD153" s="175"/>
      <c r="AE153" s="175"/>
      <c r="AF153" s="175"/>
      <c r="BE153" s="175"/>
      <c r="BF153" s="175"/>
      <c r="BG153" s="175"/>
      <c r="BH153" s="175"/>
      <c r="BI153" s="175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</row>
    <row r="154" spans="2:76" s="181" customFormat="1" ht="18.75" customHeight="1">
      <c r="B154" s="173"/>
      <c r="C154" s="175" t="s">
        <v>322</v>
      </c>
      <c r="D154" s="175"/>
      <c r="E154" s="175"/>
      <c r="F154" s="175"/>
      <c r="G154" s="175"/>
      <c r="H154" s="175"/>
      <c r="I154" s="379" t="str">
        <f>V64</f>
        <v>직사각형</v>
      </c>
      <c r="J154" s="379"/>
      <c r="K154" s="379"/>
      <c r="L154" s="379"/>
      <c r="M154" s="379"/>
      <c r="N154" s="379"/>
      <c r="O154" s="379"/>
      <c r="P154" s="379"/>
      <c r="Q154" s="175"/>
      <c r="R154" s="175"/>
      <c r="S154" s="175"/>
      <c r="T154" s="175"/>
      <c r="U154" s="175"/>
      <c r="V154" s="175"/>
      <c r="W154" s="175"/>
      <c r="X154" s="175"/>
      <c r="Y154" s="175"/>
      <c r="Z154" s="173"/>
      <c r="AA154" s="173"/>
      <c r="AB154" s="173"/>
      <c r="AC154" s="173"/>
      <c r="AD154" s="173"/>
      <c r="BC154" s="175"/>
      <c r="BD154" s="175"/>
      <c r="BE154" s="175"/>
      <c r="BF154" s="173"/>
      <c r="BG154" s="175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</row>
    <row r="155" spans="2:76" s="181" customFormat="1" ht="18.75" customHeight="1">
      <c r="B155" s="173"/>
      <c r="C155" s="374" t="s">
        <v>323</v>
      </c>
      <c r="D155" s="374"/>
      <c r="E155" s="374"/>
      <c r="F155" s="374"/>
      <c r="G155" s="374"/>
      <c r="H155" s="374"/>
      <c r="I155" s="175"/>
      <c r="J155" s="175"/>
      <c r="K155" s="175"/>
      <c r="L155" s="175"/>
      <c r="M155" s="175"/>
      <c r="N155" s="175"/>
      <c r="O155" s="173"/>
      <c r="S155" s="387" t="e">
        <f ca="1">-H63*10^6</f>
        <v>#N/A</v>
      </c>
      <c r="T155" s="387"/>
      <c r="U155" s="387"/>
      <c r="V155" s="374" t="s">
        <v>303</v>
      </c>
      <c r="W155" s="374"/>
      <c r="X155" s="374"/>
      <c r="Y155" s="374"/>
      <c r="Z155" s="378" t="s">
        <v>319</v>
      </c>
      <c r="AA155" s="396">
        <f>Calcu!N39</f>
        <v>0</v>
      </c>
      <c r="AB155" s="396"/>
      <c r="AC155" s="396"/>
      <c r="AD155" s="374" t="s">
        <v>295</v>
      </c>
      <c r="AE155" s="374"/>
      <c r="AF155" s="378" t="s">
        <v>278</v>
      </c>
      <c r="AG155" s="386" t="e">
        <f ca="1">S155*10^-6*AA155</f>
        <v>#N/A</v>
      </c>
      <c r="AH155" s="386"/>
      <c r="AI155" s="386"/>
      <c r="AJ155" s="374" t="s">
        <v>192</v>
      </c>
      <c r="AK155" s="374"/>
      <c r="AL155" s="374"/>
      <c r="AM155" s="374"/>
      <c r="AN155" s="374"/>
      <c r="AO155" s="374"/>
      <c r="AP155" s="374"/>
      <c r="AQ155" s="175"/>
      <c r="AR155" s="175"/>
      <c r="AS155" s="175"/>
      <c r="AT155" s="175"/>
      <c r="AU155" s="175"/>
      <c r="AV155" s="175"/>
      <c r="AW155" s="175"/>
      <c r="AX155" s="175"/>
      <c r="AY155" s="175"/>
      <c r="AZ155" s="175"/>
      <c r="BA155" s="175"/>
      <c r="BB155" s="175"/>
      <c r="BC155" s="175"/>
      <c r="BD155" s="175"/>
      <c r="BE155" s="175"/>
      <c r="BF155" s="175"/>
      <c r="BG155" s="175"/>
      <c r="BH155" s="59"/>
      <c r="BI155" s="59"/>
      <c r="BJ155" s="59"/>
      <c r="BK155" s="59"/>
      <c r="BL155" s="59"/>
      <c r="BM155" s="59"/>
    </row>
    <row r="156" spans="2:76" s="181" customFormat="1" ht="18.75" customHeight="1">
      <c r="B156" s="173"/>
      <c r="C156" s="374"/>
      <c r="D156" s="374"/>
      <c r="E156" s="374"/>
      <c r="F156" s="374"/>
      <c r="G156" s="374"/>
      <c r="H156" s="374"/>
      <c r="I156" s="175"/>
      <c r="J156" s="175"/>
      <c r="K156" s="175"/>
      <c r="L156" s="175"/>
      <c r="M156" s="175"/>
      <c r="N156" s="175"/>
      <c r="O156" s="175"/>
      <c r="S156" s="387"/>
      <c r="T156" s="387"/>
      <c r="U156" s="387"/>
      <c r="V156" s="374"/>
      <c r="W156" s="374"/>
      <c r="X156" s="374"/>
      <c r="Y156" s="374"/>
      <c r="Z156" s="378"/>
      <c r="AA156" s="396"/>
      <c r="AB156" s="396"/>
      <c r="AC156" s="396"/>
      <c r="AD156" s="374"/>
      <c r="AE156" s="374"/>
      <c r="AF156" s="378"/>
      <c r="AG156" s="386"/>
      <c r="AH156" s="386"/>
      <c r="AI156" s="386"/>
      <c r="AJ156" s="374"/>
      <c r="AK156" s="374"/>
      <c r="AL156" s="374"/>
      <c r="AM156" s="374"/>
      <c r="AN156" s="374"/>
      <c r="AO156" s="374"/>
      <c r="AP156" s="374"/>
      <c r="AQ156" s="175"/>
      <c r="AR156" s="175"/>
      <c r="AS156" s="175"/>
      <c r="AT156" s="175"/>
      <c r="AU156" s="175"/>
      <c r="AV156" s="175"/>
      <c r="AW156" s="175"/>
      <c r="AX156" s="175"/>
      <c r="AY156" s="175"/>
      <c r="AZ156" s="175"/>
      <c r="BA156" s="175"/>
      <c r="BB156" s="175"/>
      <c r="BC156" s="175"/>
      <c r="BD156" s="175"/>
      <c r="BE156" s="175"/>
      <c r="BF156" s="175"/>
      <c r="BG156" s="175"/>
      <c r="BH156" s="59"/>
      <c r="BI156" s="59"/>
      <c r="BJ156" s="59"/>
      <c r="BK156" s="59"/>
      <c r="BL156" s="59"/>
      <c r="BM156" s="59"/>
    </row>
    <row r="157" spans="2:76" s="181" customFormat="1" ht="18.75" customHeight="1">
      <c r="B157" s="173"/>
      <c r="C157" s="175" t="s">
        <v>324</v>
      </c>
      <c r="D157" s="175"/>
      <c r="E157" s="175"/>
      <c r="F157" s="175"/>
      <c r="G157" s="175"/>
      <c r="H157" s="175"/>
      <c r="I157" s="175"/>
      <c r="J157" s="173"/>
      <c r="K157" s="57" t="s">
        <v>325</v>
      </c>
      <c r="L157" s="386" t="e">
        <f ca="1">AG155</f>
        <v>#N/A</v>
      </c>
      <c r="M157" s="386"/>
      <c r="N157" s="386"/>
      <c r="O157" s="184" t="s">
        <v>326</v>
      </c>
      <c r="P157" s="173"/>
      <c r="Q157" s="173"/>
      <c r="R157" s="173" t="s">
        <v>327</v>
      </c>
      <c r="S157" s="395">
        <f>S152</f>
        <v>0.57735026918962584</v>
      </c>
      <c r="T157" s="395"/>
      <c r="U157" s="395"/>
      <c r="V157" s="395"/>
      <c r="W157" s="57" t="s">
        <v>325</v>
      </c>
      <c r="X157" s="173" t="s">
        <v>277</v>
      </c>
      <c r="Y157" s="375" t="e">
        <f ca="1">ABS(L157*S157)</f>
        <v>#N/A</v>
      </c>
      <c r="Z157" s="375"/>
      <c r="AA157" s="375"/>
      <c r="AB157" s="178" t="s">
        <v>328</v>
      </c>
      <c r="AC157" s="178"/>
      <c r="AD157" s="173"/>
      <c r="AE157" s="173"/>
      <c r="AF157" s="189"/>
      <c r="AG157" s="173"/>
      <c r="AH157" s="173"/>
      <c r="AI157" s="175"/>
      <c r="AJ157" s="173"/>
      <c r="AK157" s="175"/>
      <c r="AL157" s="173"/>
      <c r="AM157" s="173"/>
      <c r="AN157" s="173"/>
      <c r="AO157" s="175"/>
      <c r="AP157" s="175"/>
      <c r="AQ157" s="175"/>
      <c r="AR157" s="175"/>
      <c r="AS157" s="175"/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75"/>
      <c r="BE157" s="175"/>
      <c r="BF157" s="175"/>
      <c r="BG157" s="175"/>
      <c r="BH157" s="59"/>
      <c r="BI157" s="59"/>
      <c r="BJ157" s="59"/>
      <c r="BK157" s="59"/>
    </row>
    <row r="158" spans="2:76" s="181" customFormat="1" ht="18.75" customHeight="1">
      <c r="B158" s="173"/>
      <c r="C158" s="374" t="s">
        <v>329</v>
      </c>
      <c r="D158" s="374"/>
      <c r="E158" s="374"/>
      <c r="F158" s="374"/>
      <c r="G158" s="374"/>
      <c r="H158" s="247"/>
      <c r="J158" s="247"/>
      <c r="K158" s="247"/>
      <c r="L158" s="247"/>
      <c r="M158" s="247"/>
      <c r="N158" s="247"/>
      <c r="O158" s="247"/>
      <c r="P158" s="247"/>
      <c r="Q158" s="247"/>
      <c r="R158" s="184"/>
      <c r="S158" s="247"/>
      <c r="T158" s="247"/>
      <c r="U158" s="247"/>
      <c r="W158" s="57" t="s">
        <v>467</v>
      </c>
      <c r="X158" s="247"/>
      <c r="Y158" s="247"/>
      <c r="Z158" s="247"/>
      <c r="AA158" s="247"/>
      <c r="AB158" s="175"/>
      <c r="AC158" s="175"/>
      <c r="AD158" s="175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73"/>
      <c r="BD158" s="173"/>
      <c r="BE158" s="173"/>
      <c r="BF158" s="173"/>
      <c r="BG158" s="173"/>
      <c r="BH158" s="59"/>
      <c r="BI158" s="59"/>
      <c r="BJ158" s="59"/>
      <c r="BK158" s="59"/>
      <c r="BP158" s="59"/>
      <c r="BS158" s="59"/>
      <c r="BT158" s="59"/>
      <c r="BU158" s="59"/>
    </row>
    <row r="159" spans="2:76" s="181" customFormat="1" ht="18.75" customHeight="1">
      <c r="B159" s="173"/>
      <c r="C159" s="374"/>
      <c r="D159" s="374"/>
      <c r="E159" s="374"/>
      <c r="F159" s="374"/>
      <c r="G159" s="374"/>
      <c r="H159" s="247"/>
      <c r="I159" s="247"/>
      <c r="J159" s="247"/>
      <c r="K159" s="247"/>
      <c r="L159" s="247"/>
      <c r="M159" s="247"/>
      <c r="N159" s="247"/>
      <c r="O159" s="247"/>
      <c r="P159" s="247"/>
      <c r="Q159" s="247"/>
      <c r="R159" s="184"/>
      <c r="S159" s="247"/>
      <c r="T159" s="247"/>
      <c r="U159" s="247"/>
      <c r="V159" s="247"/>
      <c r="W159" s="247"/>
      <c r="X159" s="247"/>
      <c r="Y159" s="247"/>
      <c r="Z159" s="247"/>
      <c r="AA159" s="247"/>
      <c r="AB159" s="175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73"/>
      <c r="BC159" s="173"/>
      <c r="BD159" s="173"/>
      <c r="BE159" s="173"/>
      <c r="BF159" s="173"/>
      <c r="BG159" s="173"/>
      <c r="BH159" s="59"/>
      <c r="BI159" s="59"/>
      <c r="BJ159" s="59"/>
      <c r="BK159" s="59"/>
      <c r="BP159" s="59"/>
      <c r="BS159" s="59"/>
      <c r="BT159" s="59"/>
      <c r="BU159" s="59"/>
    </row>
    <row r="160" spans="2:76" s="181" customFormat="1" ht="18.75" customHeight="1">
      <c r="B160" s="173"/>
      <c r="C160" s="175"/>
      <c r="D160" s="175"/>
      <c r="E160" s="175"/>
      <c r="F160" s="175"/>
      <c r="G160" s="173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3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  <c r="AI160" s="173"/>
      <c r="AJ160" s="173"/>
      <c r="AK160" s="173"/>
      <c r="AL160" s="173"/>
      <c r="AM160" s="173"/>
      <c r="AN160" s="173"/>
      <c r="AO160" s="173"/>
      <c r="AP160" s="173"/>
      <c r="AQ160" s="173"/>
      <c r="AR160" s="173"/>
      <c r="AS160" s="173"/>
      <c r="AT160" s="173"/>
      <c r="AU160" s="173"/>
      <c r="AV160" s="173"/>
      <c r="AW160" s="173"/>
      <c r="AX160" s="173"/>
      <c r="AY160" s="173"/>
      <c r="AZ160" s="173"/>
      <c r="BA160" s="173"/>
      <c r="BB160" s="173"/>
      <c r="BC160" s="173"/>
      <c r="BD160" s="173"/>
      <c r="BE160" s="173"/>
      <c r="BF160" s="173"/>
      <c r="BG160" s="173"/>
    </row>
    <row r="161" spans="2:60" s="181" customFormat="1" ht="18.75" customHeight="1">
      <c r="B161" s="58" t="s">
        <v>587</v>
      </c>
      <c r="D161" s="175"/>
      <c r="E161" s="175"/>
      <c r="F161" s="175"/>
      <c r="G161" s="173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3"/>
      <c r="AF161" s="175"/>
      <c r="AG161" s="173"/>
      <c r="AH161" s="173"/>
      <c r="AI161" s="173"/>
      <c r="AJ161" s="173"/>
      <c r="AK161" s="173"/>
      <c r="AL161" s="173"/>
      <c r="AM161" s="173"/>
      <c r="AN161" s="173"/>
      <c r="AO161" s="173"/>
      <c r="AP161" s="173"/>
      <c r="AQ161" s="173"/>
      <c r="AR161" s="173"/>
      <c r="AS161" s="173"/>
      <c r="AT161" s="173"/>
      <c r="AU161" s="173"/>
      <c r="AV161" s="173"/>
      <c r="AW161" s="173"/>
      <c r="AX161" s="173"/>
      <c r="AY161" s="173"/>
      <c r="AZ161" s="173"/>
      <c r="BA161" s="173"/>
      <c r="BB161" s="173"/>
      <c r="BC161" s="173"/>
      <c r="BD161" s="173"/>
      <c r="BE161" s="173"/>
      <c r="BF161" s="173"/>
      <c r="BG161" s="173"/>
    </row>
    <row r="162" spans="2:60" s="181" customFormat="1" ht="18.75" customHeight="1">
      <c r="B162" s="58"/>
      <c r="C162" s="175" t="s">
        <v>484</v>
      </c>
      <c r="D162" s="251"/>
      <c r="E162" s="251"/>
      <c r="F162" s="251"/>
      <c r="G162" s="250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  <c r="AE162" s="250"/>
      <c r="AF162" s="251"/>
      <c r="AG162" s="250"/>
      <c r="AH162" s="250"/>
      <c r="AI162" s="250"/>
      <c r="AJ162" s="250"/>
      <c r="AK162" s="250"/>
      <c r="AL162" s="250"/>
      <c r="AM162" s="250"/>
      <c r="AN162" s="250"/>
      <c r="AO162" s="250"/>
      <c r="AP162" s="250"/>
      <c r="AQ162" s="250"/>
      <c r="AR162" s="250"/>
      <c r="AS162" s="250"/>
      <c r="AT162" s="250"/>
      <c r="AU162" s="250"/>
      <c r="AV162" s="250"/>
      <c r="AW162" s="250"/>
      <c r="AX162" s="250"/>
      <c r="AY162" s="250"/>
      <c r="AZ162" s="250"/>
      <c r="BA162" s="250"/>
      <c r="BB162" s="250"/>
      <c r="BC162" s="250"/>
      <c r="BD162" s="250"/>
      <c r="BE162" s="250"/>
      <c r="BF162" s="250"/>
      <c r="BG162" s="250"/>
    </row>
    <row r="163" spans="2:60" s="181" customFormat="1" ht="18.75" customHeight="1">
      <c r="B163" s="173"/>
      <c r="C163" s="178" t="s">
        <v>331</v>
      </c>
      <c r="D163" s="173"/>
      <c r="E163" s="173"/>
      <c r="F163" s="173"/>
      <c r="G163" s="173"/>
      <c r="H163" s="385">
        <v>0</v>
      </c>
      <c r="I163" s="385"/>
      <c r="J163" s="385"/>
      <c r="K163" s="385"/>
      <c r="L163" s="385"/>
      <c r="M163" s="385"/>
      <c r="N163" s="385"/>
      <c r="O163" s="385"/>
      <c r="P163" s="176"/>
      <c r="Q163" s="175"/>
      <c r="R163" s="175"/>
      <c r="S163" s="175"/>
      <c r="T163" s="175"/>
      <c r="U163" s="175"/>
      <c r="V163" s="175"/>
      <c r="W163" s="175"/>
      <c r="AC163" s="175"/>
      <c r="AD163" s="175"/>
      <c r="AE163" s="175"/>
      <c r="AF163" s="175"/>
      <c r="AG163" s="175"/>
      <c r="AH163" s="175"/>
      <c r="AI163" s="173"/>
      <c r="AJ163" s="173"/>
      <c r="AK163" s="173"/>
      <c r="AL163" s="173"/>
      <c r="AM163" s="173"/>
      <c r="AN163" s="173"/>
      <c r="AO163" s="173"/>
      <c r="AP163" s="173"/>
      <c r="AQ163" s="173"/>
      <c r="AR163" s="173"/>
      <c r="AS163" s="175"/>
      <c r="AT163" s="175"/>
      <c r="AU163" s="175"/>
      <c r="AV163" s="175"/>
      <c r="AW163" s="175"/>
      <c r="AX163" s="175"/>
      <c r="AY163" s="173"/>
      <c r="AZ163" s="173"/>
      <c r="BA163" s="173"/>
      <c r="BB163" s="173"/>
      <c r="BC163" s="173"/>
      <c r="BD163" s="173"/>
      <c r="BE163" s="173"/>
      <c r="BF163" s="173"/>
      <c r="BG163" s="173"/>
    </row>
    <row r="164" spans="2:60" s="181" customFormat="1" ht="18.75" customHeight="1">
      <c r="B164" s="173"/>
      <c r="C164" s="175" t="s">
        <v>332</v>
      </c>
      <c r="D164" s="175"/>
      <c r="E164" s="175"/>
      <c r="F164" s="175"/>
      <c r="G164" s="175"/>
      <c r="H164" s="175"/>
      <c r="I164" s="173"/>
      <c r="J164" s="251" t="s">
        <v>485</v>
      </c>
      <c r="M164" s="175"/>
      <c r="N164" s="175"/>
      <c r="P164" s="376">
        <f>T165/1000</f>
        <v>0</v>
      </c>
      <c r="Q164" s="376"/>
      <c r="R164" s="376"/>
      <c r="S164" s="175" t="s">
        <v>486</v>
      </c>
      <c r="T164" s="253"/>
      <c r="U164" s="175"/>
      <c r="AC164" s="175"/>
      <c r="AD164" s="175"/>
      <c r="AE164" s="175"/>
      <c r="AF164" s="173"/>
      <c r="AG164" s="173"/>
      <c r="AH164" s="173"/>
      <c r="AI164" s="173"/>
      <c r="AJ164" s="173"/>
      <c r="AK164" s="173"/>
      <c r="AL164" s="173"/>
      <c r="AM164" s="173"/>
      <c r="AN164" s="175"/>
      <c r="AO164" s="175"/>
      <c r="AP164" s="175"/>
      <c r="AQ164" s="175"/>
      <c r="AR164" s="175"/>
      <c r="AS164" s="175"/>
      <c r="AT164" s="175"/>
      <c r="AU164" s="175"/>
      <c r="AV164" s="175"/>
      <c r="AW164" s="175"/>
      <c r="AX164" s="175"/>
      <c r="AY164" s="173"/>
      <c r="AZ164" s="173"/>
      <c r="BA164" s="173"/>
      <c r="BB164" s="173"/>
      <c r="BC164" s="173"/>
      <c r="BD164" s="173"/>
      <c r="BE164" s="173"/>
      <c r="BF164" s="173"/>
      <c r="BG164" s="173"/>
    </row>
    <row r="165" spans="2:60" s="181" customFormat="1" ht="18.75" customHeight="1">
      <c r="B165" s="173"/>
      <c r="C165" s="175"/>
      <c r="D165" s="175"/>
      <c r="E165" s="175"/>
      <c r="F165" s="175"/>
      <c r="G165" s="175"/>
      <c r="H165" s="175"/>
      <c r="I165" s="251"/>
      <c r="K165" s="380" t="s">
        <v>592</v>
      </c>
      <c r="L165" s="380"/>
      <c r="M165" s="380"/>
      <c r="N165" s="378" t="s">
        <v>277</v>
      </c>
      <c r="O165" s="455" t="s">
        <v>487</v>
      </c>
      <c r="P165" s="456"/>
      <c r="Q165" s="456"/>
      <c r="R165" s="456"/>
      <c r="S165" s="378" t="s">
        <v>277</v>
      </c>
      <c r="T165" s="383">
        <f>Calcu!G40</f>
        <v>0</v>
      </c>
      <c r="U165" s="383"/>
      <c r="V165" s="255" t="s">
        <v>488</v>
      </c>
      <c r="W165" s="255"/>
      <c r="X165" s="381" t="s">
        <v>277</v>
      </c>
      <c r="Y165" s="375">
        <f>T165/2/SQRT(3)</f>
        <v>0</v>
      </c>
      <c r="Z165" s="375"/>
      <c r="AA165" s="375"/>
      <c r="AB165" s="376" t="str">
        <f>V165</f>
        <v>μm</v>
      </c>
      <c r="AC165" s="376"/>
      <c r="AD165" s="175"/>
      <c r="AE165" s="173"/>
      <c r="AF165" s="173"/>
      <c r="AG165" s="173"/>
      <c r="AH165" s="173"/>
      <c r="AI165" s="173"/>
      <c r="AJ165" s="173"/>
      <c r="AK165" s="173"/>
      <c r="AL165" s="173"/>
      <c r="AM165" s="173"/>
      <c r="AN165" s="173"/>
      <c r="AO165" s="173"/>
      <c r="AP165" s="173"/>
      <c r="AQ165" s="173"/>
      <c r="AR165" s="175"/>
      <c r="AS165" s="175"/>
      <c r="AT165" s="175"/>
      <c r="AU165" s="175"/>
      <c r="AV165" s="175"/>
      <c r="AW165" s="175"/>
      <c r="AX165" s="175"/>
      <c r="AY165" s="175"/>
      <c r="AZ165" s="173"/>
      <c r="BA165" s="173"/>
      <c r="BB165" s="173"/>
      <c r="BC165" s="173"/>
      <c r="BD165" s="173"/>
      <c r="BE165" s="173"/>
      <c r="BF165" s="173"/>
      <c r="BG165" s="173"/>
      <c r="BH165" s="173"/>
    </row>
    <row r="166" spans="2:60" s="181" customFormat="1" ht="18.75" customHeight="1">
      <c r="B166" s="173"/>
      <c r="C166" s="175"/>
      <c r="D166" s="175"/>
      <c r="E166" s="175"/>
      <c r="F166" s="175"/>
      <c r="G166" s="175"/>
      <c r="H166" s="175"/>
      <c r="I166" s="251"/>
      <c r="J166" s="259"/>
      <c r="K166" s="380"/>
      <c r="L166" s="380"/>
      <c r="M166" s="380"/>
      <c r="N166" s="378"/>
      <c r="O166" s="384"/>
      <c r="P166" s="384"/>
      <c r="Q166" s="384"/>
      <c r="R166" s="384"/>
      <c r="S166" s="378"/>
      <c r="T166" s="384"/>
      <c r="U166" s="384"/>
      <c r="V166" s="384"/>
      <c r="W166" s="384"/>
      <c r="X166" s="381"/>
      <c r="Y166" s="375"/>
      <c r="Z166" s="375"/>
      <c r="AA166" s="375"/>
      <c r="AB166" s="376"/>
      <c r="AC166" s="376"/>
      <c r="AD166" s="175"/>
      <c r="AE166" s="173"/>
      <c r="AF166" s="173"/>
      <c r="AG166" s="173"/>
      <c r="AH166" s="173"/>
      <c r="AI166" s="173"/>
      <c r="AJ166" s="173"/>
      <c r="AK166" s="173"/>
      <c r="AL166" s="173"/>
      <c r="AM166" s="173"/>
      <c r="AN166" s="173"/>
      <c r="AO166" s="173"/>
      <c r="AP166" s="173"/>
      <c r="AQ166" s="173"/>
      <c r="AR166" s="175"/>
      <c r="AS166" s="175"/>
      <c r="AT166" s="175"/>
      <c r="AU166" s="175"/>
      <c r="AV166" s="175"/>
      <c r="AW166" s="175"/>
      <c r="AX166" s="175"/>
      <c r="AY166" s="175"/>
      <c r="AZ166" s="173"/>
      <c r="BA166" s="173"/>
      <c r="BB166" s="173"/>
      <c r="BC166" s="173"/>
      <c r="BD166" s="173"/>
      <c r="BE166" s="173"/>
      <c r="BF166" s="173"/>
      <c r="BG166" s="173"/>
      <c r="BH166" s="173"/>
    </row>
    <row r="167" spans="2:60" s="181" customFormat="1" ht="18.75" customHeight="1">
      <c r="B167" s="173"/>
      <c r="C167" s="175" t="s">
        <v>333</v>
      </c>
      <c r="D167" s="175"/>
      <c r="E167" s="175"/>
      <c r="F167" s="175"/>
      <c r="G167" s="175"/>
      <c r="H167" s="175"/>
      <c r="I167" s="379" t="str">
        <f>V65</f>
        <v>직사각형</v>
      </c>
      <c r="J167" s="379"/>
      <c r="K167" s="379"/>
      <c r="L167" s="379"/>
      <c r="M167" s="379"/>
      <c r="N167" s="379"/>
      <c r="O167" s="379"/>
      <c r="P167" s="379"/>
      <c r="Q167" s="175"/>
      <c r="R167" s="175"/>
      <c r="S167" s="175"/>
      <c r="T167" s="175"/>
      <c r="U167" s="175"/>
      <c r="V167" s="175"/>
      <c r="W167" s="175"/>
      <c r="X167" s="175"/>
      <c r="Y167" s="175"/>
      <c r="Z167" s="173"/>
      <c r="AA167" s="173"/>
      <c r="AB167" s="173"/>
      <c r="AC167" s="173"/>
      <c r="AD167" s="173"/>
      <c r="AE167" s="173"/>
      <c r="AF167" s="173"/>
      <c r="AG167" s="173"/>
      <c r="AH167" s="175"/>
      <c r="AI167" s="175"/>
      <c r="AJ167" s="175"/>
      <c r="AK167" s="175"/>
      <c r="AL167" s="175"/>
      <c r="AM167" s="175"/>
      <c r="AN167" s="175"/>
      <c r="AO167" s="175"/>
      <c r="AP167" s="175"/>
      <c r="AQ167" s="175"/>
      <c r="AR167" s="175"/>
      <c r="AS167" s="175"/>
      <c r="AT167" s="175"/>
      <c r="AU167" s="175"/>
      <c r="AV167" s="175"/>
      <c r="AW167" s="175"/>
      <c r="AX167" s="175"/>
      <c r="AY167" s="173"/>
      <c r="AZ167" s="173"/>
      <c r="BA167" s="173"/>
      <c r="BB167" s="173"/>
      <c r="BC167" s="173"/>
      <c r="BD167" s="173"/>
      <c r="BE167" s="173"/>
      <c r="BF167" s="173"/>
      <c r="BG167" s="173"/>
    </row>
    <row r="168" spans="2:60" s="181" customFormat="1" ht="18.75" customHeight="1">
      <c r="B168" s="173"/>
      <c r="C168" s="374" t="s">
        <v>334</v>
      </c>
      <c r="D168" s="374"/>
      <c r="E168" s="374"/>
      <c r="F168" s="374"/>
      <c r="G168" s="374"/>
      <c r="H168" s="374"/>
      <c r="I168" s="175"/>
      <c r="J168" s="175"/>
      <c r="K168" s="175"/>
      <c r="L168" s="175"/>
      <c r="M168" s="175"/>
      <c r="N168" s="378">
        <f>AA65</f>
        <v>1</v>
      </c>
      <c r="O168" s="378"/>
      <c r="P168" s="194"/>
      <c r="Q168" s="194"/>
      <c r="R168" s="194"/>
      <c r="S168" s="175"/>
      <c r="T168" s="175"/>
      <c r="U168" s="175"/>
      <c r="V168" s="175"/>
      <c r="W168" s="175"/>
      <c r="X168" s="175"/>
      <c r="Y168" s="175"/>
      <c r="Z168" s="195"/>
      <c r="AA168" s="19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3"/>
      <c r="AM168" s="173"/>
      <c r="AN168" s="173"/>
      <c r="AO168" s="175"/>
      <c r="AP168" s="175"/>
      <c r="AQ168" s="175"/>
      <c r="AR168" s="175"/>
      <c r="AS168" s="175"/>
      <c r="AT168" s="175"/>
      <c r="AU168" s="175"/>
      <c r="AV168" s="175"/>
      <c r="AW168" s="175"/>
      <c r="AX168" s="175"/>
      <c r="AY168" s="173"/>
      <c r="AZ168" s="173"/>
      <c r="BA168" s="173"/>
      <c r="BB168" s="173"/>
      <c r="BC168" s="173"/>
      <c r="BD168" s="173"/>
      <c r="BE168" s="173"/>
      <c r="BF168" s="173"/>
      <c r="BG168" s="173"/>
    </row>
    <row r="169" spans="2:60" s="181" customFormat="1" ht="18.75" customHeight="1">
      <c r="B169" s="173"/>
      <c r="C169" s="374"/>
      <c r="D169" s="374"/>
      <c r="E169" s="374"/>
      <c r="F169" s="374"/>
      <c r="G169" s="374"/>
      <c r="H169" s="374"/>
      <c r="I169" s="175"/>
      <c r="J169" s="175"/>
      <c r="K169" s="175"/>
      <c r="L169" s="175"/>
      <c r="M169" s="175"/>
      <c r="N169" s="378"/>
      <c r="O169" s="378"/>
      <c r="P169" s="194"/>
      <c r="Q169" s="194"/>
      <c r="R169" s="194"/>
      <c r="S169" s="175"/>
      <c r="T169" s="175"/>
      <c r="U169" s="175"/>
      <c r="V169" s="175"/>
      <c r="W169" s="175"/>
      <c r="X169" s="175"/>
      <c r="Y169" s="175"/>
      <c r="Z169" s="195"/>
      <c r="AA169" s="19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3"/>
      <c r="AM169" s="173"/>
      <c r="AN169" s="173"/>
      <c r="AO169" s="175"/>
      <c r="AP169" s="175"/>
      <c r="AQ169" s="175"/>
      <c r="AR169" s="175"/>
      <c r="AS169" s="175"/>
      <c r="AT169" s="175"/>
      <c r="AU169" s="175"/>
      <c r="AV169" s="175"/>
      <c r="AW169" s="175"/>
      <c r="AX169" s="175"/>
      <c r="AY169" s="173"/>
      <c r="AZ169" s="173"/>
      <c r="BA169" s="173"/>
      <c r="BB169" s="173"/>
      <c r="BC169" s="173"/>
      <c r="BD169" s="173"/>
      <c r="BE169" s="173"/>
      <c r="BF169" s="173"/>
      <c r="BG169" s="173"/>
    </row>
    <row r="170" spans="2:60" s="181" customFormat="1" ht="18.75" customHeight="1">
      <c r="B170" s="173"/>
      <c r="C170" s="175" t="s">
        <v>335</v>
      </c>
      <c r="D170" s="175"/>
      <c r="E170" s="175"/>
      <c r="F170" s="175"/>
      <c r="G170" s="175"/>
      <c r="H170" s="175"/>
      <c r="I170" s="175"/>
      <c r="J170" s="173"/>
      <c r="K170" s="173" t="s">
        <v>325</v>
      </c>
      <c r="L170" s="378">
        <v>1</v>
      </c>
      <c r="M170" s="378"/>
      <c r="N170" s="185" t="s">
        <v>336</v>
      </c>
      <c r="O170" s="375">
        <f>Y165</f>
        <v>0</v>
      </c>
      <c r="P170" s="376"/>
      <c r="Q170" s="376"/>
      <c r="R170" s="377" t="str">
        <f>AB165</f>
        <v>μm</v>
      </c>
      <c r="S170" s="376"/>
      <c r="T170" s="256" t="s">
        <v>489</v>
      </c>
      <c r="U170" s="74" t="s">
        <v>277</v>
      </c>
      <c r="V170" s="375">
        <f>L170*O170</f>
        <v>0</v>
      </c>
      <c r="W170" s="375"/>
      <c r="X170" s="375"/>
      <c r="Y170" s="254" t="str">
        <f>R170</f>
        <v>μm</v>
      </c>
      <c r="Z170" s="56"/>
      <c r="AA170" s="253"/>
      <c r="AB170" s="251"/>
      <c r="AC170" s="184"/>
      <c r="AD170" s="173"/>
      <c r="AE170" s="175"/>
      <c r="AF170" s="173"/>
      <c r="AG170" s="173"/>
      <c r="AH170" s="173"/>
      <c r="AI170" s="173"/>
      <c r="AJ170" s="173"/>
      <c r="AK170" s="175"/>
      <c r="AL170" s="173"/>
      <c r="AM170" s="173"/>
      <c r="AN170" s="173"/>
      <c r="AO170" s="175"/>
      <c r="AP170" s="175"/>
      <c r="AQ170" s="175"/>
      <c r="AR170" s="175"/>
      <c r="AS170" s="175"/>
      <c r="AT170" s="175"/>
      <c r="AU170" s="175"/>
      <c r="AV170" s="175"/>
      <c r="AW170" s="175"/>
      <c r="AX170" s="175"/>
      <c r="AY170" s="173"/>
      <c r="AZ170" s="173"/>
      <c r="BA170" s="173"/>
      <c r="BB170" s="173"/>
      <c r="BC170" s="173"/>
      <c r="BD170" s="173"/>
      <c r="BE170" s="173"/>
      <c r="BF170" s="173"/>
      <c r="BG170" s="173"/>
    </row>
    <row r="171" spans="2:60" s="181" customFormat="1" ht="18.75" customHeight="1">
      <c r="B171" s="173"/>
      <c r="C171" s="374" t="s">
        <v>337</v>
      </c>
      <c r="D171" s="374"/>
      <c r="E171" s="374"/>
      <c r="F171" s="374"/>
      <c r="G171" s="374"/>
      <c r="H171" s="175"/>
      <c r="J171" s="175"/>
      <c r="K171" s="175"/>
      <c r="L171" s="175"/>
      <c r="M171" s="175"/>
      <c r="N171" s="175"/>
      <c r="O171" s="175"/>
      <c r="P171" s="175"/>
      <c r="Q171" s="175"/>
      <c r="R171" s="184"/>
      <c r="S171" s="175"/>
      <c r="T171" s="175"/>
      <c r="U171" s="175"/>
      <c r="W171" s="175"/>
      <c r="X171" s="57" t="s">
        <v>330</v>
      </c>
      <c r="Y171" s="175"/>
      <c r="Z171" s="175"/>
      <c r="AA171" s="175"/>
      <c r="AB171" s="175"/>
      <c r="AC171" s="175"/>
      <c r="AD171" s="175"/>
      <c r="AE171" s="173"/>
      <c r="AF171" s="173"/>
      <c r="AG171" s="173"/>
      <c r="AH171" s="173"/>
      <c r="AI171" s="173"/>
      <c r="AJ171" s="173"/>
      <c r="AK171" s="173"/>
      <c r="AL171" s="173"/>
      <c r="AM171" s="173"/>
      <c r="AN171" s="173"/>
      <c r="AO171" s="173"/>
      <c r="AP171" s="173"/>
      <c r="AQ171" s="173"/>
      <c r="AR171" s="173"/>
      <c r="AS171" s="173"/>
      <c r="AT171" s="173"/>
      <c r="AU171" s="173"/>
      <c r="AV171" s="173"/>
      <c r="AW171" s="173"/>
      <c r="AX171" s="173"/>
      <c r="AY171" s="173"/>
      <c r="AZ171" s="173"/>
      <c r="BA171" s="173"/>
      <c r="BB171" s="173"/>
      <c r="BC171" s="173"/>
      <c r="BD171" s="173"/>
      <c r="BE171" s="173"/>
      <c r="BF171" s="173"/>
      <c r="BG171" s="173"/>
    </row>
    <row r="172" spans="2:60" s="181" customFormat="1" ht="18.75" customHeight="1">
      <c r="B172" s="173"/>
      <c r="C172" s="374"/>
      <c r="D172" s="374"/>
      <c r="E172" s="374"/>
      <c r="F172" s="374"/>
      <c r="G172" s="374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84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3"/>
      <c r="AF172" s="173"/>
      <c r="AG172" s="173"/>
      <c r="AH172" s="173"/>
      <c r="AI172" s="173"/>
      <c r="AJ172" s="173"/>
      <c r="AK172" s="173"/>
      <c r="AL172" s="173"/>
      <c r="AM172" s="173"/>
      <c r="AN172" s="173"/>
      <c r="AO172" s="173"/>
      <c r="AP172" s="173"/>
      <c r="AQ172" s="173"/>
      <c r="AR172" s="173"/>
      <c r="AS172" s="173"/>
      <c r="AT172" s="173"/>
      <c r="AU172" s="173"/>
      <c r="AV172" s="173"/>
      <c r="AW172" s="173"/>
      <c r="AX172" s="173"/>
      <c r="AY172" s="173"/>
      <c r="AZ172" s="173"/>
      <c r="BA172" s="173"/>
      <c r="BB172" s="173"/>
      <c r="BC172" s="173"/>
      <c r="BD172" s="173"/>
      <c r="BE172" s="173"/>
      <c r="BF172" s="173"/>
      <c r="BG172" s="173"/>
    </row>
    <row r="173" spans="2:60" s="181" customFormat="1" ht="18.75" customHeight="1">
      <c r="B173" s="173"/>
      <c r="C173" s="58"/>
      <c r="D173" s="175"/>
      <c r="E173" s="175"/>
      <c r="F173" s="175"/>
      <c r="G173" s="173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3"/>
      <c r="AF173" s="175"/>
      <c r="AG173" s="173"/>
      <c r="AH173" s="173"/>
      <c r="AI173" s="173"/>
      <c r="AJ173" s="173"/>
      <c r="AK173" s="173"/>
      <c r="AL173" s="173"/>
      <c r="AM173" s="173"/>
      <c r="AN173" s="173"/>
      <c r="AO173" s="173"/>
      <c r="AP173" s="173"/>
      <c r="AQ173" s="173"/>
      <c r="AR173" s="173"/>
      <c r="AS173" s="173"/>
      <c r="AT173" s="173"/>
      <c r="AU173" s="173"/>
      <c r="AV173" s="173"/>
      <c r="AW173" s="173"/>
      <c r="AX173" s="173"/>
      <c r="AY173" s="173"/>
      <c r="AZ173" s="173"/>
      <c r="BA173" s="173"/>
      <c r="BB173" s="173"/>
      <c r="BC173" s="173"/>
      <c r="BD173" s="173"/>
      <c r="BE173" s="173"/>
      <c r="BF173" s="173"/>
      <c r="BG173" s="173"/>
    </row>
    <row r="174" spans="2:60" s="181" customFormat="1" ht="18.75" customHeight="1">
      <c r="B174" s="58" t="s">
        <v>590</v>
      </c>
      <c r="C174" s="175"/>
      <c r="E174" s="175"/>
      <c r="F174" s="175"/>
      <c r="G174" s="173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3"/>
      <c r="AF174" s="175"/>
      <c r="AG174" s="173"/>
      <c r="AH174" s="173"/>
      <c r="AI174" s="173"/>
      <c r="AJ174" s="173"/>
      <c r="AK174" s="173"/>
      <c r="AL174" s="173"/>
      <c r="AM174" s="173"/>
      <c r="AN174" s="173"/>
      <c r="AO174" s="173"/>
      <c r="AP174" s="173"/>
      <c r="AQ174" s="173"/>
      <c r="AR174" s="173"/>
      <c r="AS174" s="173"/>
      <c r="AT174" s="173"/>
      <c r="AU174" s="173"/>
      <c r="AV174" s="173"/>
      <c r="AW174" s="173"/>
      <c r="AX174" s="173"/>
      <c r="AY174" s="173"/>
      <c r="AZ174" s="173"/>
      <c r="BA174" s="173"/>
      <c r="BB174" s="173"/>
      <c r="BC174" s="173"/>
      <c r="BD174" s="173"/>
      <c r="BE174" s="173"/>
      <c r="BF174" s="173"/>
      <c r="BG174" s="173"/>
    </row>
    <row r="175" spans="2:60" s="181" customFormat="1" ht="18.75" customHeight="1">
      <c r="B175" s="58"/>
      <c r="C175" s="251" t="s">
        <v>490</v>
      </c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  <c r="AD175" s="251"/>
      <c r="AE175" s="251"/>
      <c r="AF175" s="251"/>
      <c r="AG175" s="251"/>
      <c r="AH175" s="251"/>
      <c r="AI175" s="251"/>
      <c r="AJ175" s="251"/>
      <c r="AK175" s="251"/>
      <c r="AL175" s="251"/>
      <c r="AM175" s="251"/>
      <c r="AN175" s="251"/>
      <c r="AO175" s="251"/>
      <c r="AP175" s="251"/>
      <c r="AQ175" s="251"/>
      <c r="AR175" s="251"/>
      <c r="AS175" s="251"/>
      <c r="AT175" s="251"/>
      <c r="AU175" s="250"/>
      <c r="AV175" s="250"/>
      <c r="AW175" s="250"/>
      <c r="AX175" s="250"/>
      <c r="AY175" s="250"/>
      <c r="AZ175" s="250"/>
      <c r="BA175" s="250"/>
      <c r="BB175" s="250"/>
      <c r="BC175" s="250"/>
      <c r="BD175" s="250"/>
      <c r="BE175" s="250"/>
      <c r="BF175" s="250"/>
      <c r="BG175" s="250"/>
    </row>
    <row r="176" spans="2:60" s="181" customFormat="1" ht="18.75" customHeight="1">
      <c r="B176" s="58"/>
      <c r="C176" s="251"/>
      <c r="D176" s="251" t="s">
        <v>491</v>
      </c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  <c r="AD176" s="251"/>
      <c r="AE176" s="251"/>
      <c r="AF176" s="251"/>
      <c r="AG176" s="251"/>
      <c r="AH176" s="251"/>
      <c r="AI176" s="251"/>
      <c r="AJ176" s="251"/>
      <c r="AK176" s="251"/>
      <c r="AL176" s="251"/>
      <c r="AM176" s="251"/>
      <c r="AN176" s="251"/>
      <c r="AO176" s="251"/>
      <c r="AP176" s="251"/>
      <c r="AQ176" s="251"/>
      <c r="AR176" s="251"/>
      <c r="AS176" s="251"/>
      <c r="AT176" s="251"/>
      <c r="AU176" s="250"/>
      <c r="AV176" s="250"/>
      <c r="AW176" s="250"/>
      <c r="AX176" s="250"/>
      <c r="AY176" s="250"/>
      <c r="AZ176" s="250"/>
      <c r="BA176" s="250"/>
      <c r="BB176" s="250"/>
      <c r="BC176" s="250"/>
      <c r="BD176" s="250"/>
      <c r="BE176" s="250"/>
      <c r="BF176" s="250"/>
      <c r="BG176" s="250"/>
    </row>
    <row r="177" spans="2:60" s="181" customFormat="1" ht="18.75" customHeight="1">
      <c r="B177" s="173"/>
      <c r="C177" s="178" t="s">
        <v>338</v>
      </c>
      <c r="D177" s="173"/>
      <c r="E177" s="173"/>
      <c r="F177" s="173"/>
      <c r="G177" s="173"/>
      <c r="H177" s="385">
        <v>0</v>
      </c>
      <c r="I177" s="385"/>
      <c r="J177" s="385"/>
      <c r="K177" s="385"/>
      <c r="L177" s="385"/>
      <c r="M177" s="385"/>
      <c r="N177" s="385"/>
      <c r="O177" s="385"/>
      <c r="P177" s="176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  <c r="AS177" s="175"/>
      <c r="AT177" s="175"/>
      <c r="AU177" s="175"/>
      <c r="AV177" s="175"/>
      <c r="AW177" s="175"/>
      <c r="AX177" s="175"/>
      <c r="AY177" s="173"/>
      <c r="AZ177" s="173"/>
      <c r="BA177" s="173"/>
      <c r="BB177" s="173"/>
      <c r="BC177" s="173"/>
      <c r="BD177" s="173"/>
      <c r="BE177" s="173"/>
      <c r="BF177" s="173"/>
      <c r="BG177" s="173"/>
    </row>
    <row r="178" spans="2:60" s="181" customFormat="1" ht="18.75" customHeight="1">
      <c r="B178" s="173"/>
      <c r="C178" s="175" t="s">
        <v>339</v>
      </c>
      <c r="D178" s="175"/>
      <c r="E178" s="175"/>
      <c r="F178" s="175"/>
      <c r="G178" s="175"/>
      <c r="H178" s="175"/>
      <c r="I178" s="173"/>
      <c r="J178" s="178" t="s">
        <v>365</v>
      </c>
      <c r="K178" s="196"/>
      <c r="L178" s="196"/>
      <c r="M178" s="196"/>
      <c r="N178" s="196"/>
      <c r="O178" s="382">
        <f>O179/1000</f>
        <v>0</v>
      </c>
      <c r="P178" s="382"/>
      <c r="Q178" s="382"/>
      <c r="R178" s="252" t="s">
        <v>492</v>
      </c>
      <c r="S178" s="252"/>
      <c r="T178" s="252"/>
      <c r="U178" s="196"/>
      <c r="V178" s="196"/>
      <c r="W178" s="196"/>
      <c r="X178" s="196"/>
      <c r="Y178" s="196"/>
      <c r="Z178" s="196"/>
      <c r="AA178" s="196"/>
      <c r="AB178" s="196"/>
      <c r="AC178" s="196"/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196"/>
      <c r="AT178" s="196"/>
      <c r="AU178" s="196"/>
      <c r="AV178" s="196"/>
      <c r="AW178" s="196"/>
      <c r="AX178" s="196"/>
      <c r="AY178" s="196"/>
      <c r="AZ178" s="196"/>
      <c r="BA178" s="196"/>
      <c r="BB178" s="173"/>
      <c r="BC178" s="173"/>
      <c r="BD178" s="173"/>
      <c r="BE178" s="173"/>
      <c r="BF178" s="173"/>
      <c r="BG178" s="173"/>
    </row>
    <row r="179" spans="2:60" s="181" customFormat="1" ht="18.75" customHeight="1">
      <c r="B179" s="173"/>
      <c r="C179" s="175"/>
      <c r="D179" s="175"/>
      <c r="E179" s="175"/>
      <c r="F179" s="175"/>
      <c r="G179" s="175"/>
      <c r="H179" s="175"/>
      <c r="I179" s="251"/>
      <c r="K179" s="380" t="s">
        <v>591</v>
      </c>
      <c r="L179" s="380"/>
      <c r="M179" s="380"/>
      <c r="N179" s="381" t="s">
        <v>277</v>
      </c>
      <c r="O179" s="383">
        <f>Calcu!G41</f>
        <v>0</v>
      </c>
      <c r="P179" s="383"/>
      <c r="Q179" s="255" t="s">
        <v>493</v>
      </c>
      <c r="R179" s="255"/>
      <c r="S179" s="381" t="s">
        <v>277</v>
      </c>
      <c r="T179" s="375">
        <f>O179/SQRT(3)</f>
        <v>0</v>
      </c>
      <c r="U179" s="375"/>
      <c r="V179" s="375"/>
      <c r="W179" s="376" t="str">
        <f>Q179</f>
        <v>μm</v>
      </c>
      <c r="X179" s="376"/>
      <c r="Y179" s="193"/>
      <c r="Z179" s="193"/>
      <c r="AA179" s="193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3"/>
      <c r="AO179" s="173"/>
      <c r="AP179" s="173"/>
      <c r="AQ179" s="173"/>
      <c r="AR179" s="175"/>
      <c r="AS179" s="175"/>
      <c r="AT179" s="175"/>
      <c r="AU179" s="175"/>
      <c r="AV179" s="175"/>
      <c r="AW179" s="175"/>
      <c r="AX179" s="175"/>
      <c r="AY179" s="175"/>
      <c r="AZ179" s="173"/>
      <c r="BA179" s="173"/>
      <c r="BB179" s="173"/>
      <c r="BC179" s="173"/>
      <c r="BD179" s="173"/>
      <c r="BE179" s="173"/>
      <c r="BF179" s="173"/>
      <c r="BG179" s="173"/>
      <c r="BH179" s="173"/>
    </row>
    <row r="180" spans="2:60" s="181" customFormat="1" ht="18.75" customHeight="1">
      <c r="B180" s="173"/>
      <c r="C180" s="175"/>
      <c r="D180" s="175"/>
      <c r="E180" s="175"/>
      <c r="F180" s="175"/>
      <c r="G180" s="175"/>
      <c r="H180" s="175"/>
      <c r="I180" s="251"/>
      <c r="J180" s="259"/>
      <c r="K180" s="380"/>
      <c r="L180" s="380"/>
      <c r="M180" s="380"/>
      <c r="N180" s="381"/>
      <c r="O180" s="384"/>
      <c r="P180" s="384"/>
      <c r="Q180" s="384"/>
      <c r="R180" s="384"/>
      <c r="S180" s="381"/>
      <c r="T180" s="375"/>
      <c r="U180" s="375"/>
      <c r="V180" s="375"/>
      <c r="W180" s="376"/>
      <c r="X180" s="376"/>
      <c r="Y180" s="193"/>
      <c r="Z180" s="193"/>
      <c r="AA180" s="193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3"/>
      <c r="AO180" s="173"/>
      <c r="AP180" s="173"/>
      <c r="AQ180" s="173"/>
      <c r="AR180" s="175"/>
      <c r="AS180" s="175"/>
      <c r="AT180" s="175"/>
      <c r="AU180" s="175"/>
      <c r="AV180" s="175"/>
      <c r="AW180" s="175"/>
      <c r="AX180" s="175"/>
      <c r="AY180" s="175"/>
      <c r="AZ180" s="173"/>
      <c r="BA180" s="173"/>
      <c r="BB180" s="173"/>
      <c r="BC180" s="173"/>
      <c r="BD180" s="173"/>
      <c r="BE180" s="173"/>
      <c r="BF180" s="173"/>
      <c r="BG180" s="173"/>
      <c r="BH180" s="173"/>
    </row>
    <row r="181" spans="2:60" s="181" customFormat="1" ht="18.75" customHeight="1">
      <c r="B181" s="173"/>
      <c r="C181" s="175" t="s">
        <v>340</v>
      </c>
      <c r="D181" s="175"/>
      <c r="E181" s="175"/>
      <c r="F181" s="175"/>
      <c r="G181" s="175"/>
      <c r="H181" s="175"/>
      <c r="I181" s="379" t="str">
        <f>V66</f>
        <v>직사각형</v>
      </c>
      <c r="J181" s="379"/>
      <c r="K181" s="379"/>
      <c r="L181" s="379"/>
      <c r="M181" s="379"/>
      <c r="N181" s="379"/>
      <c r="O181" s="379"/>
      <c r="P181" s="379"/>
      <c r="Q181" s="175"/>
      <c r="R181" s="175"/>
      <c r="S181" s="175"/>
      <c r="T181" s="175"/>
      <c r="U181" s="175"/>
      <c r="V181" s="175"/>
      <c r="W181" s="175"/>
      <c r="X181" s="175"/>
      <c r="Y181" s="175"/>
      <c r="Z181" s="173"/>
      <c r="AA181" s="173"/>
      <c r="AB181" s="173"/>
      <c r="AC181" s="173"/>
      <c r="AD181" s="173"/>
      <c r="AE181" s="173"/>
      <c r="AF181" s="173"/>
      <c r="AG181" s="173"/>
      <c r="AH181" s="175"/>
      <c r="AI181" s="175"/>
      <c r="AJ181" s="175"/>
      <c r="AK181" s="175"/>
      <c r="AL181" s="173"/>
      <c r="AM181" s="173"/>
      <c r="AN181" s="173"/>
      <c r="AO181" s="173"/>
      <c r="AP181" s="173"/>
      <c r="AQ181" s="173"/>
      <c r="AR181" s="173"/>
      <c r="AS181" s="175"/>
      <c r="AT181" s="175"/>
      <c r="AU181" s="175"/>
      <c r="AV181" s="175"/>
      <c r="AW181" s="175"/>
      <c r="AX181" s="175"/>
      <c r="AY181" s="173"/>
      <c r="AZ181" s="173"/>
      <c r="BA181" s="173"/>
      <c r="BB181" s="173"/>
      <c r="BC181" s="173"/>
      <c r="BD181" s="173"/>
      <c r="BE181" s="173"/>
      <c r="BF181" s="173"/>
      <c r="BG181" s="173"/>
    </row>
    <row r="182" spans="2:60" s="181" customFormat="1" ht="18.75" customHeight="1">
      <c r="B182" s="173"/>
      <c r="C182" s="374" t="s">
        <v>341</v>
      </c>
      <c r="D182" s="374"/>
      <c r="E182" s="374"/>
      <c r="F182" s="374"/>
      <c r="G182" s="374"/>
      <c r="H182" s="374"/>
      <c r="I182" s="175"/>
      <c r="J182" s="175"/>
      <c r="K182" s="175"/>
      <c r="L182" s="175"/>
      <c r="M182" s="175"/>
      <c r="N182" s="175"/>
      <c r="O182" s="379">
        <f>AA66</f>
        <v>1</v>
      </c>
      <c r="P182" s="379"/>
      <c r="Q182" s="194"/>
      <c r="R182" s="194"/>
      <c r="S182" s="175"/>
      <c r="T182" s="175"/>
      <c r="U182" s="175"/>
      <c r="V182" s="175"/>
      <c r="W182" s="175"/>
      <c r="X182" s="175"/>
      <c r="Y182" s="175"/>
      <c r="Z182" s="195"/>
      <c r="AA182" s="19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3"/>
      <c r="AM182" s="173"/>
      <c r="AN182" s="173"/>
      <c r="AO182" s="175"/>
      <c r="AP182" s="175"/>
      <c r="AQ182" s="175"/>
      <c r="AR182" s="175"/>
      <c r="AS182" s="175"/>
      <c r="AT182" s="175"/>
      <c r="AU182" s="175"/>
      <c r="AV182" s="175"/>
      <c r="AW182" s="175"/>
      <c r="AX182" s="175"/>
      <c r="AY182" s="173"/>
      <c r="AZ182" s="173"/>
      <c r="BA182" s="173"/>
      <c r="BB182" s="173"/>
      <c r="BC182" s="173"/>
      <c r="BD182" s="173"/>
      <c r="BE182" s="173"/>
      <c r="BF182" s="173"/>
      <c r="BG182" s="173"/>
    </row>
    <row r="183" spans="2:60" s="181" customFormat="1" ht="18.75" customHeight="1">
      <c r="B183" s="173"/>
      <c r="C183" s="374"/>
      <c r="D183" s="374"/>
      <c r="E183" s="374"/>
      <c r="F183" s="374"/>
      <c r="G183" s="374"/>
      <c r="H183" s="374"/>
      <c r="I183" s="175"/>
      <c r="J183" s="175"/>
      <c r="K183" s="175"/>
      <c r="L183" s="175"/>
      <c r="M183" s="175"/>
      <c r="N183" s="175"/>
      <c r="O183" s="379"/>
      <c r="P183" s="379"/>
      <c r="Q183" s="194"/>
      <c r="R183" s="194"/>
      <c r="S183" s="175"/>
      <c r="T183" s="175"/>
      <c r="U183" s="175"/>
      <c r="V183" s="175"/>
      <c r="W183" s="175"/>
      <c r="X183" s="175"/>
      <c r="Y183" s="175"/>
      <c r="Z183" s="195"/>
      <c r="AA183" s="19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3"/>
      <c r="AM183" s="173"/>
      <c r="AN183" s="173"/>
      <c r="AO183" s="175"/>
      <c r="AP183" s="175"/>
      <c r="AQ183" s="175"/>
      <c r="AR183" s="175"/>
      <c r="AS183" s="175"/>
      <c r="AT183" s="175"/>
      <c r="AU183" s="175"/>
      <c r="AV183" s="175"/>
      <c r="AW183" s="175"/>
      <c r="AX183" s="175"/>
      <c r="AY183" s="173"/>
      <c r="AZ183" s="173"/>
      <c r="BA183" s="173"/>
      <c r="BB183" s="173"/>
      <c r="BC183" s="173"/>
      <c r="BD183" s="173"/>
      <c r="BE183" s="173"/>
      <c r="BF183" s="173"/>
      <c r="BG183" s="173"/>
    </row>
    <row r="184" spans="2:60" s="181" customFormat="1" ht="18.75" customHeight="1">
      <c r="B184" s="173"/>
      <c r="C184" s="175" t="s">
        <v>342</v>
      </c>
      <c r="D184" s="175"/>
      <c r="E184" s="175"/>
      <c r="F184" s="175"/>
      <c r="G184" s="175"/>
      <c r="H184" s="175"/>
      <c r="I184" s="175"/>
      <c r="J184" s="173"/>
      <c r="K184" s="173" t="s">
        <v>299</v>
      </c>
      <c r="L184" s="378">
        <v>1</v>
      </c>
      <c r="M184" s="378"/>
      <c r="N184" s="257" t="s">
        <v>85</v>
      </c>
      <c r="O184" s="375">
        <f>T179</f>
        <v>0</v>
      </c>
      <c r="P184" s="376"/>
      <c r="Q184" s="376"/>
      <c r="R184" s="377" t="str">
        <f>W179</f>
        <v>μm</v>
      </c>
      <c r="S184" s="376"/>
      <c r="T184" s="256" t="s">
        <v>84</v>
      </c>
      <c r="U184" s="74" t="s">
        <v>277</v>
      </c>
      <c r="V184" s="375">
        <f>L184*O184</f>
        <v>0</v>
      </c>
      <c r="W184" s="375"/>
      <c r="X184" s="375"/>
      <c r="Y184" s="254" t="str">
        <f>R184</f>
        <v>μm</v>
      </c>
      <c r="Z184" s="56"/>
      <c r="AA184" s="253"/>
      <c r="AB184" s="251"/>
      <c r="AC184" s="184"/>
      <c r="AD184" s="173"/>
      <c r="AE184" s="175"/>
      <c r="AF184" s="173"/>
      <c r="AG184" s="173"/>
      <c r="AH184" s="173"/>
      <c r="AI184" s="173"/>
      <c r="AJ184" s="173"/>
      <c r="AK184" s="175"/>
      <c r="AL184" s="173"/>
      <c r="AM184" s="173"/>
      <c r="AN184" s="173"/>
      <c r="AO184" s="175"/>
      <c r="AP184" s="175"/>
      <c r="AQ184" s="175"/>
      <c r="AR184" s="175"/>
      <c r="AS184" s="175"/>
      <c r="AT184" s="175"/>
      <c r="AU184" s="175"/>
      <c r="AV184" s="175"/>
      <c r="AW184" s="175"/>
      <c r="AX184" s="175"/>
      <c r="AY184" s="173"/>
      <c r="AZ184" s="173"/>
      <c r="BA184" s="173"/>
      <c r="BB184" s="173"/>
      <c r="BC184" s="173"/>
      <c r="BD184" s="173"/>
      <c r="BE184" s="173"/>
      <c r="BF184" s="173"/>
      <c r="BG184" s="173"/>
    </row>
    <row r="185" spans="2:60" s="181" customFormat="1" ht="18.75" customHeight="1">
      <c r="B185" s="173"/>
      <c r="C185" s="374" t="s">
        <v>343</v>
      </c>
      <c r="D185" s="374"/>
      <c r="E185" s="374"/>
      <c r="F185" s="374"/>
      <c r="G185" s="374"/>
      <c r="H185" s="175"/>
      <c r="J185" s="175"/>
      <c r="K185" s="175"/>
      <c r="L185" s="175"/>
      <c r="M185" s="175"/>
      <c r="N185" s="175"/>
      <c r="O185" s="175"/>
      <c r="P185" s="175"/>
      <c r="Q185" s="175"/>
      <c r="R185" s="184"/>
      <c r="S185" s="175"/>
      <c r="T185" s="175"/>
      <c r="U185" s="175"/>
      <c r="X185" s="57" t="s">
        <v>93</v>
      </c>
      <c r="Y185" s="175"/>
      <c r="Z185" s="175"/>
      <c r="AA185" s="175"/>
      <c r="AB185" s="175"/>
      <c r="AC185" s="175"/>
      <c r="AD185" s="175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/>
      <c r="AP185" s="173"/>
      <c r="AQ185" s="173"/>
      <c r="AR185" s="173"/>
      <c r="AS185" s="173"/>
      <c r="AT185" s="173"/>
      <c r="AU185" s="173"/>
      <c r="AV185" s="173"/>
      <c r="AW185" s="173"/>
      <c r="AX185" s="173"/>
      <c r="AY185" s="173"/>
      <c r="AZ185" s="173"/>
      <c r="BA185" s="173"/>
      <c r="BB185" s="173"/>
      <c r="BC185" s="173"/>
      <c r="BD185" s="173"/>
      <c r="BE185" s="173"/>
      <c r="BF185" s="173"/>
      <c r="BG185" s="173"/>
    </row>
    <row r="186" spans="2:60" s="181" customFormat="1" ht="18.75" customHeight="1">
      <c r="B186" s="173"/>
      <c r="C186" s="374"/>
      <c r="D186" s="374"/>
      <c r="E186" s="374"/>
      <c r="F186" s="374"/>
      <c r="G186" s="374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84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3"/>
      <c r="AF186" s="175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R186" s="173"/>
      <c r="AS186" s="173"/>
      <c r="AT186" s="173"/>
      <c r="AU186" s="173"/>
      <c r="AV186" s="173"/>
      <c r="AW186" s="173"/>
      <c r="AX186" s="173"/>
      <c r="AY186" s="173"/>
      <c r="AZ186" s="173"/>
      <c r="BA186" s="173"/>
      <c r="BB186" s="173"/>
      <c r="BC186" s="173"/>
      <c r="BD186" s="173"/>
      <c r="BE186" s="173"/>
      <c r="BF186" s="173"/>
      <c r="BG186" s="173"/>
    </row>
    <row r="187" spans="2:60" s="181" customFormat="1" ht="18.75" customHeight="1">
      <c r="B187" s="173"/>
      <c r="C187" s="175"/>
      <c r="D187" s="175"/>
      <c r="E187" s="175"/>
      <c r="F187" s="175"/>
      <c r="G187" s="173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3"/>
      <c r="AF187" s="175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R187" s="173"/>
      <c r="AS187" s="173"/>
      <c r="AT187" s="173"/>
      <c r="AU187" s="173"/>
      <c r="AV187" s="173"/>
      <c r="AW187" s="173"/>
      <c r="AX187" s="173"/>
      <c r="AY187" s="173"/>
      <c r="AZ187" s="173"/>
      <c r="BA187" s="173"/>
      <c r="BB187" s="173"/>
      <c r="BC187" s="173"/>
      <c r="BD187" s="173"/>
      <c r="BE187" s="173"/>
      <c r="BF187" s="173"/>
      <c r="BG187" s="173"/>
    </row>
    <row r="188" spans="2:60" s="181" customFormat="1" ht="18.75" customHeight="1">
      <c r="B188" s="58" t="s">
        <v>474</v>
      </c>
      <c r="C188" s="243"/>
      <c r="E188" s="243"/>
      <c r="F188" s="243"/>
      <c r="G188" s="241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3"/>
      <c r="S188" s="243"/>
      <c r="T188" s="243"/>
      <c r="U188" s="243"/>
      <c r="V188" s="243"/>
      <c r="W188" s="243"/>
      <c r="X188" s="243"/>
      <c r="Y188" s="243"/>
      <c r="Z188" s="243"/>
      <c r="AA188" s="243"/>
      <c r="AB188" s="243"/>
      <c r="AC188" s="243"/>
      <c r="AD188" s="243"/>
      <c r="AE188" s="241"/>
      <c r="AF188" s="243"/>
      <c r="AG188" s="241"/>
      <c r="AH188" s="241"/>
      <c r="AI188" s="241"/>
      <c r="AJ188" s="241"/>
      <c r="AK188" s="241"/>
      <c r="AL188" s="241"/>
      <c r="AM188" s="241"/>
      <c r="AN188" s="241"/>
      <c r="AO188" s="241"/>
      <c r="AP188" s="241"/>
      <c r="AQ188" s="241"/>
      <c r="AR188" s="241"/>
      <c r="AS188" s="241"/>
      <c r="AT188" s="241"/>
      <c r="AU188" s="241"/>
      <c r="AV188" s="241"/>
      <c r="AW188" s="241"/>
      <c r="AX188" s="241"/>
      <c r="AY188" s="241"/>
      <c r="AZ188" s="241"/>
      <c r="BA188" s="241"/>
      <c r="BB188" s="241"/>
      <c r="BC188" s="241"/>
      <c r="BD188" s="241"/>
      <c r="BE188" s="241"/>
      <c r="BF188" s="241"/>
      <c r="BG188" s="241"/>
    </row>
    <row r="189" spans="2:60" s="181" customFormat="1" ht="18.75" customHeight="1">
      <c r="B189" s="58"/>
      <c r="C189" s="251" t="s">
        <v>496</v>
      </c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1"/>
      <c r="AD189" s="251"/>
      <c r="AE189" s="251"/>
      <c r="AF189" s="251"/>
      <c r="AG189" s="251"/>
      <c r="AH189" s="251"/>
      <c r="AI189" s="251"/>
      <c r="AJ189" s="251"/>
      <c r="AK189" s="251"/>
      <c r="AL189" s="251"/>
      <c r="AM189" s="251"/>
      <c r="AN189" s="251"/>
      <c r="AO189" s="251"/>
      <c r="AP189" s="251"/>
      <c r="AQ189" s="251"/>
      <c r="AR189" s="251"/>
      <c r="AS189" s="251"/>
      <c r="AT189" s="251"/>
      <c r="AU189" s="250"/>
      <c r="AV189" s="250"/>
      <c r="AW189" s="250"/>
      <c r="AX189" s="250"/>
      <c r="AY189" s="250"/>
      <c r="AZ189" s="250"/>
      <c r="BA189" s="250"/>
      <c r="BB189" s="250"/>
      <c r="BC189" s="250"/>
      <c r="BD189" s="250"/>
      <c r="BE189" s="250"/>
      <c r="BF189" s="250"/>
      <c r="BG189" s="250"/>
    </row>
    <row r="190" spans="2:60" s="181" customFormat="1" ht="18.75" customHeight="1">
      <c r="B190" s="58"/>
      <c r="C190" s="251"/>
      <c r="D190" s="251" t="s">
        <v>497</v>
      </c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1"/>
      <c r="AD190" s="251"/>
      <c r="AE190" s="251"/>
      <c r="AF190" s="251"/>
      <c r="AG190" s="251"/>
      <c r="AH190" s="251"/>
      <c r="AI190" s="251"/>
      <c r="AJ190" s="251"/>
      <c r="AK190" s="251"/>
      <c r="AL190" s="251"/>
      <c r="AM190" s="251"/>
      <c r="AN190" s="251"/>
      <c r="AO190" s="251"/>
      <c r="AP190" s="251"/>
      <c r="AQ190" s="251"/>
      <c r="AR190" s="251"/>
      <c r="AS190" s="251"/>
      <c r="AT190" s="251"/>
      <c r="AU190" s="250"/>
      <c r="AV190" s="250"/>
      <c r="AW190" s="250"/>
      <c r="AX190" s="250"/>
      <c r="AY190" s="250"/>
      <c r="AZ190" s="250"/>
      <c r="BA190" s="250"/>
      <c r="BB190" s="250"/>
      <c r="BC190" s="250"/>
      <c r="BD190" s="250"/>
      <c r="BE190" s="250"/>
      <c r="BF190" s="250"/>
      <c r="BG190" s="250"/>
    </row>
    <row r="191" spans="2:60" s="181" customFormat="1" ht="18.75" customHeight="1">
      <c r="B191" s="241"/>
      <c r="C191" s="242" t="s">
        <v>459</v>
      </c>
      <c r="D191" s="241"/>
      <c r="E191" s="241"/>
      <c r="F191" s="241"/>
      <c r="G191" s="241"/>
      <c r="H191" s="385">
        <v>0</v>
      </c>
      <c r="I191" s="385"/>
      <c r="J191" s="385"/>
      <c r="K191" s="385"/>
      <c r="L191" s="385"/>
      <c r="M191" s="385"/>
      <c r="N191" s="385"/>
      <c r="O191" s="385"/>
      <c r="P191" s="244"/>
      <c r="Q191" s="243"/>
      <c r="R191" s="243"/>
      <c r="S191" s="243"/>
      <c r="T191" s="243"/>
      <c r="U191" s="243"/>
      <c r="V191" s="243"/>
      <c r="W191" s="243"/>
      <c r="X191" s="243"/>
      <c r="Y191" s="243"/>
      <c r="Z191" s="243"/>
      <c r="AA191" s="243"/>
      <c r="AB191" s="243"/>
      <c r="AC191" s="243"/>
      <c r="AD191" s="243"/>
      <c r="AE191" s="243"/>
      <c r="AF191" s="243"/>
      <c r="AG191" s="243"/>
      <c r="AH191" s="243"/>
      <c r="AI191" s="243"/>
      <c r="AJ191" s="243"/>
      <c r="AK191" s="243"/>
      <c r="AL191" s="243"/>
      <c r="AM191" s="243"/>
      <c r="AN191" s="243"/>
      <c r="AO191" s="243"/>
      <c r="AP191" s="243"/>
      <c r="AQ191" s="243"/>
      <c r="AR191" s="243"/>
      <c r="AS191" s="243"/>
      <c r="AT191" s="243"/>
      <c r="AU191" s="243"/>
      <c r="AV191" s="243"/>
      <c r="AW191" s="243"/>
      <c r="AX191" s="243"/>
      <c r="AY191" s="241"/>
      <c r="AZ191" s="241"/>
      <c r="BA191" s="241"/>
      <c r="BB191" s="241"/>
      <c r="BC191" s="241"/>
      <c r="BD191" s="241"/>
      <c r="BE191" s="241"/>
      <c r="BF191" s="241"/>
      <c r="BG191" s="241"/>
    </row>
    <row r="192" spans="2:60" s="181" customFormat="1" ht="18.75" customHeight="1">
      <c r="B192" s="241"/>
      <c r="C192" s="243" t="s">
        <v>460</v>
      </c>
      <c r="D192" s="243"/>
      <c r="E192" s="243"/>
      <c r="F192" s="243"/>
      <c r="G192" s="243"/>
      <c r="H192" s="243"/>
      <c r="I192" s="241"/>
      <c r="J192" s="242" t="s">
        <v>465</v>
      </c>
      <c r="K192" s="196"/>
      <c r="L192" s="196"/>
      <c r="M192" s="196"/>
      <c r="N192" s="196"/>
      <c r="O192" s="382">
        <f>O193/1000</f>
        <v>0</v>
      </c>
      <c r="P192" s="382"/>
      <c r="Q192" s="382"/>
      <c r="R192" s="253" t="s">
        <v>486</v>
      </c>
      <c r="S192" s="252"/>
      <c r="T192" s="252"/>
      <c r="U192" s="196"/>
      <c r="V192" s="196"/>
      <c r="W192" s="196"/>
      <c r="X192" s="196"/>
      <c r="Y192" s="196"/>
      <c r="Z192" s="196"/>
      <c r="AA192" s="196"/>
      <c r="AB192" s="196"/>
      <c r="AC192" s="196"/>
      <c r="AD192" s="196"/>
      <c r="AE192" s="196"/>
      <c r="AF192" s="196"/>
      <c r="AG192" s="196"/>
      <c r="AH192" s="196"/>
      <c r="AI192" s="196"/>
      <c r="AJ192" s="196"/>
      <c r="AK192" s="196"/>
      <c r="AL192" s="196"/>
      <c r="AM192" s="196"/>
      <c r="AN192" s="196"/>
      <c r="AO192" s="196"/>
      <c r="AP192" s="196"/>
      <c r="AQ192" s="196"/>
      <c r="AR192" s="196"/>
      <c r="AS192" s="196"/>
      <c r="AT192" s="196"/>
      <c r="AU192" s="196"/>
      <c r="AV192" s="196"/>
      <c r="AW192" s="196"/>
      <c r="AX192" s="196"/>
      <c r="AY192" s="196"/>
      <c r="AZ192" s="196"/>
      <c r="BA192" s="196"/>
      <c r="BB192" s="241"/>
      <c r="BC192" s="241"/>
      <c r="BD192" s="241"/>
      <c r="BE192" s="241"/>
      <c r="BF192" s="241"/>
      <c r="BG192" s="241"/>
    </row>
    <row r="193" spans="1:60" s="181" customFormat="1" ht="18.75" customHeight="1">
      <c r="B193" s="241"/>
      <c r="C193" s="243"/>
      <c r="D193" s="243"/>
      <c r="E193" s="243"/>
      <c r="K193" s="380" t="s">
        <v>494</v>
      </c>
      <c r="L193" s="380"/>
      <c r="M193" s="380"/>
      <c r="N193" s="381" t="s">
        <v>277</v>
      </c>
      <c r="O193" s="383">
        <f>Calcu!G42</f>
        <v>0</v>
      </c>
      <c r="P193" s="383"/>
      <c r="Q193" s="255" t="s">
        <v>495</v>
      </c>
      <c r="R193" s="255"/>
      <c r="S193" s="381" t="s">
        <v>277</v>
      </c>
      <c r="T193" s="375">
        <f>O193/SQRT(3)</f>
        <v>0</v>
      </c>
      <c r="U193" s="375"/>
      <c r="V193" s="375"/>
      <c r="W193" s="376" t="str">
        <f>Q193</f>
        <v>μm</v>
      </c>
      <c r="X193" s="376"/>
      <c r="Y193" s="193"/>
      <c r="Z193" s="193"/>
      <c r="AA193" s="193"/>
      <c r="AB193" s="243"/>
      <c r="AC193" s="243"/>
      <c r="AD193" s="243"/>
      <c r="AE193" s="243"/>
      <c r="AF193" s="243"/>
      <c r="AG193" s="243"/>
      <c r="AH193" s="243"/>
      <c r="AI193" s="243"/>
      <c r="AJ193" s="243"/>
      <c r="AK193" s="243"/>
      <c r="AL193" s="243"/>
      <c r="AM193" s="243"/>
      <c r="AN193" s="241"/>
      <c r="AO193" s="241"/>
      <c r="AP193" s="241"/>
      <c r="AQ193" s="241"/>
      <c r="AR193" s="243"/>
      <c r="AS193" s="243"/>
      <c r="AT193" s="243"/>
      <c r="AU193" s="243"/>
      <c r="AV193" s="243"/>
      <c r="AW193" s="243"/>
      <c r="AX193" s="243"/>
      <c r="AY193" s="243"/>
      <c r="AZ193" s="241"/>
      <c r="BA193" s="241"/>
      <c r="BB193" s="241"/>
      <c r="BC193" s="241"/>
      <c r="BD193" s="241"/>
      <c r="BE193" s="241"/>
      <c r="BF193" s="241"/>
      <c r="BG193" s="241"/>
      <c r="BH193" s="241"/>
    </row>
    <row r="194" spans="1:60" s="181" customFormat="1" ht="18.75" customHeight="1">
      <c r="B194" s="241"/>
      <c r="C194" s="243"/>
      <c r="D194" s="243"/>
      <c r="E194" s="243"/>
      <c r="K194" s="380"/>
      <c r="L194" s="380"/>
      <c r="M194" s="380"/>
      <c r="N194" s="381"/>
      <c r="O194" s="384"/>
      <c r="P194" s="384"/>
      <c r="Q194" s="384"/>
      <c r="R194" s="384"/>
      <c r="S194" s="381"/>
      <c r="T194" s="375"/>
      <c r="U194" s="375"/>
      <c r="V194" s="375"/>
      <c r="W194" s="376"/>
      <c r="X194" s="376"/>
      <c r="Y194" s="193"/>
      <c r="Z194" s="193"/>
      <c r="AA194" s="193"/>
      <c r="AB194" s="243"/>
      <c r="AC194" s="243"/>
      <c r="AD194" s="243"/>
      <c r="AE194" s="243"/>
      <c r="AF194" s="243"/>
      <c r="AG194" s="243"/>
      <c r="AH194" s="243"/>
      <c r="AI194" s="243"/>
      <c r="AJ194" s="243"/>
      <c r="AK194" s="243"/>
      <c r="AL194" s="243"/>
      <c r="AM194" s="243"/>
      <c r="AN194" s="241"/>
      <c r="AO194" s="241"/>
      <c r="AP194" s="241"/>
      <c r="AQ194" s="241"/>
      <c r="AR194" s="243"/>
      <c r="AS194" s="243"/>
      <c r="AT194" s="243"/>
      <c r="AU194" s="243"/>
      <c r="AV194" s="243"/>
      <c r="AW194" s="243"/>
      <c r="AX194" s="243"/>
      <c r="AY194" s="243"/>
      <c r="AZ194" s="241"/>
      <c r="BA194" s="241"/>
      <c r="BB194" s="241"/>
      <c r="BC194" s="241"/>
      <c r="BD194" s="241"/>
      <c r="BE194" s="241"/>
      <c r="BF194" s="241"/>
      <c r="BG194" s="241"/>
      <c r="BH194" s="241"/>
    </row>
    <row r="195" spans="1:60" s="181" customFormat="1" ht="18.75" customHeight="1">
      <c r="B195" s="241"/>
      <c r="C195" s="243" t="s">
        <v>461</v>
      </c>
      <c r="D195" s="243"/>
      <c r="E195" s="243"/>
      <c r="F195" s="243"/>
      <c r="G195" s="243"/>
      <c r="H195" s="243"/>
      <c r="I195" s="379" t="str">
        <f>V67</f>
        <v>직사각형</v>
      </c>
      <c r="J195" s="379"/>
      <c r="K195" s="379"/>
      <c r="L195" s="379"/>
      <c r="M195" s="379"/>
      <c r="N195" s="379"/>
      <c r="O195" s="379"/>
      <c r="P195" s="379"/>
      <c r="Q195" s="243"/>
      <c r="R195" s="243"/>
      <c r="S195" s="243"/>
      <c r="T195" s="243"/>
      <c r="U195" s="243"/>
      <c r="V195" s="243"/>
      <c r="W195" s="243"/>
      <c r="X195" s="243"/>
      <c r="Y195" s="243"/>
      <c r="Z195" s="241"/>
      <c r="AA195" s="241"/>
      <c r="AB195" s="241"/>
      <c r="AC195" s="241"/>
      <c r="AD195" s="241"/>
      <c r="AE195" s="241"/>
      <c r="AF195" s="241"/>
      <c r="AG195" s="241"/>
      <c r="AH195" s="243"/>
      <c r="AI195" s="243"/>
      <c r="AJ195" s="243"/>
      <c r="AK195" s="243"/>
      <c r="AL195" s="241"/>
      <c r="AM195" s="241"/>
      <c r="AN195" s="241"/>
      <c r="AO195" s="241"/>
      <c r="AP195" s="241"/>
      <c r="AQ195" s="241"/>
      <c r="AR195" s="241"/>
      <c r="AS195" s="243"/>
      <c r="AT195" s="243"/>
      <c r="AU195" s="243"/>
      <c r="AV195" s="243"/>
      <c r="AW195" s="243"/>
      <c r="AX195" s="243"/>
      <c r="AY195" s="241"/>
      <c r="AZ195" s="241"/>
      <c r="BA195" s="241"/>
      <c r="BB195" s="241"/>
      <c r="BC195" s="241"/>
      <c r="BD195" s="241"/>
      <c r="BE195" s="241"/>
      <c r="BF195" s="241"/>
      <c r="BG195" s="241"/>
    </row>
    <row r="196" spans="1:60" s="181" customFormat="1" ht="18.75" customHeight="1">
      <c r="B196" s="241"/>
      <c r="C196" s="374" t="s">
        <v>462</v>
      </c>
      <c r="D196" s="374"/>
      <c r="E196" s="374"/>
      <c r="F196" s="374"/>
      <c r="G196" s="374"/>
      <c r="H196" s="374"/>
      <c r="I196" s="243"/>
      <c r="J196" s="243"/>
      <c r="K196" s="243"/>
      <c r="L196" s="243"/>
      <c r="M196" s="243"/>
      <c r="N196" s="378">
        <f>AA67</f>
        <v>1</v>
      </c>
      <c r="O196" s="378"/>
      <c r="P196" s="194"/>
      <c r="Q196" s="194"/>
      <c r="R196" s="194"/>
      <c r="S196" s="243"/>
      <c r="T196" s="243"/>
      <c r="U196" s="243"/>
      <c r="V196" s="243"/>
      <c r="W196" s="243"/>
      <c r="X196" s="243"/>
      <c r="Y196" s="243"/>
      <c r="Z196" s="195"/>
      <c r="AA196" s="195"/>
      <c r="AB196" s="243"/>
      <c r="AC196" s="243"/>
      <c r="AD196" s="243"/>
      <c r="AE196" s="243"/>
      <c r="AF196" s="243"/>
      <c r="AG196" s="243"/>
      <c r="AH196" s="243"/>
      <c r="AI196" s="243"/>
      <c r="AJ196" s="243"/>
      <c r="AK196" s="243"/>
      <c r="AL196" s="241"/>
      <c r="AM196" s="241"/>
      <c r="AN196" s="241"/>
      <c r="AO196" s="243"/>
      <c r="AP196" s="243"/>
      <c r="AQ196" s="243"/>
      <c r="AR196" s="243"/>
      <c r="AS196" s="243"/>
      <c r="AT196" s="243"/>
      <c r="AU196" s="243"/>
      <c r="AV196" s="243"/>
      <c r="AW196" s="243"/>
      <c r="AX196" s="243"/>
      <c r="AY196" s="241"/>
      <c r="AZ196" s="241"/>
      <c r="BA196" s="241"/>
      <c r="BB196" s="241"/>
      <c r="BC196" s="241"/>
      <c r="BD196" s="241"/>
      <c r="BE196" s="241"/>
      <c r="BF196" s="241"/>
      <c r="BG196" s="241"/>
    </row>
    <row r="197" spans="1:60" s="181" customFormat="1" ht="18.75" customHeight="1">
      <c r="B197" s="241"/>
      <c r="C197" s="374"/>
      <c r="D197" s="374"/>
      <c r="E197" s="374"/>
      <c r="F197" s="374"/>
      <c r="G197" s="374"/>
      <c r="H197" s="374"/>
      <c r="I197" s="243"/>
      <c r="J197" s="243"/>
      <c r="K197" s="243"/>
      <c r="L197" s="243"/>
      <c r="M197" s="243"/>
      <c r="N197" s="378"/>
      <c r="O197" s="378"/>
      <c r="P197" s="194"/>
      <c r="Q197" s="194"/>
      <c r="R197" s="194"/>
      <c r="S197" s="243"/>
      <c r="T197" s="243"/>
      <c r="U197" s="243"/>
      <c r="V197" s="243"/>
      <c r="W197" s="243"/>
      <c r="X197" s="243"/>
      <c r="Y197" s="243"/>
      <c r="Z197" s="195"/>
      <c r="AA197" s="195"/>
      <c r="AB197" s="243"/>
      <c r="AC197" s="243"/>
      <c r="AD197" s="243"/>
      <c r="AE197" s="243"/>
      <c r="AF197" s="243"/>
      <c r="AG197" s="243"/>
      <c r="AH197" s="243"/>
      <c r="AI197" s="243"/>
      <c r="AJ197" s="243"/>
      <c r="AK197" s="243"/>
      <c r="AL197" s="241"/>
      <c r="AM197" s="241"/>
      <c r="AN197" s="241"/>
      <c r="AO197" s="243"/>
      <c r="AP197" s="243"/>
      <c r="AQ197" s="243"/>
      <c r="AR197" s="243"/>
      <c r="AS197" s="243"/>
      <c r="AT197" s="243"/>
      <c r="AU197" s="243"/>
      <c r="AV197" s="243"/>
      <c r="AW197" s="243"/>
      <c r="AX197" s="243"/>
      <c r="AY197" s="241"/>
      <c r="AZ197" s="241"/>
      <c r="BA197" s="241"/>
      <c r="BB197" s="241"/>
      <c r="BC197" s="241"/>
      <c r="BD197" s="241"/>
      <c r="BE197" s="241"/>
      <c r="BF197" s="241"/>
      <c r="BG197" s="241"/>
    </row>
    <row r="198" spans="1:60" s="181" customFormat="1" ht="18.75" customHeight="1">
      <c r="B198" s="241"/>
      <c r="C198" s="243" t="s">
        <v>463</v>
      </c>
      <c r="D198" s="243"/>
      <c r="E198" s="243"/>
      <c r="F198" s="243"/>
      <c r="G198" s="243"/>
      <c r="H198" s="243"/>
      <c r="I198" s="243"/>
      <c r="J198" s="241"/>
      <c r="K198" s="241" t="s">
        <v>299</v>
      </c>
      <c r="L198" s="378">
        <v>1</v>
      </c>
      <c r="M198" s="378"/>
      <c r="N198" s="257" t="s">
        <v>85</v>
      </c>
      <c r="O198" s="375">
        <f>T193</f>
        <v>0</v>
      </c>
      <c r="P198" s="376"/>
      <c r="Q198" s="376"/>
      <c r="R198" s="377" t="str">
        <f>W193</f>
        <v>μm</v>
      </c>
      <c r="S198" s="376"/>
      <c r="T198" s="256" t="s">
        <v>84</v>
      </c>
      <c r="U198" s="74" t="s">
        <v>277</v>
      </c>
      <c r="V198" s="375">
        <f>L198*O198</f>
        <v>0</v>
      </c>
      <c r="W198" s="375"/>
      <c r="X198" s="375"/>
      <c r="Y198" s="254" t="str">
        <f>R198</f>
        <v>μm</v>
      </c>
      <c r="Z198" s="56"/>
      <c r="AA198" s="253"/>
      <c r="AB198" s="251"/>
      <c r="AC198" s="184"/>
      <c r="AD198" s="250"/>
      <c r="AE198" s="243"/>
      <c r="AF198" s="241"/>
      <c r="AG198" s="241"/>
      <c r="AH198" s="241"/>
      <c r="AI198" s="241"/>
      <c r="AJ198" s="241"/>
      <c r="AK198" s="243"/>
      <c r="AL198" s="241"/>
      <c r="AM198" s="241"/>
      <c r="AN198" s="241"/>
      <c r="AO198" s="243"/>
      <c r="AP198" s="243"/>
      <c r="AQ198" s="243"/>
      <c r="AR198" s="243"/>
      <c r="AS198" s="243"/>
      <c r="AT198" s="243"/>
      <c r="AU198" s="243"/>
      <c r="AV198" s="243"/>
      <c r="AW198" s="243"/>
      <c r="AX198" s="243"/>
      <c r="AY198" s="241"/>
      <c r="AZ198" s="241"/>
      <c r="BA198" s="241"/>
      <c r="BB198" s="241"/>
      <c r="BC198" s="241"/>
      <c r="BD198" s="241"/>
      <c r="BE198" s="241"/>
      <c r="BF198" s="241"/>
      <c r="BG198" s="241"/>
    </row>
    <row r="199" spans="1:60" s="181" customFormat="1" ht="18.75" customHeight="1">
      <c r="B199" s="241"/>
      <c r="C199" s="374" t="s">
        <v>464</v>
      </c>
      <c r="D199" s="374"/>
      <c r="E199" s="374"/>
      <c r="F199" s="374"/>
      <c r="G199" s="374"/>
      <c r="H199" s="243"/>
      <c r="J199" s="243"/>
      <c r="K199" s="243"/>
      <c r="L199" s="243"/>
      <c r="M199" s="243"/>
      <c r="N199" s="243"/>
      <c r="O199" s="243"/>
      <c r="P199" s="243"/>
      <c r="Q199" s="243"/>
      <c r="R199" s="184"/>
      <c r="S199" s="243"/>
      <c r="T199" s="243"/>
      <c r="U199" s="243"/>
      <c r="X199" s="57" t="s">
        <v>93</v>
      </c>
      <c r="Y199" s="243"/>
      <c r="Z199" s="243"/>
      <c r="AA199" s="243"/>
      <c r="AB199" s="243"/>
      <c r="AC199" s="243"/>
      <c r="AD199" s="243"/>
      <c r="AE199" s="241"/>
      <c r="AF199" s="241"/>
      <c r="AG199" s="241"/>
      <c r="AH199" s="241"/>
      <c r="AI199" s="241"/>
      <c r="AJ199" s="241"/>
      <c r="AK199" s="241"/>
      <c r="AL199" s="241"/>
      <c r="AM199" s="241"/>
      <c r="AN199" s="241"/>
      <c r="AO199" s="241"/>
      <c r="AP199" s="241"/>
      <c r="AQ199" s="241"/>
      <c r="AR199" s="241"/>
      <c r="AS199" s="241"/>
      <c r="AT199" s="241"/>
      <c r="AU199" s="241"/>
      <c r="AV199" s="241"/>
      <c r="AW199" s="241"/>
      <c r="AX199" s="241"/>
      <c r="AY199" s="241"/>
      <c r="AZ199" s="241"/>
      <c r="BA199" s="241"/>
      <c r="BB199" s="241"/>
      <c r="BC199" s="241"/>
      <c r="BD199" s="241"/>
      <c r="BE199" s="241"/>
      <c r="BF199" s="241"/>
      <c r="BG199" s="241"/>
    </row>
    <row r="200" spans="1:60" s="181" customFormat="1" ht="18.75" customHeight="1">
      <c r="B200" s="241"/>
      <c r="C200" s="374"/>
      <c r="D200" s="374"/>
      <c r="E200" s="374"/>
      <c r="F200" s="374"/>
      <c r="G200" s="374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184"/>
      <c r="S200" s="243"/>
      <c r="T200" s="243"/>
      <c r="U200" s="243"/>
      <c r="V200" s="243"/>
      <c r="W200" s="243"/>
      <c r="X200" s="243"/>
      <c r="Y200" s="243"/>
      <c r="Z200" s="243"/>
      <c r="AA200" s="243"/>
      <c r="AB200" s="243"/>
      <c r="AC200" s="243"/>
      <c r="AD200" s="243"/>
      <c r="AE200" s="241"/>
      <c r="AF200" s="243"/>
      <c r="AG200" s="241"/>
      <c r="AH200" s="241"/>
      <c r="AI200" s="241"/>
      <c r="AJ200" s="241"/>
      <c r="AK200" s="241"/>
      <c r="AL200" s="241"/>
      <c r="AM200" s="241"/>
      <c r="AN200" s="241"/>
      <c r="AO200" s="241"/>
      <c r="AP200" s="241"/>
      <c r="AQ200" s="241"/>
      <c r="AR200" s="241"/>
      <c r="AS200" s="241"/>
      <c r="AT200" s="241"/>
      <c r="AU200" s="241"/>
      <c r="AV200" s="241"/>
      <c r="AW200" s="241"/>
      <c r="AX200" s="241"/>
      <c r="AY200" s="241"/>
      <c r="AZ200" s="241"/>
      <c r="BA200" s="241"/>
      <c r="BB200" s="241"/>
      <c r="BC200" s="241"/>
      <c r="BD200" s="241"/>
      <c r="BE200" s="241"/>
      <c r="BF200" s="241"/>
      <c r="BG200" s="241"/>
    </row>
    <row r="201" spans="1:60" s="181" customFormat="1" ht="18.75" customHeight="1">
      <c r="B201" s="241"/>
      <c r="C201" s="243"/>
      <c r="D201" s="243"/>
      <c r="E201" s="243"/>
      <c r="F201" s="243"/>
      <c r="G201" s="241"/>
      <c r="H201" s="243"/>
      <c r="I201" s="243"/>
      <c r="J201" s="243"/>
      <c r="K201" s="243"/>
      <c r="L201" s="243"/>
      <c r="M201" s="243"/>
      <c r="N201" s="243"/>
      <c r="O201" s="243"/>
      <c r="P201" s="243"/>
      <c r="Q201" s="243"/>
      <c r="R201" s="243"/>
      <c r="S201" s="243"/>
      <c r="T201" s="243"/>
      <c r="U201" s="243"/>
      <c r="V201" s="243"/>
      <c r="W201" s="243"/>
      <c r="X201" s="243"/>
      <c r="Y201" s="243"/>
      <c r="Z201" s="243"/>
      <c r="AA201" s="243"/>
      <c r="AB201" s="243"/>
      <c r="AC201" s="243"/>
      <c r="AD201" s="243"/>
      <c r="AE201" s="241"/>
      <c r="AF201" s="243"/>
      <c r="AG201" s="241"/>
      <c r="AH201" s="241"/>
      <c r="AI201" s="241"/>
      <c r="AJ201" s="241"/>
      <c r="AK201" s="241"/>
      <c r="AL201" s="241"/>
      <c r="AM201" s="241"/>
      <c r="AN201" s="241"/>
      <c r="AO201" s="241"/>
      <c r="AP201" s="241"/>
      <c r="AQ201" s="241"/>
      <c r="AR201" s="241"/>
      <c r="AS201" s="241"/>
      <c r="AT201" s="241"/>
      <c r="AU201" s="241"/>
      <c r="AV201" s="241"/>
      <c r="AW201" s="241"/>
      <c r="AX201" s="241"/>
      <c r="AY201" s="241"/>
      <c r="AZ201" s="241"/>
      <c r="BA201" s="241"/>
      <c r="BB201" s="241"/>
      <c r="BC201" s="241"/>
      <c r="BD201" s="241"/>
      <c r="BE201" s="241"/>
      <c r="BF201" s="241"/>
      <c r="BG201" s="241"/>
    </row>
    <row r="202" spans="1:60" s="181" customFormat="1" ht="18.75" customHeight="1">
      <c r="A202" s="58" t="s">
        <v>344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3"/>
      <c r="AG202" s="173"/>
      <c r="AH202" s="173"/>
      <c r="AI202" s="173"/>
      <c r="AJ202" s="173"/>
      <c r="AK202" s="173"/>
      <c r="AL202" s="173"/>
      <c r="AM202" s="173"/>
      <c r="AN202" s="173"/>
      <c r="AO202" s="173"/>
      <c r="AP202" s="173"/>
      <c r="AQ202" s="173"/>
      <c r="AR202" s="173"/>
      <c r="AS202" s="173"/>
      <c r="AT202" s="173"/>
      <c r="AU202" s="173"/>
      <c r="AV202" s="173"/>
      <c r="AW202" s="173"/>
      <c r="AX202" s="173"/>
      <c r="AY202" s="173"/>
      <c r="AZ202" s="173"/>
      <c r="BA202" s="173"/>
      <c r="BB202" s="173"/>
      <c r="BC202" s="173"/>
      <c r="BD202" s="173"/>
      <c r="BE202" s="173"/>
      <c r="BF202" s="173"/>
    </row>
    <row r="203" spans="1:60" s="181" customFormat="1" ht="18.75" customHeight="1">
      <c r="A203" s="173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175"/>
      <c r="AF203" s="173"/>
      <c r="AG203" s="173"/>
      <c r="AH203" s="173"/>
      <c r="AI203" s="173"/>
      <c r="AJ203" s="173"/>
      <c r="AK203" s="173"/>
      <c r="AL203" s="173"/>
      <c r="AM203" s="173"/>
      <c r="AN203" s="173"/>
      <c r="AO203" s="173"/>
      <c r="AP203" s="173"/>
      <c r="AQ203" s="173"/>
      <c r="AR203" s="173"/>
      <c r="AS203" s="173"/>
      <c r="AT203" s="173"/>
      <c r="AU203" s="173"/>
      <c r="AV203" s="173"/>
      <c r="AW203" s="173"/>
      <c r="AX203" s="173"/>
      <c r="AY203" s="173"/>
      <c r="AZ203" s="173"/>
      <c r="BA203" s="173"/>
      <c r="BB203" s="173"/>
      <c r="BC203" s="173"/>
      <c r="BD203" s="173"/>
      <c r="BE203" s="173"/>
      <c r="BF203" s="173"/>
    </row>
    <row r="204" spans="1:60" s="59" customFormat="1" ht="18.75" customHeight="1">
      <c r="C204" s="175"/>
      <c r="D204" s="175"/>
      <c r="E204" s="173" t="s">
        <v>278</v>
      </c>
      <c r="F204" s="461" t="e">
        <f ca="1">Calcu!Q34</f>
        <v>#N/A</v>
      </c>
      <c r="G204" s="461"/>
      <c r="H204" s="461"/>
      <c r="I204" s="175" t="s">
        <v>328</v>
      </c>
      <c r="J204" s="175"/>
      <c r="K204" s="378" t="s">
        <v>100</v>
      </c>
      <c r="L204" s="378"/>
      <c r="M204" s="461">
        <f>Calcu!Q35</f>
        <v>0</v>
      </c>
      <c r="N204" s="461"/>
      <c r="O204" s="461"/>
      <c r="P204" s="175" t="s">
        <v>144</v>
      </c>
      <c r="Q204" s="175"/>
      <c r="R204" s="378" t="s">
        <v>345</v>
      </c>
      <c r="S204" s="378"/>
      <c r="T204" s="461" t="e">
        <f>Calcu!Q36</f>
        <v>#VALUE!</v>
      </c>
      <c r="U204" s="461"/>
      <c r="V204" s="461"/>
      <c r="W204" s="175" t="s">
        <v>144</v>
      </c>
      <c r="X204" s="175"/>
      <c r="Y204" s="378" t="s">
        <v>345</v>
      </c>
      <c r="Z204" s="378"/>
      <c r="AA204" s="461" t="e">
        <f>Calcu!Q38</f>
        <v>#VALUE!</v>
      </c>
      <c r="AB204" s="461"/>
      <c r="AC204" s="461"/>
      <c r="AD204" s="175" t="s">
        <v>144</v>
      </c>
      <c r="AE204" s="175"/>
      <c r="AF204" s="378" t="s">
        <v>345</v>
      </c>
      <c r="AG204" s="378"/>
      <c r="AH204" s="461" t="e">
        <f ca="1">Calcu!Q37</f>
        <v>#N/A</v>
      </c>
      <c r="AI204" s="461"/>
      <c r="AJ204" s="461"/>
      <c r="AK204" s="175" t="s">
        <v>328</v>
      </c>
      <c r="AL204" s="175"/>
      <c r="AM204" s="175"/>
      <c r="AN204" s="175"/>
      <c r="AO204" s="178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75"/>
      <c r="BE204" s="175"/>
      <c r="BF204" s="175"/>
      <c r="BG204" s="175"/>
      <c r="BH204" s="175"/>
    </row>
    <row r="205" spans="1:60" s="59" customFormat="1" ht="18.75" customHeight="1">
      <c r="C205" s="175"/>
      <c r="D205" s="175"/>
      <c r="E205" s="175"/>
      <c r="F205" s="378" t="s">
        <v>345</v>
      </c>
      <c r="G205" s="378"/>
      <c r="H205" s="461" t="e">
        <f ca="1">Calcu!Q39</f>
        <v>#N/A</v>
      </c>
      <c r="I205" s="461"/>
      <c r="J205" s="461"/>
      <c r="K205" s="175" t="s">
        <v>328</v>
      </c>
      <c r="L205" s="175"/>
      <c r="M205" s="378" t="s">
        <v>345</v>
      </c>
      <c r="N205" s="378"/>
      <c r="O205" s="461">
        <f>Calcu!Q40</f>
        <v>0</v>
      </c>
      <c r="P205" s="461"/>
      <c r="Q205" s="461"/>
      <c r="R205" s="175" t="s">
        <v>144</v>
      </c>
      <c r="S205" s="175"/>
      <c r="T205" s="378" t="s">
        <v>345</v>
      </c>
      <c r="U205" s="378"/>
      <c r="V205" s="461">
        <f>Calcu!Q41</f>
        <v>0</v>
      </c>
      <c r="W205" s="461"/>
      <c r="X205" s="461"/>
      <c r="Y205" s="175" t="s">
        <v>144</v>
      </c>
      <c r="Z205" s="175"/>
      <c r="AA205" s="175"/>
      <c r="AB205" s="175"/>
      <c r="AC205" s="175"/>
      <c r="AD205" s="63"/>
      <c r="AE205" s="63"/>
      <c r="AF205" s="63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5"/>
      <c r="AT205" s="175"/>
      <c r="AU205" s="175"/>
      <c r="AV205" s="175"/>
      <c r="AW205" s="175"/>
      <c r="AX205" s="175"/>
      <c r="AY205" s="175"/>
      <c r="AZ205" s="175"/>
      <c r="BA205" s="175"/>
      <c r="BB205" s="175"/>
      <c r="BC205" s="175"/>
      <c r="BD205" s="175"/>
      <c r="BE205" s="175"/>
      <c r="BF205" s="175"/>
      <c r="BG205" s="175"/>
      <c r="BH205" s="175"/>
    </row>
    <row r="206" spans="1:60" s="59" customFormat="1" ht="18.75" customHeight="1">
      <c r="C206" s="175"/>
      <c r="D206" s="175"/>
      <c r="E206" s="173" t="s">
        <v>277</v>
      </c>
      <c r="F206" s="461" t="e">
        <f ca="1">Calcu!Q43</f>
        <v>#N/A</v>
      </c>
      <c r="G206" s="461"/>
      <c r="H206" s="461"/>
      <c r="I206" s="175" t="s">
        <v>144</v>
      </c>
      <c r="J206" s="175"/>
      <c r="K206" s="175"/>
      <c r="L206" s="175"/>
      <c r="M206" s="197"/>
      <c r="N206" s="197"/>
      <c r="O206" s="197"/>
      <c r="P206" s="197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3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75"/>
      <c r="BE206" s="175"/>
      <c r="BF206" s="175"/>
      <c r="BG206" s="175"/>
      <c r="BH206" s="175"/>
    </row>
    <row r="207" spans="1:60" s="59" customFormat="1" ht="18.75" customHeight="1">
      <c r="A207" s="175"/>
      <c r="B207" s="175"/>
      <c r="C207" s="175"/>
      <c r="D207" s="177"/>
      <c r="I207" s="173"/>
      <c r="J207" s="173"/>
      <c r="K207" s="198"/>
      <c r="L207" s="198"/>
      <c r="M207" s="198"/>
      <c r="N207" s="198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75"/>
      <c r="BE207" s="175"/>
      <c r="BF207" s="175"/>
    </row>
    <row r="208" spans="1:60" s="181" customFormat="1" ht="18.75" customHeight="1">
      <c r="A208" s="173"/>
      <c r="B208" s="173"/>
      <c r="C208" s="173"/>
      <c r="D208" s="185" t="s">
        <v>539</v>
      </c>
      <c r="E208" s="267" t="s">
        <v>277</v>
      </c>
      <c r="F208" s="461" t="e">
        <f ca="1">F206</f>
        <v>#N/A</v>
      </c>
      <c r="G208" s="461"/>
      <c r="H208" s="461"/>
      <c r="I208" s="175" t="s">
        <v>328</v>
      </c>
      <c r="J208" s="197"/>
      <c r="K208" s="197"/>
      <c r="L208" s="197"/>
      <c r="M208" s="197"/>
      <c r="N208" s="173"/>
      <c r="O208" s="173"/>
      <c r="P208" s="175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  <c r="AB208" s="173"/>
      <c r="AC208" s="173"/>
      <c r="AD208" s="173"/>
      <c r="AE208" s="175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R208" s="173"/>
      <c r="AS208" s="173"/>
      <c r="AT208" s="173"/>
      <c r="AU208" s="173"/>
      <c r="AV208" s="173"/>
      <c r="AW208" s="173"/>
      <c r="AX208" s="173"/>
      <c r="AY208" s="173"/>
      <c r="AZ208" s="173"/>
      <c r="BA208" s="173"/>
      <c r="BB208" s="173"/>
      <c r="BC208" s="173"/>
      <c r="BD208" s="173"/>
      <c r="BE208" s="173"/>
      <c r="BF208" s="173"/>
    </row>
    <row r="209" spans="1:80" s="175" customFormat="1" ht="18.75" customHeight="1"/>
    <row r="210" spans="1:80" ht="18.75" customHeight="1">
      <c r="A210" s="58" t="s">
        <v>346</v>
      </c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</row>
    <row r="211" spans="1:80" ht="18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393" t="e">
        <f ca="1">F208</f>
        <v>#N/A</v>
      </c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93"/>
      <c r="AA211" s="393"/>
      <c r="AB211" s="393"/>
      <c r="AC211" s="393"/>
      <c r="AD211" s="393"/>
      <c r="AE211" s="393"/>
      <c r="AF211" s="393"/>
      <c r="AG211" s="393"/>
      <c r="AH211" s="393"/>
      <c r="AI211" s="393"/>
      <c r="AJ211" s="393"/>
      <c r="AK211" s="393"/>
      <c r="AL211" s="393"/>
      <c r="AM211" s="393"/>
      <c r="AN211" s="393"/>
      <c r="AO211" s="393"/>
      <c r="AP211" s="393"/>
      <c r="AQ211" s="393"/>
      <c r="AR211" s="393"/>
      <c r="AS211" s="393"/>
      <c r="AT211" s="393"/>
      <c r="AU211" s="393"/>
      <c r="AV211" s="393"/>
      <c r="AW211" s="393"/>
      <c r="AX211" s="393"/>
      <c r="AY211" s="378" t="s">
        <v>278</v>
      </c>
      <c r="AZ211" s="391" t="e">
        <f>TRIM(Calcu!S43)</f>
        <v>#VALUE!</v>
      </c>
      <c r="BA211" s="391"/>
      <c r="BB211" s="391"/>
      <c r="BC211" s="57"/>
      <c r="BD211" s="57"/>
      <c r="BE211" s="57"/>
      <c r="BF211" s="57"/>
      <c r="BG211" s="175"/>
      <c r="BH211" s="175"/>
      <c r="BK211" s="199"/>
      <c r="BL211" s="199"/>
      <c r="BM211" s="199"/>
      <c r="BN211" s="199"/>
      <c r="BO211" s="19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</row>
    <row r="212" spans="1:80" ht="18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392" t="e">
        <f ca="1">Calcu!Q34</f>
        <v>#N/A</v>
      </c>
      <c r="M212" s="392"/>
      <c r="N212" s="392"/>
      <c r="O212" s="392"/>
      <c r="P212" s="378" t="s">
        <v>100</v>
      </c>
      <c r="Q212" s="392">
        <f>Calcu!Q35</f>
        <v>0</v>
      </c>
      <c r="R212" s="392"/>
      <c r="S212" s="392"/>
      <c r="T212" s="392"/>
      <c r="U212" s="378" t="s">
        <v>100</v>
      </c>
      <c r="V212" s="393" t="e">
        <f>Calcu!Q36</f>
        <v>#VALUE!</v>
      </c>
      <c r="W212" s="393"/>
      <c r="X212" s="393"/>
      <c r="Y212" s="393"/>
      <c r="Z212" s="378" t="s">
        <v>345</v>
      </c>
      <c r="AA212" s="392" t="e">
        <f>Calcu!Q38</f>
        <v>#VALUE!</v>
      </c>
      <c r="AB212" s="392"/>
      <c r="AC212" s="392"/>
      <c r="AD212" s="392"/>
      <c r="AE212" s="378" t="s">
        <v>100</v>
      </c>
      <c r="AF212" s="393" t="e">
        <f ca="1">Calcu!Q37</f>
        <v>#N/A</v>
      </c>
      <c r="AG212" s="393"/>
      <c r="AH212" s="393"/>
      <c r="AI212" s="393"/>
      <c r="AJ212" s="378" t="s">
        <v>345</v>
      </c>
      <c r="AK212" s="393" t="e">
        <f ca="1">Calcu!Q39</f>
        <v>#N/A</v>
      </c>
      <c r="AL212" s="393"/>
      <c r="AM212" s="393"/>
      <c r="AN212" s="393"/>
      <c r="AO212" s="378" t="s">
        <v>345</v>
      </c>
      <c r="AP212" s="393">
        <f>Calcu!Q40</f>
        <v>0</v>
      </c>
      <c r="AQ212" s="393"/>
      <c r="AR212" s="393"/>
      <c r="AS212" s="393"/>
      <c r="AT212" s="378" t="s">
        <v>100</v>
      </c>
      <c r="AU212" s="393">
        <f>Calcu!Q41</f>
        <v>0</v>
      </c>
      <c r="AV212" s="393"/>
      <c r="AW212" s="393"/>
      <c r="AX212" s="393"/>
      <c r="AY212" s="378"/>
      <c r="AZ212" s="391"/>
      <c r="BA212" s="391"/>
      <c r="BB212" s="391"/>
      <c r="BC212" s="57"/>
      <c r="BD212" s="57"/>
      <c r="BE212" s="57"/>
      <c r="BF212" s="57"/>
      <c r="BG212" s="57"/>
      <c r="BH212" s="57"/>
      <c r="BK212" s="199"/>
      <c r="BL212" s="199"/>
      <c r="BM212" s="199"/>
      <c r="BN212" s="199"/>
      <c r="BO212" s="199"/>
    </row>
    <row r="213" spans="1:80" ht="18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378" t="str">
        <f>Calcu!S34</f>
        <v>∞</v>
      </c>
      <c r="M213" s="378"/>
      <c r="N213" s="378"/>
      <c r="O213" s="378"/>
      <c r="P213" s="378"/>
      <c r="Q213" s="378" t="str">
        <f>Calcu!S35</f>
        <v>∞</v>
      </c>
      <c r="R213" s="378"/>
      <c r="S213" s="378"/>
      <c r="T213" s="378"/>
      <c r="U213" s="378"/>
      <c r="V213" s="378">
        <f>Calcu!S36</f>
        <v>100</v>
      </c>
      <c r="W213" s="378"/>
      <c r="X213" s="378"/>
      <c r="Y213" s="378"/>
      <c r="Z213" s="378"/>
      <c r="AA213" s="378">
        <f>Calcu!S38</f>
        <v>100</v>
      </c>
      <c r="AB213" s="378"/>
      <c r="AC213" s="378"/>
      <c r="AD213" s="378"/>
      <c r="AE213" s="378"/>
      <c r="AF213" s="394">
        <f>Calcu!S37</f>
        <v>12</v>
      </c>
      <c r="AG213" s="394"/>
      <c r="AH213" s="394"/>
      <c r="AI213" s="394"/>
      <c r="AJ213" s="378"/>
      <c r="AK213" s="378">
        <f>Calcu!S39</f>
        <v>12</v>
      </c>
      <c r="AL213" s="378"/>
      <c r="AM213" s="378"/>
      <c r="AN213" s="378"/>
      <c r="AO213" s="378"/>
      <c r="AP213" s="378" t="str">
        <f>Calcu!S40</f>
        <v>∞</v>
      </c>
      <c r="AQ213" s="378"/>
      <c r="AR213" s="378"/>
      <c r="AS213" s="378"/>
      <c r="AT213" s="378"/>
      <c r="AU213" s="378" t="str">
        <f>Calcu!S41</f>
        <v>∞</v>
      </c>
      <c r="AV213" s="378"/>
      <c r="AW213" s="378"/>
      <c r="AX213" s="378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</row>
    <row r="214" spans="1:80" ht="18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</row>
    <row r="215" spans="1:80" ht="18.75" customHeight="1">
      <c r="A215" s="58" t="s">
        <v>417</v>
      </c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</row>
    <row r="216" spans="1:80" ht="18.75" customHeight="1">
      <c r="A216" s="58"/>
      <c r="B216" s="57" t="s">
        <v>347</v>
      </c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</row>
    <row r="217" spans="1:80" ht="18.75" customHeight="1">
      <c r="A217" s="58"/>
      <c r="B217" s="57"/>
      <c r="C217" s="57" t="s">
        <v>348</v>
      </c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</row>
    <row r="218" spans="1:80" ht="18.75" customHeight="1">
      <c r="A218" s="58"/>
      <c r="B218" s="57"/>
      <c r="C218" s="56" t="s">
        <v>349</v>
      </c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</row>
    <row r="219" spans="1:80" ht="18.75" customHeight="1">
      <c r="A219" s="58"/>
      <c r="B219" s="57"/>
      <c r="C219" s="175" t="s">
        <v>350</v>
      </c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</row>
    <row r="220" spans="1:80" ht="18.75" customHeight="1">
      <c r="A220" s="58"/>
      <c r="B220" s="57"/>
      <c r="D220" s="57"/>
      <c r="E220" s="185"/>
      <c r="F220" s="57"/>
      <c r="G220" s="179"/>
      <c r="H220" s="173"/>
      <c r="I220" s="173"/>
      <c r="J220" s="173"/>
      <c r="R220" s="185"/>
      <c r="S220" s="200"/>
      <c r="T220" s="200"/>
      <c r="U220" s="200"/>
      <c r="V220" s="200"/>
      <c r="W220" s="200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</row>
    <row r="221" spans="1:80" ht="18.75" customHeight="1">
      <c r="A221" s="58"/>
      <c r="B221" s="57" t="s">
        <v>352</v>
      </c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</row>
    <row r="222" spans="1:80" ht="18.75" customHeight="1">
      <c r="A222" s="58"/>
      <c r="B222" s="57"/>
      <c r="C222" s="57" t="s">
        <v>353</v>
      </c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</row>
    <row r="223" spans="1:80" ht="18.75" customHeight="1">
      <c r="B223" s="57"/>
      <c r="C223" s="57" t="s">
        <v>414</v>
      </c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</row>
    <row r="224" spans="1:80" ht="18.75" customHeight="1">
      <c r="A224" s="57"/>
      <c r="B224" s="57"/>
      <c r="C224" s="56" t="s">
        <v>425</v>
      </c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</row>
    <row r="225" spans="1:54" ht="18.75" customHeight="1">
      <c r="A225" s="57"/>
      <c r="B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</row>
    <row r="226" spans="1:54" ht="18.75" customHeight="1">
      <c r="A226" s="57"/>
      <c r="B226" s="57"/>
      <c r="C226" s="57"/>
      <c r="D226" s="57"/>
      <c r="E226" s="60"/>
      <c r="F226" s="57"/>
      <c r="G226" s="57"/>
      <c r="H226" s="179" t="s">
        <v>354</v>
      </c>
      <c r="I226" s="378" t="e">
        <f ca="1">Calcu!E58</f>
        <v>#N/A</v>
      </c>
      <c r="J226" s="378"/>
      <c r="K226" s="378"/>
      <c r="L226" s="180" t="s">
        <v>351</v>
      </c>
      <c r="M226" s="390" t="e">
        <f ca="1">F208</f>
        <v>#N/A</v>
      </c>
      <c r="N226" s="390"/>
      <c r="O226" s="390"/>
      <c r="P226" s="390"/>
      <c r="Q226" s="57" t="s">
        <v>355</v>
      </c>
      <c r="R226" s="389" t="e">
        <f ca="1">I226*M226</f>
        <v>#N/A</v>
      </c>
      <c r="S226" s="389"/>
      <c r="T226" s="389"/>
      <c r="U226" s="389"/>
      <c r="V226" s="173"/>
      <c r="W226" s="178"/>
      <c r="AL226" s="57"/>
      <c r="AM226" s="57"/>
      <c r="AN226" s="57"/>
      <c r="AO226" s="57"/>
      <c r="AP226" s="57"/>
      <c r="AQ226" s="57"/>
      <c r="AR226" s="57"/>
      <c r="AS226" s="57"/>
      <c r="AT226" s="57"/>
    </row>
  </sheetData>
  <mergeCells count="568">
    <mergeCell ref="R198:S198"/>
    <mergeCell ref="V198:X198"/>
    <mergeCell ref="N196:O197"/>
    <mergeCell ref="I195:P195"/>
    <mergeCell ref="V95:X95"/>
    <mergeCell ref="Y95:Z95"/>
    <mergeCell ref="V87:V88"/>
    <mergeCell ref="W87:Y88"/>
    <mergeCell ref="Z87:AA88"/>
    <mergeCell ref="Y109:Z110"/>
    <mergeCell ref="AA109:AA110"/>
    <mergeCell ref="X165:X166"/>
    <mergeCell ref="P164:R164"/>
    <mergeCell ref="S152:U153"/>
    <mergeCell ref="V152:W153"/>
    <mergeCell ref="R152:R153"/>
    <mergeCell ref="I154:P154"/>
    <mergeCell ref="C99:U99"/>
    <mergeCell ref="L95:M95"/>
    <mergeCell ref="O95:Q95"/>
    <mergeCell ref="R95:S95"/>
    <mergeCell ref="N122:O122"/>
    <mergeCell ref="S122:U123"/>
    <mergeCell ref="Y125:Y126"/>
    <mergeCell ref="AF109:AL110"/>
    <mergeCell ref="F206:H206"/>
    <mergeCell ref="F208:H208"/>
    <mergeCell ref="L211:AX211"/>
    <mergeCell ref="AU213:AX213"/>
    <mergeCell ref="M204:O204"/>
    <mergeCell ref="R204:S204"/>
    <mergeCell ref="T204:V204"/>
    <mergeCell ref="Y204:Z204"/>
    <mergeCell ref="AA204:AC204"/>
    <mergeCell ref="AF204:AG204"/>
    <mergeCell ref="AH204:AJ204"/>
    <mergeCell ref="F205:G205"/>
    <mergeCell ref="H205:J205"/>
    <mergeCell ref="M205:N205"/>
    <mergeCell ref="O205:Q205"/>
    <mergeCell ref="T205:U205"/>
    <mergeCell ref="L213:O213"/>
    <mergeCell ref="Q213:T213"/>
    <mergeCell ref="F204:H204"/>
    <mergeCell ref="K204:L204"/>
    <mergeCell ref="V213:Y213"/>
    <mergeCell ref="AK213:AN213"/>
    <mergeCell ref="O198:Q198"/>
    <mergeCell ref="V205:X205"/>
    <mergeCell ref="AA27:AE27"/>
    <mergeCell ref="Q25:U25"/>
    <mergeCell ref="V25:Z25"/>
    <mergeCell ref="C158:G159"/>
    <mergeCell ref="H163:O163"/>
    <mergeCell ref="C168:H169"/>
    <mergeCell ref="L170:M170"/>
    <mergeCell ref="B25:F25"/>
    <mergeCell ref="G25:K25"/>
    <mergeCell ref="L25:P25"/>
    <mergeCell ref="G29:K29"/>
    <mergeCell ref="L29:P29"/>
    <mergeCell ref="Q29:U29"/>
    <mergeCell ref="V29:Z29"/>
    <mergeCell ref="B31:F31"/>
    <mergeCell ref="G31:K31"/>
    <mergeCell ref="L31:P31"/>
    <mergeCell ref="Q31:U31"/>
    <mergeCell ref="V31:Z31"/>
    <mergeCell ref="I85:M85"/>
    <mergeCell ref="N85:O85"/>
    <mergeCell ref="I124:P124"/>
    <mergeCell ref="AB109:AE110"/>
    <mergeCell ref="B59:C59"/>
    <mergeCell ref="O165:R165"/>
    <mergeCell ref="V9:Z9"/>
    <mergeCell ref="AA9:AE9"/>
    <mergeCell ref="B10:F10"/>
    <mergeCell ref="L111:O111"/>
    <mergeCell ref="M66:N66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AA14:AE14"/>
    <mergeCell ref="B28:F28"/>
    <mergeCell ref="G28:K28"/>
    <mergeCell ref="L28:P28"/>
    <mergeCell ref="Q28:U28"/>
    <mergeCell ref="V28:Z28"/>
    <mergeCell ref="AA28:AE28"/>
    <mergeCell ref="X74:Z75"/>
    <mergeCell ref="B60:C60"/>
    <mergeCell ref="B29:F29"/>
    <mergeCell ref="AP57:AS57"/>
    <mergeCell ref="AP58:AS58"/>
    <mergeCell ref="AP56:AS56"/>
    <mergeCell ref="V56:Z56"/>
    <mergeCell ref="AA56:AG56"/>
    <mergeCell ref="AH56:AO56"/>
    <mergeCell ref="AA61:AD61"/>
    <mergeCell ref="AE61:AG61"/>
    <mergeCell ref="AH57:AO57"/>
    <mergeCell ref="V58:Z58"/>
    <mergeCell ref="AA58:AG58"/>
    <mergeCell ref="AH58:AO58"/>
    <mergeCell ref="AP60:AS60"/>
    <mergeCell ref="AH59:AL59"/>
    <mergeCell ref="AM59:AO59"/>
    <mergeCell ref="AP59:AS59"/>
    <mergeCell ref="AM61:AO61"/>
    <mergeCell ref="AP61:AS61"/>
    <mergeCell ref="V57:Z57"/>
    <mergeCell ref="AA57:AG57"/>
    <mergeCell ref="AA59:AG59"/>
    <mergeCell ref="D60:G60"/>
    <mergeCell ref="C77:H78"/>
    <mergeCell ref="N77:O78"/>
    <mergeCell ref="L79:M79"/>
    <mergeCell ref="V79:X79"/>
    <mergeCell ref="J87:L88"/>
    <mergeCell ref="M87:M88"/>
    <mergeCell ref="J90:L91"/>
    <mergeCell ref="M90:M91"/>
    <mergeCell ref="N74:O74"/>
    <mergeCell ref="P74:P75"/>
    <mergeCell ref="Q75:V75"/>
    <mergeCell ref="T87:U87"/>
    <mergeCell ref="C93:H94"/>
    <mergeCell ref="N93:O94"/>
    <mergeCell ref="N90:O90"/>
    <mergeCell ref="P90:P91"/>
    <mergeCell ref="Q90:S90"/>
    <mergeCell ref="T90:U90"/>
    <mergeCell ref="V90:V91"/>
    <mergeCell ref="W90:Y91"/>
    <mergeCell ref="N91:O91"/>
    <mergeCell ref="Q91:U91"/>
    <mergeCell ref="AA10:AE10"/>
    <mergeCell ref="AF10:AJ10"/>
    <mergeCell ref="AA13:AE13"/>
    <mergeCell ref="AF13:AJ13"/>
    <mergeCell ref="AA17:AE17"/>
    <mergeCell ref="AF17:AJ17"/>
    <mergeCell ref="AA19:AE19"/>
    <mergeCell ref="AF19:AJ19"/>
    <mergeCell ref="B63:C63"/>
    <mergeCell ref="AA63:AD63"/>
    <mergeCell ref="AE63:AG63"/>
    <mergeCell ref="G10:K10"/>
    <mergeCell ref="L10:P10"/>
    <mergeCell ref="Q10:U10"/>
    <mergeCell ref="V10:Z10"/>
    <mergeCell ref="H60:L60"/>
    <mergeCell ref="D59:G59"/>
    <mergeCell ref="H59:L59"/>
    <mergeCell ref="V59:Z59"/>
    <mergeCell ref="S60:U60"/>
    <mergeCell ref="B13:F13"/>
    <mergeCell ref="G13:K13"/>
    <mergeCell ref="L13:P13"/>
    <mergeCell ref="Q13:U13"/>
    <mergeCell ref="AH61:AL61"/>
    <mergeCell ref="M62:N62"/>
    <mergeCell ref="O62:R62"/>
    <mergeCell ref="S62:U62"/>
    <mergeCell ref="V62:Z62"/>
    <mergeCell ref="AA62:AD62"/>
    <mergeCell ref="AE62:AG62"/>
    <mergeCell ref="AH62:AL62"/>
    <mergeCell ref="V60:Z60"/>
    <mergeCell ref="AA60:AG60"/>
    <mergeCell ref="AH60:AL60"/>
    <mergeCell ref="AA25:AE25"/>
    <mergeCell ref="AF25:AJ25"/>
    <mergeCell ref="AK25:AO25"/>
    <mergeCell ref="M60:N60"/>
    <mergeCell ref="O60:R60"/>
    <mergeCell ref="AK31:AO31"/>
    <mergeCell ref="AM60:AO60"/>
    <mergeCell ref="M59:N59"/>
    <mergeCell ref="O59:R59"/>
    <mergeCell ref="S59:U59"/>
    <mergeCell ref="AF31:AJ31"/>
    <mergeCell ref="B8:F9"/>
    <mergeCell ref="G8:AE8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L11:P11"/>
    <mergeCell ref="Q11:U11"/>
    <mergeCell ref="V11:Z11"/>
    <mergeCell ref="AA11:AE11"/>
    <mergeCell ref="AF11:AJ11"/>
    <mergeCell ref="AK11:AO11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V13:Z13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Q17:U17"/>
    <mergeCell ref="V17:Z17"/>
    <mergeCell ref="B17:F17"/>
    <mergeCell ref="G17:K17"/>
    <mergeCell ref="L17:P17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B19:F19"/>
    <mergeCell ref="G19:K19"/>
    <mergeCell ref="L19:P19"/>
    <mergeCell ref="Q19:U19"/>
    <mergeCell ref="V19:Z19"/>
    <mergeCell ref="B22:F22"/>
    <mergeCell ref="G22:K22"/>
    <mergeCell ref="L22:P22"/>
    <mergeCell ref="Q22:U22"/>
    <mergeCell ref="V22:Z22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B23:F23"/>
    <mergeCell ref="G23:K23"/>
    <mergeCell ref="L23:P23"/>
    <mergeCell ref="Q23:U23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6:F26"/>
    <mergeCell ref="G26:K26"/>
    <mergeCell ref="L26:P26"/>
    <mergeCell ref="Q26:U26"/>
    <mergeCell ref="V30:Z30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B27:F27"/>
    <mergeCell ref="G27:K27"/>
    <mergeCell ref="L27:P27"/>
    <mergeCell ref="Q27:U27"/>
    <mergeCell ref="V27:Z27"/>
    <mergeCell ref="AF27:AJ27"/>
    <mergeCell ref="AK27:AO27"/>
    <mergeCell ref="B30:F30"/>
    <mergeCell ref="G30:K30"/>
    <mergeCell ref="L30:P30"/>
    <mergeCell ref="Q30:U30"/>
    <mergeCell ref="C36:E36"/>
    <mergeCell ref="C38:E38"/>
    <mergeCell ref="AA31:AE31"/>
    <mergeCell ref="C37:E37"/>
    <mergeCell ref="C39:E39"/>
    <mergeCell ref="C47:E47"/>
    <mergeCell ref="B56:C58"/>
    <mergeCell ref="D56:G56"/>
    <mergeCell ref="H56:N56"/>
    <mergeCell ref="O56:U56"/>
    <mergeCell ref="D57:G57"/>
    <mergeCell ref="H57:N57"/>
    <mergeCell ref="O57:U57"/>
    <mergeCell ref="C40:E40"/>
    <mergeCell ref="C41:E41"/>
    <mergeCell ref="C42:E42"/>
    <mergeCell ref="C43:E43"/>
    <mergeCell ref="C44:E44"/>
    <mergeCell ref="C45:E45"/>
    <mergeCell ref="D58:G58"/>
    <mergeCell ref="H58:N58"/>
    <mergeCell ref="O58:U58"/>
    <mergeCell ref="C46:E46"/>
    <mergeCell ref="AH63:AL63"/>
    <mergeCell ref="AM63:AO63"/>
    <mergeCell ref="AP63:AS63"/>
    <mergeCell ref="B61:C61"/>
    <mergeCell ref="D61:G61"/>
    <mergeCell ref="AM62:AO62"/>
    <mergeCell ref="AP62:AS62"/>
    <mergeCell ref="AH64:AL64"/>
    <mergeCell ref="AM64:AO64"/>
    <mergeCell ref="AP64:AS64"/>
    <mergeCell ref="O61:R61"/>
    <mergeCell ref="S61:U61"/>
    <mergeCell ref="V61:Z61"/>
    <mergeCell ref="D63:G63"/>
    <mergeCell ref="H63:L63"/>
    <mergeCell ref="M63:N63"/>
    <mergeCell ref="O63:R63"/>
    <mergeCell ref="S63:U63"/>
    <mergeCell ref="V63:Z63"/>
    <mergeCell ref="H61:L61"/>
    <mergeCell ref="M61:N61"/>
    <mergeCell ref="B62:C62"/>
    <mergeCell ref="D62:G62"/>
    <mergeCell ref="H62:L62"/>
    <mergeCell ref="AH65:AL65"/>
    <mergeCell ref="AM65:AO65"/>
    <mergeCell ref="AP65:AS65"/>
    <mergeCell ref="B64:C64"/>
    <mergeCell ref="D64:G64"/>
    <mergeCell ref="H64:L64"/>
    <mergeCell ref="M64:N64"/>
    <mergeCell ref="O64:R64"/>
    <mergeCell ref="S64:U64"/>
    <mergeCell ref="V64:Z64"/>
    <mergeCell ref="AA64:AD64"/>
    <mergeCell ref="D65:G65"/>
    <mergeCell ref="H65:L65"/>
    <mergeCell ref="O65:R65"/>
    <mergeCell ref="S65:U65"/>
    <mergeCell ref="V65:Z65"/>
    <mergeCell ref="AA65:AG65"/>
    <mergeCell ref="B65:C65"/>
    <mergeCell ref="M65:N65"/>
    <mergeCell ref="AE64:AG64"/>
    <mergeCell ref="AP66:AS66"/>
    <mergeCell ref="B68:C68"/>
    <mergeCell ref="D68:G68"/>
    <mergeCell ref="H68:L68"/>
    <mergeCell ref="O68:U68"/>
    <mergeCell ref="V68:Z68"/>
    <mergeCell ref="AA68:AG68"/>
    <mergeCell ref="AH68:AL68"/>
    <mergeCell ref="AM68:AO68"/>
    <mergeCell ref="AP68:AS68"/>
    <mergeCell ref="B66:C66"/>
    <mergeCell ref="D66:G66"/>
    <mergeCell ref="H66:L66"/>
    <mergeCell ref="O66:R66"/>
    <mergeCell ref="S66:U66"/>
    <mergeCell ref="V66:Z66"/>
    <mergeCell ref="AA66:AG66"/>
    <mergeCell ref="AH66:AL66"/>
    <mergeCell ref="B67:C67"/>
    <mergeCell ref="S67:U67"/>
    <mergeCell ref="V67:Z67"/>
    <mergeCell ref="AA67:AG67"/>
    <mergeCell ref="H67:L67"/>
    <mergeCell ref="M67:N67"/>
    <mergeCell ref="AP67:AS67"/>
    <mergeCell ref="AH67:AL67"/>
    <mergeCell ref="AM67:AO67"/>
    <mergeCell ref="N88:O88"/>
    <mergeCell ref="Q88:U88"/>
    <mergeCell ref="Q74:S74"/>
    <mergeCell ref="AA74:AB75"/>
    <mergeCell ref="I73:M73"/>
    <mergeCell ref="N73:O73"/>
    <mergeCell ref="Y79:Z79"/>
    <mergeCell ref="Q86:S86"/>
    <mergeCell ref="T86:U86"/>
    <mergeCell ref="O67:R67"/>
    <mergeCell ref="AI125:AO126"/>
    <mergeCell ref="L127:N127"/>
    <mergeCell ref="S127:V127"/>
    <mergeCell ref="Y127:AA127"/>
    <mergeCell ref="AE125:AE126"/>
    <mergeCell ref="C125:H126"/>
    <mergeCell ref="R125:T126"/>
    <mergeCell ref="U125:X126"/>
    <mergeCell ref="AM66:AO66"/>
    <mergeCell ref="M68:N68"/>
    <mergeCell ref="D67:G67"/>
    <mergeCell ref="I92:P92"/>
    <mergeCell ref="Z90:AA91"/>
    <mergeCell ref="N87:O87"/>
    <mergeCell ref="P87:P88"/>
    <mergeCell ref="Q87:S87"/>
    <mergeCell ref="I76:P76"/>
    <mergeCell ref="O79:Q79"/>
    <mergeCell ref="R79:S79"/>
    <mergeCell ref="N75:O75"/>
    <mergeCell ref="W74:W75"/>
    <mergeCell ref="C74:I75"/>
    <mergeCell ref="J74:L75"/>
    <mergeCell ref="M74:M75"/>
    <mergeCell ref="AG139:AM140"/>
    <mergeCell ref="L141:O141"/>
    <mergeCell ref="AA141:AC141"/>
    <mergeCell ref="H151:O151"/>
    <mergeCell ref="U139:V140"/>
    <mergeCell ref="W139:Y140"/>
    <mergeCell ref="C139:H140"/>
    <mergeCell ref="AA111:AC111"/>
    <mergeCell ref="H100:J100"/>
    <mergeCell ref="J101:W102"/>
    <mergeCell ref="J103:Z104"/>
    <mergeCell ref="AA103:AE103"/>
    <mergeCell ref="AF103:AF104"/>
    <mergeCell ref="AG103:AL104"/>
    <mergeCell ref="AF106:AJ107"/>
    <mergeCell ref="I108:P108"/>
    <mergeCell ref="C101:I102"/>
    <mergeCell ref="C109:H110"/>
    <mergeCell ref="V109:X110"/>
    <mergeCell ref="H121:O121"/>
    <mergeCell ref="R122:R123"/>
    <mergeCell ref="Z125:AB126"/>
    <mergeCell ref="AC125:AD126"/>
    <mergeCell ref="AF125:AH126"/>
    <mergeCell ref="AD155:AE156"/>
    <mergeCell ref="AF155:AF156"/>
    <mergeCell ref="AG155:AI156"/>
    <mergeCell ref="AJ155:AP156"/>
    <mergeCell ref="L157:N157"/>
    <mergeCell ref="S157:V157"/>
    <mergeCell ref="Y157:AA157"/>
    <mergeCell ref="Y165:AA166"/>
    <mergeCell ref="AB165:AC166"/>
    <mergeCell ref="K165:M166"/>
    <mergeCell ref="N165:N166"/>
    <mergeCell ref="T165:U165"/>
    <mergeCell ref="S155:U156"/>
    <mergeCell ref="V155:Y156"/>
    <mergeCell ref="Z155:Z156"/>
    <mergeCell ref="AA155:AC156"/>
    <mergeCell ref="AY211:AY212"/>
    <mergeCell ref="AZ211:BB212"/>
    <mergeCell ref="L212:O212"/>
    <mergeCell ref="P212:P213"/>
    <mergeCell ref="Q212:T212"/>
    <mergeCell ref="U212:U213"/>
    <mergeCell ref="V212:Y212"/>
    <mergeCell ref="Z212:Z213"/>
    <mergeCell ref="AA212:AD212"/>
    <mergeCell ref="AE212:AE213"/>
    <mergeCell ref="AF212:AI212"/>
    <mergeCell ref="AJ212:AJ213"/>
    <mergeCell ref="AK212:AN212"/>
    <mergeCell ref="AO212:AO213"/>
    <mergeCell ref="AP212:AS212"/>
    <mergeCell ref="AT212:AT213"/>
    <mergeCell ref="AU212:AX212"/>
    <mergeCell ref="AA213:AD213"/>
    <mergeCell ref="AF213:AI213"/>
    <mergeCell ref="AP213:AS213"/>
    <mergeCell ref="R226:U226"/>
    <mergeCell ref="I226:K226"/>
    <mergeCell ref="M226:P226"/>
    <mergeCell ref="R109:S110"/>
    <mergeCell ref="T109:U110"/>
    <mergeCell ref="C199:G200"/>
    <mergeCell ref="C171:G172"/>
    <mergeCell ref="H177:O177"/>
    <mergeCell ref="S165:S166"/>
    <mergeCell ref="O166:R166"/>
    <mergeCell ref="T166:W166"/>
    <mergeCell ref="I167:P167"/>
    <mergeCell ref="L184:M184"/>
    <mergeCell ref="S193:S194"/>
    <mergeCell ref="V122:W123"/>
    <mergeCell ref="C122:I123"/>
    <mergeCell ref="J122:L123"/>
    <mergeCell ref="M122:M123"/>
    <mergeCell ref="C196:H197"/>
    <mergeCell ref="L198:M198"/>
    <mergeCell ref="K179:M180"/>
    <mergeCell ref="N179:N180"/>
    <mergeCell ref="O179:P179"/>
    <mergeCell ref="O178:Q178"/>
    <mergeCell ref="Z139:AA140"/>
    <mergeCell ref="AB139:AB140"/>
    <mergeCell ref="AC139:AF140"/>
    <mergeCell ref="I138:P138"/>
    <mergeCell ref="C128:G129"/>
    <mergeCell ref="H133:J133"/>
    <mergeCell ref="T137:Y137"/>
    <mergeCell ref="S139:T140"/>
    <mergeCell ref="J152:L153"/>
    <mergeCell ref="M152:M153"/>
    <mergeCell ref="C152:I153"/>
    <mergeCell ref="N152:O152"/>
    <mergeCell ref="C155:H156"/>
    <mergeCell ref="O170:Q170"/>
    <mergeCell ref="R170:S170"/>
    <mergeCell ref="V170:X170"/>
    <mergeCell ref="N168:O169"/>
    <mergeCell ref="O182:P183"/>
    <mergeCell ref="K193:M194"/>
    <mergeCell ref="N193:N194"/>
    <mergeCell ref="O192:Q192"/>
    <mergeCell ref="O193:P193"/>
    <mergeCell ref="T193:V194"/>
    <mergeCell ref="W193:X194"/>
    <mergeCell ref="O194:R194"/>
    <mergeCell ref="T179:V180"/>
    <mergeCell ref="W179:X180"/>
    <mergeCell ref="O184:Q184"/>
    <mergeCell ref="R184:S184"/>
    <mergeCell ref="V184:X184"/>
    <mergeCell ref="H191:O191"/>
    <mergeCell ref="S179:S180"/>
    <mergeCell ref="O180:R180"/>
    <mergeCell ref="I181:P181"/>
    <mergeCell ref="C182:H183"/>
    <mergeCell ref="C185:G186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79"/>
  <sheetViews>
    <sheetView showGridLines="0" zoomScaleNormal="100" workbookViewId="0"/>
  </sheetViews>
  <sheetFormatPr defaultColWidth="8.77734375" defaultRowHeight="18" customHeight="1"/>
  <cols>
    <col min="1" max="1" width="2.77734375" style="127" customWidth="1"/>
    <col min="2" max="2" width="8.77734375" style="130"/>
    <col min="3" max="3" width="10.77734375" style="130" bestFit="1" customWidth="1"/>
    <col min="4" max="4" width="8.77734375" style="130"/>
    <col min="5" max="21" width="8.77734375" style="128"/>
    <col min="22" max="16384" width="8.77734375" style="127"/>
  </cols>
  <sheetData>
    <row r="1" spans="1:32" ht="15" customHeight="1">
      <c r="A1" s="124" t="s">
        <v>152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</row>
    <row r="2" spans="1:32" ht="24">
      <c r="B2" s="158" t="s">
        <v>153</v>
      </c>
      <c r="C2" s="158" t="s">
        <v>398</v>
      </c>
      <c r="D2" s="158" t="s">
        <v>142</v>
      </c>
      <c r="E2" s="158" t="s">
        <v>154</v>
      </c>
      <c r="F2" s="158" t="s">
        <v>62</v>
      </c>
      <c r="G2" s="158" t="s">
        <v>155</v>
      </c>
      <c r="H2" s="158" t="s">
        <v>156</v>
      </c>
      <c r="I2" s="158" t="s">
        <v>157</v>
      </c>
      <c r="J2" s="158" t="s">
        <v>219</v>
      </c>
      <c r="K2" s="158" t="s">
        <v>220</v>
      </c>
      <c r="L2" s="158" t="s">
        <v>158</v>
      </c>
      <c r="M2" s="291" t="s">
        <v>596</v>
      </c>
      <c r="N2" s="158" t="s">
        <v>143</v>
      </c>
      <c r="O2" s="158" t="s">
        <v>359</v>
      </c>
      <c r="P2" s="158" t="s">
        <v>159</v>
      </c>
      <c r="Q2" s="158" t="s">
        <v>131</v>
      </c>
      <c r="R2" s="158" t="s">
        <v>148</v>
      </c>
      <c r="S2" s="161" t="s">
        <v>160</v>
      </c>
      <c r="T2" s="161" t="s">
        <v>161</v>
      </c>
      <c r="U2" s="127"/>
    </row>
    <row r="3" spans="1:32" ht="15" customHeight="1">
      <c r="B3" s="129" t="e">
        <f>C3</f>
        <v>#DIV/0!</v>
      </c>
      <c r="C3" s="129" t="e">
        <f>AVERAGE(기본정보!B12:B13)</f>
        <v>#DIV/0!</v>
      </c>
      <c r="D3" s="129">
        <f>MIN(C9:C29)</f>
        <v>0</v>
      </c>
      <c r="E3" s="129">
        <f>MAX(C9:C29)</f>
        <v>0</v>
      </c>
      <c r="F3" s="129">
        <f>Length_1!G4</f>
        <v>0</v>
      </c>
      <c r="G3" s="129">
        <f>Length_1!H4</f>
        <v>0</v>
      </c>
      <c r="H3" s="129">
        <f>Length_1!I4</f>
        <v>0</v>
      </c>
      <c r="I3" s="129">
        <f>IF(H3="inch",25.4,1)</f>
        <v>1</v>
      </c>
      <c r="J3" s="129">
        <f>MIN(T9:T29)</f>
        <v>0</v>
      </c>
      <c r="K3" s="129">
        <f>MAX(T9:T29)</f>
        <v>0</v>
      </c>
      <c r="L3" s="129">
        <f>F3*I3</f>
        <v>0</v>
      </c>
      <c r="M3" s="234" t="str">
        <f ca="1">TEXT(L3,OFFSET(P51,MATCH(IFERROR(LEN(L3)-FIND(".",L3),0),O52:O61,0),0))</f>
        <v>0</v>
      </c>
      <c r="N3" s="129">
        <f>G3*I3</f>
        <v>0</v>
      </c>
      <c r="O3" s="129">
        <f>Length_1!J4</f>
        <v>0</v>
      </c>
      <c r="P3" s="129" t="e">
        <f ca="1">OFFSET(Length_1!C3,MATCH($K3,$T9:$T29,0),0)</f>
        <v>#N/A</v>
      </c>
      <c r="Q3" s="129" t="e">
        <f ca="1">OFFSET(Length_1!D3,MATCH($K3,$T9:$T29,0),0)</f>
        <v>#N/A</v>
      </c>
      <c r="R3" s="129" t="e">
        <f ca="1">OFFSET(Length_1!E3,MATCH($K3,$T9:$T29,0),0)</f>
        <v>#N/A</v>
      </c>
      <c r="S3" s="143" t="e">
        <f ca="1">IF(R47=0,"","초과")</f>
        <v>#N/A</v>
      </c>
      <c r="T3" s="162" t="str">
        <f>IF(AE8=0,"PASS","FAIL")</f>
        <v>PASS</v>
      </c>
      <c r="U3" s="127"/>
    </row>
    <row r="4" spans="1:32" ht="15" customHeight="1">
      <c r="B4" s="125"/>
      <c r="C4" s="125"/>
      <c r="D4" s="125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</row>
    <row r="5" spans="1:32" ht="15" customHeight="1">
      <c r="A5" s="124" t="s">
        <v>149</v>
      </c>
      <c r="C5" s="125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27"/>
      <c r="Y5" s="163" t="s">
        <v>165</v>
      </c>
    </row>
    <row r="6" spans="1:32" ht="15" customHeight="1">
      <c r="B6" s="484" t="s">
        <v>498</v>
      </c>
      <c r="C6" s="468" t="s">
        <v>499</v>
      </c>
      <c r="D6" s="468" t="s">
        <v>500</v>
      </c>
      <c r="E6" s="470" t="s">
        <v>501</v>
      </c>
      <c r="F6" s="470"/>
      <c r="G6" s="470"/>
      <c r="H6" s="470"/>
      <c r="I6" s="470"/>
      <c r="J6" s="470"/>
      <c r="K6" s="478" t="s">
        <v>502</v>
      </c>
      <c r="L6" s="230" t="s">
        <v>503</v>
      </c>
      <c r="M6" s="230" t="s">
        <v>504</v>
      </c>
      <c r="N6" s="471" t="s">
        <v>505</v>
      </c>
      <c r="O6" s="472"/>
      <c r="P6" s="473"/>
      <c r="Q6" s="230" t="s">
        <v>506</v>
      </c>
      <c r="R6" s="260" t="s">
        <v>507</v>
      </c>
      <c r="S6" s="230" t="s">
        <v>508</v>
      </c>
      <c r="T6" s="230" t="s">
        <v>509</v>
      </c>
      <c r="U6" s="230" t="s">
        <v>162</v>
      </c>
      <c r="V6" s="471" t="s">
        <v>510</v>
      </c>
      <c r="W6" s="473"/>
      <c r="X6" s="131"/>
      <c r="Y6" s="494" t="s">
        <v>163</v>
      </c>
      <c r="Z6" s="495"/>
      <c r="AA6" s="471" t="s">
        <v>511</v>
      </c>
      <c r="AB6" s="472"/>
      <c r="AC6" s="472"/>
      <c r="AD6" s="472"/>
      <c r="AE6" s="472"/>
      <c r="AF6" s="473"/>
    </row>
    <row r="7" spans="1:32" ht="15" customHeight="1">
      <c r="B7" s="484"/>
      <c r="C7" s="469"/>
      <c r="D7" s="469"/>
      <c r="E7" s="262" t="s">
        <v>512</v>
      </c>
      <c r="F7" s="231" t="s">
        <v>236</v>
      </c>
      <c r="G7" s="262" t="s">
        <v>132</v>
      </c>
      <c r="H7" s="231" t="s">
        <v>133</v>
      </c>
      <c r="I7" s="262" t="s">
        <v>134</v>
      </c>
      <c r="J7" s="231" t="s">
        <v>513</v>
      </c>
      <c r="K7" s="479"/>
      <c r="L7" s="230" t="s">
        <v>514</v>
      </c>
      <c r="M7" s="230" t="s">
        <v>515</v>
      </c>
      <c r="N7" s="230" t="s">
        <v>516</v>
      </c>
      <c r="O7" s="230" t="s">
        <v>517</v>
      </c>
      <c r="P7" s="230" t="s">
        <v>518</v>
      </c>
      <c r="Q7" s="230" t="s">
        <v>249</v>
      </c>
      <c r="R7" s="230" t="s">
        <v>519</v>
      </c>
      <c r="S7" s="230" t="s">
        <v>251</v>
      </c>
      <c r="T7" s="230" t="s">
        <v>520</v>
      </c>
      <c r="U7" s="230" t="s">
        <v>521</v>
      </c>
      <c r="V7" s="230" t="s">
        <v>523</v>
      </c>
      <c r="W7" s="230" t="s">
        <v>522</v>
      </c>
      <c r="X7" s="131"/>
      <c r="Y7" s="263" t="s">
        <v>524</v>
      </c>
      <c r="Z7" s="263" t="s">
        <v>525</v>
      </c>
      <c r="AA7" s="230" t="s">
        <v>526</v>
      </c>
      <c r="AB7" s="230" t="s">
        <v>527</v>
      </c>
      <c r="AC7" s="265" t="s">
        <v>162</v>
      </c>
      <c r="AD7" s="261" t="s">
        <v>528</v>
      </c>
      <c r="AE7" s="261" t="s">
        <v>529</v>
      </c>
      <c r="AF7" s="261" t="s">
        <v>543</v>
      </c>
    </row>
    <row r="8" spans="1:32" ht="15" customHeight="1">
      <c r="B8" s="484"/>
      <c r="C8" s="465"/>
      <c r="D8" s="465"/>
      <c r="E8" s="231">
        <f>H3</f>
        <v>0</v>
      </c>
      <c r="F8" s="231">
        <f t="shared" ref="F8:J8" si="0">E8</f>
        <v>0</v>
      </c>
      <c r="G8" s="231">
        <f t="shared" si="0"/>
        <v>0</v>
      </c>
      <c r="H8" s="231">
        <f t="shared" si="0"/>
        <v>0</v>
      </c>
      <c r="I8" s="231">
        <f t="shared" si="0"/>
        <v>0</v>
      </c>
      <c r="J8" s="231">
        <f t="shared" si="0"/>
        <v>0</v>
      </c>
      <c r="K8" s="231" t="s">
        <v>538</v>
      </c>
      <c r="L8" s="230" t="s">
        <v>180</v>
      </c>
      <c r="M8" s="230" t="s">
        <v>180</v>
      </c>
      <c r="N8" s="264" t="s">
        <v>531</v>
      </c>
      <c r="O8" s="264" t="s">
        <v>532</v>
      </c>
      <c r="P8" s="264" t="s">
        <v>533</v>
      </c>
      <c r="Q8" s="230" t="s">
        <v>481</v>
      </c>
      <c r="R8" s="264" t="s">
        <v>530</v>
      </c>
      <c r="S8" s="230" t="s">
        <v>481</v>
      </c>
      <c r="T8" s="230" t="s">
        <v>534</v>
      </c>
      <c r="U8" s="230" t="s">
        <v>535</v>
      </c>
      <c r="V8" s="230" t="s">
        <v>180</v>
      </c>
      <c r="W8" s="230" t="s">
        <v>180</v>
      </c>
      <c r="X8" s="131"/>
      <c r="Y8" s="263" t="s">
        <v>180</v>
      </c>
      <c r="Z8" s="263" t="s">
        <v>536</v>
      </c>
      <c r="AA8" s="230" t="s">
        <v>180</v>
      </c>
      <c r="AB8" s="230" t="s">
        <v>180</v>
      </c>
      <c r="AC8" s="266" t="s">
        <v>180</v>
      </c>
      <c r="AD8" s="261" t="s">
        <v>537</v>
      </c>
      <c r="AE8" s="162">
        <f>IF(TYPE(MATCH("FAIL",AE9:AE29,0))=16,0,1)</f>
        <v>0</v>
      </c>
      <c r="AF8" s="261" t="s">
        <v>544</v>
      </c>
    </row>
    <row r="9" spans="1:32" ht="15" customHeight="1">
      <c r="B9" s="132" t="b">
        <f>IF(TRIM(Length_1!A4)="",FALSE,TRUE)</f>
        <v>0</v>
      </c>
      <c r="C9" s="129" t="str">
        <f>IF($B9=FALSE,"",VALUE(Length_1!A4))</f>
        <v/>
      </c>
      <c r="D9" s="129" t="str">
        <f>IF($B9=FALSE,"",Length_1!B4)</f>
        <v/>
      </c>
      <c r="E9" s="133" t="str">
        <f>IF(B9=FALSE,"",Length_1!N4)</f>
        <v/>
      </c>
      <c r="F9" s="133" t="str">
        <f>IF(B9=FALSE,"",Length_1!O4)</f>
        <v/>
      </c>
      <c r="G9" s="133" t="str">
        <f>IF(B9=FALSE,"",Length_1!P4)</f>
        <v/>
      </c>
      <c r="H9" s="133" t="str">
        <f>IF(B9=FALSE,"",Length_1!Q4)</f>
        <v/>
      </c>
      <c r="I9" s="133" t="str">
        <f>IF(B9=FALSE,"",Length_1!R4)</f>
        <v/>
      </c>
      <c r="J9" s="134" t="str">
        <f t="shared" ref="J9:J29" si="1">IF(B9=FALSE,"",AVERAGE(E9:I9))</f>
        <v/>
      </c>
      <c r="K9" s="144" t="str">
        <f t="shared" ref="K9:K29" si="2">IF(B9=FALSE,"",STDEV(E9:I9)*I$3)</f>
        <v/>
      </c>
      <c r="L9" s="135" t="str">
        <f>IF(B9=FALSE,"",Length_1!D28)</f>
        <v/>
      </c>
      <c r="M9" s="136" t="str">
        <f>IF(B9=FALSE,"",Calcu!J9*I$3)</f>
        <v/>
      </c>
      <c r="N9" s="154" t="str">
        <f>IF(B9=FALSE,"",11.5*10^-6)</f>
        <v/>
      </c>
      <c r="O9" s="154" t="str">
        <f>IF(B9=FALSE,"",Length_1!F28)</f>
        <v/>
      </c>
      <c r="P9" s="155" t="str">
        <f t="shared" ref="P9:P29" si="3">IF(B9=FALSE,"",AVERAGE(N9:O9))</f>
        <v/>
      </c>
      <c r="Q9" s="269" t="str">
        <f t="shared" ref="Q9:Q29" si="4">IF(B9=FALSE,"",B$3-C$3)</f>
        <v/>
      </c>
      <c r="R9" s="269" t="str">
        <f t="shared" ref="R9:R29" si="5">IF(B9=FALSE,"",N9-O9)</f>
        <v/>
      </c>
      <c r="S9" s="269" t="str">
        <f t="shared" ref="S9:S29" si="6">IF(B9=FALSE,"",AVERAGE(B$3:C$3)-20)</f>
        <v/>
      </c>
      <c r="T9" s="137" t="str">
        <f t="shared" ref="T9:T29" si="7">IF(B9=FALSE,"",C9*I$3)</f>
        <v/>
      </c>
      <c r="U9" s="138" t="str">
        <f t="shared" ref="U9:U29" si="8">IF(B9=FALSE,"",L9-M9-(P9*Q9+R9*S9)*T9)</f>
        <v/>
      </c>
      <c r="V9" s="129" t="str">
        <f>IF($B9=FALSE,"",ROUND(T9+W9,$M$47))</f>
        <v/>
      </c>
      <c r="W9" s="129" t="str">
        <f>IF($B9=FALSE,"",ROUND(U9,$M$47))</f>
        <v/>
      </c>
      <c r="X9" s="131"/>
      <c r="Y9" s="215" t="e">
        <f ca="1">IF(Length_1!K4&lt;0,ROUNDUP(Length_1!K4*I$3,$M$47),ROUNDDOWN(Length_1!K4*I$3,$M$47))</f>
        <v>#N/A</v>
      </c>
      <c r="Z9" s="215" t="e">
        <f ca="1">IF(Length_1!L4&lt;0,ROUNDDOWN(Length_1!L4*I$3,$M$47),ROUNDUP(Length_1!L4*I$3,$M$47))</f>
        <v>#N/A</v>
      </c>
      <c r="AA9" s="129" t="e">
        <f t="shared" ref="AA9:AA29" ca="1" si="9">TEXT(T9,IF(T9&gt;=1000,"# ##","")&amp;$P$47)</f>
        <v>#N/A</v>
      </c>
      <c r="AB9" s="129" t="e">
        <f t="shared" ref="AB9:AB29" ca="1" si="10">TEXT(V9,IF(V9&gt;=1000,"# ##","")&amp;$P$47)</f>
        <v>#N/A</v>
      </c>
      <c r="AC9" s="215" t="e">
        <f t="shared" ref="AC9:AC29" ca="1" si="11">TEXT(U9,$P$47)</f>
        <v>#N/A</v>
      </c>
      <c r="AD9" s="129" t="e">
        <f t="shared" ref="AD9:AD29" ca="1" si="12">"± "&amp;TEXT(Z9-T9,P$47)</f>
        <v>#N/A</v>
      </c>
      <c r="AE9" s="129" t="str">
        <f>IF($B9=FALSE,"",IF(AND(Y9&lt;=V9,V9&lt;=Z9),"PASS","FAIL"))</f>
        <v/>
      </c>
      <c r="AF9" s="234" t="e">
        <f t="shared" ref="AF9:AF28" ca="1" si="13">S$47</f>
        <v>#N/A</v>
      </c>
    </row>
    <row r="10" spans="1:32" ht="15" customHeight="1">
      <c r="B10" s="132" t="b">
        <f>IF(TRIM(Length_1!A5)="",FALSE,TRUE)</f>
        <v>0</v>
      </c>
      <c r="C10" s="129" t="str">
        <f>IF($B10=FALSE,"",VALUE(Length_1!A5))</f>
        <v/>
      </c>
      <c r="D10" s="129" t="str">
        <f>IF($B10=FALSE,"",Length_1!B5)</f>
        <v/>
      </c>
      <c r="E10" s="133" t="str">
        <f>IF(B10=FALSE,"",Length_1!N5)</f>
        <v/>
      </c>
      <c r="F10" s="133" t="str">
        <f>IF(B10=FALSE,"",Length_1!O5)</f>
        <v/>
      </c>
      <c r="G10" s="133" t="str">
        <f>IF(B10=FALSE,"",Length_1!P5)</f>
        <v/>
      </c>
      <c r="H10" s="133" t="str">
        <f>IF(B10=FALSE,"",Length_1!Q5)</f>
        <v/>
      </c>
      <c r="I10" s="133" t="str">
        <f>IF(B10=FALSE,"",Length_1!R5)</f>
        <v/>
      </c>
      <c r="J10" s="134" t="str">
        <f t="shared" si="1"/>
        <v/>
      </c>
      <c r="K10" s="144" t="str">
        <f t="shared" si="2"/>
        <v/>
      </c>
      <c r="L10" s="135" t="str">
        <f>IF(B10=FALSE,"",Length_1!D29)</f>
        <v/>
      </c>
      <c r="M10" s="136" t="str">
        <f>IF(B10=FALSE,"",Calcu!J10*I$3)</f>
        <v/>
      </c>
      <c r="N10" s="154" t="str">
        <f t="shared" ref="N10:N29" si="14">IF(B10=FALSE,"",11.5*10^-6)</f>
        <v/>
      </c>
      <c r="O10" s="154" t="str">
        <f>IF(B10=FALSE,"",Length_1!F29)</f>
        <v/>
      </c>
      <c r="P10" s="155" t="str">
        <f t="shared" si="3"/>
        <v/>
      </c>
      <c r="Q10" s="269" t="str">
        <f t="shared" si="4"/>
        <v/>
      </c>
      <c r="R10" s="269" t="str">
        <f t="shared" si="5"/>
        <v/>
      </c>
      <c r="S10" s="269" t="str">
        <f t="shared" si="6"/>
        <v/>
      </c>
      <c r="T10" s="137" t="str">
        <f t="shared" si="7"/>
        <v/>
      </c>
      <c r="U10" s="138" t="str">
        <f t="shared" si="8"/>
        <v/>
      </c>
      <c r="V10" s="129" t="str">
        <f t="shared" ref="V10:V29" si="15">IF($B10=FALSE,"",ROUND(T10+W10,$M$47))</f>
        <v/>
      </c>
      <c r="W10" s="129" t="str">
        <f t="shared" ref="W10:W29" si="16">IF($B10=FALSE,"",ROUND(U10,$M$47))</f>
        <v/>
      </c>
      <c r="X10" s="131"/>
      <c r="Y10" s="215" t="e">
        <f ca="1">IF(Length_1!K5&lt;0,ROUNDUP(Length_1!K5*I$3,$M$47),ROUNDDOWN(Length_1!K5*I$3,$M$47))</f>
        <v>#N/A</v>
      </c>
      <c r="Z10" s="215" t="e">
        <f ca="1">IF(Length_1!L5&lt;0,ROUNDDOWN(Length_1!L5*I$3,$M$47),ROUNDUP(Length_1!L5*I$3,$M$47))</f>
        <v>#N/A</v>
      </c>
      <c r="AA10" s="129" t="e">
        <f t="shared" ca="1" si="9"/>
        <v>#N/A</v>
      </c>
      <c r="AB10" s="129" t="e">
        <f t="shared" ca="1" si="10"/>
        <v>#N/A</v>
      </c>
      <c r="AC10" s="215" t="e">
        <f t="shared" ca="1" si="11"/>
        <v>#N/A</v>
      </c>
      <c r="AD10" s="129" t="e">
        <f t="shared" ca="1" si="12"/>
        <v>#N/A</v>
      </c>
      <c r="AE10" s="129" t="str">
        <f t="shared" ref="AE10:AE29" si="17">IF($B10=FALSE,"",IF(AND(Y10&lt;=V10,V10&lt;=Z10),"PASS","FAIL"))</f>
        <v/>
      </c>
      <c r="AF10" s="234" t="e">
        <f t="shared" ca="1" si="13"/>
        <v>#N/A</v>
      </c>
    </row>
    <row r="11" spans="1:32" ht="15" customHeight="1">
      <c r="B11" s="132" t="b">
        <f>IF(TRIM(Length_1!A6)="",FALSE,TRUE)</f>
        <v>0</v>
      </c>
      <c r="C11" s="129" t="str">
        <f>IF($B11=FALSE,"",VALUE(Length_1!A6))</f>
        <v/>
      </c>
      <c r="D11" s="129" t="str">
        <f>IF($B11=FALSE,"",Length_1!B6)</f>
        <v/>
      </c>
      <c r="E11" s="133" t="str">
        <f>IF(B11=FALSE,"",Length_1!N6)</f>
        <v/>
      </c>
      <c r="F11" s="133" t="str">
        <f>IF(B11=FALSE,"",Length_1!O6)</f>
        <v/>
      </c>
      <c r="G11" s="133" t="str">
        <f>IF(B11=FALSE,"",Length_1!P6)</f>
        <v/>
      </c>
      <c r="H11" s="133" t="str">
        <f>IF(B11=FALSE,"",Length_1!Q6)</f>
        <v/>
      </c>
      <c r="I11" s="133" t="str">
        <f>IF(B11=FALSE,"",Length_1!R6)</f>
        <v/>
      </c>
      <c r="J11" s="134" t="str">
        <f t="shared" si="1"/>
        <v/>
      </c>
      <c r="K11" s="144" t="str">
        <f t="shared" si="2"/>
        <v/>
      </c>
      <c r="L11" s="135" t="str">
        <f>IF(B11=FALSE,"",Length_1!D30)</f>
        <v/>
      </c>
      <c r="M11" s="136" t="str">
        <f>IF(B11=FALSE,"",Calcu!J11*I$3)</f>
        <v/>
      </c>
      <c r="N11" s="154" t="str">
        <f t="shared" si="14"/>
        <v/>
      </c>
      <c r="O11" s="154" t="str">
        <f>IF(B11=FALSE,"",Length_1!F30)</f>
        <v/>
      </c>
      <c r="P11" s="155" t="str">
        <f t="shared" si="3"/>
        <v/>
      </c>
      <c r="Q11" s="269" t="str">
        <f t="shared" si="4"/>
        <v/>
      </c>
      <c r="R11" s="269" t="str">
        <f t="shared" si="5"/>
        <v/>
      </c>
      <c r="S11" s="269" t="str">
        <f t="shared" si="6"/>
        <v/>
      </c>
      <c r="T11" s="137" t="str">
        <f t="shared" si="7"/>
        <v/>
      </c>
      <c r="U11" s="138" t="str">
        <f t="shared" si="8"/>
        <v/>
      </c>
      <c r="V11" s="129" t="str">
        <f t="shared" si="15"/>
        <v/>
      </c>
      <c r="W11" s="129" t="str">
        <f t="shared" si="16"/>
        <v/>
      </c>
      <c r="X11" s="131"/>
      <c r="Y11" s="215" t="e">
        <f ca="1">IF(Length_1!K6&lt;0,ROUNDUP(Length_1!K6*I$3,$M$47),ROUNDDOWN(Length_1!K6*I$3,$M$47))</f>
        <v>#N/A</v>
      </c>
      <c r="Z11" s="215" t="e">
        <f ca="1">IF(Length_1!L6&lt;0,ROUNDDOWN(Length_1!L6*I$3,$M$47),ROUNDUP(Length_1!L6*I$3,$M$47))</f>
        <v>#N/A</v>
      </c>
      <c r="AA11" s="129" t="e">
        <f t="shared" ca="1" si="9"/>
        <v>#N/A</v>
      </c>
      <c r="AB11" s="129" t="e">
        <f t="shared" ca="1" si="10"/>
        <v>#N/A</v>
      </c>
      <c r="AC11" s="215" t="e">
        <f t="shared" ca="1" si="11"/>
        <v>#N/A</v>
      </c>
      <c r="AD11" s="129" t="e">
        <f t="shared" ca="1" si="12"/>
        <v>#N/A</v>
      </c>
      <c r="AE11" s="129" t="str">
        <f t="shared" si="17"/>
        <v/>
      </c>
      <c r="AF11" s="234" t="e">
        <f t="shared" ca="1" si="13"/>
        <v>#N/A</v>
      </c>
    </row>
    <row r="12" spans="1:32" ht="15" customHeight="1">
      <c r="B12" s="132" t="b">
        <f>IF(TRIM(Length_1!A7)="",FALSE,TRUE)</f>
        <v>0</v>
      </c>
      <c r="C12" s="129" t="str">
        <f>IF($B12=FALSE,"",VALUE(Length_1!A7))</f>
        <v/>
      </c>
      <c r="D12" s="129" t="str">
        <f>IF($B12=FALSE,"",Length_1!B7)</f>
        <v/>
      </c>
      <c r="E12" s="133" t="str">
        <f>IF(B12=FALSE,"",Length_1!N7)</f>
        <v/>
      </c>
      <c r="F12" s="133" t="str">
        <f>IF(B12=FALSE,"",Length_1!O7)</f>
        <v/>
      </c>
      <c r="G12" s="133" t="str">
        <f>IF(B12=FALSE,"",Length_1!P7)</f>
        <v/>
      </c>
      <c r="H12" s="133" t="str">
        <f>IF(B12=FALSE,"",Length_1!Q7)</f>
        <v/>
      </c>
      <c r="I12" s="133" t="str">
        <f>IF(B12=FALSE,"",Length_1!R7)</f>
        <v/>
      </c>
      <c r="J12" s="134" t="str">
        <f t="shared" si="1"/>
        <v/>
      </c>
      <c r="K12" s="144" t="str">
        <f t="shared" si="2"/>
        <v/>
      </c>
      <c r="L12" s="135" t="str">
        <f>IF(B12=FALSE,"",Length_1!D31)</f>
        <v/>
      </c>
      <c r="M12" s="136" t="str">
        <f>IF(B12=FALSE,"",Calcu!J12*I$3)</f>
        <v/>
      </c>
      <c r="N12" s="154" t="str">
        <f t="shared" si="14"/>
        <v/>
      </c>
      <c r="O12" s="154" t="str">
        <f>IF(B12=FALSE,"",Length_1!F31)</f>
        <v/>
      </c>
      <c r="P12" s="155" t="str">
        <f t="shared" si="3"/>
        <v/>
      </c>
      <c r="Q12" s="269" t="str">
        <f t="shared" si="4"/>
        <v/>
      </c>
      <c r="R12" s="269" t="str">
        <f t="shared" si="5"/>
        <v/>
      </c>
      <c r="S12" s="269" t="str">
        <f t="shared" si="6"/>
        <v/>
      </c>
      <c r="T12" s="137" t="str">
        <f t="shared" si="7"/>
        <v/>
      </c>
      <c r="U12" s="138" t="str">
        <f t="shared" si="8"/>
        <v/>
      </c>
      <c r="V12" s="129" t="str">
        <f t="shared" si="15"/>
        <v/>
      </c>
      <c r="W12" s="129" t="str">
        <f t="shared" si="16"/>
        <v/>
      </c>
      <c r="X12" s="131"/>
      <c r="Y12" s="215" t="e">
        <f ca="1">IF(Length_1!K7&lt;0,ROUNDUP(Length_1!K7*I$3,$M$47),ROUNDDOWN(Length_1!K7*I$3,$M$47))</f>
        <v>#N/A</v>
      </c>
      <c r="Z12" s="215" t="e">
        <f ca="1">IF(Length_1!L7&lt;0,ROUNDDOWN(Length_1!L7*I$3,$M$47),ROUNDUP(Length_1!L7*I$3,$M$47))</f>
        <v>#N/A</v>
      </c>
      <c r="AA12" s="129" t="e">
        <f t="shared" ca="1" si="9"/>
        <v>#N/A</v>
      </c>
      <c r="AB12" s="129" t="e">
        <f t="shared" ca="1" si="10"/>
        <v>#N/A</v>
      </c>
      <c r="AC12" s="215" t="e">
        <f t="shared" ca="1" si="11"/>
        <v>#N/A</v>
      </c>
      <c r="AD12" s="129" t="e">
        <f t="shared" ca="1" si="12"/>
        <v>#N/A</v>
      </c>
      <c r="AE12" s="129" t="str">
        <f t="shared" si="17"/>
        <v/>
      </c>
      <c r="AF12" s="234" t="e">
        <f t="shared" ca="1" si="13"/>
        <v>#N/A</v>
      </c>
    </row>
    <row r="13" spans="1:32" ht="15" customHeight="1">
      <c r="B13" s="132" t="b">
        <f>IF(TRIM(Length_1!A8)="",FALSE,TRUE)</f>
        <v>0</v>
      </c>
      <c r="C13" s="129" t="str">
        <f>IF($B13=FALSE,"",VALUE(Length_1!A8))</f>
        <v/>
      </c>
      <c r="D13" s="129" t="str">
        <f>IF($B13=FALSE,"",Length_1!B8)</f>
        <v/>
      </c>
      <c r="E13" s="133" t="str">
        <f>IF(B13=FALSE,"",Length_1!N8)</f>
        <v/>
      </c>
      <c r="F13" s="133" t="str">
        <f>IF(B13=FALSE,"",Length_1!O8)</f>
        <v/>
      </c>
      <c r="G13" s="133" t="str">
        <f>IF(B13=FALSE,"",Length_1!P8)</f>
        <v/>
      </c>
      <c r="H13" s="133" t="str">
        <f>IF(B13=FALSE,"",Length_1!Q8)</f>
        <v/>
      </c>
      <c r="I13" s="133" t="str">
        <f>IF(B13=FALSE,"",Length_1!R8)</f>
        <v/>
      </c>
      <c r="J13" s="134" t="str">
        <f t="shared" si="1"/>
        <v/>
      </c>
      <c r="K13" s="144" t="str">
        <f t="shared" si="2"/>
        <v/>
      </c>
      <c r="L13" s="135" t="str">
        <f>IF(B13=FALSE,"",Length_1!D32)</f>
        <v/>
      </c>
      <c r="M13" s="136" t="str">
        <f>IF(B13=FALSE,"",Calcu!J13*I$3)</f>
        <v/>
      </c>
      <c r="N13" s="154" t="str">
        <f t="shared" si="14"/>
        <v/>
      </c>
      <c r="O13" s="154" t="str">
        <f>IF(B13=FALSE,"",Length_1!F32)</f>
        <v/>
      </c>
      <c r="P13" s="155" t="str">
        <f t="shared" si="3"/>
        <v/>
      </c>
      <c r="Q13" s="269" t="str">
        <f t="shared" si="4"/>
        <v/>
      </c>
      <c r="R13" s="269" t="str">
        <f t="shared" si="5"/>
        <v/>
      </c>
      <c r="S13" s="269" t="str">
        <f t="shared" si="6"/>
        <v/>
      </c>
      <c r="T13" s="137" t="str">
        <f t="shared" si="7"/>
        <v/>
      </c>
      <c r="U13" s="138" t="str">
        <f t="shared" si="8"/>
        <v/>
      </c>
      <c r="V13" s="129" t="str">
        <f t="shared" si="15"/>
        <v/>
      </c>
      <c r="W13" s="129" t="str">
        <f t="shared" si="16"/>
        <v/>
      </c>
      <c r="X13" s="131"/>
      <c r="Y13" s="215" t="e">
        <f ca="1">IF(Length_1!K8&lt;0,ROUNDUP(Length_1!K8*I$3,$M$47),ROUNDDOWN(Length_1!K8*I$3,$M$47))</f>
        <v>#N/A</v>
      </c>
      <c r="Z13" s="215" t="e">
        <f ca="1">IF(Length_1!L8&lt;0,ROUNDDOWN(Length_1!L8*I$3,$M$47),ROUNDUP(Length_1!L8*I$3,$M$47))</f>
        <v>#N/A</v>
      </c>
      <c r="AA13" s="129" t="e">
        <f t="shared" ca="1" si="9"/>
        <v>#N/A</v>
      </c>
      <c r="AB13" s="129" t="e">
        <f t="shared" ca="1" si="10"/>
        <v>#N/A</v>
      </c>
      <c r="AC13" s="215" t="e">
        <f t="shared" ca="1" si="11"/>
        <v>#N/A</v>
      </c>
      <c r="AD13" s="129" t="e">
        <f t="shared" ca="1" si="12"/>
        <v>#N/A</v>
      </c>
      <c r="AE13" s="129" t="str">
        <f t="shared" si="17"/>
        <v/>
      </c>
      <c r="AF13" s="234" t="e">
        <f t="shared" ca="1" si="13"/>
        <v>#N/A</v>
      </c>
    </row>
    <row r="14" spans="1:32" ht="15" customHeight="1">
      <c r="B14" s="132" t="b">
        <f>IF(TRIM(Length_1!A9)="",FALSE,TRUE)</f>
        <v>0</v>
      </c>
      <c r="C14" s="129" t="str">
        <f>IF($B14=FALSE,"",VALUE(Length_1!A9))</f>
        <v/>
      </c>
      <c r="D14" s="129" t="str">
        <f>IF($B14=FALSE,"",Length_1!B9)</f>
        <v/>
      </c>
      <c r="E14" s="133" t="str">
        <f>IF(B14=FALSE,"",Length_1!N9)</f>
        <v/>
      </c>
      <c r="F14" s="133" t="str">
        <f>IF(B14=FALSE,"",Length_1!O9)</f>
        <v/>
      </c>
      <c r="G14" s="133" t="str">
        <f>IF(B14=FALSE,"",Length_1!P9)</f>
        <v/>
      </c>
      <c r="H14" s="133" t="str">
        <f>IF(B14=FALSE,"",Length_1!Q9)</f>
        <v/>
      </c>
      <c r="I14" s="133" t="str">
        <f>IF(B14=FALSE,"",Length_1!R9)</f>
        <v/>
      </c>
      <c r="J14" s="134" t="str">
        <f t="shared" si="1"/>
        <v/>
      </c>
      <c r="K14" s="144" t="str">
        <f t="shared" si="2"/>
        <v/>
      </c>
      <c r="L14" s="135" t="str">
        <f>IF(B14=FALSE,"",Length_1!D33)</f>
        <v/>
      </c>
      <c r="M14" s="136" t="str">
        <f>IF(B14=FALSE,"",Calcu!J14*I$3)</f>
        <v/>
      </c>
      <c r="N14" s="154" t="str">
        <f t="shared" si="14"/>
        <v/>
      </c>
      <c r="O14" s="154" t="str">
        <f>IF(B14=FALSE,"",Length_1!F33)</f>
        <v/>
      </c>
      <c r="P14" s="155" t="str">
        <f t="shared" si="3"/>
        <v/>
      </c>
      <c r="Q14" s="269" t="str">
        <f t="shared" si="4"/>
        <v/>
      </c>
      <c r="R14" s="269" t="str">
        <f t="shared" si="5"/>
        <v/>
      </c>
      <c r="S14" s="269" t="str">
        <f t="shared" si="6"/>
        <v/>
      </c>
      <c r="T14" s="137" t="str">
        <f t="shared" si="7"/>
        <v/>
      </c>
      <c r="U14" s="138" t="str">
        <f t="shared" si="8"/>
        <v/>
      </c>
      <c r="V14" s="129" t="str">
        <f t="shared" si="15"/>
        <v/>
      </c>
      <c r="W14" s="129" t="str">
        <f t="shared" si="16"/>
        <v/>
      </c>
      <c r="X14" s="131"/>
      <c r="Y14" s="215" t="e">
        <f ca="1">IF(Length_1!K9&lt;0,ROUNDUP(Length_1!K9*I$3,$M$47),ROUNDDOWN(Length_1!K9*I$3,$M$47))</f>
        <v>#N/A</v>
      </c>
      <c r="Z14" s="215" t="e">
        <f ca="1">IF(Length_1!L9&lt;0,ROUNDDOWN(Length_1!L9*I$3,$M$47),ROUNDUP(Length_1!L9*I$3,$M$47))</f>
        <v>#N/A</v>
      </c>
      <c r="AA14" s="129" t="e">
        <f t="shared" ca="1" si="9"/>
        <v>#N/A</v>
      </c>
      <c r="AB14" s="129" t="e">
        <f t="shared" ca="1" si="10"/>
        <v>#N/A</v>
      </c>
      <c r="AC14" s="215" t="e">
        <f t="shared" ca="1" si="11"/>
        <v>#N/A</v>
      </c>
      <c r="AD14" s="129" t="e">
        <f t="shared" ca="1" si="12"/>
        <v>#N/A</v>
      </c>
      <c r="AE14" s="129" t="str">
        <f t="shared" si="17"/>
        <v/>
      </c>
      <c r="AF14" s="234" t="e">
        <f t="shared" ca="1" si="13"/>
        <v>#N/A</v>
      </c>
    </row>
    <row r="15" spans="1:32" ht="15" customHeight="1">
      <c r="B15" s="132" t="b">
        <f>IF(TRIM(Length_1!A10)="",FALSE,TRUE)</f>
        <v>0</v>
      </c>
      <c r="C15" s="129" t="str">
        <f>IF($B15=FALSE,"",VALUE(Length_1!A10))</f>
        <v/>
      </c>
      <c r="D15" s="129" t="str">
        <f>IF($B15=FALSE,"",Length_1!B10)</f>
        <v/>
      </c>
      <c r="E15" s="133" t="str">
        <f>IF(B15=FALSE,"",Length_1!N10)</f>
        <v/>
      </c>
      <c r="F15" s="133" t="str">
        <f>IF(B15=FALSE,"",Length_1!O10)</f>
        <v/>
      </c>
      <c r="G15" s="133" t="str">
        <f>IF(B15=FALSE,"",Length_1!P10)</f>
        <v/>
      </c>
      <c r="H15" s="133" t="str">
        <f>IF(B15=FALSE,"",Length_1!Q10)</f>
        <v/>
      </c>
      <c r="I15" s="133" t="str">
        <f>IF(B15=FALSE,"",Length_1!R10)</f>
        <v/>
      </c>
      <c r="J15" s="134" t="str">
        <f t="shared" si="1"/>
        <v/>
      </c>
      <c r="K15" s="144" t="str">
        <f t="shared" si="2"/>
        <v/>
      </c>
      <c r="L15" s="135" t="str">
        <f>IF(B15=FALSE,"",Length_1!D34)</f>
        <v/>
      </c>
      <c r="M15" s="136" t="str">
        <f>IF(B15=FALSE,"",Calcu!J15*I$3)</f>
        <v/>
      </c>
      <c r="N15" s="154" t="str">
        <f t="shared" si="14"/>
        <v/>
      </c>
      <c r="O15" s="154" t="str">
        <f>IF(B15=FALSE,"",Length_1!F34)</f>
        <v/>
      </c>
      <c r="P15" s="155" t="str">
        <f t="shared" si="3"/>
        <v/>
      </c>
      <c r="Q15" s="269" t="str">
        <f t="shared" si="4"/>
        <v/>
      </c>
      <c r="R15" s="269" t="str">
        <f t="shared" si="5"/>
        <v/>
      </c>
      <c r="S15" s="269" t="str">
        <f t="shared" si="6"/>
        <v/>
      </c>
      <c r="T15" s="137" t="str">
        <f t="shared" si="7"/>
        <v/>
      </c>
      <c r="U15" s="138" t="str">
        <f t="shared" si="8"/>
        <v/>
      </c>
      <c r="V15" s="129" t="str">
        <f t="shared" si="15"/>
        <v/>
      </c>
      <c r="W15" s="129" t="str">
        <f t="shared" si="16"/>
        <v/>
      </c>
      <c r="X15" s="131"/>
      <c r="Y15" s="215" t="e">
        <f ca="1">IF(Length_1!K10&lt;0,ROUNDUP(Length_1!K10*I$3,$M$47),ROUNDDOWN(Length_1!K10*I$3,$M$47))</f>
        <v>#N/A</v>
      </c>
      <c r="Z15" s="215" t="e">
        <f ca="1">IF(Length_1!L10&lt;0,ROUNDDOWN(Length_1!L10*I$3,$M$47),ROUNDUP(Length_1!L10*I$3,$M$47))</f>
        <v>#N/A</v>
      </c>
      <c r="AA15" s="129" t="e">
        <f t="shared" ca="1" si="9"/>
        <v>#N/A</v>
      </c>
      <c r="AB15" s="129" t="e">
        <f t="shared" ca="1" si="10"/>
        <v>#N/A</v>
      </c>
      <c r="AC15" s="215" t="e">
        <f t="shared" ca="1" si="11"/>
        <v>#N/A</v>
      </c>
      <c r="AD15" s="129" t="e">
        <f t="shared" ca="1" si="12"/>
        <v>#N/A</v>
      </c>
      <c r="AE15" s="129" t="str">
        <f t="shared" si="17"/>
        <v/>
      </c>
      <c r="AF15" s="234" t="e">
        <f t="shared" ca="1" si="13"/>
        <v>#N/A</v>
      </c>
    </row>
    <row r="16" spans="1:32" ht="15" customHeight="1">
      <c r="B16" s="132" t="b">
        <f>IF(TRIM(Length_1!A11)="",FALSE,TRUE)</f>
        <v>0</v>
      </c>
      <c r="C16" s="129" t="str">
        <f>IF($B16=FALSE,"",VALUE(Length_1!A11))</f>
        <v/>
      </c>
      <c r="D16" s="129" t="str">
        <f>IF($B16=FALSE,"",Length_1!B11)</f>
        <v/>
      </c>
      <c r="E16" s="133" t="str">
        <f>IF(B16=FALSE,"",Length_1!N11)</f>
        <v/>
      </c>
      <c r="F16" s="133" t="str">
        <f>IF(B16=FALSE,"",Length_1!O11)</f>
        <v/>
      </c>
      <c r="G16" s="133" t="str">
        <f>IF(B16=FALSE,"",Length_1!P11)</f>
        <v/>
      </c>
      <c r="H16" s="133" t="str">
        <f>IF(B16=FALSE,"",Length_1!Q11)</f>
        <v/>
      </c>
      <c r="I16" s="133" t="str">
        <f>IF(B16=FALSE,"",Length_1!R11)</f>
        <v/>
      </c>
      <c r="J16" s="134" t="str">
        <f t="shared" si="1"/>
        <v/>
      </c>
      <c r="K16" s="144" t="str">
        <f t="shared" si="2"/>
        <v/>
      </c>
      <c r="L16" s="135" t="str">
        <f>IF(B16=FALSE,"",Length_1!D35)</f>
        <v/>
      </c>
      <c r="M16" s="136" t="str">
        <f>IF(B16=FALSE,"",Calcu!J16*I$3)</f>
        <v/>
      </c>
      <c r="N16" s="154" t="str">
        <f t="shared" si="14"/>
        <v/>
      </c>
      <c r="O16" s="154" t="str">
        <f>IF(B16=FALSE,"",Length_1!F35)</f>
        <v/>
      </c>
      <c r="P16" s="155" t="str">
        <f t="shared" si="3"/>
        <v/>
      </c>
      <c r="Q16" s="269" t="str">
        <f t="shared" si="4"/>
        <v/>
      </c>
      <c r="R16" s="269" t="str">
        <f t="shared" si="5"/>
        <v/>
      </c>
      <c r="S16" s="269" t="str">
        <f t="shared" si="6"/>
        <v/>
      </c>
      <c r="T16" s="137" t="str">
        <f t="shared" si="7"/>
        <v/>
      </c>
      <c r="U16" s="138" t="str">
        <f t="shared" si="8"/>
        <v/>
      </c>
      <c r="V16" s="129" t="str">
        <f t="shared" si="15"/>
        <v/>
      </c>
      <c r="W16" s="129" t="str">
        <f t="shared" si="16"/>
        <v/>
      </c>
      <c r="X16" s="131"/>
      <c r="Y16" s="215" t="e">
        <f ca="1">IF(Length_1!K11&lt;0,ROUNDUP(Length_1!K11*I$3,$M$47),ROUNDDOWN(Length_1!K11*I$3,$M$47))</f>
        <v>#N/A</v>
      </c>
      <c r="Z16" s="215" t="e">
        <f ca="1">IF(Length_1!L11&lt;0,ROUNDDOWN(Length_1!L11*I$3,$M$47),ROUNDUP(Length_1!L11*I$3,$M$47))</f>
        <v>#N/A</v>
      </c>
      <c r="AA16" s="129" t="e">
        <f t="shared" ca="1" si="9"/>
        <v>#N/A</v>
      </c>
      <c r="AB16" s="129" t="e">
        <f t="shared" ca="1" si="10"/>
        <v>#N/A</v>
      </c>
      <c r="AC16" s="215" t="e">
        <f t="shared" ca="1" si="11"/>
        <v>#N/A</v>
      </c>
      <c r="AD16" s="129" t="e">
        <f t="shared" ca="1" si="12"/>
        <v>#N/A</v>
      </c>
      <c r="AE16" s="129" t="str">
        <f t="shared" si="17"/>
        <v/>
      </c>
      <c r="AF16" s="234" t="e">
        <f t="shared" ca="1" si="13"/>
        <v>#N/A</v>
      </c>
    </row>
    <row r="17" spans="1:32" ht="15" customHeight="1">
      <c r="B17" s="132" t="b">
        <f>IF(TRIM(Length_1!A12)="",FALSE,TRUE)</f>
        <v>0</v>
      </c>
      <c r="C17" s="129" t="str">
        <f>IF($B17=FALSE,"",VALUE(Length_1!A12))</f>
        <v/>
      </c>
      <c r="D17" s="129" t="str">
        <f>IF($B17=FALSE,"",Length_1!B12)</f>
        <v/>
      </c>
      <c r="E17" s="133" t="str">
        <f>IF(B17=FALSE,"",Length_1!N12)</f>
        <v/>
      </c>
      <c r="F17" s="133" t="str">
        <f>IF(B17=FALSE,"",Length_1!O12)</f>
        <v/>
      </c>
      <c r="G17" s="133" t="str">
        <f>IF(B17=FALSE,"",Length_1!P12)</f>
        <v/>
      </c>
      <c r="H17" s="133" t="str">
        <f>IF(B17=FALSE,"",Length_1!Q12)</f>
        <v/>
      </c>
      <c r="I17" s="133" t="str">
        <f>IF(B17=FALSE,"",Length_1!R12)</f>
        <v/>
      </c>
      <c r="J17" s="134" t="str">
        <f t="shared" si="1"/>
        <v/>
      </c>
      <c r="K17" s="144" t="str">
        <f t="shared" si="2"/>
        <v/>
      </c>
      <c r="L17" s="135" t="str">
        <f>IF(B17=FALSE,"",Length_1!D36)</f>
        <v/>
      </c>
      <c r="M17" s="136" t="str">
        <f>IF(B17=FALSE,"",Calcu!J17*I$3)</f>
        <v/>
      </c>
      <c r="N17" s="154" t="str">
        <f t="shared" si="14"/>
        <v/>
      </c>
      <c r="O17" s="154" t="str">
        <f>IF(B17=FALSE,"",Length_1!F36)</f>
        <v/>
      </c>
      <c r="P17" s="155" t="str">
        <f t="shared" si="3"/>
        <v/>
      </c>
      <c r="Q17" s="269" t="str">
        <f t="shared" si="4"/>
        <v/>
      </c>
      <c r="R17" s="269" t="str">
        <f t="shared" si="5"/>
        <v/>
      </c>
      <c r="S17" s="269" t="str">
        <f t="shared" si="6"/>
        <v/>
      </c>
      <c r="T17" s="137" t="str">
        <f t="shared" si="7"/>
        <v/>
      </c>
      <c r="U17" s="138" t="str">
        <f t="shared" si="8"/>
        <v/>
      </c>
      <c r="V17" s="129" t="str">
        <f t="shared" si="15"/>
        <v/>
      </c>
      <c r="W17" s="129" t="str">
        <f t="shared" si="16"/>
        <v/>
      </c>
      <c r="X17" s="131"/>
      <c r="Y17" s="215" t="e">
        <f ca="1">IF(Length_1!K12&lt;0,ROUNDUP(Length_1!K12*I$3,$M$47),ROUNDDOWN(Length_1!K12*I$3,$M$47))</f>
        <v>#N/A</v>
      </c>
      <c r="Z17" s="215" t="e">
        <f ca="1">IF(Length_1!L12&lt;0,ROUNDDOWN(Length_1!L12*I$3,$M$47),ROUNDUP(Length_1!L12*I$3,$M$47))</f>
        <v>#N/A</v>
      </c>
      <c r="AA17" s="129" t="e">
        <f t="shared" ca="1" si="9"/>
        <v>#N/A</v>
      </c>
      <c r="AB17" s="129" t="e">
        <f t="shared" ca="1" si="10"/>
        <v>#N/A</v>
      </c>
      <c r="AC17" s="215" t="e">
        <f t="shared" ca="1" si="11"/>
        <v>#N/A</v>
      </c>
      <c r="AD17" s="129" t="e">
        <f t="shared" ca="1" si="12"/>
        <v>#N/A</v>
      </c>
      <c r="AE17" s="129" t="str">
        <f t="shared" si="17"/>
        <v/>
      </c>
      <c r="AF17" s="234" t="e">
        <f t="shared" ca="1" si="13"/>
        <v>#N/A</v>
      </c>
    </row>
    <row r="18" spans="1:32" ht="15" customHeight="1">
      <c r="B18" s="132" t="b">
        <f>IF(TRIM(Length_1!A13)="",FALSE,TRUE)</f>
        <v>0</v>
      </c>
      <c r="C18" s="129" t="str">
        <f>IF($B18=FALSE,"",VALUE(Length_1!A13))</f>
        <v/>
      </c>
      <c r="D18" s="129" t="str">
        <f>IF($B18=FALSE,"",Length_1!B13)</f>
        <v/>
      </c>
      <c r="E18" s="133" t="str">
        <f>IF(B18=FALSE,"",Length_1!N13)</f>
        <v/>
      </c>
      <c r="F18" s="133" t="str">
        <f>IF(B18=FALSE,"",Length_1!O13)</f>
        <v/>
      </c>
      <c r="G18" s="133" t="str">
        <f>IF(B18=FALSE,"",Length_1!P13)</f>
        <v/>
      </c>
      <c r="H18" s="133" t="str">
        <f>IF(B18=FALSE,"",Length_1!Q13)</f>
        <v/>
      </c>
      <c r="I18" s="133" t="str">
        <f>IF(B18=FALSE,"",Length_1!R13)</f>
        <v/>
      </c>
      <c r="J18" s="134" t="str">
        <f t="shared" si="1"/>
        <v/>
      </c>
      <c r="K18" s="144" t="str">
        <f t="shared" si="2"/>
        <v/>
      </c>
      <c r="L18" s="135" t="str">
        <f>IF(B18=FALSE,"",Length_1!D37)</f>
        <v/>
      </c>
      <c r="M18" s="136" t="str">
        <f>IF(B18=FALSE,"",Calcu!J18*I$3)</f>
        <v/>
      </c>
      <c r="N18" s="154" t="str">
        <f t="shared" si="14"/>
        <v/>
      </c>
      <c r="O18" s="154" t="str">
        <f>IF(B18=FALSE,"",Length_1!F37)</f>
        <v/>
      </c>
      <c r="P18" s="155" t="str">
        <f t="shared" si="3"/>
        <v/>
      </c>
      <c r="Q18" s="269" t="str">
        <f t="shared" si="4"/>
        <v/>
      </c>
      <c r="R18" s="269" t="str">
        <f t="shared" si="5"/>
        <v/>
      </c>
      <c r="S18" s="269" t="str">
        <f t="shared" si="6"/>
        <v/>
      </c>
      <c r="T18" s="137" t="str">
        <f t="shared" si="7"/>
        <v/>
      </c>
      <c r="U18" s="138" t="str">
        <f t="shared" si="8"/>
        <v/>
      </c>
      <c r="V18" s="129" t="str">
        <f t="shared" si="15"/>
        <v/>
      </c>
      <c r="W18" s="129" t="str">
        <f t="shared" si="16"/>
        <v/>
      </c>
      <c r="X18" s="131"/>
      <c r="Y18" s="215" t="e">
        <f ca="1">IF(Length_1!K13&lt;0,ROUNDUP(Length_1!K13*I$3,$M$47),ROUNDDOWN(Length_1!K13*I$3,$M$47))</f>
        <v>#N/A</v>
      </c>
      <c r="Z18" s="215" t="e">
        <f ca="1">IF(Length_1!L13&lt;0,ROUNDDOWN(Length_1!L13*I$3,$M$47),ROUNDUP(Length_1!L13*I$3,$M$47))</f>
        <v>#N/A</v>
      </c>
      <c r="AA18" s="129" t="e">
        <f t="shared" ca="1" si="9"/>
        <v>#N/A</v>
      </c>
      <c r="AB18" s="129" t="e">
        <f t="shared" ca="1" si="10"/>
        <v>#N/A</v>
      </c>
      <c r="AC18" s="215" t="e">
        <f t="shared" ca="1" si="11"/>
        <v>#N/A</v>
      </c>
      <c r="AD18" s="129" t="e">
        <f t="shared" ca="1" si="12"/>
        <v>#N/A</v>
      </c>
      <c r="AE18" s="129" t="str">
        <f t="shared" si="17"/>
        <v/>
      </c>
      <c r="AF18" s="234" t="e">
        <f t="shared" ca="1" si="13"/>
        <v>#N/A</v>
      </c>
    </row>
    <row r="19" spans="1:32" ht="15" customHeight="1">
      <c r="B19" s="132" t="b">
        <f>IF(TRIM(Length_1!A14)="",FALSE,TRUE)</f>
        <v>0</v>
      </c>
      <c r="C19" s="129" t="str">
        <f>IF($B19=FALSE,"",VALUE(Length_1!A14))</f>
        <v/>
      </c>
      <c r="D19" s="129" t="str">
        <f>IF($B19=FALSE,"",Length_1!B14)</f>
        <v/>
      </c>
      <c r="E19" s="133" t="str">
        <f>IF(B19=FALSE,"",Length_1!N14)</f>
        <v/>
      </c>
      <c r="F19" s="133" t="str">
        <f>IF(B19=FALSE,"",Length_1!O14)</f>
        <v/>
      </c>
      <c r="G19" s="133" t="str">
        <f>IF(B19=FALSE,"",Length_1!P14)</f>
        <v/>
      </c>
      <c r="H19" s="133" t="str">
        <f>IF(B19=FALSE,"",Length_1!Q14)</f>
        <v/>
      </c>
      <c r="I19" s="133" t="str">
        <f>IF(B19=FALSE,"",Length_1!R14)</f>
        <v/>
      </c>
      <c r="J19" s="134" t="str">
        <f t="shared" si="1"/>
        <v/>
      </c>
      <c r="K19" s="144" t="str">
        <f t="shared" si="2"/>
        <v/>
      </c>
      <c r="L19" s="135" t="str">
        <f>IF(B19=FALSE,"",Length_1!D38)</f>
        <v/>
      </c>
      <c r="M19" s="136" t="str">
        <f>IF(B19=FALSE,"",Calcu!J19*I$3)</f>
        <v/>
      </c>
      <c r="N19" s="154" t="str">
        <f t="shared" si="14"/>
        <v/>
      </c>
      <c r="O19" s="154" t="str">
        <f>IF(B19=FALSE,"",Length_1!F38)</f>
        <v/>
      </c>
      <c r="P19" s="155" t="str">
        <f t="shared" si="3"/>
        <v/>
      </c>
      <c r="Q19" s="269" t="str">
        <f t="shared" si="4"/>
        <v/>
      </c>
      <c r="R19" s="269" t="str">
        <f t="shared" si="5"/>
        <v/>
      </c>
      <c r="S19" s="269" t="str">
        <f t="shared" si="6"/>
        <v/>
      </c>
      <c r="T19" s="137" t="str">
        <f t="shared" si="7"/>
        <v/>
      </c>
      <c r="U19" s="138" t="str">
        <f t="shared" si="8"/>
        <v/>
      </c>
      <c r="V19" s="129" t="str">
        <f t="shared" si="15"/>
        <v/>
      </c>
      <c r="W19" s="129" t="str">
        <f t="shared" si="16"/>
        <v/>
      </c>
      <c r="X19" s="131"/>
      <c r="Y19" s="215" t="e">
        <f ca="1">IF(Length_1!K14&lt;0,ROUNDUP(Length_1!K14*I$3,$M$47),ROUNDDOWN(Length_1!K14*I$3,$M$47))</f>
        <v>#N/A</v>
      </c>
      <c r="Z19" s="215" t="e">
        <f ca="1">IF(Length_1!L14&lt;0,ROUNDDOWN(Length_1!L14*I$3,$M$47),ROUNDUP(Length_1!L14*I$3,$M$47))</f>
        <v>#N/A</v>
      </c>
      <c r="AA19" s="129" t="e">
        <f t="shared" ca="1" si="9"/>
        <v>#N/A</v>
      </c>
      <c r="AB19" s="129" t="e">
        <f t="shared" ca="1" si="10"/>
        <v>#N/A</v>
      </c>
      <c r="AC19" s="215" t="e">
        <f t="shared" ca="1" si="11"/>
        <v>#N/A</v>
      </c>
      <c r="AD19" s="129" t="e">
        <f t="shared" ca="1" si="12"/>
        <v>#N/A</v>
      </c>
      <c r="AE19" s="129" t="str">
        <f t="shared" si="17"/>
        <v/>
      </c>
      <c r="AF19" s="234" t="e">
        <f t="shared" ca="1" si="13"/>
        <v>#N/A</v>
      </c>
    </row>
    <row r="20" spans="1:32" ht="15" customHeight="1">
      <c r="B20" s="132" t="b">
        <f>IF(TRIM(Length_1!A15)="",FALSE,TRUE)</f>
        <v>0</v>
      </c>
      <c r="C20" s="129" t="str">
        <f>IF($B20=FALSE,"",VALUE(Length_1!A15))</f>
        <v/>
      </c>
      <c r="D20" s="129" t="str">
        <f>IF($B20=FALSE,"",Length_1!B15)</f>
        <v/>
      </c>
      <c r="E20" s="133" t="str">
        <f>IF(B20=FALSE,"",Length_1!N15)</f>
        <v/>
      </c>
      <c r="F20" s="133" t="str">
        <f>IF(B20=FALSE,"",Length_1!O15)</f>
        <v/>
      </c>
      <c r="G20" s="133" t="str">
        <f>IF(B20=FALSE,"",Length_1!P15)</f>
        <v/>
      </c>
      <c r="H20" s="133" t="str">
        <f>IF(B20=FALSE,"",Length_1!Q15)</f>
        <v/>
      </c>
      <c r="I20" s="133" t="str">
        <f>IF(B20=FALSE,"",Length_1!R15)</f>
        <v/>
      </c>
      <c r="J20" s="134" t="str">
        <f t="shared" si="1"/>
        <v/>
      </c>
      <c r="K20" s="144" t="str">
        <f t="shared" si="2"/>
        <v/>
      </c>
      <c r="L20" s="135" t="str">
        <f>IF(B20=FALSE,"",Length_1!D39)</f>
        <v/>
      </c>
      <c r="M20" s="136" t="str">
        <f>IF(B20=FALSE,"",Calcu!J20*I$3)</f>
        <v/>
      </c>
      <c r="N20" s="154" t="str">
        <f t="shared" si="14"/>
        <v/>
      </c>
      <c r="O20" s="154" t="str">
        <f>IF(B20=FALSE,"",Length_1!F39)</f>
        <v/>
      </c>
      <c r="P20" s="155" t="str">
        <f t="shared" si="3"/>
        <v/>
      </c>
      <c r="Q20" s="269" t="str">
        <f t="shared" si="4"/>
        <v/>
      </c>
      <c r="R20" s="269" t="str">
        <f t="shared" si="5"/>
        <v/>
      </c>
      <c r="S20" s="269" t="str">
        <f t="shared" si="6"/>
        <v/>
      </c>
      <c r="T20" s="137" t="str">
        <f t="shared" si="7"/>
        <v/>
      </c>
      <c r="U20" s="138" t="str">
        <f t="shared" si="8"/>
        <v/>
      </c>
      <c r="V20" s="129" t="str">
        <f t="shared" si="15"/>
        <v/>
      </c>
      <c r="W20" s="129" t="str">
        <f t="shared" si="16"/>
        <v/>
      </c>
      <c r="X20" s="131"/>
      <c r="Y20" s="215" t="e">
        <f ca="1">IF(Length_1!K15&lt;0,ROUNDUP(Length_1!K15*I$3,$M$47),ROUNDDOWN(Length_1!K15*I$3,$M$47))</f>
        <v>#N/A</v>
      </c>
      <c r="Z20" s="215" t="e">
        <f ca="1">IF(Length_1!L15&lt;0,ROUNDDOWN(Length_1!L15*I$3,$M$47),ROUNDUP(Length_1!L15*I$3,$M$47))</f>
        <v>#N/A</v>
      </c>
      <c r="AA20" s="129" t="e">
        <f t="shared" ca="1" si="9"/>
        <v>#N/A</v>
      </c>
      <c r="AB20" s="129" t="e">
        <f t="shared" ca="1" si="10"/>
        <v>#N/A</v>
      </c>
      <c r="AC20" s="215" t="e">
        <f t="shared" ca="1" si="11"/>
        <v>#N/A</v>
      </c>
      <c r="AD20" s="129" t="e">
        <f t="shared" ca="1" si="12"/>
        <v>#N/A</v>
      </c>
      <c r="AE20" s="129" t="str">
        <f t="shared" si="17"/>
        <v/>
      </c>
      <c r="AF20" s="234" t="e">
        <f t="shared" ca="1" si="13"/>
        <v>#N/A</v>
      </c>
    </row>
    <row r="21" spans="1:32" ht="15" customHeight="1">
      <c r="B21" s="132" t="b">
        <f>IF(TRIM(Length_1!A16)="",FALSE,TRUE)</f>
        <v>0</v>
      </c>
      <c r="C21" s="129" t="str">
        <f>IF($B21=FALSE,"",VALUE(Length_1!A16))</f>
        <v/>
      </c>
      <c r="D21" s="129" t="str">
        <f>IF($B21=FALSE,"",Length_1!B16)</f>
        <v/>
      </c>
      <c r="E21" s="133" t="str">
        <f>IF(B21=FALSE,"",Length_1!N16)</f>
        <v/>
      </c>
      <c r="F21" s="133" t="str">
        <f>IF(B21=FALSE,"",Length_1!O16)</f>
        <v/>
      </c>
      <c r="G21" s="133" t="str">
        <f>IF(B21=FALSE,"",Length_1!P16)</f>
        <v/>
      </c>
      <c r="H21" s="133" t="str">
        <f>IF(B21=FALSE,"",Length_1!Q16)</f>
        <v/>
      </c>
      <c r="I21" s="133" t="str">
        <f>IF(B21=FALSE,"",Length_1!R16)</f>
        <v/>
      </c>
      <c r="J21" s="134" t="str">
        <f t="shared" si="1"/>
        <v/>
      </c>
      <c r="K21" s="144" t="str">
        <f t="shared" si="2"/>
        <v/>
      </c>
      <c r="L21" s="135" t="str">
        <f>IF(B21=FALSE,"",Length_1!D40)</f>
        <v/>
      </c>
      <c r="M21" s="136" t="str">
        <f>IF(B21=FALSE,"",Calcu!J21*I$3)</f>
        <v/>
      </c>
      <c r="N21" s="154" t="str">
        <f t="shared" si="14"/>
        <v/>
      </c>
      <c r="O21" s="154" t="str">
        <f>IF(B21=FALSE,"",Length_1!F40)</f>
        <v/>
      </c>
      <c r="P21" s="155" t="str">
        <f t="shared" si="3"/>
        <v/>
      </c>
      <c r="Q21" s="269" t="str">
        <f t="shared" si="4"/>
        <v/>
      </c>
      <c r="R21" s="269" t="str">
        <f t="shared" si="5"/>
        <v/>
      </c>
      <c r="S21" s="269" t="str">
        <f t="shared" si="6"/>
        <v/>
      </c>
      <c r="T21" s="137" t="str">
        <f t="shared" si="7"/>
        <v/>
      </c>
      <c r="U21" s="138" t="str">
        <f t="shared" si="8"/>
        <v/>
      </c>
      <c r="V21" s="129" t="str">
        <f t="shared" si="15"/>
        <v/>
      </c>
      <c r="W21" s="129" t="str">
        <f t="shared" si="16"/>
        <v/>
      </c>
      <c r="X21" s="131"/>
      <c r="Y21" s="215" t="e">
        <f ca="1">IF(Length_1!K16&lt;0,ROUNDUP(Length_1!K16*I$3,$M$47),ROUNDDOWN(Length_1!K16*I$3,$M$47))</f>
        <v>#N/A</v>
      </c>
      <c r="Z21" s="215" t="e">
        <f ca="1">IF(Length_1!L16&lt;0,ROUNDDOWN(Length_1!L16*I$3,$M$47),ROUNDUP(Length_1!L16*I$3,$M$47))</f>
        <v>#N/A</v>
      </c>
      <c r="AA21" s="129" t="e">
        <f t="shared" ca="1" si="9"/>
        <v>#N/A</v>
      </c>
      <c r="AB21" s="129" t="e">
        <f t="shared" ca="1" si="10"/>
        <v>#N/A</v>
      </c>
      <c r="AC21" s="215" t="e">
        <f t="shared" ca="1" si="11"/>
        <v>#N/A</v>
      </c>
      <c r="AD21" s="129" t="e">
        <f t="shared" ca="1" si="12"/>
        <v>#N/A</v>
      </c>
      <c r="AE21" s="129" t="str">
        <f t="shared" si="17"/>
        <v/>
      </c>
      <c r="AF21" s="234" t="e">
        <f t="shared" ca="1" si="13"/>
        <v>#N/A</v>
      </c>
    </row>
    <row r="22" spans="1:32" ht="15" customHeight="1">
      <c r="B22" s="132" t="b">
        <f>IF(TRIM(Length_1!A17)="",FALSE,TRUE)</f>
        <v>0</v>
      </c>
      <c r="C22" s="129" t="str">
        <f>IF($B22=FALSE,"",VALUE(Length_1!A17))</f>
        <v/>
      </c>
      <c r="D22" s="129" t="str">
        <f>IF($B22=FALSE,"",Length_1!B17)</f>
        <v/>
      </c>
      <c r="E22" s="133" t="str">
        <f>IF(B22=FALSE,"",Length_1!N17)</f>
        <v/>
      </c>
      <c r="F22" s="133" t="str">
        <f>IF(B22=FALSE,"",Length_1!O17)</f>
        <v/>
      </c>
      <c r="G22" s="133" t="str">
        <f>IF(B22=FALSE,"",Length_1!P17)</f>
        <v/>
      </c>
      <c r="H22" s="133" t="str">
        <f>IF(B22=FALSE,"",Length_1!Q17)</f>
        <v/>
      </c>
      <c r="I22" s="133" t="str">
        <f>IF(B22=FALSE,"",Length_1!R17)</f>
        <v/>
      </c>
      <c r="J22" s="134" t="str">
        <f t="shared" si="1"/>
        <v/>
      </c>
      <c r="K22" s="144" t="str">
        <f t="shared" si="2"/>
        <v/>
      </c>
      <c r="L22" s="135" t="str">
        <f>IF(B22=FALSE,"",Length_1!D41)</f>
        <v/>
      </c>
      <c r="M22" s="136" t="str">
        <f>IF(B22=FALSE,"",Calcu!J22*I$3)</f>
        <v/>
      </c>
      <c r="N22" s="154" t="str">
        <f t="shared" si="14"/>
        <v/>
      </c>
      <c r="O22" s="154" t="str">
        <f>IF(B22=FALSE,"",Length_1!F41)</f>
        <v/>
      </c>
      <c r="P22" s="155" t="str">
        <f t="shared" si="3"/>
        <v/>
      </c>
      <c r="Q22" s="269" t="str">
        <f t="shared" si="4"/>
        <v/>
      </c>
      <c r="R22" s="269" t="str">
        <f t="shared" si="5"/>
        <v/>
      </c>
      <c r="S22" s="269" t="str">
        <f t="shared" si="6"/>
        <v/>
      </c>
      <c r="T22" s="137" t="str">
        <f t="shared" si="7"/>
        <v/>
      </c>
      <c r="U22" s="138" t="str">
        <f t="shared" si="8"/>
        <v/>
      </c>
      <c r="V22" s="129" t="str">
        <f t="shared" si="15"/>
        <v/>
      </c>
      <c r="W22" s="129" t="str">
        <f t="shared" si="16"/>
        <v/>
      </c>
      <c r="X22" s="131"/>
      <c r="Y22" s="215" t="e">
        <f ca="1">IF(Length_1!K17&lt;0,ROUNDUP(Length_1!K17*I$3,$M$47),ROUNDDOWN(Length_1!K17*I$3,$M$47))</f>
        <v>#N/A</v>
      </c>
      <c r="Z22" s="215" t="e">
        <f ca="1">IF(Length_1!L17&lt;0,ROUNDDOWN(Length_1!L17*I$3,$M$47),ROUNDUP(Length_1!L17*I$3,$M$47))</f>
        <v>#N/A</v>
      </c>
      <c r="AA22" s="129" t="e">
        <f t="shared" ca="1" si="9"/>
        <v>#N/A</v>
      </c>
      <c r="AB22" s="129" t="e">
        <f t="shared" ca="1" si="10"/>
        <v>#N/A</v>
      </c>
      <c r="AC22" s="215" t="e">
        <f t="shared" ca="1" si="11"/>
        <v>#N/A</v>
      </c>
      <c r="AD22" s="129" t="e">
        <f t="shared" ca="1" si="12"/>
        <v>#N/A</v>
      </c>
      <c r="AE22" s="129" t="str">
        <f t="shared" si="17"/>
        <v/>
      </c>
      <c r="AF22" s="234" t="e">
        <f t="shared" ca="1" si="13"/>
        <v>#N/A</v>
      </c>
    </row>
    <row r="23" spans="1:32" ht="15" customHeight="1">
      <c r="B23" s="132" t="b">
        <f>IF(TRIM(Length_1!A18)="",FALSE,TRUE)</f>
        <v>0</v>
      </c>
      <c r="C23" s="129" t="str">
        <f>IF($B23=FALSE,"",VALUE(Length_1!A18))</f>
        <v/>
      </c>
      <c r="D23" s="129" t="str">
        <f>IF($B23=FALSE,"",Length_1!B18)</f>
        <v/>
      </c>
      <c r="E23" s="133" t="str">
        <f>IF(B23=FALSE,"",Length_1!N18)</f>
        <v/>
      </c>
      <c r="F23" s="133" t="str">
        <f>IF(B23=FALSE,"",Length_1!O18)</f>
        <v/>
      </c>
      <c r="G23" s="133" t="str">
        <f>IF(B23=FALSE,"",Length_1!P18)</f>
        <v/>
      </c>
      <c r="H23" s="133" t="str">
        <f>IF(B23=FALSE,"",Length_1!Q18)</f>
        <v/>
      </c>
      <c r="I23" s="133" t="str">
        <f>IF(B23=FALSE,"",Length_1!R18)</f>
        <v/>
      </c>
      <c r="J23" s="134" t="str">
        <f t="shared" si="1"/>
        <v/>
      </c>
      <c r="K23" s="144" t="str">
        <f t="shared" si="2"/>
        <v/>
      </c>
      <c r="L23" s="135" t="str">
        <f>IF(B23=FALSE,"",Length_1!D42)</f>
        <v/>
      </c>
      <c r="M23" s="136" t="str">
        <f>IF(B23=FALSE,"",Calcu!J23*I$3)</f>
        <v/>
      </c>
      <c r="N23" s="154" t="str">
        <f t="shared" si="14"/>
        <v/>
      </c>
      <c r="O23" s="154" t="str">
        <f>IF(B23=FALSE,"",Length_1!F42)</f>
        <v/>
      </c>
      <c r="P23" s="155" t="str">
        <f t="shared" si="3"/>
        <v/>
      </c>
      <c r="Q23" s="269" t="str">
        <f t="shared" si="4"/>
        <v/>
      </c>
      <c r="R23" s="269" t="str">
        <f t="shared" si="5"/>
        <v/>
      </c>
      <c r="S23" s="269" t="str">
        <f t="shared" si="6"/>
        <v/>
      </c>
      <c r="T23" s="137" t="str">
        <f t="shared" si="7"/>
        <v/>
      </c>
      <c r="U23" s="138" t="str">
        <f t="shared" si="8"/>
        <v/>
      </c>
      <c r="V23" s="129" t="str">
        <f t="shared" si="15"/>
        <v/>
      </c>
      <c r="W23" s="129" t="str">
        <f t="shared" si="16"/>
        <v/>
      </c>
      <c r="X23" s="131"/>
      <c r="Y23" s="215" t="e">
        <f ca="1">IF(Length_1!K18&lt;0,ROUNDUP(Length_1!K18*I$3,$M$47),ROUNDDOWN(Length_1!K18*I$3,$M$47))</f>
        <v>#N/A</v>
      </c>
      <c r="Z23" s="215" t="e">
        <f ca="1">IF(Length_1!L18&lt;0,ROUNDDOWN(Length_1!L18*I$3,$M$47),ROUNDUP(Length_1!L18*I$3,$M$47))</f>
        <v>#N/A</v>
      </c>
      <c r="AA23" s="129" t="e">
        <f t="shared" ca="1" si="9"/>
        <v>#N/A</v>
      </c>
      <c r="AB23" s="129" t="e">
        <f t="shared" ca="1" si="10"/>
        <v>#N/A</v>
      </c>
      <c r="AC23" s="215" t="e">
        <f t="shared" ca="1" si="11"/>
        <v>#N/A</v>
      </c>
      <c r="AD23" s="129" t="e">
        <f t="shared" ca="1" si="12"/>
        <v>#N/A</v>
      </c>
      <c r="AE23" s="129" t="str">
        <f t="shared" si="17"/>
        <v/>
      </c>
      <c r="AF23" s="234" t="e">
        <f t="shared" ca="1" si="13"/>
        <v>#N/A</v>
      </c>
    </row>
    <row r="24" spans="1:32" ht="15" customHeight="1">
      <c r="B24" s="132" t="b">
        <f>IF(TRIM(Length_1!A19)="",FALSE,TRUE)</f>
        <v>0</v>
      </c>
      <c r="C24" s="129" t="str">
        <f>IF($B24=FALSE,"",VALUE(Length_1!A19))</f>
        <v/>
      </c>
      <c r="D24" s="129" t="str">
        <f>IF($B24=FALSE,"",Length_1!B19)</f>
        <v/>
      </c>
      <c r="E24" s="133" t="str">
        <f>IF(B24=FALSE,"",Length_1!N19)</f>
        <v/>
      </c>
      <c r="F24" s="133" t="str">
        <f>IF(B24=FALSE,"",Length_1!O19)</f>
        <v/>
      </c>
      <c r="G24" s="133" t="str">
        <f>IF(B24=FALSE,"",Length_1!P19)</f>
        <v/>
      </c>
      <c r="H24" s="133" t="str">
        <f>IF(B24=FALSE,"",Length_1!Q19)</f>
        <v/>
      </c>
      <c r="I24" s="133" t="str">
        <f>IF(B24=FALSE,"",Length_1!R19)</f>
        <v/>
      </c>
      <c r="J24" s="134" t="str">
        <f t="shared" si="1"/>
        <v/>
      </c>
      <c r="K24" s="144" t="str">
        <f t="shared" si="2"/>
        <v/>
      </c>
      <c r="L24" s="135" t="str">
        <f>IF(B24=FALSE,"",Length_1!D43)</f>
        <v/>
      </c>
      <c r="M24" s="136" t="str">
        <f>IF(B24=FALSE,"",Calcu!J24*I$3)</f>
        <v/>
      </c>
      <c r="N24" s="154" t="str">
        <f t="shared" si="14"/>
        <v/>
      </c>
      <c r="O24" s="154" t="str">
        <f>IF(B24=FALSE,"",Length_1!F43)</f>
        <v/>
      </c>
      <c r="P24" s="155" t="str">
        <f t="shared" si="3"/>
        <v/>
      </c>
      <c r="Q24" s="269" t="str">
        <f t="shared" si="4"/>
        <v/>
      </c>
      <c r="R24" s="269" t="str">
        <f t="shared" si="5"/>
        <v/>
      </c>
      <c r="S24" s="269" t="str">
        <f t="shared" si="6"/>
        <v/>
      </c>
      <c r="T24" s="137" t="str">
        <f t="shared" si="7"/>
        <v/>
      </c>
      <c r="U24" s="138" t="str">
        <f t="shared" si="8"/>
        <v/>
      </c>
      <c r="V24" s="129" t="str">
        <f t="shared" si="15"/>
        <v/>
      </c>
      <c r="W24" s="129" t="str">
        <f t="shared" si="16"/>
        <v/>
      </c>
      <c r="X24" s="131"/>
      <c r="Y24" s="215" t="e">
        <f ca="1">IF(Length_1!K19&lt;0,ROUNDUP(Length_1!K19*I$3,$M$47),ROUNDDOWN(Length_1!K19*I$3,$M$47))</f>
        <v>#N/A</v>
      </c>
      <c r="Z24" s="215" t="e">
        <f ca="1">IF(Length_1!L19&lt;0,ROUNDDOWN(Length_1!L19*I$3,$M$47),ROUNDUP(Length_1!L19*I$3,$M$47))</f>
        <v>#N/A</v>
      </c>
      <c r="AA24" s="129" t="e">
        <f t="shared" ca="1" si="9"/>
        <v>#N/A</v>
      </c>
      <c r="AB24" s="129" t="e">
        <f t="shared" ca="1" si="10"/>
        <v>#N/A</v>
      </c>
      <c r="AC24" s="215" t="e">
        <f t="shared" ca="1" si="11"/>
        <v>#N/A</v>
      </c>
      <c r="AD24" s="129" t="e">
        <f t="shared" ca="1" si="12"/>
        <v>#N/A</v>
      </c>
      <c r="AE24" s="129" t="str">
        <f t="shared" si="17"/>
        <v/>
      </c>
      <c r="AF24" s="234" t="e">
        <f t="shared" ca="1" si="13"/>
        <v>#N/A</v>
      </c>
    </row>
    <row r="25" spans="1:32" ht="15" customHeight="1">
      <c r="B25" s="132" t="b">
        <f>IF(TRIM(Length_1!A20)="",FALSE,TRUE)</f>
        <v>0</v>
      </c>
      <c r="C25" s="129" t="str">
        <f>IF($B25=FALSE,"",VALUE(Length_1!A20))</f>
        <v/>
      </c>
      <c r="D25" s="129" t="str">
        <f>IF($B25=FALSE,"",Length_1!B20)</f>
        <v/>
      </c>
      <c r="E25" s="133" t="str">
        <f>IF(B25=FALSE,"",Length_1!N20)</f>
        <v/>
      </c>
      <c r="F25" s="133" t="str">
        <f>IF(B25=FALSE,"",Length_1!O20)</f>
        <v/>
      </c>
      <c r="G25" s="133" t="str">
        <f>IF(B25=FALSE,"",Length_1!P20)</f>
        <v/>
      </c>
      <c r="H25" s="133" t="str">
        <f>IF(B25=FALSE,"",Length_1!Q20)</f>
        <v/>
      </c>
      <c r="I25" s="133" t="str">
        <f>IF(B25=FALSE,"",Length_1!R20)</f>
        <v/>
      </c>
      <c r="J25" s="134" t="str">
        <f t="shared" si="1"/>
        <v/>
      </c>
      <c r="K25" s="144" t="str">
        <f t="shared" si="2"/>
        <v/>
      </c>
      <c r="L25" s="135" t="str">
        <f>IF(B25=FALSE,"",Length_1!D44)</f>
        <v/>
      </c>
      <c r="M25" s="136" t="str">
        <f>IF(B25=FALSE,"",Calcu!J25*I$3)</f>
        <v/>
      </c>
      <c r="N25" s="154" t="str">
        <f t="shared" si="14"/>
        <v/>
      </c>
      <c r="O25" s="154" t="str">
        <f>IF(B25=FALSE,"",Length_1!F44)</f>
        <v/>
      </c>
      <c r="P25" s="155" t="str">
        <f t="shared" si="3"/>
        <v/>
      </c>
      <c r="Q25" s="269" t="str">
        <f t="shared" si="4"/>
        <v/>
      </c>
      <c r="R25" s="269" t="str">
        <f t="shared" si="5"/>
        <v/>
      </c>
      <c r="S25" s="269" t="str">
        <f t="shared" si="6"/>
        <v/>
      </c>
      <c r="T25" s="137" t="str">
        <f t="shared" si="7"/>
        <v/>
      </c>
      <c r="U25" s="138" t="str">
        <f t="shared" si="8"/>
        <v/>
      </c>
      <c r="V25" s="129" t="str">
        <f t="shared" si="15"/>
        <v/>
      </c>
      <c r="W25" s="129" t="str">
        <f t="shared" si="16"/>
        <v/>
      </c>
      <c r="X25" s="131"/>
      <c r="Y25" s="215" t="e">
        <f ca="1">IF(Length_1!K20&lt;0,ROUNDUP(Length_1!K20*I$3,$M$47),ROUNDDOWN(Length_1!K20*I$3,$M$47))</f>
        <v>#N/A</v>
      </c>
      <c r="Z25" s="215" t="e">
        <f ca="1">IF(Length_1!L20&lt;0,ROUNDDOWN(Length_1!L20*I$3,$M$47),ROUNDUP(Length_1!L20*I$3,$M$47))</f>
        <v>#N/A</v>
      </c>
      <c r="AA25" s="129" t="e">
        <f t="shared" ca="1" si="9"/>
        <v>#N/A</v>
      </c>
      <c r="AB25" s="129" t="e">
        <f t="shared" ca="1" si="10"/>
        <v>#N/A</v>
      </c>
      <c r="AC25" s="215" t="e">
        <f t="shared" ca="1" si="11"/>
        <v>#N/A</v>
      </c>
      <c r="AD25" s="129" t="e">
        <f t="shared" ca="1" si="12"/>
        <v>#N/A</v>
      </c>
      <c r="AE25" s="129" t="str">
        <f t="shared" si="17"/>
        <v/>
      </c>
      <c r="AF25" s="234" t="e">
        <f t="shared" ca="1" si="13"/>
        <v>#N/A</v>
      </c>
    </row>
    <row r="26" spans="1:32" ht="15" customHeight="1">
      <c r="B26" s="132" t="b">
        <f>IF(TRIM(Length_1!A21)="",FALSE,TRUE)</f>
        <v>0</v>
      </c>
      <c r="C26" s="129" t="str">
        <f>IF($B26=FALSE,"",VALUE(Length_1!A21))</f>
        <v/>
      </c>
      <c r="D26" s="129" t="str">
        <f>IF($B26=FALSE,"",Length_1!B21)</f>
        <v/>
      </c>
      <c r="E26" s="133" t="str">
        <f>IF(B26=FALSE,"",Length_1!N21)</f>
        <v/>
      </c>
      <c r="F26" s="133" t="str">
        <f>IF(B26=FALSE,"",Length_1!O21)</f>
        <v/>
      </c>
      <c r="G26" s="133" t="str">
        <f>IF(B26=FALSE,"",Length_1!P21)</f>
        <v/>
      </c>
      <c r="H26" s="133" t="str">
        <f>IF(B26=FALSE,"",Length_1!Q21)</f>
        <v/>
      </c>
      <c r="I26" s="133" t="str">
        <f>IF(B26=FALSE,"",Length_1!R21)</f>
        <v/>
      </c>
      <c r="J26" s="134" t="str">
        <f t="shared" si="1"/>
        <v/>
      </c>
      <c r="K26" s="144" t="str">
        <f t="shared" si="2"/>
        <v/>
      </c>
      <c r="L26" s="135" t="str">
        <f>IF(B26=FALSE,"",Length_1!D45)</f>
        <v/>
      </c>
      <c r="M26" s="136" t="str">
        <f>IF(B26=FALSE,"",Calcu!J26*I$3)</f>
        <v/>
      </c>
      <c r="N26" s="154" t="str">
        <f t="shared" si="14"/>
        <v/>
      </c>
      <c r="O26" s="154" t="str">
        <f>IF(B26=FALSE,"",Length_1!F45)</f>
        <v/>
      </c>
      <c r="P26" s="155" t="str">
        <f t="shared" si="3"/>
        <v/>
      </c>
      <c r="Q26" s="269" t="str">
        <f t="shared" si="4"/>
        <v/>
      </c>
      <c r="R26" s="269" t="str">
        <f t="shared" si="5"/>
        <v/>
      </c>
      <c r="S26" s="269" t="str">
        <f t="shared" si="6"/>
        <v/>
      </c>
      <c r="T26" s="137" t="str">
        <f t="shared" si="7"/>
        <v/>
      </c>
      <c r="U26" s="138" t="str">
        <f t="shared" si="8"/>
        <v/>
      </c>
      <c r="V26" s="129" t="str">
        <f t="shared" si="15"/>
        <v/>
      </c>
      <c r="W26" s="129" t="str">
        <f t="shared" si="16"/>
        <v/>
      </c>
      <c r="X26" s="131"/>
      <c r="Y26" s="215" t="e">
        <f ca="1">IF(Length_1!K21&lt;0,ROUNDUP(Length_1!K21*I$3,$M$47),ROUNDDOWN(Length_1!K21*I$3,$M$47))</f>
        <v>#N/A</v>
      </c>
      <c r="Z26" s="215" t="e">
        <f ca="1">IF(Length_1!L21&lt;0,ROUNDDOWN(Length_1!L21*I$3,$M$47),ROUNDUP(Length_1!L21*I$3,$M$47))</f>
        <v>#N/A</v>
      </c>
      <c r="AA26" s="129" t="e">
        <f t="shared" ca="1" si="9"/>
        <v>#N/A</v>
      </c>
      <c r="AB26" s="129" t="e">
        <f t="shared" ca="1" si="10"/>
        <v>#N/A</v>
      </c>
      <c r="AC26" s="215" t="e">
        <f t="shared" ca="1" si="11"/>
        <v>#N/A</v>
      </c>
      <c r="AD26" s="129" t="e">
        <f t="shared" ca="1" si="12"/>
        <v>#N/A</v>
      </c>
      <c r="AE26" s="129" t="str">
        <f t="shared" si="17"/>
        <v/>
      </c>
      <c r="AF26" s="234" t="e">
        <f t="shared" ca="1" si="13"/>
        <v>#N/A</v>
      </c>
    </row>
    <row r="27" spans="1:32" ht="15" customHeight="1">
      <c r="B27" s="132" t="b">
        <f>IF(TRIM(Length_1!A22)="",FALSE,TRUE)</f>
        <v>0</v>
      </c>
      <c r="C27" s="129" t="str">
        <f>IF($B27=FALSE,"",VALUE(Length_1!A22))</f>
        <v/>
      </c>
      <c r="D27" s="129" t="str">
        <f>IF($B27=FALSE,"",Length_1!B22)</f>
        <v/>
      </c>
      <c r="E27" s="133" t="str">
        <f>IF(B27=FALSE,"",Length_1!N22)</f>
        <v/>
      </c>
      <c r="F27" s="133" t="str">
        <f>IF(B27=FALSE,"",Length_1!O22)</f>
        <v/>
      </c>
      <c r="G27" s="133" t="str">
        <f>IF(B27=FALSE,"",Length_1!P22)</f>
        <v/>
      </c>
      <c r="H27" s="133" t="str">
        <f>IF(B27=FALSE,"",Length_1!Q22)</f>
        <v/>
      </c>
      <c r="I27" s="133" t="str">
        <f>IF(B27=FALSE,"",Length_1!R22)</f>
        <v/>
      </c>
      <c r="J27" s="134" t="str">
        <f t="shared" si="1"/>
        <v/>
      </c>
      <c r="K27" s="144" t="str">
        <f t="shared" si="2"/>
        <v/>
      </c>
      <c r="L27" s="135" t="str">
        <f>IF(B27=FALSE,"",Length_1!D46)</f>
        <v/>
      </c>
      <c r="M27" s="136" t="str">
        <f>IF(B27=FALSE,"",Calcu!J27*I$3)</f>
        <v/>
      </c>
      <c r="N27" s="154" t="str">
        <f t="shared" si="14"/>
        <v/>
      </c>
      <c r="O27" s="154" t="str">
        <f>IF(B27=FALSE,"",Length_1!F46)</f>
        <v/>
      </c>
      <c r="P27" s="155" t="str">
        <f t="shared" si="3"/>
        <v/>
      </c>
      <c r="Q27" s="269" t="str">
        <f t="shared" si="4"/>
        <v/>
      </c>
      <c r="R27" s="269" t="str">
        <f t="shared" si="5"/>
        <v/>
      </c>
      <c r="S27" s="269" t="str">
        <f t="shared" si="6"/>
        <v/>
      </c>
      <c r="T27" s="137" t="str">
        <f t="shared" si="7"/>
        <v/>
      </c>
      <c r="U27" s="138" t="str">
        <f t="shared" si="8"/>
        <v/>
      </c>
      <c r="V27" s="129" t="str">
        <f t="shared" si="15"/>
        <v/>
      </c>
      <c r="W27" s="129" t="str">
        <f t="shared" si="16"/>
        <v/>
      </c>
      <c r="X27" s="131"/>
      <c r="Y27" s="215" t="e">
        <f ca="1">IF(Length_1!K22&lt;0,ROUNDUP(Length_1!K22*I$3,$M$47),ROUNDDOWN(Length_1!K22*I$3,$M$47))</f>
        <v>#N/A</v>
      </c>
      <c r="Z27" s="215" t="e">
        <f ca="1">IF(Length_1!L22&lt;0,ROUNDDOWN(Length_1!L22*I$3,$M$47),ROUNDUP(Length_1!L22*I$3,$M$47))</f>
        <v>#N/A</v>
      </c>
      <c r="AA27" s="129" t="e">
        <f t="shared" ca="1" si="9"/>
        <v>#N/A</v>
      </c>
      <c r="AB27" s="129" t="e">
        <f t="shared" ca="1" si="10"/>
        <v>#N/A</v>
      </c>
      <c r="AC27" s="215" t="e">
        <f t="shared" ca="1" si="11"/>
        <v>#N/A</v>
      </c>
      <c r="AD27" s="129" t="e">
        <f t="shared" ca="1" si="12"/>
        <v>#N/A</v>
      </c>
      <c r="AE27" s="129" t="str">
        <f t="shared" si="17"/>
        <v/>
      </c>
      <c r="AF27" s="234" t="e">
        <f t="shared" ca="1" si="13"/>
        <v>#N/A</v>
      </c>
    </row>
    <row r="28" spans="1:32" ht="15" customHeight="1">
      <c r="B28" s="132" t="b">
        <f>IF(TRIM(Length_1!A23)="",FALSE,TRUE)</f>
        <v>0</v>
      </c>
      <c r="C28" s="129" t="str">
        <f>IF($B28=FALSE,"",VALUE(Length_1!A23))</f>
        <v/>
      </c>
      <c r="D28" s="129" t="str">
        <f>IF($B28=FALSE,"",Length_1!B23)</f>
        <v/>
      </c>
      <c r="E28" s="133" t="str">
        <f>IF(B28=FALSE,"",Length_1!N23)</f>
        <v/>
      </c>
      <c r="F28" s="133" t="str">
        <f>IF(B28=FALSE,"",Length_1!O23)</f>
        <v/>
      </c>
      <c r="G28" s="133" t="str">
        <f>IF(B28=FALSE,"",Length_1!P23)</f>
        <v/>
      </c>
      <c r="H28" s="133" t="str">
        <f>IF(B28=FALSE,"",Length_1!Q23)</f>
        <v/>
      </c>
      <c r="I28" s="133" t="str">
        <f>IF(B28=FALSE,"",Length_1!R23)</f>
        <v/>
      </c>
      <c r="J28" s="134" t="str">
        <f t="shared" si="1"/>
        <v/>
      </c>
      <c r="K28" s="144" t="str">
        <f t="shared" si="2"/>
        <v/>
      </c>
      <c r="L28" s="135" t="str">
        <f>IF(B28=FALSE,"",Length_1!D47)</f>
        <v/>
      </c>
      <c r="M28" s="136" t="str">
        <f>IF(B28=FALSE,"",Calcu!J28*I$3)</f>
        <v/>
      </c>
      <c r="N28" s="154" t="str">
        <f t="shared" si="14"/>
        <v/>
      </c>
      <c r="O28" s="154" t="str">
        <f>IF(B28=FALSE,"",Length_1!F47)</f>
        <v/>
      </c>
      <c r="P28" s="155" t="str">
        <f t="shared" si="3"/>
        <v/>
      </c>
      <c r="Q28" s="269" t="str">
        <f t="shared" si="4"/>
        <v/>
      </c>
      <c r="R28" s="269" t="str">
        <f t="shared" si="5"/>
        <v/>
      </c>
      <c r="S28" s="269" t="str">
        <f t="shared" si="6"/>
        <v/>
      </c>
      <c r="T28" s="137" t="str">
        <f t="shared" si="7"/>
        <v/>
      </c>
      <c r="U28" s="138" t="str">
        <f t="shared" si="8"/>
        <v/>
      </c>
      <c r="V28" s="129" t="str">
        <f t="shared" si="15"/>
        <v/>
      </c>
      <c r="W28" s="129" t="str">
        <f t="shared" si="16"/>
        <v/>
      </c>
      <c r="X28" s="131"/>
      <c r="Y28" s="215" t="e">
        <f ca="1">IF(Length_1!K23&lt;0,ROUNDUP(Length_1!K23*I$3,$M$47),ROUNDDOWN(Length_1!K23*I$3,$M$47))</f>
        <v>#N/A</v>
      </c>
      <c r="Z28" s="215" t="e">
        <f ca="1">IF(Length_1!L23&lt;0,ROUNDDOWN(Length_1!L23*I$3,$M$47),ROUNDUP(Length_1!L23*I$3,$M$47))</f>
        <v>#N/A</v>
      </c>
      <c r="AA28" s="129" t="e">
        <f t="shared" ca="1" si="9"/>
        <v>#N/A</v>
      </c>
      <c r="AB28" s="129" t="e">
        <f t="shared" ca="1" si="10"/>
        <v>#N/A</v>
      </c>
      <c r="AC28" s="215" t="e">
        <f t="shared" ca="1" si="11"/>
        <v>#N/A</v>
      </c>
      <c r="AD28" s="129" t="e">
        <f t="shared" ca="1" si="12"/>
        <v>#N/A</v>
      </c>
      <c r="AE28" s="129" t="str">
        <f t="shared" si="17"/>
        <v/>
      </c>
      <c r="AF28" s="234" t="e">
        <f t="shared" ca="1" si="13"/>
        <v>#N/A</v>
      </c>
    </row>
    <row r="29" spans="1:32" ht="15" customHeight="1">
      <c r="B29" s="132" t="b">
        <f>IF(TRIM(Length_1!A24)="",FALSE,TRUE)</f>
        <v>0</v>
      </c>
      <c r="C29" s="129" t="str">
        <f>IF($B29=FALSE,"",VALUE(Length_1!A24))</f>
        <v/>
      </c>
      <c r="D29" s="129" t="str">
        <f>IF($B29=FALSE,"",Length_1!B24)</f>
        <v/>
      </c>
      <c r="E29" s="133" t="str">
        <f>IF(B29=FALSE,"",Length_1!N24)</f>
        <v/>
      </c>
      <c r="F29" s="133" t="str">
        <f>IF(B29=FALSE,"",Length_1!O24)</f>
        <v/>
      </c>
      <c r="G29" s="133" t="str">
        <f>IF(B29=FALSE,"",Length_1!P24)</f>
        <v/>
      </c>
      <c r="H29" s="133" t="str">
        <f>IF(B29=FALSE,"",Length_1!Q24)</f>
        <v/>
      </c>
      <c r="I29" s="133" t="str">
        <f>IF(B29=FALSE,"",Length_1!R24)</f>
        <v/>
      </c>
      <c r="J29" s="134" t="str">
        <f t="shared" si="1"/>
        <v/>
      </c>
      <c r="K29" s="144" t="str">
        <f t="shared" si="2"/>
        <v/>
      </c>
      <c r="L29" s="135" t="str">
        <f>IF(B29=FALSE,"",Length_1!D48)</f>
        <v/>
      </c>
      <c r="M29" s="136" t="str">
        <f>IF(B29=FALSE,"",Calcu!J29*I$3)</f>
        <v/>
      </c>
      <c r="N29" s="154" t="str">
        <f t="shared" si="14"/>
        <v/>
      </c>
      <c r="O29" s="154" t="str">
        <f>IF(B29=FALSE,"",Length_1!F48)</f>
        <v/>
      </c>
      <c r="P29" s="155" t="str">
        <f t="shared" si="3"/>
        <v/>
      </c>
      <c r="Q29" s="269" t="str">
        <f t="shared" si="4"/>
        <v/>
      </c>
      <c r="R29" s="269" t="str">
        <f t="shared" si="5"/>
        <v/>
      </c>
      <c r="S29" s="269" t="str">
        <f t="shared" si="6"/>
        <v/>
      </c>
      <c r="T29" s="137" t="str">
        <f t="shared" si="7"/>
        <v/>
      </c>
      <c r="U29" s="138" t="str">
        <f t="shared" si="8"/>
        <v/>
      </c>
      <c r="V29" s="129" t="str">
        <f t="shared" si="15"/>
        <v/>
      </c>
      <c r="W29" s="129" t="str">
        <f t="shared" si="16"/>
        <v/>
      </c>
      <c r="X29" s="131"/>
      <c r="Y29" s="215" t="e">
        <f ca="1">IF(Length_1!K24&lt;0,ROUNDUP(Length_1!K24*I$3,$M$47),ROUNDDOWN(Length_1!K24*I$3,$M$47))</f>
        <v>#N/A</v>
      </c>
      <c r="Z29" s="215" t="e">
        <f ca="1">IF(Length_1!L24&lt;0,ROUNDDOWN(Length_1!L24*I$3,$M$47),ROUNDUP(Length_1!L24*I$3,$M$47))</f>
        <v>#N/A</v>
      </c>
      <c r="AA29" s="129" t="e">
        <f t="shared" ca="1" si="9"/>
        <v>#N/A</v>
      </c>
      <c r="AB29" s="129" t="e">
        <f t="shared" ca="1" si="10"/>
        <v>#N/A</v>
      </c>
      <c r="AC29" s="215" t="e">
        <f t="shared" ca="1" si="11"/>
        <v>#N/A</v>
      </c>
      <c r="AD29" s="129" t="e">
        <f t="shared" ca="1" si="12"/>
        <v>#N/A</v>
      </c>
      <c r="AE29" s="129" t="str">
        <f t="shared" si="17"/>
        <v/>
      </c>
      <c r="AF29" s="234" t="e">
        <f ca="1">S$47</f>
        <v>#N/A</v>
      </c>
    </row>
    <row r="30" spans="1:32" ht="15" customHeight="1">
      <c r="N30" s="126"/>
      <c r="O30" s="126"/>
      <c r="P30" s="126"/>
      <c r="Q30" s="126"/>
      <c r="R30" s="126"/>
      <c r="S30" s="126"/>
      <c r="T30" s="126"/>
      <c r="X30" s="126"/>
    </row>
    <row r="31" spans="1:32" ht="15" customHeight="1">
      <c r="A31" s="124" t="s">
        <v>164</v>
      </c>
      <c r="C31" s="125"/>
      <c r="D31" s="125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</row>
    <row r="32" spans="1:32" ht="15" customHeight="1">
      <c r="A32" s="124"/>
      <c r="B32" s="466"/>
      <c r="C32" s="466" t="s">
        <v>166</v>
      </c>
      <c r="D32" s="464" t="s">
        <v>167</v>
      </c>
      <c r="E32" s="466" t="s">
        <v>168</v>
      </c>
      <c r="F32" s="466" t="s">
        <v>169</v>
      </c>
      <c r="G32" s="471">
        <v>1</v>
      </c>
      <c r="H32" s="472"/>
      <c r="I32" s="472"/>
      <c r="J32" s="472"/>
      <c r="K32" s="473"/>
      <c r="L32" s="158">
        <v>2</v>
      </c>
      <c r="M32" s="471">
        <v>3</v>
      </c>
      <c r="N32" s="472"/>
      <c r="O32" s="472"/>
      <c r="P32" s="473"/>
      <c r="Q32" s="471">
        <v>4</v>
      </c>
      <c r="R32" s="473"/>
      <c r="S32" s="158">
        <v>5</v>
      </c>
      <c r="T32" s="474" t="s">
        <v>566</v>
      </c>
      <c r="U32" s="471" t="s">
        <v>567</v>
      </c>
      <c r="V32" s="473"/>
    </row>
    <row r="33" spans="1:22" ht="15" customHeight="1">
      <c r="A33" s="124"/>
      <c r="B33" s="467"/>
      <c r="C33" s="467"/>
      <c r="D33" s="465"/>
      <c r="E33" s="467"/>
      <c r="F33" s="467"/>
      <c r="G33" s="268" t="s">
        <v>170</v>
      </c>
      <c r="H33" s="268" t="s">
        <v>540</v>
      </c>
      <c r="I33" s="268" t="s">
        <v>541</v>
      </c>
      <c r="J33" s="471" t="s">
        <v>171</v>
      </c>
      <c r="K33" s="473"/>
      <c r="L33" s="158" t="s">
        <v>172</v>
      </c>
      <c r="M33" s="471" t="s">
        <v>170</v>
      </c>
      <c r="N33" s="473"/>
      <c r="O33" s="471" t="s">
        <v>173</v>
      </c>
      <c r="P33" s="473"/>
      <c r="Q33" s="471" t="s">
        <v>174</v>
      </c>
      <c r="R33" s="473"/>
      <c r="S33" s="158" t="s">
        <v>175</v>
      </c>
      <c r="T33" s="475"/>
      <c r="U33" s="284" t="s">
        <v>95</v>
      </c>
      <c r="V33" s="284" t="s">
        <v>569</v>
      </c>
    </row>
    <row r="34" spans="1:22" ht="15" customHeight="1">
      <c r="B34" s="158" t="s">
        <v>177</v>
      </c>
      <c r="C34" s="146" t="s">
        <v>184</v>
      </c>
      <c r="D34" s="147" t="s">
        <v>185</v>
      </c>
      <c r="E34" s="160" t="e">
        <f ca="1">OFFSET(L$8,MATCH(K$3,T$9:T$29,0),0)</f>
        <v>#N/A</v>
      </c>
      <c r="F34" s="148" t="s">
        <v>180</v>
      </c>
      <c r="G34" s="217">
        <f>Length_1!Q28</f>
        <v>0</v>
      </c>
      <c r="H34" s="217">
        <f>Length_1!R28</f>
        <v>0</v>
      </c>
      <c r="I34" s="129">
        <f>Length_1!T28</f>
        <v>0</v>
      </c>
      <c r="J34" s="221" t="e">
        <f ca="1">SQRT(SUMSQ(G34,H34*E34))/1000/I34</f>
        <v>#N/A</v>
      </c>
      <c r="K34" s="149" t="s">
        <v>182</v>
      </c>
      <c r="L34" s="151" t="s">
        <v>186</v>
      </c>
      <c r="M34" s="129"/>
      <c r="N34" s="129"/>
      <c r="O34" s="136">
        <v>1</v>
      </c>
      <c r="P34" s="129"/>
      <c r="Q34" s="152" t="e">
        <f t="shared" ref="Q34:Q41" ca="1" si="18">ABS(J34*O34)</f>
        <v>#N/A</v>
      </c>
      <c r="R34" s="149" t="s">
        <v>182</v>
      </c>
      <c r="S34" s="129" t="s">
        <v>187</v>
      </c>
      <c r="T34" s="281">
        <f t="shared" ref="T34:T39" si="19">IF(S34="∞",0,Q34^4/S34)</f>
        <v>0</v>
      </c>
      <c r="U34" s="270" t="str">
        <f t="shared" ref="U34:U42" si="20">IF(OR(L34="직사각형",L34="삼각형"),Q34,"")</f>
        <v/>
      </c>
      <c r="V34" s="270" t="e">
        <f t="shared" ref="V34:V42" ca="1" si="21">IF(OR(L34="직사각형",L34="삼각형"),"",Q34)</f>
        <v>#N/A</v>
      </c>
    </row>
    <row r="35" spans="1:22" ht="15" customHeight="1">
      <c r="B35" s="158" t="s">
        <v>183</v>
      </c>
      <c r="C35" s="146" t="s">
        <v>178</v>
      </c>
      <c r="D35" s="147" t="s">
        <v>179</v>
      </c>
      <c r="E35" s="160" t="e">
        <f ca="1">OFFSET(M$8,MATCH(K$3,T$9:T$29,0),0)</f>
        <v>#N/A</v>
      </c>
      <c r="F35" s="148" t="s">
        <v>180</v>
      </c>
      <c r="G35" s="149">
        <f>IF(MAX(K9:K29)=0,N3*1000,MAX(K9:K29)*1000)</f>
        <v>0</v>
      </c>
      <c r="H35" s="129">
        <f>IF(MAX(K9:K29)=0,2,1)</f>
        <v>2</v>
      </c>
      <c r="I35" s="150">
        <f>IF(MAX(K9:K29)=0,3,5)</f>
        <v>3</v>
      </c>
      <c r="J35" s="285">
        <f>G35/(IF(H35="",1,H35)*SQRT(I35))</f>
        <v>0</v>
      </c>
      <c r="K35" s="149" t="s">
        <v>181</v>
      </c>
      <c r="L35" s="151" t="str">
        <f>IF(MAX(K9:K29)=0,"직사각형","t")</f>
        <v>직사각형</v>
      </c>
      <c r="M35" s="129"/>
      <c r="N35" s="129"/>
      <c r="O35" s="136">
        <v>-1</v>
      </c>
      <c r="P35" s="129"/>
      <c r="Q35" s="152">
        <f>ABS(J35*O35)</f>
        <v>0</v>
      </c>
      <c r="R35" s="149" t="s">
        <v>182</v>
      </c>
      <c r="S35" s="215" t="str">
        <f>IF(MAX(K9:K29)=0,"∞",I35-1)</f>
        <v>∞</v>
      </c>
      <c r="T35" s="281">
        <f t="shared" si="19"/>
        <v>0</v>
      </c>
      <c r="U35" s="270">
        <f t="shared" si="20"/>
        <v>0</v>
      </c>
      <c r="V35" s="270" t="str">
        <f t="shared" si="21"/>
        <v/>
      </c>
    </row>
    <row r="36" spans="1:22" ht="15" customHeight="1">
      <c r="B36" s="158" t="s">
        <v>82</v>
      </c>
      <c r="C36" s="146" t="s">
        <v>145</v>
      </c>
      <c r="D36" s="147" t="s">
        <v>136</v>
      </c>
      <c r="E36" s="154" t="e">
        <f ca="1">OFFSET(P$8,MATCH(K$3,T$9:T$29,0),0)</f>
        <v>#N/A</v>
      </c>
      <c r="F36" s="148" t="s">
        <v>146</v>
      </c>
      <c r="G36" s="271">
        <f>1*10^-6</f>
        <v>9.9999999999999995E-7</v>
      </c>
      <c r="H36" s="235"/>
      <c r="I36" s="272">
        <v>3</v>
      </c>
      <c r="J36" s="286">
        <f>SQRT((G36/SQRT(I36)/2)^2+(G36/SQRT(I36)/2)^2)</f>
        <v>4.0824829046386305E-7</v>
      </c>
      <c r="K36" s="148" t="s">
        <v>146</v>
      </c>
      <c r="L36" s="151" t="s">
        <v>475</v>
      </c>
      <c r="M36" s="149" t="str">
        <f>E37</f>
        <v/>
      </c>
      <c r="N36" s="129">
        <f>K3*1000</f>
        <v>0</v>
      </c>
      <c r="O36" s="136" t="e">
        <f>-M36*N36</f>
        <v>#VALUE!</v>
      </c>
      <c r="P36" s="129" t="s">
        <v>147</v>
      </c>
      <c r="Q36" s="152" t="e">
        <f t="shared" si="18"/>
        <v>#VALUE!</v>
      </c>
      <c r="R36" s="149" t="s">
        <v>144</v>
      </c>
      <c r="S36" s="129">
        <v>100</v>
      </c>
      <c r="T36" s="281" t="e">
        <f t="shared" si="19"/>
        <v>#VALUE!</v>
      </c>
      <c r="U36" s="270" t="e">
        <f t="shared" si="20"/>
        <v>#VALUE!</v>
      </c>
      <c r="V36" s="270" t="str">
        <f t="shared" si="21"/>
        <v/>
      </c>
    </row>
    <row r="37" spans="1:22" ht="15" customHeight="1">
      <c r="B37" s="158" t="s">
        <v>450</v>
      </c>
      <c r="C37" s="146" t="s">
        <v>150</v>
      </c>
      <c r="D37" s="147" t="s">
        <v>139</v>
      </c>
      <c r="E37" s="149" t="str">
        <f>Q9</f>
        <v/>
      </c>
      <c r="F37" s="148" t="s">
        <v>151</v>
      </c>
      <c r="G37" s="149">
        <f>IF(기본정보!H12=1,1,0.5)</f>
        <v>0.5</v>
      </c>
      <c r="H37" s="235"/>
      <c r="I37" s="150">
        <v>3</v>
      </c>
      <c r="J37" s="285">
        <f>G37/(IF(H37="",1,H37)*SQRT(I37))</f>
        <v>0.28867513459481292</v>
      </c>
      <c r="K37" s="148" t="s">
        <v>151</v>
      </c>
      <c r="L37" s="151" t="s">
        <v>191</v>
      </c>
      <c r="M37" s="154" t="e">
        <f ca="1">E36</f>
        <v>#N/A</v>
      </c>
      <c r="N37" s="129">
        <f>K3*1000</f>
        <v>0</v>
      </c>
      <c r="O37" s="136" t="e">
        <f ca="1">-M37*N37</f>
        <v>#N/A</v>
      </c>
      <c r="P37" s="129" t="s">
        <v>192</v>
      </c>
      <c r="Q37" s="152" t="e">
        <f ca="1">ABS(J37*O37)</f>
        <v>#N/A</v>
      </c>
      <c r="R37" s="149" t="s">
        <v>181</v>
      </c>
      <c r="S37" s="129">
        <v>12</v>
      </c>
      <c r="T37" s="281" t="e">
        <f t="shared" ca="1" si="19"/>
        <v>#N/A</v>
      </c>
      <c r="U37" s="270" t="e">
        <f t="shared" ca="1" si="20"/>
        <v>#N/A</v>
      </c>
      <c r="V37" s="270" t="str">
        <f t="shared" si="21"/>
        <v/>
      </c>
    </row>
    <row r="38" spans="1:22" ht="15" customHeight="1">
      <c r="B38" s="158" t="s">
        <v>190</v>
      </c>
      <c r="C38" s="146" t="s">
        <v>137</v>
      </c>
      <c r="D38" s="147" t="s">
        <v>138</v>
      </c>
      <c r="E38" s="156" t="e">
        <f ca="1">OFFSET(R$8,MATCH(K$3,T$9:T$29,0),0)</f>
        <v>#N/A</v>
      </c>
      <c r="F38" s="148" t="s">
        <v>146</v>
      </c>
      <c r="G38" s="271">
        <f>1*10^-6</f>
        <v>9.9999999999999995E-7</v>
      </c>
      <c r="H38" s="235"/>
      <c r="I38" s="272">
        <v>3</v>
      </c>
      <c r="J38" s="286">
        <f>SQRT((G38/SQRT(I38))^2+(G38/SQRT(I38))^2)</f>
        <v>8.1649658092772609E-7</v>
      </c>
      <c r="K38" s="148" t="s">
        <v>146</v>
      </c>
      <c r="L38" s="151" t="s">
        <v>475</v>
      </c>
      <c r="M38" s="149" t="str">
        <f>E39</f>
        <v/>
      </c>
      <c r="N38" s="129">
        <f>K3*1000</f>
        <v>0</v>
      </c>
      <c r="O38" s="136" t="e">
        <f>-M38*N38</f>
        <v>#VALUE!</v>
      </c>
      <c r="P38" s="129" t="s">
        <v>188</v>
      </c>
      <c r="Q38" s="152" t="e">
        <f>ABS(J38*O38)</f>
        <v>#VALUE!</v>
      </c>
      <c r="R38" s="149" t="s">
        <v>181</v>
      </c>
      <c r="S38" s="129">
        <v>100</v>
      </c>
      <c r="T38" s="281" t="e">
        <f t="shared" si="19"/>
        <v>#VALUE!</v>
      </c>
      <c r="U38" s="270" t="e">
        <f t="shared" si="20"/>
        <v>#VALUE!</v>
      </c>
      <c r="V38" s="270" t="str">
        <f t="shared" si="21"/>
        <v/>
      </c>
    </row>
    <row r="39" spans="1:22" ht="15" customHeight="1">
      <c r="B39" s="158" t="s">
        <v>451</v>
      </c>
      <c r="C39" s="146" t="s">
        <v>140</v>
      </c>
      <c r="D39" s="147" t="s">
        <v>141</v>
      </c>
      <c r="E39" s="149" t="str">
        <f>S9</f>
        <v/>
      </c>
      <c r="F39" s="148" t="s">
        <v>151</v>
      </c>
      <c r="G39" s="149">
        <f>IF(기본정보!H12=1,3,1)</f>
        <v>1</v>
      </c>
      <c r="H39" s="235"/>
      <c r="I39" s="150">
        <v>3</v>
      </c>
      <c r="J39" s="285">
        <f>G39/(IF(H39="",1,H39)*SQRT(I39))</f>
        <v>0.57735026918962584</v>
      </c>
      <c r="K39" s="148" t="s">
        <v>151</v>
      </c>
      <c r="L39" s="151" t="s">
        <v>191</v>
      </c>
      <c r="M39" s="156" t="e">
        <f ca="1">E38</f>
        <v>#N/A</v>
      </c>
      <c r="N39" s="129">
        <f>K3*1000</f>
        <v>0</v>
      </c>
      <c r="O39" s="136" t="e">
        <f ca="1">-M39*N39</f>
        <v>#N/A</v>
      </c>
      <c r="P39" s="129" t="s">
        <v>192</v>
      </c>
      <c r="Q39" s="152" t="e">
        <f t="shared" ca="1" si="18"/>
        <v>#N/A</v>
      </c>
      <c r="R39" s="149" t="s">
        <v>181</v>
      </c>
      <c r="S39" s="129">
        <v>12</v>
      </c>
      <c r="T39" s="281" t="e">
        <f t="shared" ca="1" si="19"/>
        <v>#N/A</v>
      </c>
      <c r="U39" s="270" t="e">
        <f t="shared" ca="1" si="20"/>
        <v>#N/A</v>
      </c>
      <c r="V39" s="270" t="str">
        <f t="shared" si="21"/>
        <v/>
      </c>
    </row>
    <row r="40" spans="1:22" ht="15" customHeight="1">
      <c r="B40" s="158" t="s">
        <v>193</v>
      </c>
      <c r="C40" s="146" t="s">
        <v>194</v>
      </c>
      <c r="D40" s="147" t="s">
        <v>585</v>
      </c>
      <c r="E40" s="129">
        <v>0</v>
      </c>
      <c r="F40" s="148" t="s">
        <v>180</v>
      </c>
      <c r="G40" s="129">
        <f>N3*1000</f>
        <v>0</v>
      </c>
      <c r="H40" s="129">
        <v>2</v>
      </c>
      <c r="I40" s="150">
        <v>3</v>
      </c>
      <c r="J40" s="285">
        <f t="shared" ref="J40:J42" si="22">G40/(IF(H40="",1,H40)*SQRT(I40))</f>
        <v>0</v>
      </c>
      <c r="K40" s="149" t="s">
        <v>181</v>
      </c>
      <c r="L40" s="151" t="s">
        <v>195</v>
      </c>
      <c r="M40" s="129"/>
      <c r="N40" s="129"/>
      <c r="O40" s="136">
        <v>1</v>
      </c>
      <c r="P40" s="129"/>
      <c r="Q40" s="152">
        <f t="shared" si="18"/>
        <v>0</v>
      </c>
      <c r="R40" s="149" t="s">
        <v>182</v>
      </c>
      <c r="S40" s="129" t="s">
        <v>189</v>
      </c>
      <c r="T40" s="281">
        <f>IF(S40="∞",0,Q40^4/S40)</f>
        <v>0</v>
      </c>
      <c r="U40" s="270">
        <f t="shared" si="20"/>
        <v>0</v>
      </c>
      <c r="V40" s="270" t="str">
        <f t="shared" si="21"/>
        <v/>
      </c>
    </row>
    <row r="41" spans="1:22" ht="15" customHeight="1">
      <c r="B41" s="158" t="s">
        <v>196</v>
      </c>
      <c r="C41" s="146" t="s">
        <v>366</v>
      </c>
      <c r="D41" s="147" t="s">
        <v>588</v>
      </c>
      <c r="E41" s="129">
        <v>0</v>
      </c>
      <c r="F41" s="148" t="s">
        <v>197</v>
      </c>
      <c r="G41" s="129">
        <f>(E3-(E3*COS(RADIANS(1))))*1000</f>
        <v>0</v>
      </c>
      <c r="H41" s="235"/>
      <c r="I41" s="150">
        <v>3</v>
      </c>
      <c r="J41" s="285">
        <f t="shared" si="22"/>
        <v>0</v>
      </c>
      <c r="K41" s="149" t="s">
        <v>181</v>
      </c>
      <c r="L41" s="151" t="s">
        <v>195</v>
      </c>
      <c r="M41" s="129"/>
      <c r="N41" s="129"/>
      <c r="O41" s="136">
        <v>1</v>
      </c>
      <c r="P41" s="129"/>
      <c r="Q41" s="152">
        <f t="shared" si="18"/>
        <v>0</v>
      </c>
      <c r="R41" s="149" t="s">
        <v>181</v>
      </c>
      <c r="S41" s="129" t="s">
        <v>187</v>
      </c>
      <c r="T41" s="281">
        <f>IF(S41="∞",0,Q41^4/S41)</f>
        <v>0</v>
      </c>
      <c r="U41" s="270">
        <f t="shared" si="20"/>
        <v>0</v>
      </c>
      <c r="V41" s="270" t="str">
        <f t="shared" si="21"/>
        <v/>
      </c>
    </row>
    <row r="42" spans="1:22" ht="15" customHeight="1">
      <c r="B42" s="238" t="s">
        <v>426</v>
      </c>
      <c r="C42" s="146" t="s">
        <v>428</v>
      </c>
      <c r="D42" s="147" t="s">
        <v>429</v>
      </c>
      <c r="E42" s="129">
        <v>0</v>
      </c>
      <c r="F42" s="148" t="s">
        <v>197</v>
      </c>
      <c r="G42" s="129">
        <f>MAX(Length_1!P52:P61)</f>
        <v>0</v>
      </c>
      <c r="H42" s="235" t="e">
        <f>IF(Length_1_STD2="",#N/A,1)</f>
        <v>#N/A</v>
      </c>
      <c r="I42" s="150">
        <v>3</v>
      </c>
      <c r="J42" s="285" t="e">
        <f t="shared" si="22"/>
        <v>#N/A</v>
      </c>
      <c r="K42" s="149" t="s">
        <v>181</v>
      </c>
      <c r="L42" s="151" t="s">
        <v>95</v>
      </c>
      <c r="M42" s="129"/>
      <c r="N42" s="129"/>
      <c r="O42" s="136">
        <v>1</v>
      </c>
      <c r="P42" s="129"/>
      <c r="Q42" s="152" t="e">
        <f t="shared" ref="Q42" si="23">ABS(J42*O42)</f>
        <v>#N/A</v>
      </c>
      <c r="R42" s="149" t="s">
        <v>181</v>
      </c>
      <c r="S42" s="129" t="s">
        <v>187</v>
      </c>
      <c r="T42" s="281">
        <f>IF(S42="∞",0,Q42^4/S42)</f>
        <v>0</v>
      </c>
      <c r="U42" s="270" t="e">
        <f t="shared" si="20"/>
        <v>#N/A</v>
      </c>
      <c r="V42" s="270" t="str">
        <f t="shared" si="21"/>
        <v/>
      </c>
    </row>
    <row r="43" spans="1:22" ht="15" customHeight="1">
      <c r="B43" s="158" t="s">
        <v>427</v>
      </c>
      <c r="C43" s="146" t="s">
        <v>198</v>
      </c>
      <c r="D43" s="147" t="s">
        <v>397</v>
      </c>
      <c r="E43" s="160" t="e">
        <f ca="1">E34-E35-(E36*E37+E38*E39)*K3</f>
        <v>#N/A</v>
      </c>
      <c r="F43" s="148" t="s">
        <v>180</v>
      </c>
      <c r="G43" s="491"/>
      <c r="H43" s="492"/>
      <c r="I43" s="492"/>
      <c r="J43" s="492"/>
      <c r="K43" s="492"/>
      <c r="L43" s="492"/>
      <c r="M43" s="492"/>
      <c r="N43" s="492"/>
      <c r="O43" s="492"/>
      <c r="P43" s="493"/>
      <c r="Q43" s="157" t="e">
        <f ca="1">SQRT(SUMSQ(Q34:Q42))</f>
        <v>#N/A</v>
      </c>
      <c r="R43" s="149" t="s">
        <v>181</v>
      </c>
      <c r="S43" s="249" t="e">
        <f>IF(T43=0,"∞",ROUNDDOWN(Q43^4/T43,0))</f>
        <v>#VALUE!</v>
      </c>
      <c r="T43" s="287" t="e">
        <f>SUM(T34:T42)</f>
        <v>#VALUE!</v>
      </c>
      <c r="U43" s="274" t="e">
        <f>SQRT(SUMSQ(U34:U42))</f>
        <v>#VALUE!</v>
      </c>
      <c r="V43" s="274" t="e">
        <f ca="1">SQRT(SUMSQ(V34:V42))</f>
        <v>#N/A</v>
      </c>
    </row>
    <row r="44" spans="1:22" ht="15" customHeight="1"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1"/>
      <c r="U44" s="131"/>
    </row>
    <row r="45" spans="1:22" ht="15" customHeight="1">
      <c r="B45" s="159"/>
      <c r="C45" s="471" t="s">
        <v>202</v>
      </c>
      <c r="D45" s="472"/>
      <c r="E45" s="472"/>
      <c r="F45" s="472"/>
      <c r="G45" s="473"/>
      <c r="H45" s="158" t="s">
        <v>203</v>
      </c>
      <c r="I45" s="158" t="s">
        <v>204</v>
      </c>
      <c r="J45" s="471" t="s">
        <v>578</v>
      </c>
      <c r="K45" s="472"/>
      <c r="L45" s="472"/>
      <c r="M45" s="473"/>
      <c r="N45" s="284" t="s">
        <v>579</v>
      </c>
      <c r="O45" s="471" t="s">
        <v>205</v>
      </c>
      <c r="P45" s="472"/>
      <c r="Q45" s="473"/>
      <c r="R45" s="474" t="s">
        <v>580</v>
      </c>
      <c r="S45" s="471" t="s">
        <v>593</v>
      </c>
      <c r="T45" s="473"/>
      <c r="U45" s="127"/>
    </row>
    <row r="46" spans="1:22" ht="15" customHeight="1">
      <c r="B46" s="159"/>
      <c r="C46" s="159">
        <v>1</v>
      </c>
      <c r="D46" s="159">
        <v>2</v>
      </c>
      <c r="E46" s="159" t="s">
        <v>207</v>
      </c>
      <c r="F46" s="159" t="s">
        <v>208</v>
      </c>
      <c r="G46" s="159" t="s">
        <v>209</v>
      </c>
      <c r="H46" s="159" t="s">
        <v>210</v>
      </c>
      <c r="I46" s="159" t="s">
        <v>211</v>
      </c>
      <c r="J46" s="284" t="s">
        <v>581</v>
      </c>
      <c r="K46" s="284" t="s">
        <v>582</v>
      </c>
      <c r="L46" s="284" t="s">
        <v>76</v>
      </c>
      <c r="M46" s="284" t="s">
        <v>203</v>
      </c>
      <c r="N46" s="282"/>
      <c r="O46" s="284" t="s">
        <v>581</v>
      </c>
      <c r="P46" s="284" t="s">
        <v>583</v>
      </c>
      <c r="Q46" s="284" t="s">
        <v>584</v>
      </c>
      <c r="R46" s="467"/>
      <c r="S46" s="290" t="s">
        <v>594</v>
      </c>
      <c r="T46" s="290" t="s">
        <v>595</v>
      </c>
      <c r="U46" s="127"/>
    </row>
    <row r="47" spans="1:22" ht="15" customHeight="1">
      <c r="B47" s="159" t="s">
        <v>202</v>
      </c>
      <c r="C47" s="140" t="e">
        <f ca="1">E58*Q43</f>
        <v>#N/A</v>
      </c>
      <c r="D47" s="140"/>
      <c r="E47" s="140"/>
      <c r="F47" s="142" t="str">
        <f>R43</f>
        <v>μm</v>
      </c>
      <c r="G47" s="164" t="e">
        <f ca="1">C47/1000</f>
        <v>#N/A</v>
      </c>
      <c r="H47" s="164" t="e">
        <f ca="1">MAX(G47:G48)</f>
        <v>#N/A</v>
      </c>
      <c r="I47" s="216">
        <f>N3</f>
        <v>0</v>
      </c>
      <c r="J47" s="139" t="e">
        <f ca="1">IF(H47&lt;0.00001,6,IF(H47&lt;0.0001,5,IF(H47&lt;0.001,4,IF(H47&lt;0.01,3,IF(H47&lt;0.1,2,IF(H47&lt;1,1,IF(H47&lt;10,0,IF(H47&lt;100,-1,-2))))))))+K48</f>
        <v>#N/A</v>
      </c>
      <c r="K47" s="139" t="e">
        <f ca="1">J47+IF(AND(H46="μm",I46="mm"),3,0)</f>
        <v>#N/A</v>
      </c>
      <c r="L47" s="234">
        <f>IFERROR(LEN(I47)-FIND(".",I47),0)</f>
        <v>0</v>
      </c>
      <c r="M47" s="281" t="e">
        <f ca="1">IF(M48=TRUE,MIN(K47:L47),K47)</f>
        <v>#N/A</v>
      </c>
      <c r="N47" s="216" t="e">
        <f ca="1">ABS((H47-ROUND(H47,M47))/H47*100)</f>
        <v>#N/A</v>
      </c>
      <c r="O47" s="234" t="e">
        <f ca="1">OFFSET(P51,MATCH(J47,O52:O61,0),0)</f>
        <v>#N/A</v>
      </c>
      <c r="P47" s="234" t="e">
        <f ca="1">OFFSET(P51,MATCH(M47,O52:O61,0),0)</f>
        <v>#N/A</v>
      </c>
      <c r="Q47" s="234" t="str">
        <f ca="1">OFFSET(P51,MATCH(L47,O52:O61,0),0)</f>
        <v>0</v>
      </c>
      <c r="R47" s="143" t="e">
        <f ca="1">IF(H47=G47,0,1)</f>
        <v>#N/A</v>
      </c>
      <c r="S47" s="166" t="e">
        <f ca="1">TEXT(IF(N47&gt;5,ROUNDUP(H47,M47),ROUND(H47,M47)),P47)</f>
        <v>#N/A</v>
      </c>
      <c r="T47" s="166" t="e">
        <f ca="1">S47&amp;" "&amp;H46</f>
        <v>#N/A</v>
      </c>
      <c r="U47" s="127"/>
    </row>
    <row r="48" spans="1:22" ht="15" customHeight="1">
      <c r="B48" s="159" t="s">
        <v>212</v>
      </c>
      <c r="C48" s="141" t="e">
        <f ca="1">$P$3</f>
        <v>#N/A</v>
      </c>
      <c r="D48" s="142" t="e">
        <f ca="1">$Q$3</f>
        <v>#N/A</v>
      </c>
      <c r="E48" s="142">
        <f>K3</f>
        <v>0</v>
      </c>
      <c r="F48" s="142" t="e">
        <f ca="1">$R$3</f>
        <v>#N/A</v>
      </c>
      <c r="G48" s="165" t="e">
        <f ca="1">SQRT(SUMSQ(C48,D48*E48))/1000</f>
        <v>#N/A</v>
      </c>
      <c r="J48" s="280" t="s">
        <v>563</v>
      </c>
      <c r="K48" s="234">
        <f>IF(O48=TRUE,1,기본정보!$A$47)</f>
        <v>1</v>
      </c>
      <c r="L48" s="280" t="s">
        <v>564</v>
      </c>
      <c r="M48" s="234" t="b">
        <f>IF(O48=TRUE,FALSE,기본정보!$A$52)</f>
        <v>0</v>
      </c>
      <c r="N48" s="280" t="s">
        <v>565</v>
      </c>
      <c r="O48" s="234" t="b">
        <f>기본정보!$A$46=0</f>
        <v>1</v>
      </c>
      <c r="P48" s="131"/>
      <c r="Q48" s="127"/>
      <c r="R48" s="127"/>
      <c r="S48" s="127"/>
      <c r="T48" s="127"/>
      <c r="U48" s="127"/>
    </row>
    <row r="49" spans="2:29" ht="15" customHeight="1">
      <c r="B49" s="128"/>
      <c r="C49" s="128"/>
      <c r="D49" s="128"/>
      <c r="O49" s="131"/>
      <c r="P49" s="131"/>
      <c r="Q49" s="127"/>
      <c r="R49" s="127"/>
      <c r="S49" s="127"/>
      <c r="T49" s="127"/>
      <c r="U49" s="127"/>
    </row>
    <row r="50" spans="2:29" ht="15" customHeight="1">
      <c r="B50" s="145" t="s">
        <v>199</v>
      </c>
      <c r="C50" s="128"/>
      <c r="D50" s="128"/>
      <c r="I50" s="146" t="s">
        <v>53</v>
      </c>
      <c r="J50" s="146" t="s">
        <v>206</v>
      </c>
      <c r="O50" s="292" t="s">
        <v>213</v>
      </c>
      <c r="P50" s="292" t="s">
        <v>597</v>
      </c>
      <c r="Q50" s="127"/>
      <c r="R50" s="127"/>
      <c r="S50" s="127"/>
      <c r="T50" s="127"/>
      <c r="U50" s="127"/>
    </row>
    <row r="51" spans="2:29" ht="15" customHeight="1">
      <c r="B51" s="482" t="s">
        <v>570</v>
      </c>
      <c r="C51" s="483"/>
      <c r="D51" s="474" t="s">
        <v>571</v>
      </c>
      <c r="E51" s="284" t="s">
        <v>95</v>
      </c>
      <c r="F51" s="284" t="s">
        <v>568</v>
      </c>
      <c r="G51" s="284" t="s">
        <v>572</v>
      </c>
      <c r="I51" s="146"/>
      <c r="J51" s="146">
        <v>95.45</v>
      </c>
      <c r="O51" s="293" t="s">
        <v>215</v>
      </c>
      <c r="P51" s="293" t="s">
        <v>214</v>
      </c>
      <c r="Q51" s="127"/>
      <c r="R51" s="127"/>
      <c r="S51" s="127"/>
      <c r="T51" s="127"/>
      <c r="U51" s="127"/>
    </row>
    <row r="52" spans="2:29" ht="15" customHeight="1">
      <c r="B52" s="282" t="s">
        <v>573</v>
      </c>
      <c r="C52" s="288" t="s">
        <v>574</v>
      </c>
      <c r="D52" s="467"/>
      <c r="E52" s="283" t="e">
        <f>U43</f>
        <v>#VALUE!</v>
      </c>
      <c r="F52" s="283" t="e">
        <f ca="1">V43</f>
        <v>#N/A</v>
      </c>
      <c r="G52" s="273" t="e">
        <f ca="1">F52/E52</f>
        <v>#N/A</v>
      </c>
      <c r="I52" s="129">
        <v>1</v>
      </c>
      <c r="J52" s="129">
        <v>13.97</v>
      </c>
      <c r="O52" s="496">
        <v>0</v>
      </c>
      <c r="P52" s="497" t="s">
        <v>216</v>
      </c>
      <c r="Q52" s="127"/>
      <c r="R52" s="127"/>
      <c r="S52" s="127"/>
      <c r="T52" s="127"/>
      <c r="U52" s="127"/>
    </row>
    <row r="53" spans="2:29" ht="15" customHeight="1">
      <c r="B53" s="234">
        <v>1</v>
      </c>
      <c r="C53" s="270">
        <f t="shared" ref="C53:C61" si="24">IFERROR(LARGE(U$34:U$42,B53),0)</f>
        <v>0</v>
      </c>
      <c r="D53" s="268" t="s">
        <v>412</v>
      </c>
      <c r="E53" s="480" t="e">
        <f ca="1">SQRT(SUMSQ(C55:C60,V34:V42))</f>
        <v>#N/A</v>
      </c>
      <c r="F53" s="480"/>
      <c r="G53" s="481" t="e">
        <f ca="1">E53/SQRT(SUMSQ(E54,F54))</f>
        <v>#N/A</v>
      </c>
      <c r="I53" s="129">
        <v>2</v>
      </c>
      <c r="J53" s="129">
        <v>4.53</v>
      </c>
      <c r="K53" s="130"/>
      <c r="L53" s="130"/>
      <c r="O53" s="496">
        <v>1</v>
      </c>
      <c r="P53" s="497" t="s">
        <v>598</v>
      </c>
      <c r="Q53" s="131"/>
      <c r="R53" s="131"/>
      <c r="S53" s="131"/>
      <c r="T53" s="131"/>
      <c r="U53" s="131"/>
      <c r="V53" s="131"/>
      <c r="W53" s="131"/>
    </row>
    <row r="54" spans="2:29" ht="15" customHeight="1">
      <c r="B54" s="234">
        <v>2</v>
      </c>
      <c r="C54" s="270">
        <f t="shared" si="24"/>
        <v>0</v>
      </c>
      <c r="D54" s="268" t="s">
        <v>542</v>
      </c>
      <c r="E54" s="283">
        <f>C53</f>
        <v>0</v>
      </c>
      <c r="F54" s="283">
        <f>C54</f>
        <v>0</v>
      </c>
      <c r="G54" s="481"/>
      <c r="I54" s="129">
        <v>3</v>
      </c>
      <c r="J54" s="129">
        <v>3.31</v>
      </c>
      <c r="K54" s="130"/>
      <c r="L54" s="130"/>
      <c r="O54" s="496">
        <v>2</v>
      </c>
      <c r="P54" s="497" t="s">
        <v>599</v>
      </c>
      <c r="Q54" s="127"/>
      <c r="R54" s="127"/>
      <c r="S54" s="127"/>
      <c r="T54" s="127"/>
      <c r="U54" s="131"/>
      <c r="V54" s="131"/>
      <c r="W54" s="131"/>
    </row>
    <row r="55" spans="2:29" ht="15" customHeight="1">
      <c r="B55" s="234">
        <v>3</v>
      </c>
      <c r="C55" s="270">
        <f t="shared" si="24"/>
        <v>0</v>
      </c>
      <c r="D55" s="466" t="s">
        <v>200</v>
      </c>
      <c r="E55" s="233" t="s">
        <v>575</v>
      </c>
      <c r="F55" s="233" t="s">
        <v>576</v>
      </c>
      <c r="G55" s="233" t="s">
        <v>577</v>
      </c>
      <c r="I55" s="129">
        <v>4</v>
      </c>
      <c r="J55" s="129">
        <v>2.87</v>
      </c>
      <c r="K55" s="130"/>
      <c r="L55" s="130"/>
      <c r="O55" s="496">
        <v>3</v>
      </c>
      <c r="P55" s="497" t="s">
        <v>217</v>
      </c>
      <c r="Q55" s="127"/>
      <c r="R55" s="127"/>
      <c r="S55" s="127"/>
      <c r="T55" s="127"/>
      <c r="U55" s="127"/>
    </row>
    <row r="56" spans="2:29" ht="15" customHeight="1">
      <c r="B56" s="234">
        <v>4</v>
      </c>
      <c r="C56" s="270">
        <f t="shared" si="24"/>
        <v>0</v>
      </c>
      <c r="D56" s="467"/>
      <c r="E56" s="234">
        <f ca="1">OFFSET(G33,MATCH(E54,U34:U42,0),0)/IF(OFFSET(H33,MATCH(E54,U34:U42,0),0)="",1,OFFSET(H33,MATCH(E54,U34:U42,0),0))</f>
        <v>0</v>
      </c>
      <c r="F56" s="234">
        <f ca="1">OFFSET(G33,MATCH(F54,U34:U42,0),0)/IF(OFFSET(H33,MATCH(F54,U34:U42,0),0)="",1,OFFSET(H33,MATCH(F54,U34:U42,0),0))</f>
        <v>0</v>
      </c>
      <c r="G56" s="283" t="e">
        <f ca="1">ABS(E56-F56)/(E56+F56)</f>
        <v>#DIV/0!</v>
      </c>
      <c r="I56" s="129">
        <v>5</v>
      </c>
      <c r="J56" s="129">
        <v>2.65</v>
      </c>
      <c r="O56" s="496">
        <v>4</v>
      </c>
      <c r="P56" s="497" t="s">
        <v>600</v>
      </c>
      <c r="Q56" s="127"/>
      <c r="R56" s="127"/>
      <c r="S56" s="127"/>
      <c r="T56" s="127"/>
      <c r="U56" s="127"/>
    </row>
    <row r="57" spans="2:29" ht="15" customHeight="1">
      <c r="B57" s="234">
        <v>5</v>
      </c>
      <c r="C57" s="270">
        <f t="shared" si="24"/>
        <v>0</v>
      </c>
      <c r="D57" s="158" t="s">
        <v>172</v>
      </c>
      <c r="E57" s="289" t="e">
        <f ca="1">IF(AND(G52&lt;0.3,G53&lt;0.3),"사다리꼴","정규")</f>
        <v>#N/A</v>
      </c>
      <c r="I57" s="129">
        <v>6</v>
      </c>
      <c r="J57" s="129">
        <v>2.52</v>
      </c>
      <c r="O57" s="496">
        <v>5</v>
      </c>
      <c r="P57" s="497" t="s">
        <v>601</v>
      </c>
      <c r="Q57" s="127"/>
      <c r="R57" s="127"/>
      <c r="S57" s="127"/>
      <c r="T57" s="127"/>
      <c r="U57" s="127"/>
    </row>
    <row r="58" spans="2:29" ht="15" customHeight="1">
      <c r="B58" s="234">
        <v>6</v>
      </c>
      <c r="C58" s="270">
        <f t="shared" si="24"/>
        <v>0</v>
      </c>
      <c r="D58" s="158" t="s">
        <v>201</v>
      </c>
      <c r="E58" s="234" t="e">
        <f ca="1">IF(E57="정규",IF(OR(S43="∞",S43&gt;=10),2,OFFSET(J51,MATCH(S43,I52:I61,0),0)),ROUND((1-SQRT((1-0.95)*(1-G56^2)))/SQRT((1+G56^2)/6),2))</f>
        <v>#N/A</v>
      </c>
      <c r="I58" s="129">
        <v>7</v>
      </c>
      <c r="J58" s="129">
        <v>2.4300000000000002</v>
      </c>
      <c r="O58" s="496">
        <v>6</v>
      </c>
      <c r="P58" s="497" t="s">
        <v>218</v>
      </c>
      <c r="Q58" s="127"/>
      <c r="R58" s="127"/>
      <c r="S58" s="127"/>
      <c r="T58" s="127"/>
      <c r="U58" s="127"/>
    </row>
    <row r="59" spans="2:29" ht="15" customHeight="1">
      <c r="B59" s="234">
        <v>7</v>
      </c>
      <c r="C59" s="270">
        <f t="shared" si="24"/>
        <v>0</v>
      </c>
      <c r="E59" s="130"/>
      <c r="I59" s="129">
        <v>8</v>
      </c>
      <c r="J59" s="129">
        <v>2.37</v>
      </c>
      <c r="O59" s="496">
        <v>7</v>
      </c>
      <c r="P59" s="497" t="s">
        <v>602</v>
      </c>
      <c r="Q59" s="127"/>
      <c r="R59" s="127"/>
      <c r="S59" s="127"/>
      <c r="T59" s="127"/>
      <c r="U59" s="127"/>
    </row>
    <row r="60" spans="2:29" ht="15" customHeight="1">
      <c r="B60" s="234">
        <v>8</v>
      </c>
      <c r="C60" s="270">
        <f t="shared" si="24"/>
        <v>0</v>
      </c>
      <c r="E60" s="130"/>
      <c r="I60" s="129">
        <v>9</v>
      </c>
      <c r="J60" s="129">
        <v>2.3199999999999998</v>
      </c>
      <c r="O60" s="496">
        <v>8</v>
      </c>
      <c r="P60" s="497" t="s">
        <v>603</v>
      </c>
      <c r="Q60" s="127"/>
      <c r="R60" s="127"/>
      <c r="S60" s="127"/>
      <c r="T60" s="127"/>
      <c r="U60" s="127"/>
    </row>
    <row r="61" spans="2:29" ht="15" customHeight="1">
      <c r="B61" s="234">
        <v>9</v>
      </c>
      <c r="C61" s="270">
        <f t="shared" si="24"/>
        <v>0</v>
      </c>
      <c r="D61" s="128"/>
      <c r="I61" s="129" t="s">
        <v>54</v>
      </c>
      <c r="J61" s="129">
        <v>2</v>
      </c>
      <c r="O61" s="496">
        <v>9</v>
      </c>
      <c r="P61" s="497" t="s">
        <v>604</v>
      </c>
      <c r="Q61" s="127"/>
      <c r="R61" s="127"/>
      <c r="S61" s="127"/>
      <c r="T61" s="127"/>
      <c r="U61" s="127"/>
    </row>
    <row r="62" spans="2:29" ht="18" customHeight="1">
      <c r="B62" s="128"/>
      <c r="C62" s="128"/>
      <c r="D62" s="126"/>
      <c r="E62" s="127"/>
      <c r="Q62" s="127"/>
      <c r="R62" s="127"/>
      <c r="S62" s="127"/>
      <c r="T62" s="127"/>
      <c r="V62" s="128"/>
      <c r="W62" s="128"/>
      <c r="X62" s="128"/>
    </row>
    <row r="63" spans="2:29" ht="18" customHeight="1">
      <c r="B63" s="206" t="s">
        <v>399</v>
      </c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Z63" s="128"/>
      <c r="AA63" s="128"/>
      <c r="AB63" s="128"/>
      <c r="AC63" s="128"/>
    </row>
    <row r="64" spans="2:29" ht="18" customHeight="1">
      <c r="B64" s="207"/>
      <c r="C64" s="476" t="s">
        <v>400</v>
      </c>
      <c r="D64" s="477"/>
      <c r="E64" s="122" t="s">
        <v>401</v>
      </c>
      <c r="F64" s="122" t="s">
        <v>402</v>
      </c>
      <c r="G64" s="122" t="s">
        <v>403</v>
      </c>
      <c r="H64" s="207"/>
      <c r="I64" s="122"/>
      <c r="J64" s="122"/>
      <c r="K64" s="122" t="s">
        <v>404</v>
      </c>
      <c r="L64" s="122" t="s">
        <v>405</v>
      </c>
      <c r="M64" s="222" t="s">
        <v>406</v>
      </c>
      <c r="N64" s="122" t="s">
        <v>402</v>
      </c>
      <c r="O64" s="222" t="s">
        <v>403</v>
      </c>
      <c r="P64" s="122"/>
      <c r="Q64" s="122" t="s">
        <v>407</v>
      </c>
      <c r="R64" s="122" t="s">
        <v>408</v>
      </c>
      <c r="Z64" s="128"/>
      <c r="AA64" s="128"/>
      <c r="AB64" s="128"/>
      <c r="AC64" s="128"/>
    </row>
    <row r="65" spans="2:29" ht="18" customHeight="1">
      <c r="B65" s="207"/>
      <c r="C65" s="208">
        <v>10</v>
      </c>
      <c r="D65" s="209" t="s">
        <v>409</v>
      </c>
      <c r="E65" s="222"/>
      <c r="F65" s="223">
        <v>15500</v>
      </c>
      <c r="G65" s="485" t="s">
        <v>410</v>
      </c>
      <c r="H65" s="207"/>
      <c r="I65" s="122"/>
      <c r="J65" s="224"/>
      <c r="K65" s="122">
        <f>COUNTIF(B9:B29,TRUE)</f>
        <v>0</v>
      </c>
      <c r="L65" s="122">
        <f>IF(K65&lt;10,0,K65-10)</f>
        <v>0</v>
      </c>
      <c r="M65" s="122" t="b">
        <f>H3="inch"</f>
        <v>0</v>
      </c>
      <c r="N65" s="223">
        <f>F65*IF(M65=TRUE,1.8,1)</f>
        <v>15500</v>
      </c>
      <c r="O65" s="225">
        <f>N65*(L65*10%)</f>
        <v>0</v>
      </c>
      <c r="P65" s="226"/>
      <c r="Q65" s="226">
        <f>SUM(N65:P65)</f>
        <v>15500</v>
      </c>
      <c r="R65" s="488">
        <f>SUM(Q65:Q67)</f>
        <v>15500</v>
      </c>
      <c r="Z65" s="128"/>
      <c r="AA65" s="128"/>
      <c r="AB65" s="128"/>
      <c r="AC65" s="128"/>
    </row>
    <row r="66" spans="2:29" ht="18" customHeight="1">
      <c r="B66" s="207"/>
      <c r="C66" s="208"/>
      <c r="D66" s="209"/>
      <c r="E66" s="222"/>
      <c r="F66" s="223"/>
      <c r="G66" s="486"/>
      <c r="H66" s="207"/>
      <c r="I66" s="122"/>
      <c r="J66" s="224"/>
      <c r="K66" s="122"/>
      <c r="L66" s="122"/>
      <c r="M66" s="122"/>
      <c r="N66" s="223"/>
      <c r="O66" s="225"/>
      <c r="P66" s="226"/>
      <c r="Q66" s="226"/>
      <c r="R66" s="489"/>
      <c r="Z66" s="128"/>
      <c r="AA66" s="128"/>
      <c r="AB66" s="128"/>
      <c r="AC66" s="128"/>
    </row>
    <row r="67" spans="2:29" ht="18" customHeight="1">
      <c r="B67" s="207"/>
      <c r="C67" s="208"/>
      <c r="D67" s="209"/>
      <c r="E67" s="222"/>
      <c r="F67" s="223"/>
      <c r="G67" s="486"/>
      <c r="H67" s="207"/>
      <c r="I67" s="122"/>
      <c r="J67" s="122"/>
      <c r="K67" s="122"/>
      <c r="L67" s="122"/>
      <c r="M67" s="122"/>
      <c r="N67" s="223"/>
      <c r="O67" s="227"/>
      <c r="P67" s="226"/>
      <c r="Q67" s="226"/>
      <c r="R67" s="490"/>
      <c r="Z67" s="128"/>
      <c r="AA67" s="128"/>
      <c r="AB67" s="128"/>
      <c r="AC67" s="128"/>
    </row>
    <row r="68" spans="2:29" ht="18" customHeight="1">
      <c r="B68" s="207"/>
      <c r="C68" s="208"/>
      <c r="D68" s="209"/>
      <c r="E68" s="222"/>
      <c r="F68" s="223"/>
      <c r="G68" s="486"/>
      <c r="H68" s="207"/>
      <c r="I68" s="207"/>
      <c r="J68" s="207"/>
      <c r="K68" s="207"/>
      <c r="L68" s="207"/>
      <c r="M68" s="207"/>
      <c r="N68" s="207"/>
      <c r="O68" s="210"/>
      <c r="P68" s="207"/>
      <c r="Q68" s="207"/>
      <c r="R68" s="207"/>
      <c r="Z68" s="128"/>
      <c r="AA68" s="128"/>
      <c r="AB68" s="128"/>
      <c r="AC68" s="128"/>
    </row>
    <row r="69" spans="2:29" ht="18" customHeight="1">
      <c r="B69" s="207"/>
      <c r="C69" s="208"/>
      <c r="D69" s="209"/>
      <c r="E69" s="222"/>
      <c r="F69" s="223"/>
      <c r="G69" s="486"/>
      <c r="H69" s="207"/>
      <c r="I69" s="211" t="s">
        <v>411</v>
      </c>
      <c r="J69" s="207"/>
      <c r="K69" s="207"/>
      <c r="L69" s="207"/>
      <c r="M69" s="207"/>
      <c r="N69" s="207"/>
      <c r="O69" s="207"/>
      <c r="P69" s="207"/>
      <c r="Q69" s="207"/>
      <c r="R69" s="207"/>
      <c r="Z69" s="128"/>
      <c r="AA69" s="128"/>
      <c r="AB69" s="128"/>
      <c r="AC69" s="128"/>
    </row>
    <row r="70" spans="2:29" ht="18" customHeight="1">
      <c r="B70" s="207"/>
      <c r="C70" s="208"/>
      <c r="D70" s="209"/>
      <c r="E70" s="222"/>
      <c r="F70" s="223"/>
      <c r="G70" s="486"/>
      <c r="H70" s="207"/>
      <c r="I70" s="212"/>
      <c r="M70" s="207"/>
      <c r="N70" s="207"/>
      <c r="O70" s="207"/>
      <c r="P70" s="207"/>
      <c r="Q70" s="207"/>
      <c r="R70" s="207"/>
      <c r="Z70" s="128"/>
      <c r="AA70" s="128"/>
      <c r="AB70" s="128"/>
      <c r="AC70" s="128"/>
    </row>
    <row r="71" spans="2:29" ht="18" customHeight="1">
      <c r="B71" s="207"/>
      <c r="C71" s="208"/>
      <c r="D71" s="213"/>
      <c r="E71" s="122"/>
      <c r="F71" s="122"/>
      <c r="G71" s="487"/>
      <c r="H71" s="207"/>
      <c r="I71" s="212"/>
      <c r="M71" s="207"/>
      <c r="N71" s="207"/>
      <c r="O71" s="207"/>
      <c r="P71" s="207"/>
      <c r="Q71" s="207"/>
      <c r="R71" s="207"/>
      <c r="Z71" s="128"/>
      <c r="AA71" s="128"/>
      <c r="AB71" s="128"/>
      <c r="AC71" s="128"/>
    </row>
    <row r="72" spans="2:29" ht="18" customHeight="1">
      <c r="B72" s="73"/>
      <c r="C72" s="73"/>
      <c r="D72" s="73"/>
      <c r="E72" s="73"/>
      <c r="F72" s="73"/>
      <c r="G72" s="73"/>
      <c r="H72" s="73"/>
      <c r="M72" s="73"/>
      <c r="N72" s="73"/>
      <c r="O72" s="73"/>
      <c r="P72" s="207"/>
      <c r="Q72" s="207"/>
      <c r="R72" s="207"/>
      <c r="Z72" s="128"/>
      <c r="AA72" s="128"/>
      <c r="AB72" s="128"/>
      <c r="AC72" s="128"/>
    </row>
    <row r="73" spans="2:29" ht="18" customHeight="1">
      <c r="B73" s="128"/>
      <c r="C73" s="128"/>
      <c r="D73" s="128"/>
      <c r="I73" s="212"/>
      <c r="J73" s="207"/>
      <c r="K73" s="207"/>
      <c r="L73" s="207"/>
      <c r="P73" s="127"/>
      <c r="Q73" s="127"/>
      <c r="R73" s="127"/>
      <c r="Z73" s="128"/>
      <c r="AA73" s="128"/>
      <c r="AB73" s="128"/>
      <c r="AC73" s="128"/>
    </row>
    <row r="74" spans="2:29" ht="18" customHeight="1">
      <c r="B74" s="128"/>
      <c r="C74" s="128"/>
      <c r="D74" s="128"/>
      <c r="I74" s="212"/>
      <c r="J74" s="207"/>
      <c r="K74" s="207"/>
      <c r="L74" s="207"/>
      <c r="P74" s="127"/>
      <c r="Q74" s="127"/>
      <c r="R74" s="127"/>
      <c r="Z74" s="128"/>
      <c r="AA74" s="128"/>
      <c r="AB74" s="128"/>
      <c r="AC74" s="128"/>
    </row>
    <row r="75" spans="2:29" ht="18" customHeight="1">
      <c r="B75" s="128"/>
      <c r="C75" s="128"/>
      <c r="D75" s="128"/>
      <c r="J75" s="73"/>
      <c r="K75" s="73"/>
      <c r="L75" s="73"/>
      <c r="P75" s="127"/>
      <c r="Q75" s="127"/>
      <c r="R75" s="127"/>
      <c r="Z75" s="128"/>
      <c r="AA75" s="128"/>
      <c r="AB75" s="128"/>
      <c r="AC75" s="128"/>
    </row>
    <row r="76" spans="2:29" ht="18" customHeight="1">
      <c r="B76" s="128"/>
      <c r="C76" s="128"/>
      <c r="D76" s="128"/>
      <c r="I76" s="212"/>
      <c r="J76" s="131"/>
      <c r="K76" s="131"/>
      <c r="P76" s="127"/>
      <c r="Q76" s="127"/>
      <c r="R76" s="127"/>
      <c r="V76" s="128"/>
      <c r="W76" s="128"/>
      <c r="X76" s="128"/>
      <c r="Y76" s="128"/>
      <c r="Z76" s="128"/>
      <c r="AA76" s="128"/>
      <c r="AB76" s="128"/>
      <c r="AC76" s="128"/>
    </row>
    <row r="77" spans="2:29" ht="18" customHeight="1">
      <c r="B77" s="128"/>
      <c r="C77" s="128"/>
      <c r="D77" s="128"/>
      <c r="I77" s="212"/>
      <c r="J77" s="131"/>
      <c r="K77" s="131"/>
      <c r="P77" s="127"/>
      <c r="Q77" s="127"/>
      <c r="R77" s="127"/>
      <c r="V77" s="128"/>
      <c r="W77" s="128"/>
      <c r="X77" s="128"/>
      <c r="Y77" s="128"/>
      <c r="Z77" s="128"/>
      <c r="AA77" s="128"/>
      <c r="AB77" s="128"/>
      <c r="AC77" s="128"/>
    </row>
    <row r="78" spans="2:29" ht="18" customHeight="1">
      <c r="B78" s="128"/>
      <c r="C78" s="128"/>
      <c r="D78" s="128"/>
      <c r="J78" s="131"/>
      <c r="K78" s="131"/>
      <c r="P78" s="127"/>
      <c r="Q78" s="127"/>
      <c r="R78" s="127"/>
    </row>
    <row r="79" spans="2:29" ht="18" customHeight="1">
      <c r="B79" s="128"/>
      <c r="C79" s="128"/>
      <c r="D79" s="128"/>
      <c r="P79" s="127"/>
      <c r="Q79" s="127"/>
      <c r="R79" s="127"/>
    </row>
  </sheetData>
  <mergeCells count="37">
    <mergeCell ref="S45:T45"/>
    <mergeCell ref="O45:Q45"/>
    <mergeCell ref="R45:R46"/>
    <mergeCell ref="AA6:AF6"/>
    <mergeCell ref="G65:G71"/>
    <mergeCell ref="R65:R67"/>
    <mergeCell ref="V6:W6"/>
    <mergeCell ref="G43:P43"/>
    <mergeCell ref="G32:K32"/>
    <mergeCell ref="M32:P32"/>
    <mergeCell ref="Q32:R32"/>
    <mergeCell ref="J33:K33"/>
    <mergeCell ref="M33:N33"/>
    <mergeCell ref="Y6:Z6"/>
    <mergeCell ref="O33:P33"/>
    <mergeCell ref="Q33:R33"/>
    <mergeCell ref="N6:P6"/>
    <mergeCell ref="T32:T33"/>
    <mergeCell ref="U32:V32"/>
    <mergeCell ref="C64:D64"/>
    <mergeCell ref="K6:K7"/>
    <mergeCell ref="F32:F33"/>
    <mergeCell ref="D55:D56"/>
    <mergeCell ref="E53:F53"/>
    <mergeCell ref="G53:G54"/>
    <mergeCell ref="C45:G45"/>
    <mergeCell ref="B51:C51"/>
    <mergeCell ref="D51:D52"/>
    <mergeCell ref="J45:M45"/>
    <mergeCell ref="B6:B8"/>
    <mergeCell ref="B32:B33"/>
    <mergeCell ref="C32:C33"/>
    <mergeCell ref="D32:D33"/>
    <mergeCell ref="E32:E33"/>
    <mergeCell ref="C6:C8"/>
    <mergeCell ref="D6:D8"/>
    <mergeCell ref="E6:J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19</vt:i4>
      </vt:variant>
    </vt:vector>
  </HeadingPairs>
  <TitlesOfParts>
    <vt:vector size="30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Length_1_Result2</vt:lpstr>
      <vt:lpstr>Length_1_Spec</vt:lpstr>
      <vt:lpstr>Length_1_STD1</vt:lpstr>
      <vt:lpstr>Length_1_STD2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2020-11-02T06:49:13Z</cp:lastPrinted>
  <dcterms:created xsi:type="dcterms:W3CDTF">2004-11-10T00:11:43Z</dcterms:created>
  <dcterms:modified xsi:type="dcterms:W3CDTF">2021-08-10T07:08:00Z</dcterms:modified>
</cp:coreProperties>
</file>