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Jey\OneDrive\문서\업무_개발\Calibration Tool Project\MCT V2\Templates\"/>
    </mc:Choice>
  </mc:AlternateContent>
  <bookViews>
    <workbookView xWindow="0" yWindow="90" windowWidth="15225" windowHeight="8550" tabRatio="757"/>
  </bookViews>
  <sheets>
    <sheet name="기본정보" sheetId="13" r:id="rId1"/>
    <sheet name="교정결과" sheetId="11" r:id="rId2"/>
    <sheet name="교정결과-E" sheetId="24" r:id="rId3"/>
    <sheet name="교정결과-HY" sheetId="31" r:id="rId4"/>
    <sheet name="판정결과" sheetId="30" r:id="rId5"/>
    <sheet name="부록" sheetId="25" r:id="rId6"/>
    <sheet name="RAWDATA" sheetId="3" r:id="rId7"/>
    <sheet name="측정불확도추정보고서" sheetId="23" r:id="rId8"/>
    <sheet name="Calcu" sheetId="21" r:id="rId9"/>
    <sheet name="STD_Data" sheetId="29" r:id="rId10"/>
    <sheet name="Length_1" sheetId="14" r:id="rId11"/>
  </sheets>
  <definedNames>
    <definedName name="_xlnm._FilterDatabase" localSheetId="0" hidden="1">기본정보!#REF!</definedName>
    <definedName name="B_Tag" localSheetId="2">'교정결과-E'!$E$45:$H$45</definedName>
    <definedName name="B_Tag" localSheetId="3">'교정결과-HY'!$B$60:$Q$60</definedName>
    <definedName name="B_Tag">교정결과!$E$44:$H$44</definedName>
    <definedName name="B_Tag_2" localSheetId="4">판정결과!$D$55:$J$55</definedName>
    <definedName name="B_Tag_3" localSheetId="5">부록!$B$11:$K$11</definedName>
    <definedName name="Length_1_CMC">Length_1!$C$4:$E$44</definedName>
    <definedName name="Length_1_Condition">Length_1!$A$4:$B$44</definedName>
    <definedName name="Length_1_Resolution">Length_1!$F$4:$I$44</definedName>
    <definedName name="Length_1_Result">Length_1!$M$4:$Q$44</definedName>
    <definedName name="Length_1_Spec">Length_1!$J$4:$L$44</definedName>
    <definedName name="Length_1_STD1">Length_1!$A$48</definedName>
    <definedName name="_xlnm.Print_Area" localSheetId="0">기본정보!$A$1:$J$38</definedName>
    <definedName name="_xlnm.Print_Titles" localSheetId="1">교정결과!$1:$5</definedName>
    <definedName name="_xlnm.Print_Titles" localSheetId="2">'교정결과-E'!$1:$5</definedName>
    <definedName name="_xlnm.Print_Titles" localSheetId="3">'교정결과-HY'!$1:$5</definedName>
    <definedName name="_xlnm.Print_Titles" localSheetId="5">부록!$1:$5</definedName>
    <definedName name="_xlnm.Print_Titles" localSheetId="4">판정결과!$1:$5</definedName>
  </definedNames>
  <calcPr calcId="162913"/>
</workbook>
</file>

<file path=xl/calcChain.xml><?xml version="1.0" encoding="utf-8"?>
<calcChain xmlns="http://schemas.openxmlformats.org/spreadsheetml/2006/main">
  <c r="M3" i="21" l="1"/>
  <c r="E13" i="11" l="1"/>
  <c r="F13" i="31"/>
  <c r="E13" i="24"/>
  <c r="T61" i="21" l="1"/>
  <c r="T60" i="21"/>
  <c r="T54" i="21"/>
  <c r="O67" i="21" l="1"/>
  <c r="M67" i="21" s="1"/>
  <c r="K67" i="21" l="1"/>
  <c r="F9" i="31" l="1"/>
  <c r="F8" i="31"/>
  <c r="F7" i="31"/>
  <c r="F6" i="31"/>
  <c r="A4" i="31"/>
  <c r="V61" i="21" l="1"/>
  <c r="V60" i="21"/>
  <c r="V59" i="21"/>
  <c r="V58" i="21"/>
  <c r="V57" i="21"/>
  <c r="V56" i="21"/>
  <c r="G58" i="21" l="1"/>
  <c r="J58" i="21" s="1"/>
  <c r="G56" i="21"/>
  <c r="J56" i="21" s="1"/>
  <c r="U54" i="21"/>
  <c r="W202" i="23" l="1"/>
  <c r="R207" i="23" s="1"/>
  <c r="Y207" i="23" s="1"/>
  <c r="AB188" i="23"/>
  <c r="R193" i="23" s="1"/>
  <c r="Y193" i="23" s="1"/>
  <c r="V175" i="23"/>
  <c r="V145" i="23"/>
  <c r="G59" i="21" l="1"/>
  <c r="J59" i="21" s="1"/>
  <c r="G57" i="21"/>
  <c r="M56" i="21" l="1"/>
  <c r="J57" i="21"/>
  <c r="N175" i="23"/>
  <c r="C172" i="23" s="1"/>
  <c r="B29" i="21" l="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C47" i="21"/>
  <c r="B53" i="3" s="1"/>
  <c r="B48" i="21"/>
  <c r="B49" i="21"/>
  <c r="V40" i="21" l="1"/>
  <c r="AE40" i="21"/>
  <c r="W40" i="21"/>
  <c r="W39" i="21"/>
  <c r="AE39" i="21"/>
  <c r="V39" i="21"/>
  <c r="W31" i="21"/>
  <c r="V31" i="21"/>
  <c r="AE31" i="21"/>
  <c r="V32" i="21"/>
  <c r="AE32" i="21"/>
  <c r="W32" i="21"/>
  <c r="W43" i="21"/>
  <c r="V43" i="21"/>
  <c r="AE43" i="21"/>
  <c r="W49" i="21"/>
  <c r="V49" i="21"/>
  <c r="AE49" i="21"/>
  <c r="AE42" i="21"/>
  <c r="V42" i="21"/>
  <c r="W42" i="21"/>
  <c r="AE38" i="21"/>
  <c r="V38" i="21"/>
  <c r="W38" i="21"/>
  <c r="AE34" i="21"/>
  <c r="V34" i="21"/>
  <c r="W34" i="21"/>
  <c r="AE30" i="21"/>
  <c r="V30" i="21"/>
  <c r="W30" i="21"/>
  <c r="V44" i="21"/>
  <c r="AE44" i="21"/>
  <c r="W44" i="21"/>
  <c r="V36" i="21"/>
  <c r="AE36" i="21"/>
  <c r="W36" i="21"/>
  <c r="W47" i="21"/>
  <c r="AE47" i="21"/>
  <c r="V47" i="21"/>
  <c r="W35" i="21"/>
  <c r="AE35" i="21"/>
  <c r="V35" i="21"/>
  <c r="AE46" i="21"/>
  <c r="V46" i="21"/>
  <c r="W46" i="21"/>
  <c r="V48" i="21"/>
  <c r="AE48" i="21"/>
  <c r="W48" i="21"/>
  <c r="W45" i="21"/>
  <c r="AE45" i="21"/>
  <c r="V45" i="21"/>
  <c r="W41" i="21"/>
  <c r="AE41" i="21"/>
  <c r="V41" i="21"/>
  <c r="I37" i="21"/>
  <c r="W37" i="21"/>
  <c r="V37" i="21"/>
  <c r="AE37" i="21"/>
  <c r="W33" i="21"/>
  <c r="AE33" i="21"/>
  <c r="V33" i="21"/>
  <c r="A37" i="31"/>
  <c r="W29" i="21"/>
  <c r="AE29" i="21"/>
  <c r="V29" i="21"/>
  <c r="T37" i="21"/>
  <c r="B39" i="23" s="1"/>
  <c r="O44" i="21"/>
  <c r="A52" i="31"/>
  <c r="O40" i="21"/>
  <c r="A48" i="31"/>
  <c r="O34" i="21"/>
  <c r="A42" i="31"/>
  <c r="O30" i="21"/>
  <c r="A38" i="31"/>
  <c r="O47" i="21"/>
  <c r="A55" i="31"/>
  <c r="O43" i="21"/>
  <c r="A51" i="31"/>
  <c r="O39" i="21"/>
  <c r="A47" i="31"/>
  <c r="O37" i="21"/>
  <c r="A45" i="31"/>
  <c r="O33" i="21"/>
  <c r="A41" i="31"/>
  <c r="O49" i="21"/>
  <c r="A57" i="31"/>
  <c r="O46" i="21"/>
  <c r="A54" i="31"/>
  <c r="O42" i="21"/>
  <c r="A50" i="31"/>
  <c r="O38" i="21"/>
  <c r="A46" i="31"/>
  <c r="N37" i="21"/>
  <c r="O36" i="21"/>
  <c r="A44" i="31"/>
  <c r="O32" i="21"/>
  <c r="A40" i="31"/>
  <c r="O48" i="21"/>
  <c r="A56" i="31"/>
  <c r="O45" i="21"/>
  <c r="A53" i="31"/>
  <c r="O41" i="21"/>
  <c r="A49" i="31"/>
  <c r="K37" i="21"/>
  <c r="AK39" i="23" s="1"/>
  <c r="O35" i="21"/>
  <c r="A43" i="31"/>
  <c r="O31" i="21"/>
  <c r="A39" i="31"/>
  <c r="T47" i="21"/>
  <c r="B49" i="23" s="1"/>
  <c r="P37" i="21"/>
  <c r="E37" i="21"/>
  <c r="S49" i="21"/>
  <c r="S47" i="21"/>
  <c r="J31" i="21"/>
  <c r="K47" i="21"/>
  <c r="AK49" i="23" s="1"/>
  <c r="J47" i="21"/>
  <c r="J41" i="21"/>
  <c r="R37" i="21"/>
  <c r="J37" i="21"/>
  <c r="G47" i="21"/>
  <c r="P47" i="21"/>
  <c r="N47" i="21"/>
  <c r="F47" i="21"/>
  <c r="S41" i="21"/>
  <c r="S39" i="21"/>
  <c r="C37" i="21"/>
  <c r="B43" i="3" s="1"/>
  <c r="S37" i="21"/>
  <c r="M37" i="21"/>
  <c r="AF39" i="23" s="1"/>
  <c r="G37" i="21"/>
  <c r="F37" i="21"/>
  <c r="J34" i="21"/>
  <c r="S31" i="21"/>
  <c r="M29" i="21"/>
  <c r="AF31" i="23" s="1"/>
  <c r="O29" i="21"/>
  <c r="M43" i="21"/>
  <c r="AF45" i="23" s="1"/>
  <c r="P41" i="21"/>
  <c r="G41" i="21"/>
  <c r="G34" i="21"/>
  <c r="P31" i="21"/>
  <c r="G31" i="21"/>
  <c r="R34" i="21"/>
  <c r="N31" i="21"/>
  <c r="F31" i="21"/>
  <c r="R29" i="21"/>
  <c r="N41" i="21"/>
  <c r="F41" i="21"/>
  <c r="N49" i="21"/>
  <c r="R43" i="21"/>
  <c r="T41" i="21"/>
  <c r="B43" i="23" s="1"/>
  <c r="K41" i="21"/>
  <c r="AK43" i="23" s="1"/>
  <c r="C41" i="21"/>
  <c r="B47" i="3" s="1"/>
  <c r="U37" i="21"/>
  <c r="Q37" i="21"/>
  <c r="L37" i="21"/>
  <c r="H37" i="21"/>
  <c r="D37" i="21"/>
  <c r="M35" i="21"/>
  <c r="AF37" i="23" s="1"/>
  <c r="K34" i="21"/>
  <c r="AK36" i="23" s="1"/>
  <c r="R33" i="21"/>
  <c r="T31" i="21"/>
  <c r="B33" i="23" s="1"/>
  <c r="K31" i="21"/>
  <c r="AK33" i="23" s="1"/>
  <c r="C31" i="21"/>
  <c r="B37" i="3" s="1"/>
  <c r="H29" i="21"/>
  <c r="C44" i="21"/>
  <c r="B50" i="3" s="1"/>
  <c r="C39" i="21"/>
  <c r="B45" i="3" s="1"/>
  <c r="N39" i="21"/>
  <c r="T35" i="21"/>
  <c r="B37" i="23" s="1"/>
  <c r="I35" i="21"/>
  <c r="R47" i="21"/>
  <c r="M47" i="21"/>
  <c r="AF49" i="23" s="1"/>
  <c r="I47" i="21"/>
  <c r="E47" i="21"/>
  <c r="R41" i="21"/>
  <c r="M41" i="21"/>
  <c r="AF43" i="23" s="1"/>
  <c r="I41" i="21"/>
  <c r="E41" i="21"/>
  <c r="J39" i="21"/>
  <c r="R35" i="21"/>
  <c r="H35" i="21"/>
  <c r="S34" i="21"/>
  <c r="N33" i="21"/>
  <c r="D49" i="21"/>
  <c r="U47" i="21"/>
  <c r="Q47" i="21"/>
  <c r="L47" i="21"/>
  <c r="H47" i="21"/>
  <c r="D47" i="21"/>
  <c r="D45" i="21"/>
  <c r="D43" i="21"/>
  <c r="U41" i="21"/>
  <c r="Q41" i="21"/>
  <c r="L41" i="21"/>
  <c r="H41" i="21"/>
  <c r="D41" i="21"/>
  <c r="F39" i="21"/>
  <c r="C36" i="21"/>
  <c r="B42" i="3" s="1"/>
  <c r="N35" i="21"/>
  <c r="D35" i="21"/>
  <c r="C34" i="21"/>
  <c r="B40" i="3" s="1"/>
  <c r="C30" i="21"/>
  <c r="B36" i="3" s="1"/>
  <c r="D29" i="21"/>
  <c r="J49" i="21"/>
  <c r="S45" i="21"/>
  <c r="N45" i="21"/>
  <c r="J45" i="21"/>
  <c r="F45" i="21"/>
  <c r="H43" i="21"/>
  <c r="R49" i="21"/>
  <c r="I49" i="21"/>
  <c r="E49" i="21"/>
  <c r="M45" i="21"/>
  <c r="AF47" i="23" s="1"/>
  <c r="E45" i="21"/>
  <c r="Q43" i="21"/>
  <c r="L43" i="21"/>
  <c r="F43" i="21"/>
  <c r="D42" i="21"/>
  <c r="F48" i="3"/>
  <c r="Q44" i="23"/>
  <c r="C48" i="3"/>
  <c r="G48" i="3"/>
  <c r="L44" i="23"/>
  <c r="D48" i="3"/>
  <c r="AA44" i="23"/>
  <c r="G44" i="23"/>
  <c r="E48" i="3"/>
  <c r="V44" i="23"/>
  <c r="M39" i="21"/>
  <c r="AF41" i="23" s="1"/>
  <c r="E39" i="21"/>
  <c r="D36" i="21"/>
  <c r="F42" i="3"/>
  <c r="Q38" i="23"/>
  <c r="C42" i="3"/>
  <c r="G42" i="3"/>
  <c r="L38" i="23"/>
  <c r="D42" i="3"/>
  <c r="AA38" i="23"/>
  <c r="G38" i="23"/>
  <c r="E42" i="3"/>
  <c r="V38" i="23"/>
  <c r="C35" i="21"/>
  <c r="B41" i="3" s="1"/>
  <c r="D41" i="3"/>
  <c r="Q37" i="23"/>
  <c r="E41" i="3"/>
  <c r="L37" i="23"/>
  <c r="F41" i="3"/>
  <c r="AA37" i="23"/>
  <c r="G37" i="23"/>
  <c r="C41" i="3"/>
  <c r="G41" i="3"/>
  <c r="V37" i="23"/>
  <c r="D37" i="3"/>
  <c r="Q33" i="23"/>
  <c r="E37" i="3"/>
  <c r="L33" i="23"/>
  <c r="F37" i="3"/>
  <c r="AA33" i="23"/>
  <c r="G33" i="23"/>
  <c r="C37" i="3"/>
  <c r="G37" i="3"/>
  <c r="V33" i="23"/>
  <c r="Q29" i="21"/>
  <c r="L29" i="21"/>
  <c r="F29" i="21"/>
  <c r="F49" i="21"/>
  <c r="M49" i="21"/>
  <c r="AF51" i="23" s="1"/>
  <c r="D48" i="21"/>
  <c r="F54" i="3"/>
  <c r="Q50" i="23"/>
  <c r="C54" i="3"/>
  <c r="G54" i="3"/>
  <c r="L50" i="23"/>
  <c r="D54" i="3"/>
  <c r="AA50" i="23"/>
  <c r="G50" i="23"/>
  <c r="E54" i="3"/>
  <c r="V50" i="23"/>
  <c r="I45" i="21"/>
  <c r="R39" i="21"/>
  <c r="I39" i="21"/>
  <c r="D38" i="21"/>
  <c r="F44" i="3"/>
  <c r="Q40" i="23"/>
  <c r="C44" i="3"/>
  <c r="G44" i="3"/>
  <c r="L40" i="23"/>
  <c r="D44" i="3"/>
  <c r="AA40" i="23"/>
  <c r="G40" i="23"/>
  <c r="E44" i="3"/>
  <c r="V40" i="23"/>
  <c r="U49" i="21"/>
  <c r="Q49" i="21"/>
  <c r="L49" i="21"/>
  <c r="H49" i="21"/>
  <c r="D53" i="3"/>
  <c r="Q49" i="23"/>
  <c r="E53" i="3"/>
  <c r="L49" i="23"/>
  <c r="F53" i="3"/>
  <c r="AA49" i="23"/>
  <c r="G49" i="23"/>
  <c r="C53" i="3"/>
  <c r="G53" i="3"/>
  <c r="V49" i="23"/>
  <c r="U45" i="21"/>
  <c r="Q45" i="21"/>
  <c r="L45" i="21"/>
  <c r="H45" i="21"/>
  <c r="N44" i="21"/>
  <c r="U43" i="21"/>
  <c r="P43" i="21"/>
  <c r="J43" i="21"/>
  <c r="E43" i="21"/>
  <c r="D47" i="3"/>
  <c r="Q43" i="23"/>
  <c r="E47" i="3"/>
  <c r="L43" i="23"/>
  <c r="F47" i="3"/>
  <c r="AA43" i="23"/>
  <c r="G43" i="23"/>
  <c r="C47" i="3"/>
  <c r="G47" i="3"/>
  <c r="V43" i="23"/>
  <c r="U39" i="21"/>
  <c r="Q39" i="21"/>
  <c r="L39" i="21"/>
  <c r="H39" i="21"/>
  <c r="D39" i="21"/>
  <c r="D43" i="3"/>
  <c r="Q39" i="23"/>
  <c r="E43" i="3"/>
  <c r="L39" i="23"/>
  <c r="F43" i="3"/>
  <c r="AA39" i="23"/>
  <c r="G39" i="23"/>
  <c r="C43" i="3"/>
  <c r="G43" i="3"/>
  <c r="V39" i="23"/>
  <c r="Q35" i="21"/>
  <c r="L35" i="21"/>
  <c r="F35" i="21"/>
  <c r="N34" i="21"/>
  <c r="R31" i="21"/>
  <c r="M31" i="21"/>
  <c r="AF33" i="23" s="1"/>
  <c r="I31" i="21"/>
  <c r="E31" i="21"/>
  <c r="S30" i="21"/>
  <c r="U29" i="21"/>
  <c r="P29" i="21"/>
  <c r="J29" i="21"/>
  <c r="E29" i="21"/>
  <c r="D55" i="3"/>
  <c r="Q51" i="23"/>
  <c r="E55" i="3"/>
  <c r="L51" i="23"/>
  <c r="F55" i="3"/>
  <c r="AA51" i="23"/>
  <c r="G51" i="23"/>
  <c r="C55" i="3"/>
  <c r="G55" i="3"/>
  <c r="V51" i="23"/>
  <c r="D51" i="3"/>
  <c r="Q47" i="23"/>
  <c r="E51" i="3"/>
  <c r="L47" i="23"/>
  <c r="F51" i="3"/>
  <c r="AA47" i="23"/>
  <c r="G47" i="23"/>
  <c r="C51" i="3"/>
  <c r="G51" i="3"/>
  <c r="V47" i="23"/>
  <c r="R45" i="21"/>
  <c r="T49" i="21"/>
  <c r="B51" i="23" s="1"/>
  <c r="P49" i="21"/>
  <c r="K49" i="21"/>
  <c r="AK51" i="23" s="1"/>
  <c r="G49" i="21"/>
  <c r="C49" i="21"/>
  <c r="B55" i="3" s="1"/>
  <c r="D46" i="21"/>
  <c r="F52" i="3"/>
  <c r="Q48" i="23"/>
  <c r="C52" i="3"/>
  <c r="G52" i="3"/>
  <c r="L48" i="23"/>
  <c r="D52" i="3"/>
  <c r="AA48" i="23"/>
  <c r="G48" i="23"/>
  <c r="E52" i="3"/>
  <c r="V48" i="23"/>
  <c r="T45" i="21"/>
  <c r="B47" i="23" s="1"/>
  <c r="P45" i="21"/>
  <c r="K45" i="21"/>
  <c r="AK47" i="23" s="1"/>
  <c r="G45" i="21"/>
  <c r="C45" i="21"/>
  <c r="B51" i="3" s="1"/>
  <c r="T43" i="21"/>
  <c r="B45" i="23" s="1"/>
  <c r="N43" i="21"/>
  <c r="I43" i="21"/>
  <c r="D40" i="21"/>
  <c r="F46" i="3"/>
  <c r="Q42" i="23"/>
  <c r="C46" i="3"/>
  <c r="G46" i="3"/>
  <c r="L42" i="23"/>
  <c r="D46" i="3"/>
  <c r="AA42" i="23"/>
  <c r="G42" i="23"/>
  <c r="E46" i="3"/>
  <c r="V42" i="23"/>
  <c r="T39" i="21"/>
  <c r="B41" i="23" s="1"/>
  <c r="P39" i="21"/>
  <c r="K39" i="21"/>
  <c r="AK41" i="23" s="1"/>
  <c r="G39" i="21"/>
  <c r="S36" i="21"/>
  <c r="U35" i="21"/>
  <c r="P35" i="21"/>
  <c r="J35" i="21"/>
  <c r="E35" i="21"/>
  <c r="D34" i="21"/>
  <c r="F40" i="3"/>
  <c r="Q36" i="23"/>
  <c r="C40" i="3"/>
  <c r="G40" i="3"/>
  <c r="L36" i="23"/>
  <c r="D40" i="3"/>
  <c r="AA36" i="23"/>
  <c r="G36" i="23"/>
  <c r="E40" i="3"/>
  <c r="V36" i="23"/>
  <c r="C33" i="21"/>
  <c r="B39" i="3" s="1"/>
  <c r="D39" i="3"/>
  <c r="Q35" i="23"/>
  <c r="E39" i="3"/>
  <c r="L35" i="23"/>
  <c r="F39" i="3"/>
  <c r="AA35" i="23"/>
  <c r="G35" i="23"/>
  <c r="C39" i="3"/>
  <c r="G39" i="3"/>
  <c r="V35" i="23"/>
  <c r="U31" i="21"/>
  <c r="Q31" i="21"/>
  <c r="L31" i="21"/>
  <c r="H31" i="21"/>
  <c r="D31" i="21"/>
  <c r="T29" i="21"/>
  <c r="B31" i="23" s="1"/>
  <c r="N29" i="21"/>
  <c r="I29" i="21"/>
  <c r="D44" i="21"/>
  <c r="F50" i="3"/>
  <c r="Q46" i="23"/>
  <c r="C50" i="3"/>
  <c r="G50" i="3"/>
  <c r="L46" i="23"/>
  <c r="D50" i="3"/>
  <c r="AA46" i="23"/>
  <c r="G46" i="23"/>
  <c r="E50" i="3"/>
  <c r="V46" i="23"/>
  <c r="C43" i="21"/>
  <c r="B49" i="3" s="1"/>
  <c r="D49" i="3"/>
  <c r="Q45" i="23"/>
  <c r="E49" i="3"/>
  <c r="L45" i="23"/>
  <c r="F49" i="3"/>
  <c r="AA45" i="23"/>
  <c r="G45" i="23"/>
  <c r="C49" i="3"/>
  <c r="G49" i="3"/>
  <c r="V45" i="23"/>
  <c r="D45" i="3"/>
  <c r="Q41" i="23"/>
  <c r="E45" i="3"/>
  <c r="L41" i="23"/>
  <c r="F45" i="3"/>
  <c r="AA41" i="23"/>
  <c r="G41" i="23"/>
  <c r="C45" i="3"/>
  <c r="G45" i="3"/>
  <c r="V41" i="23"/>
  <c r="D32" i="21"/>
  <c r="F38" i="3"/>
  <c r="Q34" i="23"/>
  <c r="C38" i="3"/>
  <c r="G38" i="3"/>
  <c r="L34" i="23"/>
  <c r="D38" i="3"/>
  <c r="AA34" i="23"/>
  <c r="G34" i="23"/>
  <c r="E38" i="3"/>
  <c r="V34" i="23"/>
  <c r="D30" i="21"/>
  <c r="F36" i="3"/>
  <c r="Q32" i="23"/>
  <c r="C36" i="3"/>
  <c r="G36" i="3"/>
  <c r="L32" i="23"/>
  <c r="D36" i="3"/>
  <c r="AA32" i="23"/>
  <c r="G32" i="23"/>
  <c r="E36" i="3"/>
  <c r="V32" i="23"/>
  <c r="C29" i="21"/>
  <c r="B35" i="3" s="1"/>
  <c r="D35" i="3"/>
  <c r="Q31" i="23"/>
  <c r="E35" i="3"/>
  <c r="L31" i="23"/>
  <c r="F35" i="3"/>
  <c r="AA31" i="23"/>
  <c r="G31" i="23"/>
  <c r="C35" i="3"/>
  <c r="G35" i="3"/>
  <c r="V31" i="23"/>
  <c r="N46" i="21"/>
  <c r="N38" i="21"/>
  <c r="J33" i="21"/>
  <c r="F33" i="21"/>
  <c r="R32" i="21"/>
  <c r="K44" i="21"/>
  <c r="AK46" i="23" s="1"/>
  <c r="K48" i="21"/>
  <c r="AK50" i="23" s="1"/>
  <c r="K46" i="21"/>
  <c r="AK48" i="23" s="1"/>
  <c r="K38" i="21"/>
  <c r="AK40" i="23" s="1"/>
  <c r="U33" i="21"/>
  <c r="Q33" i="21"/>
  <c r="M33" i="21"/>
  <c r="AF35" i="23" s="1"/>
  <c r="E33" i="21"/>
  <c r="G32" i="21"/>
  <c r="R48" i="21"/>
  <c r="G48" i="21"/>
  <c r="R46" i="21"/>
  <c r="G46" i="21"/>
  <c r="R44" i="21"/>
  <c r="J44" i="21"/>
  <c r="S43" i="21"/>
  <c r="K43" i="21"/>
  <c r="AK45" i="23" s="1"/>
  <c r="G43" i="21"/>
  <c r="S42" i="21"/>
  <c r="G42" i="21"/>
  <c r="R40" i="21"/>
  <c r="G40" i="21"/>
  <c r="R38" i="21"/>
  <c r="G38" i="21"/>
  <c r="K36" i="21"/>
  <c r="AK38" i="23" s="1"/>
  <c r="S35" i="21"/>
  <c r="K35" i="21"/>
  <c r="AK37" i="23" s="1"/>
  <c r="G35" i="21"/>
  <c r="T33" i="21"/>
  <c r="B35" i="23" s="1"/>
  <c r="P33" i="21"/>
  <c r="L33" i="21"/>
  <c r="H33" i="21"/>
  <c r="D33" i="21"/>
  <c r="N32" i="21"/>
  <c r="F32" i="21"/>
  <c r="K30" i="21"/>
  <c r="AK32" i="23" s="1"/>
  <c r="S29" i="21"/>
  <c r="K29" i="21"/>
  <c r="AK31" i="23" s="1"/>
  <c r="G29" i="21"/>
  <c r="N48" i="21"/>
  <c r="N40" i="21"/>
  <c r="J32" i="21"/>
  <c r="S48" i="21"/>
  <c r="S46" i="21"/>
  <c r="S44" i="21"/>
  <c r="K42" i="21"/>
  <c r="AK44" i="23" s="1"/>
  <c r="S40" i="21"/>
  <c r="K40" i="21"/>
  <c r="AK42" i="23" s="1"/>
  <c r="S38" i="21"/>
  <c r="I33" i="21"/>
  <c r="C48" i="21"/>
  <c r="B54" i="3" s="1"/>
  <c r="C46" i="21"/>
  <c r="B52" i="3" s="1"/>
  <c r="G44" i="21"/>
  <c r="R42" i="21"/>
  <c r="C42" i="21"/>
  <c r="B48" i="3" s="1"/>
  <c r="C40" i="21"/>
  <c r="B46" i="3" s="1"/>
  <c r="C38" i="21"/>
  <c r="B44" i="3" s="1"/>
  <c r="G36" i="21"/>
  <c r="S33" i="21"/>
  <c r="K33" i="21"/>
  <c r="AK35" i="23" s="1"/>
  <c r="G33" i="21"/>
  <c r="S32" i="21"/>
  <c r="K32" i="21"/>
  <c r="AK34" i="23" s="1"/>
  <c r="C32" i="21"/>
  <c r="B38" i="3" s="1"/>
  <c r="G30" i="21"/>
  <c r="F44" i="21"/>
  <c r="J40" i="21"/>
  <c r="F40" i="21"/>
  <c r="F34" i="21"/>
  <c r="U48" i="21"/>
  <c r="I48" i="21"/>
  <c r="U46" i="21"/>
  <c r="M46" i="21"/>
  <c r="AF48" i="23" s="1"/>
  <c r="E46" i="21"/>
  <c r="Q44" i="21"/>
  <c r="I44" i="21"/>
  <c r="U42" i="21"/>
  <c r="M42" i="21"/>
  <c r="AF44" i="23" s="1"/>
  <c r="I42" i="21"/>
  <c r="E42" i="21"/>
  <c r="U40" i="21"/>
  <c r="Q40" i="21"/>
  <c r="M40" i="21"/>
  <c r="AF42" i="23" s="1"/>
  <c r="I40" i="21"/>
  <c r="E40" i="21"/>
  <c r="U38" i="21"/>
  <c r="Q38" i="21"/>
  <c r="M38" i="21"/>
  <c r="AF40" i="23" s="1"/>
  <c r="I38" i="21"/>
  <c r="E38" i="21"/>
  <c r="U36" i="21"/>
  <c r="Q36" i="21"/>
  <c r="M36" i="21"/>
  <c r="AF38" i="23" s="1"/>
  <c r="I36" i="21"/>
  <c r="E36" i="21"/>
  <c r="U34" i="21"/>
  <c r="Q34" i="21"/>
  <c r="M34" i="21"/>
  <c r="AF36" i="23" s="1"/>
  <c r="I34" i="21"/>
  <c r="E34" i="21"/>
  <c r="U32" i="21"/>
  <c r="Q32" i="21"/>
  <c r="M32" i="21"/>
  <c r="AF34" i="23" s="1"/>
  <c r="I32" i="21"/>
  <c r="E32" i="21"/>
  <c r="U30" i="21"/>
  <c r="Q30" i="21"/>
  <c r="M30" i="21"/>
  <c r="AF32" i="23" s="1"/>
  <c r="I30" i="21"/>
  <c r="E30" i="21"/>
  <c r="J48" i="21"/>
  <c r="F48" i="21"/>
  <c r="J46" i="21"/>
  <c r="F46" i="21"/>
  <c r="N42" i="21"/>
  <c r="J42" i="21"/>
  <c r="F42" i="21"/>
  <c r="J38" i="21"/>
  <c r="F38" i="21"/>
  <c r="R36" i="21"/>
  <c r="N36" i="21"/>
  <c r="J36" i="21"/>
  <c r="F36" i="21"/>
  <c r="R30" i="21"/>
  <c r="N30" i="21"/>
  <c r="J30" i="21"/>
  <c r="F30" i="21"/>
  <c r="Q48" i="21"/>
  <c r="M48" i="21"/>
  <c r="AF50" i="23" s="1"/>
  <c r="E48" i="21"/>
  <c r="Q46" i="21"/>
  <c r="I46" i="21"/>
  <c r="U44" i="21"/>
  <c r="M44" i="21"/>
  <c r="AF46" i="23" s="1"/>
  <c r="E44" i="21"/>
  <c r="Q42" i="21"/>
  <c r="T48" i="21"/>
  <c r="B50" i="23" s="1"/>
  <c r="P48" i="21"/>
  <c r="L48" i="21"/>
  <c r="H48" i="21"/>
  <c r="T46" i="21"/>
  <c r="B48" i="23" s="1"/>
  <c r="P46" i="21"/>
  <c r="L46" i="21"/>
  <c r="H46" i="21"/>
  <c r="T44" i="21"/>
  <c r="B46" i="23" s="1"/>
  <c r="P44" i="21"/>
  <c r="L44" i="21"/>
  <c r="H44" i="21"/>
  <c r="T42" i="21"/>
  <c r="B44" i="23" s="1"/>
  <c r="P42" i="21"/>
  <c r="L42" i="21"/>
  <c r="H42" i="21"/>
  <c r="T40" i="21"/>
  <c r="B42" i="23" s="1"/>
  <c r="P40" i="21"/>
  <c r="L40" i="21"/>
  <c r="H40" i="21"/>
  <c r="T38" i="21"/>
  <c r="B40" i="23" s="1"/>
  <c r="P38" i="21"/>
  <c r="L38" i="21"/>
  <c r="H38" i="21"/>
  <c r="T36" i="21"/>
  <c r="B38" i="23" s="1"/>
  <c r="P36" i="21"/>
  <c r="L36" i="21"/>
  <c r="H36" i="21"/>
  <c r="T34" i="21"/>
  <c r="B36" i="23" s="1"/>
  <c r="P34" i="21"/>
  <c r="L34" i="21"/>
  <c r="H34" i="21"/>
  <c r="T32" i="21"/>
  <c r="B34" i="23" s="1"/>
  <c r="P32" i="21"/>
  <c r="L32" i="21"/>
  <c r="H32" i="21"/>
  <c r="T30" i="21"/>
  <c r="B32" i="23" s="1"/>
  <c r="P30" i="21"/>
  <c r="L30" i="21"/>
  <c r="H30" i="21"/>
  <c r="L222" i="23" l="1"/>
  <c r="AA113" i="23" l="1"/>
  <c r="U113" i="23"/>
  <c r="G10" i="23" l="1"/>
  <c r="AU222" i="23" l="1"/>
  <c r="AP222" i="23"/>
  <c r="AK222" i="23"/>
  <c r="AF222" i="23"/>
  <c r="AA222" i="23"/>
  <c r="V222" i="23"/>
  <c r="S175" i="23"/>
  <c r="S180" i="23" s="1"/>
  <c r="N145" i="23"/>
  <c r="C142" i="23" s="1"/>
  <c r="AM86" i="23"/>
  <c r="M86" i="23"/>
  <c r="AP85" i="23"/>
  <c r="AM85" i="23"/>
  <c r="AA85" i="23"/>
  <c r="N205" i="23" s="1"/>
  <c r="V85" i="23"/>
  <c r="I204" i="23" s="1"/>
  <c r="S85" i="23"/>
  <c r="M85" i="23"/>
  <c r="H85" i="23"/>
  <c r="AP84" i="23"/>
  <c r="AM84" i="23"/>
  <c r="AA84" i="23"/>
  <c r="N191" i="23" s="1"/>
  <c r="V84" i="23"/>
  <c r="I190" i="23" s="1"/>
  <c r="S84" i="23"/>
  <c r="M84" i="23"/>
  <c r="H84" i="23"/>
  <c r="AP83" i="23"/>
  <c r="AM83" i="23"/>
  <c r="AE83" i="23"/>
  <c r="V83" i="23"/>
  <c r="I177" i="23" s="1"/>
  <c r="S83" i="23"/>
  <c r="M83" i="23"/>
  <c r="AP81" i="23"/>
  <c r="AM81" i="23"/>
  <c r="AE81" i="23"/>
  <c r="V81" i="23"/>
  <c r="I147" i="23" s="1"/>
  <c r="S81" i="23"/>
  <c r="M81" i="23"/>
  <c r="AP82" i="23"/>
  <c r="AM82" i="23"/>
  <c r="AE82" i="23"/>
  <c r="V82" i="23"/>
  <c r="I161" i="23" s="1"/>
  <c r="S82" i="23"/>
  <c r="M82" i="23"/>
  <c r="AP80" i="23"/>
  <c r="AM80" i="23"/>
  <c r="AE80" i="23"/>
  <c r="V80" i="23"/>
  <c r="I131" i="23" s="1"/>
  <c r="S80" i="23"/>
  <c r="M80" i="23"/>
  <c r="AP78" i="23"/>
  <c r="AM78" i="23"/>
  <c r="AA78" i="23"/>
  <c r="N100" i="23" s="1"/>
  <c r="L102" i="23" s="1"/>
  <c r="V78" i="23"/>
  <c r="I99" i="23" s="1"/>
  <c r="S78" i="23"/>
  <c r="M78" i="23"/>
  <c r="N91" i="23" s="1"/>
  <c r="AM79" i="23"/>
  <c r="AA79" i="23"/>
  <c r="N116" i="23" s="1"/>
  <c r="L118" i="23" s="1"/>
  <c r="S79" i="23"/>
  <c r="M79" i="23"/>
  <c r="N108" i="23" s="1"/>
  <c r="AA93" i="23"/>
  <c r="R102" i="23" s="1"/>
  <c r="Y102" i="23" s="1"/>
  <c r="AA110" i="23"/>
  <c r="R118" i="23" s="1"/>
  <c r="Y118" i="23" s="1"/>
  <c r="U110" i="23"/>
  <c r="L10" i="23"/>
  <c r="Q10" i="23" s="1"/>
  <c r="V10" i="23" s="1"/>
  <c r="AA10" i="23" s="1"/>
  <c r="S145" i="23" l="1"/>
  <c r="S150" i="23" s="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H3" i="21"/>
  <c r="G3" i="21"/>
  <c r="F3" i="21"/>
  <c r="C8" i="3" s="1"/>
  <c r="C3" i="21"/>
  <c r="B3" i="21" s="1"/>
  <c r="F66" i="21"/>
  <c r="O83" i="23"/>
  <c r="O81" i="23"/>
  <c r="O82" i="23"/>
  <c r="AE18" i="21" l="1"/>
  <c r="V18" i="21"/>
  <c r="W18" i="21"/>
  <c r="W11" i="21"/>
  <c r="V11" i="21"/>
  <c r="AE11" i="21"/>
  <c r="W15" i="21"/>
  <c r="AE15" i="21"/>
  <c r="V15" i="21"/>
  <c r="W19" i="21"/>
  <c r="V19" i="21"/>
  <c r="AE19" i="21"/>
  <c r="W23" i="21"/>
  <c r="AE23" i="21"/>
  <c r="V23" i="21"/>
  <c r="W27" i="21"/>
  <c r="AE27" i="21"/>
  <c r="V27" i="21"/>
  <c r="AE10" i="21"/>
  <c r="V10" i="21"/>
  <c r="W10" i="21"/>
  <c r="AE22" i="21"/>
  <c r="V22" i="21"/>
  <c r="W22" i="21"/>
  <c r="V12" i="21"/>
  <c r="AE12" i="21"/>
  <c r="W12" i="21"/>
  <c r="V16" i="21"/>
  <c r="AE16" i="21"/>
  <c r="W16" i="21"/>
  <c r="V20" i="21"/>
  <c r="AE20" i="21"/>
  <c r="W20" i="21"/>
  <c r="V24" i="21"/>
  <c r="AE24" i="21"/>
  <c r="W24" i="21"/>
  <c r="V28" i="21"/>
  <c r="AE28" i="21"/>
  <c r="W28" i="21"/>
  <c r="AE14" i="21"/>
  <c r="V14" i="21"/>
  <c r="W14" i="21"/>
  <c r="AE26" i="21"/>
  <c r="V26" i="21"/>
  <c r="W26" i="21"/>
  <c r="AE9" i="21"/>
  <c r="W9" i="21"/>
  <c r="V9" i="21"/>
  <c r="W13" i="21"/>
  <c r="V13" i="21"/>
  <c r="AE13" i="21"/>
  <c r="W17" i="21"/>
  <c r="AE17" i="21"/>
  <c r="V17" i="21"/>
  <c r="W21" i="21"/>
  <c r="AE21" i="21"/>
  <c r="V21" i="21"/>
  <c r="W25" i="21"/>
  <c r="V25" i="21"/>
  <c r="AE25" i="21"/>
  <c r="O10" i="21"/>
  <c r="A18" i="31"/>
  <c r="O18" i="21"/>
  <c r="A26" i="31"/>
  <c r="O26" i="21"/>
  <c r="A34" i="31"/>
  <c r="O11" i="21"/>
  <c r="A19" i="31"/>
  <c r="O23" i="21"/>
  <c r="A31" i="31"/>
  <c r="O12" i="21"/>
  <c r="A20" i="31"/>
  <c r="O16" i="21"/>
  <c r="A24" i="31"/>
  <c r="O20" i="21"/>
  <c r="A28" i="31"/>
  <c r="O24" i="21"/>
  <c r="A32" i="31"/>
  <c r="O28" i="21"/>
  <c r="A36" i="31"/>
  <c r="O14" i="21"/>
  <c r="A22" i="31"/>
  <c r="O22" i="21"/>
  <c r="A30" i="31"/>
  <c r="O15" i="21"/>
  <c r="A23" i="31"/>
  <c r="O19" i="21"/>
  <c r="A27" i="31"/>
  <c r="O27" i="21"/>
  <c r="A35" i="31"/>
  <c r="O9" i="21"/>
  <c r="A17" i="31"/>
  <c r="O13" i="21"/>
  <c r="A21" i="31"/>
  <c r="O17" i="21"/>
  <c r="A25" i="31"/>
  <c r="O21" i="21"/>
  <c r="A29" i="31"/>
  <c r="O25" i="21"/>
  <c r="A33" i="31"/>
  <c r="M84" i="21"/>
  <c r="E8" i="21"/>
  <c r="F8" i="21" s="1"/>
  <c r="G8" i="21" s="1"/>
  <c r="H8" i="21" s="1"/>
  <c r="I8" i="21" s="1"/>
  <c r="J8" i="21" s="1"/>
  <c r="AI6" i="21"/>
  <c r="C19" i="21"/>
  <c r="B25" i="3" s="1"/>
  <c r="C10" i="21"/>
  <c r="B16" i="3" s="1"/>
  <c r="C26" i="21"/>
  <c r="B32" i="3" s="1"/>
  <c r="N9" i="21"/>
  <c r="C17" i="21"/>
  <c r="B23" i="3" s="1"/>
  <c r="C21" i="21"/>
  <c r="B27" i="3" s="1"/>
  <c r="C25" i="21"/>
  <c r="B31" i="3" s="1"/>
  <c r="C15" i="21"/>
  <c r="B21" i="3" s="1"/>
  <c r="C23" i="21"/>
  <c r="B29" i="3" s="1"/>
  <c r="C27" i="21"/>
  <c r="B33" i="3" s="1"/>
  <c r="C14" i="21"/>
  <c r="B20" i="3" s="1"/>
  <c r="C18" i="21"/>
  <c r="B24" i="3" s="1"/>
  <c r="C22" i="21"/>
  <c r="B28" i="3" s="1"/>
  <c r="C12" i="21"/>
  <c r="C16" i="21"/>
  <c r="B22" i="3" s="1"/>
  <c r="C20" i="21"/>
  <c r="B26" i="3" s="1"/>
  <c r="C24" i="21"/>
  <c r="B30" i="3" s="1"/>
  <c r="C28" i="21"/>
  <c r="B34" i="3" s="1"/>
  <c r="C11" i="21"/>
  <c r="B17" i="3" s="1"/>
  <c r="S9" i="21"/>
  <c r="C9" i="21"/>
  <c r="K13" i="21"/>
  <c r="AK15" i="23" s="1"/>
  <c r="C13" i="21"/>
  <c r="B19" i="3" s="1"/>
  <c r="I3" i="21"/>
  <c r="L3" i="21" s="1"/>
  <c r="B5" i="23"/>
  <c r="AA14" i="23"/>
  <c r="G14" i="23"/>
  <c r="Q14" i="23"/>
  <c r="V14" i="23"/>
  <c r="L14" i="23"/>
  <c r="K12" i="21"/>
  <c r="AK14" i="23" s="1"/>
  <c r="AA22" i="23"/>
  <c r="G22" i="23"/>
  <c r="V22" i="23"/>
  <c r="Q22" i="23"/>
  <c r="L22" i="23"/>
  <c r="K20" i="21"/>
  <c r="AK22" i="23" s="1"/>
  <c r="Q12" i="23"/>
  <c r="L12" i="23"/>
  <c r="G12" i="23"/>
  <c r="V12" i="23"/>
  <c r="AA12" i="23"/>
  <c r="K10" i="21"/>
  <c r="AK12" i="23" s="1"/>
  <c r="Q16" i="23"/>
  <c r="L16" i="23"/>
  <c r="AA16" i="23"/>
  <c r="G16" i="23"/>
  <c r="V16" i="23"/>
  <c r="K14" i="21"/>
  <c r="AK16" i="23" s="1"/>
  <c r="Q20" i="23"/>
  <c r="L20" i="23"/>
  <c r="G20" i="23"/>
  <c r="AA20" i="23"/>
  <c r="V20" i="23"/>
  <c r="K18" i="21"/>
  <c r="AK20" i="23" s="1"/>
  <c r="Q24" i="23"/>
  <c r="G24" i="23"/>
  <c r="L24" i="23"/>
  <c r="AA24" i="23"/>
  <c r="V24" i="23"/>
  <c r="K22" i="21"/>
  <c r="AK24" i="23" s="1"/>
  <c r="Q28" i="23"/>
  <c r="L28" i="23"/>
  <c r="G28" i="23"/>
  <c r="AA28" i="23"/>
  <c r="V28" i="23"/>
  <c r="K26" i="21"/>
  <c r="AK28" i="23" s="1"/>
  <c r="V11" i="23"/>
  <c r="Q11" i="23"/>
  <c r="L11" i="23"/>
  <c r="G11" i="23"/>
  <c r="AA11" i="23"/>
  <c r="K9" i="21"/>
  <c r="V15" i="23"/>
  <c r="L15" i="23"/>
  <c r="Q15" i="23"/>
  <c r="AA15" i="23"/>
  <c r="G15" i="23"/>
  <c r="V19" i="23"/>
  <c r="Q19" i="23"/>
  <c r="L19" i="23"/>
  <c r="AA19" i="23"/>
  <c r="G19" i="23"/>
  <c r="K17" i="21"/>
  <c r="AK19" i="23" s="1"/>
  <c r="V23" i="23"/>
  <c r="L23" i="23"/>
  <c r="Q23" i="23"/>
  <c r="G23" i="23"/>
  <c r="AA23" i="23"/>
  <c r="K21" i="21"/>
  <c r="AK23" i="23" s="1"/>
  <c r="V27" i="23"/>
  <c r="Q27" i="23"/>
  <c r="L27" i="23"/>
  <c r="AA27" i="23"/>
  <c r="G27" i="23"/>
  <c r="K25" i="21"/>
  <c r="AK27" i="23" s="1"/>
  <c r="AA30" i="23"/>
  <c r="G30" i="23"/>
  <c r="V30" i="23"/>
  <c r="Q30" i="23"/>
  <c r="L30" i="23"/>
  <c r="K28" i="21"/>
  <c r="AK30" i="23" s="1"/>
  <c r="AA18" i="23"/>
  <c r="G18" i="23"/>
  <c r="Q18" i="23"/>
  <c r="V18" i="23"/>
  <c r="L18" i="23"/>
  <c r="K16" i="21"/>
  <c r="AK18" i="23" s="1"/>
  <c r="AA26" i="23"/>
  <c r="G26" i="23"/>
  <c r="Q26" i="23"/>
  <c r="V26" i="23"/>
  <c r="L26" i="23"/>
  <c r="K24" i="21"/>
  <c r="AK26" i="23" s="1"/>
  <c r="L13" i="23"/>
  <c r="AA13" i="23"/>
  <c r="G13" i="23"/>
  <c r="V13" i="23"/>
  <c r="Q13" i="23"/>
  <c r="K11" i="21"/>
  <c r="AK13" i="23" s="1"/>
  <c r="L17" i="23"/>
  <c r="AA17" i="23"/>
  <c r="G17" i="23"/>
  <c r="V17" i="23"/>
  <c r="Q17" i="23"/>
  <c r="K15" i="21"/>
  <c r="AK17" i="23" s="1"/>
  <c r="L21" i="23"/>
  <c r="AA21" i="23"/>
  <c r="G21" i="23"/>
  <c r="V21" i="23"/>
  <c r="Q21" i="23"/>
  <c r="K19" i="21"/>
  <c r="AK21" i="23" s="1"/>
  <c r="L25" i="23"/>
  <c r="V25" i="23"/>
  <c r="AA25" i="23"/>
  <c r="G25" i="23"/>
  <c r="Q25" i="23"/>
  <c r="K23" i="21"/>
  <c r="AK25" i="23" s="1"/>
  <c r="L29" i="23"/>
  <c r="AA29" i="23"/>
  <c r="G29" i="23"/>
  <c r="V29" i="23"/>
  <c r="Q29" i="23"/>
  <c r="K27" i="21"/>
  <c r="AK29" i="23" s="1"/>
  <c r="I9" i="21"/>
  <c r="I13" i="21"/>
  <c r="I17" i="21"/>
  <c r="I21" i="21"/>
  <c r="I25" i="21"/>
  <c r="I11" i="21"/>
  <c r="I15" i="21"/>
  <c r="I19" i="21"/>
  <c r="I23" i="21"/>
  <c r="I27" i="21"/>
  <c r="U23" i="21"/>
  <c r="D16" i="3"/>
  <c r="S23" i="21"/>
  <c r="D24" i="3"/>
  <c r="C16" i="3"/>
  <c r="F29" i="3"/>
  <c r="E30" i="3"/>
  <c r="G16" i="3"/>
  <c r="G24" i="3"/>
  <c r="F30" i="3"/>
  <c r="F22" i="3"/>
  <c r="T25" i="21"/>
  <c r="B27" i="23" s="1"/>
  <c r="D15" i="3"/>
  <c r="C21" i="3"/>
  <c r="C29" i="3"/>
  <c r="E34" i="3"/>
  <c r="D8" i="3"/>
  <c r="D32" i="3"/>
  <c r="T21" i="21"/>
  <c r="B23" i="23" s="1"/>
  <c r="F21" i="3"/>
  <c r="D23" i="3"/>
  <c r="D31" i="3"/>
  <c r="G32" i="3"/>
  <c r="Q25" i="21"/>
  <c r="E15" i="3"/>
  <c r="F17" i="3"/>
  <c r="G21" i="3"/>
  <c r="E23" i="3"/>
  <c r="F25" i="3"/>
  <c r="G29" i="3"/>
  <c r="E31" i="3"/>
  <c r="F33" i="3"/>
  <c r="E18" i="3"/>
  <c r="E22" i="3"/>
  <c r="C24" i="3"/>
  <c r="E26" i="3"/>
  <c r="C32" i="3"/>
  <c r="C20" i="3"/>
  <c r="C17" i="3"/>
  <c r="G17" i="3"/>
  <c r="F18" i="3"/>
  <c r="E19" i="3"/>
  <c r="D20" i="3"/>
  <c r="C25" i="3"/>
  <c r="G25" i="3"/>
  <c r="F26" i="3"/>
  <c r="E27" i="3"/>
  <c r="D28" i="3"/>
  <c r="C33" i="3"/>
  <c r="G33" i="3"/>
  <c r="F34" i="3"/>
  <c r="C28" i="3"/>
  <c r="U21" i="21"/>
  <c r="T13" i="21"/>
  <c r="B15" i="23" s="1"/>
  <c r="P21" i="21"/>
  <c r="F15" i="3"/>
  <c r="E16" i="3"/>
  <c r="D17" i="3"/>
  <c r="C18" i="3"/>
  <c r="G18" i="3"/>
  <c r="F19" i="3"/>
  <c r="E20" i="3"/>
  <c r="D21" i="3"/>
  <c r="C22" i="3"/>
  <c r="G22" i="3"/>
  <c r="F23" i="3"/>
  <c r="E24" i="3"/>
  <c r="D25" i="3"/>
  <c r="C26" i="3"/>
  <c r="G26" i="3"/>
  <c r="F27" i="3"/>
  <c r="E28" i="3"/>
  <c r="D29" i="3"/>
  <c r="C30" i="3"/>
  <c r="G30" i="3"/>
  <c r="F31" i="3"/>
  <c r="E32" i="3"/>
  <c r="D33" i="3"/>
  <c r="C34" i="3"/>
  <c r="G34" i="3"/>
  <c r="D19" i="3"/>
  <c r="G20" i="3"/>
  <c r="D27" i="3"/>
  <c r="G28" i="3"/>
  <c r="S21" i="21"/>
  <c r="Q27" i="21"/>
  <c r="C15" i="3"/>
  <c r="G15" i="3"/>
  <c r="F16" i="3"/>
  <c r="E17" i="3"/>
  <c r="D18" i="3"/>
  <c r="C19" i="3"/>
  <c r="G19" i="3"/>
  <c r="F20" i="3"/>
  <c r="E21" i="3"/>
  <c r="D22" i="3"/>
  <c r="C23" i="3"/>
  <c r="G23" i="3"/>
  <c r="F24" i="3"/>
  <c r="E25" i="3"/>
  <c r="D26" i="3"/>
  <c r="C27" i="3"/>
  <c r="G27" i="3"/>
  <c r="F28" i="3"/>
  <c r="E29" i="3"/>
  <c r="D30" i="3"/>
  <c r="C31" i="3"/>
  <c r="G31" i="3"/>
  <c r="F32" i="3"/>
  <c r="E33" i="3"/>
  <c r="D34" i="3"/>
  <c r="L9" i="21"/>
  <c r="L11" i="21"/>
  <c r="L13" i="21"/>
  <c r="L15" i="21"/>
  <c r="L17" i="21"/>
  <c r="L19" i="21"/>
  <c r="L21" i="21"/>
  <c r="L23" i="21"/>
  <c r="L25" i="21"/>
  <c r="L27" i="21"/>
  <c r="M9" i="21"/>
  <c r="AF11" i="23" s="1"/>
  <c r="M11" i="21"/>
  <c r="AF13" i="23" s="1"/>
  <c r="M13" i="21"/>
  <c r="AF15" i="23" s="1"/>
  <c r="M15" i="21"/>
  <c r="AF17" i="23" s="1"/>
  <c r="M17" i="21"/>
  <c r="AF19" i="23" s="1"/>
  <c r="M19" i="21"/>
  <c r="AF21" i="23" s="1"/>
  <c r="M21" i="21"/>
  <c r="AF23" i="23" s="1"/>
  <c r="M23" i="21"/>
  <c r="AF25" i="23" s="1"/>
  <c r="M25" i="21"/>
  <c r="AF27" i="23" s="1"/>
  <c r="M27" i="21"/>
  <c r="AF29" i="23" s="1"/>
  <c r="J20" i="21"/>
  <c r="U22" i="21"/>
  <c r="S24" i="21"/>
  <c r="O80" i="23"/>
  <c r="F9" i="21"/>
  <c r="F11" i="21"/>
  <c r="F13" i="21"/>
  <c r="F15" i="21"/>
  <c r="F17" i="21"/>
  <c r="F19" i="21"/>
  <c r="F21" i="21"/>
  <c r="F23" i="21"/>
  <c r="F25" i="21"/>
  <c r="F27" i="21"/>
  <c r="N16" i="21"/>
  <c r="R16" i="21" s="1"/>
  <c r="U20" i="21"/>
  <c r="Q26" i="21"/>
  <c r="G9" i="21"/>
  <c r="G11" i="21"/>
  <c r="G13" i="21"/>
  <c r="G15" i="21"/>
  <c r="G17" i="21"/>
  <c r="G19" i="21"/>
  <c r="G21" i="21"/>
  <c r="G23" i="21"/>
  <c r="G25" i="21"/>
  <c r="G27" i="21"/>
  <c r="E10" i="21"/>
  <c r="I14" i="21"/>
  <c r="E16" i="21"/>
  <c r="E22" i="21"/>
  <c r="E24" i="21"/>
  <c r="E28" i="21"/>
  <c r="N20" i="21"/>
  <c r="R22" i="21"/>
  <c r="J26" i="21"/>
  <c r="S26" i="21"/>
  <c r="D9" i="21"/>
  <c r="H9" i="21"/>
  <c r="F10" i="21"/>
  <c r="L10" i="21"/>
  <c r="D11" i="21"/>
  <c r="H11" i="21"/>
  <c r="F12" i="21"/>
  <c r="L12" i="21"/>
  <c r="D13" i="21"/>
  <c r="H13" i="21"/>
  <c r="F14" i="21"/>
  <c r="L14" i="21"/>
  <c r="D15" i="21"/>
  <c r="H15" i="21"/>
  <c r="F16" i="21"/>
  <c r="L16" i="21"/>
  <c r="D17" i="21"/>
  <c r="H17" i="21"/>
  <c r="F18" i="21"/>
  <c r="L18" i="21"/>
  <c r="D19" i="21"/>
  <c r="H19" i="21"/>
  <c r="F20" i="21"/>
  <c r="L20" i="21"/>
  <c r="D21" i="21"/>
  <c r="H21" i="21"/>
  <c r="F22" i="21"/>
  <c r="L22" i="21"/>
  <c r="D23" i="21"/>
  <c r="H23" i="21"/>
  <c r="F24" i="21"/>
  <c r="L24" i="21"/>
  <c r="D25" i="21"/>
  <c r="H25" i="21"/>
  <c r="F26" i="21"/>
  <c r="L26" i="21"/>
  <c r="D27" i="21"/>
  <c r="H27" i="21"/>
  <c r="F28" i="21"/>
  <c r="L28" i="21"/>
  <c r="I10" i="21"/>
  <c r="E12" i="21"/>
  <c r="E18" i="21"/>
  <c r="I18" i="21"/>
  <c r="I20" i="21"/>
  <c r="I22" i="21"/>
  <c r="I26" i="21"/>
  <c r="I28" i="21"/>
  <c r="R20" i="21"/>
  <c r="Q24" i="21"/>
  <c r="U26" i="21"/>
  <c r="E9" i="21"/>
  <c r="G10" i="21"/>
  <c r="M10" i="21"/>
  <c r="AF12" i="23" s="1"/>
  <c r="E11" i="21"/>
  <c r="B18" i="3"/>
  <c r="G12" i="21"/>
  <c r="M12" i="21"/>
  <c r="AF14" i="23" s="1"/>
  <c r="E13" i="21"/>
  <c r="G14" i="21"/>
  <c r="M14" i="21"/>
  <c r="AF16" i="23" s="1"/>
  <c r="E15" i="21"/>
  <c r="G16" i="21"/>
  <c r="M16" i="21"/>
  <c r="AF18" i="23" s="1"/>
  <c r="E17" i="21"/>
  <c r="G18" i="21"/>
  <c r="M18" i="21"/>
  <c r="AF20" i="23" s="1"/>
  <c r="E19" i="21"/>
  <c r="G20" i="21"/>
  <c r="M20" i="21"/>
  <c r="AF22" i="23" s="1"/>
  <c r="E21" i="21"/>
  <c r="G22" i="21"/>
  <c r="M22" i="21"/>
  <c r="AF24" i="23" s="1"/>
  <c r="E23" i="21"/>
  <c r="G24" i="21"/>
  <c r="M24" i="21"/>
  <c r="AF26" i="23" s="1"/>
  <c r="E25" i="21"/>
  <c r="G26" i="21"/>
  <c r="M26" i="21"/>
  <c r="AF28" i="23" s="1"/>
  <c r="E27" i="21"/>
  <c r="G28" i="21"/>
  <c r="M28" i="21"/>
  <c r="AF30" i="23" s="1"/>
  <c r="I12" i="21"/>
  <c r="E14" i="21"/>
  <c r="I16" i="21"/>
  <c r="E20" i="21"/>
  <c r="I24" i="21"/>
  <c r="E26" i="21"/>
  <c r="N12" i="21"/>
  <c r="R12" i="21" s="1"/>
  <c r="S20" i="21"/>
  <c r="R24" i="21"/>
  <c r="N26" i="21"/>
  <c r="D10" i="21"/>
  <c r="H10" i="21"/>
  <c r="D12" i="21"/>
  <c r="H12" i="21"/>
  <c r="D14" i="21"/>
  <c r="H14" i="21"/>
  <c r="D16" i="21"/>
  <c r="H16" i="21"/>
  <c r="D18" i="21"/>
  <c r="H18" i="21"/>
  <c r="D20" i="21"/>
  <c r="H20" i="21"/>
  <c r="D22" i="21"/>
  <c r="H22" i="21"/>
  <c r="D24" i="21"/>
  <c r="H24" i="21"/>
  <c r="D26" i="21"/>
  <c r="H26" i="21"/>
  <c r="D28" i="21"/>
  <c r="H28" i="21"/>
  <c r="S16" i="21"/>
  <c r="S12" i="21"/>
  <c r="S17" i="21"/>
  <c r="S13" i="21"/>
  <c r="S11" i="21"/>
  <c r="S19" i="21"/>
  <c r="S15" i="21"/>
  <c r="P27" i="21"/>
  <c r="T28" i="21"/>
  <c r="B30" i="23" s="1"/>
  <c r="P28" i="21"/>
  <c r="U28" i="21"/>
  <c r="J28" i="21"/>
  <c r="N28" i="21"/>
  <c r="Q9" i="21"/>
  <c r="E57" i="21" s="1"/>
  <c r="T10" i="21"/>
  <c r="B12" i="23" s="1"/>
  <c r="N10" i="21"/>
  <c r="R10" i="21" s="1"/>
  <c r="S10" i="21"/>
  <c r="T11" i="21"/>
  <c r="B13" i="23" s="1"/>
  <c r="T12" i="21"/>
  <c r="B14" i="23" s="1"/>
  <c r="P12" i="21"/>
  <c r="Q12" i="21"/>
  <c r="N13" i="21"/>
  <c r="P13" i="21" s="1"/>
  <c r="J13" i="21"/>
  <c r="Q13" i="21"/>
  <c r="N14" i="21"/>
  <c r="S14" i="21"/>
  <c r="T15" i="21"/>
  <c r="B17" i="23" s="1"/>
  <c r="T16" i="21"/>
  <c r="B18" i="23" s="1"/>
  <c r="P16" i="21"/>
  <c r="Q16" i="21"/>
  <c r="N17" i="21"/>
  <c r="P17" i="21" s="1"/>
  <c r="J17" i="21"/>
  <c r="Q17" i="21"/>
  <c r="T18" i="21"/>
  <c r="B20" i="23" s="1"/>
  <c r="N18" i="21"/>
  <c r="R18" i="21" s="1"/>
  <c r="S18" i="21"/>
  <c r="T19" i="21"/>
  <c r="B21" i="23" s="1"/>
  <c r="T20" i="21"/>
  <c r="B22" i="23" s="1"/>
  <c r="P20" i="21"/>
  <c r="Q20" i="21"/>
  <c r="R21" i="21"/>
  <c r="N21" i="21"/>
  <c r="J21" i="21"/>
  <c r="Q21" i="21"/>
  <c r="N22" i="21"/>
  <c r="S22" i="21"/>
  <c r="T23" i="21"/>
  <c r="B25" i="23" s="1"/>
  <c r="T24" i="21"/>
  <c r="B26" i="23" s="1"/>
  <c r="P24" i="21"/>
  <c r="U24" i="21"/>
  <c r="J24" i="21"/>
  <c r="N24" i="21"/>
  <c r="S25" i="21"/>
  <c r="T26" i="21"/>
  <c r="B28" i="23" s="1"/>
  <c r="P26" i="21"/>
  <c r="R26" i="21"/>
  <c r="Q28" i="21"/>
  <c r="R27" i="21"/>
  <c r="N27" i="21"/>
  <c r="J27" i="21"/>
  <c r="S27" i="21"/>
  <c r="J11" i="21"/>
  <c r="J14" i="21"/>
  <c r="P14" i="21"/>
  <c r="P15" i="21"/>
  <c r="J22" i="21"/>
  <c r="P23" i="21"/>
  <c r="T27" i="21"/>
  <c r="B29" i="23" s="1"/>
  <c r="R28" i="21"/>
  <c r="R9" i="21"/>
  <c r="J9" i="21"/>
  <c r="T9" i="21"/>
  <c r="B11" i="23" s="1"/>
  <c r="P10" i="21"/>
  <c r="U10" i="21"/>
  <c r="Q10" i="21"/>
  <c r="N11" i="21"/>
  <c r="R11" i="21" s="1"/>
  <c r="Q11" i="21"/>
  <c r="T14" i="21"/>
  <c r="B16" i="23" s="1"/>
  <c r="Q14" i="21"/>
  <c r="R15" i="21"/>
  <c r="N15" i="21"/>
  <c r="J15" i="21"/>
  <c r="U15" i="21"/>
  <c r="Q15" i="21"/>
  <c r="P18" i="21"/>
  <c r="U18" i="21"/>
  <c r="Q18" i="21"/>
  <c r="N19" i="21"/>
  <c r="R19" i="21" s="1"/>
  <c r="Q19" i="21"/>
  <c r="T22" i="21"/>
  <c r="B24" i="23" s="1"/>
  <c r="P22" i="21"/>
  <c r="Q22" i="21"/>
  <c r="R23" i="21"/>
  <c r="N23" i="21"/>
  <c r="J23" i="21"/>
  <c r="Q23" i="21"/>
  <c r="R25" i="21"/>
  <c r="N25" i="21"/>
  <c r="J25" i="21"/>
  <c r="U25" i="21"/>
  <c r="P25" i="21"/>
  <c r="U27" i="21"/>
  <c r="S28" i="21"/>
  <c r="E59" i="21" l="1"/>
  <c r="M58" i="21" s="1"/>
  <c r="AI31" i="21"/>
  <c r="AQ31" i="21" s="1"/>
  <c r="AI15" i="21"/>
  <c r="AQ15" i="21" s="1"/>
  <c r="AI22" i="21"/>
  <c r="AQ22" i="21" s="1"/>
  <c r="AI29" i="21"/>
  <c r="AQ29" i="21" s="1"/>
  <c r="AI20" i="21"/>
  <c r="AQ20" i="21" s="1"/>
  <c r="AI13" i="21"/>
  <c r="AQ13" i="21" s="1"/>
  <c r="AI10" i="21"/>
  <c r="AQ10" i="21" s="1"/>
  <c r="AI27" i="21"/>
  <c r="AQ27" i="21" s="1"/>
  <c r="AI11" i="21"/>
  <c r="AQ11" i="21" s="1"/>
  <c r="AI18" i="21"/>
  <c r="AQ18" i="21" s="1"/>
  <c r="AI25" i="21"/>
  <c r="AQ25" i="21" s="1"/>
  <c r="AI9" i="21"/>
  <c r="AQ9" i="21" s="1"/>
  <c r="AI12" i="21"/>
  <c r="AQ12" i="21" s="1"/>
  <c r="AI24" i="21"/>
  <c r="AQ24" i="21" s="1"/>
  <c r="AI23" i="21"/>
  <c r="AQ23" i="21" s="1"/>
  <c r="AI30" i="21"/>
  <c r="AQ30" i="21" s="1"/>
  <c r="AI14" i="21"/>
  <c r="AQ14" i="21" s="1"/>
  <c r="AI21" i="21"/>
  <c r="AQ21" i="21" s="1"/>
  <c r="AI17" i="21"/>
  <c r="AQ17" i="21" s="1"/>
  <c r="AI28" i="21"/>
  <c r="AQ28" i="21" s="1"/>
  <c r="AI19" i="21"/>
  <c r="AQ19" i="21" s="1"/>
  <c r="AI26" i="21"/>
  <c r="AQ26" i="21" s="1"/>
  <c r="AI16" i="21"/>
  <c r="AQ16" i="21" s="1"/>
  <c r="N3" i="21"/>
  <c r="S55" i="21"/>
  <c r="H83" i="23"/>
  <c r="H174" i="23" s="1"/>
  <c r="AK11" i="23"/>
  <c r="Q109" i="23" s="1"/>
  <c r="L55" i="21"/>
  <c r="I55" i="21"/>
  <c r="H55" i="21"/>
  <c r="H81" i="23"/>
  <c r="T17" i="21"/>
  <c r="B19" i="23" s="1"/>
  <c r="H5" i="23"/>
  <c r="B15" i="3"/>
  <c r="E3" i="21"/>
  <c r="D3" i="21"/>
  <c r="P11" i="21"/>
  <c r="U11" i="21" s="1"/>
  <c r="J10" i="21"/>
  <c r="R14" i="21"/>
  <c r="U14" i="21" s="1"/>
  <c r="J19" i="21"/>
  <c r="P9" i="21"/>
  <c r="U13" i="21"/>
  <c r="U9" i="21"/>
  <c r="J12" i="21"/>
  <c r="J16" i="21"/>
  <c r="P19" i="21"/>
  <c r="U19" i="21" s="1"/>
  <c r="J18" i="21"/>
  <c r="R17" i="21"/>
  <c r="U17" i="21" s="1"/>
  <c r="U16" i="21"/>
  <c r="R13" i="21"/>
  <c r="U12" i="21"/>
  <c r="T55" i="21" l="1"/>
  <c r="R113" i="23"/>
  <c r="X113" i="23" s="1"/>
  <c r="I66" i="21"/>
  <c r="L66" i="21" s="1"/>
  <c r="Q66" i="21" s="1"/>
  <c r="H49" i="30"/>
  <c r="H39" i="30"/>
  <c r="H40" i="30"/>
  <c r="H46" i="30"/>
  <c r="H48" i="30"/>
  <c r="H33" i="30"/>
  <c r="H45" i="30"/>
  <c r="H47" i="30"/>
  <c r="H36" i="30"/>
  <c r="H37" i="30"/>
  <c r="H34" i="30"/>
  <c r="H43" i="30"/>
  <c r="H54" i="30"/>
  <c r="H44" i="30"/>
  <c r="H41" i="30"/>
  <c r="H38" i="30"/>
  <c r="H42" i="30"/>
  <c r="H35" i="30"/>
  <c r="H51" i="30"/>
  <c r="H53" i="30"/>
  <c r="H50" i="30"/>
  <c r="H52" i="30"/>
  <c r="H32" i="30"/>
  <c r="V55" i="21"/>
  <c r="G55" i="21"/>
  <c r="J55" i="21" s="1"/>
  <c r="AJ26" i="21"/>
  <c r="AO26" i="21"/>
  <c r="AS26" i="21"/>
  <c r="I49" i="30" s="1"/>
  <c r="AM26" i="21"/>
  <c r="AO21" i="21"/>
  <c r="AJ21" i="21"/>
  <c r="AM21" i="21"/>
  <c r="AS21" i="21"/>
  <c r="I44" i="30" s="1"/>
  <c r="AO24" i="21"/>
  <c r="AJ24" i="21"/>
  <c r="AS24" i="21"/>
  <c r="I47" i="30" s="1"/>
  <c r="AM24" i="21"/>
  <c r="AJ18" i="21"/>
  <c r="AO18" i="21"/>
  <c r="AS18" i="21"/>
  <c r="I41" i="30" s="1"/>
  <c r="AM18" i="21"/>
  <c r="AO13" i="21"/>
  <c r="AM13" i="21"/>
  <c r="AJ13" i="21"/>
  <c r="AS13" i="21"/>
  <c r="I36" i="30" s="1"/>
  <c r="AS15" i="21"/>
  <c r="I38" i="30" s="1"/>
  <c r="AM15" i="21"/>
  <c r="AJ15" i="21"/>
  <c r="AO15" i="21"/>
  <c r="AS19" i="21"/>
  <c r="I42" i="30" s="1"/>
  <c r="AM19" i="21"/>
  <c r="AJ19" i="21"/>
  <c r="AO19" i="21"/>
  <c r="AJ14" i="21"/>
  <c r="AS14" i="21"/>
  <c r="I37" i="30" s="1"/>
  <c r="AO14" i="21"/>
  <c r="AM14" i="21"/>
  <c r="AO12" i="21"/>
  <c r="AS12" i="21"/>
  <c r="I35" i="30" s="1"/>
  <c r="AM12" i="21"/>
  <c r="AJ12" i="21"/>
  <c r="AS11" i="21"/>
  <c r="I34" i="30" s="1"/>
  <c r="AM11" i="21"/>
  <c r="AO11" i="21"/>
  <c r="AJ11" i="21"/>
  <c r="AO20" i="21"/>
  <c r="AJ20" i="21"/>
  <c r="AM20" i="21"/>
  <c r="AS20" i="21"/>
  <c r="I43" i="30" s="1"/>
  <c r="AS31" i="21"/>
  <c r="I54" i="30" s="1"/>
  <c r="AM31" i="21"/>
  <c r="AO31" i="21"/>
  <c r="AJ31" i="21"/>
  <c r="AO28" i="21"/>
  <c r="AS28" i="21"/>
  <c r="I51" i="30" s="1"/>
  <c r="AJ28" i="21"/>
  <c r="AM28" i="21"/>
  <c r="AJ30" i="21"/>
  <c r="AS30" i="21"/>
  <c r="I53" i="30" s="1"/>
  <c r="AM30" i="21"/>
  <c r="AO30" i="21"/>
  <c r="AJ9" i="21"/>
  <c r="AS9" i="21"/>
  <c r="I32" i="30" s="1"/>
  <c r="AO9" i="21"/>
  <c r="AM9" i="21"/>
  <c r="AS27" i="21"/>
  <c r="I50" i="30" s="1"/>
  <c r="AJ27" i="21"/>
  <c r="AM27" i="21"/>
  <c r="AO27" i="21"/>
  <c r="AO29" i="21"/>
  <c r="AJ29" i="21"/>
  <c r="AS29" i="21"/>
  <c r="I52" i="30" s="1"/>
  <c r="AM29" i="21"/>
  <c r="AO16" i="21"/>
  <c r="AM16" i="21"/>
  <c r="AJ16" i="21"/>
  <c r="AS16" i="21"/>
  <c r="I39" i="30" s="1"/>
  <c r="AO17" i="21"/>
  <c r="AM17" i="21"/>
  <c r="AJ17" i="21"/>
  <c r="AS17" i="21"/>
  <c r="I40" i="30" s="1"/>
  <c r="AS23" i="21"/>
  <c r="I46" i="30" s="1"/>
  <c r="AJ23" i="21"/>
  <c r="AM23" i="21"/>
  <c r="AO23" i="21"/>
  <c r="AO25" i="21"/>
  <c r="AJ25" i="21"/>
  <c r="AS25" i="21"/>
  <c r="I48" i="30" s="1"/>
  <c r="AM25" i="21"/>
  <c r="AS10" i="21"/>
  <c r="I33" i="30" s="1"/>
  <c r="AM10" i="21"/>
  <c r="AO10" i="21"/>
  <c r="AJ10" i="21"/>
  <c r="AJ22" i="21"/>
  <c r="AO22" i="21"/>
  <c r="AS22" i="21"/>
  <c r="I45" i="30" s="1"/>
  <c r="AM22" i="21"/>
  <c r="G60" i="21"/>
  <c r="J60" i="21" s="1"/>
  <c r="Q222" i="23"/>
  <c r="V79" i="23"/>
  <c r="I115" i="23" s="1"/>
  <c r="K3" i="21"/>
  <c r="B8" i="3"/>
  <c r="S162" i="23"/>
  <c r="AP79" i="23"/>
  <c r="H144" i="23"/>
  <c r="R132" i="23"/>
  <c r="J3" i="21"/>
  <c r="G61" i="21" l="1"/>
  <c r="J61" i="21" s="1"/>
  <c r="H54" i="21"/>
  <c r="I54" i="21"/>
  <c r="G54" i="21"/>
  <c r="R96" i="23" s="1"/>
  <c r="AE96" i="23" s="1"/>
  <c r="F12" i="31"/>
  <c r="G45" i="30"/>
  <c r="G41" i="30"/>
  <c r="G49" i="30"/>
  <c r="G48" i="30"/>
  <c r="G40" i="30"/>
  <c r="G39" i="30"/>
  <c r="G52" i="30"/>
  <c r="G51" i="30"/>
  <c r="G43" i="30"/>
  <c r="G35" i="30"/>
  <c r="G36" i="30"/>
  <c r="G47" i="30"/>
  <c r="G44" i="30"/>
  <c r="G46" i="30"/>
  <c r="G50" i="30"/>
  <c r="G53" i="30"/>
  <c r="G42" i="30"/>
  <c r="G38" i="30"/>
  <c r="G33" i="30"/>
  <c r="G54" i="30"/>
  <c r="G34" i="30"/>
  <c r="G37" i="30"/>
  <c r="G32" i="30"/>
  <c r="O202" i="23"/>
  <c r="O201" i="23" s="1"/>
  <c r="O84" i="23"/>
  <c r="T188" i="23"/>
  <c r="P187" i="23" s="1"/>
  <c r="I84" i="21"/>
  <c r="AL96" i="23"/>
  <c r="A45" i="30"/>
  <c r="A22" i="30"/>
  <c r="A31" i="24"/>
  <c r="A31" i="11"/>
  <c r="A32" i="30"/>
  <c r="A18" i="11"/>
  <c r="A9" i="30"/>
  <c r="A18" i="24"/>
  <c r="Q60" i="21"/>
  <c r="G19" i="11"/>
  <c r="G19" i="24"/>
  <c r="A48" i="30"/>
  <c r="A25" i="30"/>
  <c r="A34" i="11"/>
  <c r="A34" i="24"/>
  <c r="A46" i="30"/>
  <c r="A23" i="30"/>
  <c r="A32" i="11"/>
  <c r="A32" i="24"/>
  <c r="G26" i="11"/>
  <c r="G26" i="24"/>
  <c r="G25" i="11"/>
  <c r="G25" i="24"/>
  <c r="A52" i="30"/>
  <c r="A38" i="24"/>
  <c r="A29" i="30"/>
  <c r="A38" i="11"/>
  <c r="A50" i="30"/>
  <c r="A36" i="24"/>
  <c r="A27" i="30"/>
  <c r="A36" i="11"/>
  <c r="G40" i="11"/>
  <c r="G40" i="24"/>
  <c r="A43" i="30"/>
  <c r="A20" i="30"/>
  <c r="A29" i="24"/>
  <c r="A29" i="11"/>
  <c r="G20" i="11"/>
  <c r="G20" i="24"/>
  <c r="G28" i="11"/>
  <c r="G28" i="24"/>
  <c r="G24" i="11"/>
  <c r="G24" i="24"/>
  <c r="G22" i="11"/>
  <c r="G22" i="24"/>
  <c r="A47" i="30"/>
  <c r="A24" i="30"/>
  <c r="A33" i="24"/>
  <c r="A33" i="11"/>
  <c r="A44" i="30"/>
  <c r="A21" i="30"/>
  <c r="A30" i="24"/>
  <c r="A30" i="11"/>
  <c r="A53" i="30"/>
  <c r="A30" i="30"/>
  <c r="A39" i="24"/>
  <c r="A39" i="11"/>
  <c r="A37" i="30"/>
  <c r="A14" i="30"/>
  <c r="A23" i="24"/>
  <c r="A23" i="11"/>
  <c r="A41" i="30"/>
  <c r="A18" i="30"/>
  <c r="A27" i="24"/>
  <c r="A27" i="11"/>
  <c r="A49" i="30"/>
  <c r="A26" i="30"/>
  <c r="A35" i="24"/>
  <c r="A35" i="11"/>
  <c r="G31" i="11"/>
  <c r="G31" i="24"/>
  <c r="A33" i="30"/>
  <c r="A10" i="30"/>
  <c r="A19" i="24"/>
  <c r="A19" i="11"/>
  <c r="G34" i="11"/>
  <c r="G34" i="24"/>
  <c r="G38" i="11"/>
  <c r="G38" i="24"/>
  <c r="G18" i="11"/>
  <c r="G18" i="24"/>
  <c r="G37" i="11"/>
  <c r="G37" i="24"/>
  <c r="A54" i="30"/>
  <c r="A31" i="30"/>
  <c r="A40" i="24"/>
  <c r="A40" i="11"/>
  <c r="A34" i="30"/>
  <c r="A20" i="24"/>
  <c r="A11" i="30"/>
  <c r="A20" i="11"/>
  <c r="A35" i="30"/>
  <c r="A12" i="30"/>
  <c r="A21" i="24"/>
  <c r="A21" i="11"/>
  <c r="G23" i="11"/>
  <c r="G23" i="24"/>
  <c r="G27" i="11"/>
  <c r="G27" i="24"/>
  <c r="G33" i="11"/>
  <c r="G33" i="24"/>
  <c r="G35" i="11"/>
  <c r="G35" i="24"/>
  <c r="G32" i="11"/>
  <c r="G32" i="24"/>
  <c r="A40" i="30"/>
  <c r="A26" i="24"/>
  <c r="A17" i="30"/>
  <c r="A26" i="11"/>
  <c r="A39" i="30"/>
  <c r="A16" i="30"/>
  <c r="A25" i="24"/>
  <c r="A25" i="11"/>
  <c r="G36" i="11"/>
  <c r="G36" i="24"/>
  <c r="G39" i="11"/>
  <c r="G39" i="24"/>
  <c r="A51" i="30"/>
  <c r="A28" i="30"/>
  <c r="A37" i="24"/>
  <c r="A37" i="11"/>
  <c r="G29" i="11"/>
  <c r="G29" i="24"/>
  <c r="G21" i="11"/>
  <c r="G21" i="24"/>
  <c r="A42" i="30"/>
  <c r="A28" i="24"/>
  <c r="A19" i="30"/>
  <c r="A28" i="11"/>
  <c r="A38" i="30"/>
  <c r="A15" i="30"/>
  <c r="A24" i="11"/>
  <c r="A24" i="24"/>
  <c r="A36" i="30"/>
  <c r="A13" i="30"/>
  <c r="A22" i="11"/>
  <c r="A22" i="24"/>
  <c r="G30" i="11"/>
  <c r="G30" i="24"/>
  <c r="Q3" i="21"/>
  <c r="F67" i="21" s="1"/>
  <c r="P3" i="21"/>
  <c r="D67" i="21" s="1"/>
  <c r="O3" i="21"/>
  <c r="C67" i="21" s="1"/>
  <c r="E55" i="21"/>
  <c r="H79" i="23" s="1"/>
  <c r="N59" i="21"/>
  <c r="AA178" i="23" s="1"/>
  <c r="N57" i="21"/>
  <c r="Z148" i="23" s="1"/>
  <c r="E54" i="21"/>
  <c r="N58" i="21"/>
  <c r="W162" i="23" s="1"/>
  <c r="AC162" i="23" s="1"/>
  <c r="L164" i="23" s="1"/>
  <c r="AA164" i="23" s="1"/>
  <c r="E56" i="21"/>
  <c r="E67" i="21"/>
  <c r="E58" i="21"/>
  <c r="H82" i="23" s="1"/>
  <c r="N56" i="21"/>
  <c r="V132" i="23" s="1"/>
  <c r="AB132" i="23" s="1"/>
  <c r="E12" i="24"/>
  <c r="E12" i="11"/>
  <c r="R110" i="23"/>
  <c r="X110" i="23" s="1"/>
  <c r="AP221" i="23"/>
  <c r="C9" i="25"/>
  <c r="C8" i="25"/>
  <c r="C7" i="25"/>
  <c r="C6" i="25"/>
  <c r="T202" i="23" l="1"/>
  <c r="O207" i="23" s="1"/>
  <c r="V207" i="23" s="1"/>
  <c r="O214" i="23"/>
  <c r="U60" i="21"/>
  <c r="H80" i="23"/>
  <c r="M57" i="21"/>
  <c r="O57" i="21" s="1"/>
  <c r="AA81" i="23" s="1"/>
  <c r="AH84" i="23"/>
  <c r="Y188" i="23"/>
  <c r="O193" i="23" s="1"/>
  <c r="V193" i="23" s="1"/>
  <c r="J54" i="21"/>
  <c r="O102" i="23" s="1"/>
  <c r="V96" i="23"/>
  <c r="AI96" i="23" s="1"/>
  <c r="N98" i="23" s="1"/>
  <c r="K84" i="21"/>
  <c r="L84" i="21" s="1"/>
  <c r="J84" i="21"/>
  <c r="N84" i="21" s="1"/>
  <c r="O84" i="21" s="1"/>
  <c r="Q84" i="21" s="1"/>
  <c r="R84" i="21" s="1"/>
  <c r="A48" i="13" s="1"/>
  <c r="G67" i="21"/>
  <c r="H78" i="23"/>
  <c r="E62" i="21"/>
  <c r="H86" i="23" s="1"/>
  <c r="O56" i="21"/>
  <c r="AA80" i="23" s="1"/>
  <c r="O58" i="21"/>
  <c r="AA82" i="23" s="1"/>
  <c r="M59" i="21"/>
  <c r="O59" i="21" s="1"/>
  <c r="AA83" i="23" s="1"/>
  <c r="Q61" i="21"/>
  <c r="U61" i="21" s="1"/>
  <c r="O85" i="23"/>
  <c r="Q55" i="21"/>
  <c r="U55" i="21" s="1"/>
  <c r="O79" i="23"/>
  <c r="Q93" i="23"/>
  <c r="X93" i="23" s="1"/>
  <c r="L134" i="23"/>
  <c r="AA134" i="23" s="1"/>
  <c r="V102" i="23" l="1"/>
  <c r="Q59" i="21"/>
  <c r="T59" i="21" s="1"/>
  <c r="Q58" i="21"/>
  <c r="T58" i="21" s="1"/>
  <c r="Q57" i="21"/>
  <c r="T57" i="21" s="1"/>
  <c r="M213" i="23"/>
  <c r="Q221" i="23"/>
  <c r="V214" i="23"/>
  <c r="AH85" i="23"/>
  <c r="AU221" i="23"/>
  <c r="Q56" i="21"/>
  <c r="Q54" i="21"/>
  <c r="V54" i="21" s="1"/>
  <c r="O78" i="23"/>
  <c r="AH79" i="23"/>
  <c r="O118" i="23" s="1"/>
  <c r="V118" i="23" s="1"/>
  <c r="U56" i="21" l="1"/>
  <c r="T56" i="21"/>
  <c r="T62" i="21" s="1"/>
  <c r="S62" i="21" s="1"/>
  <c r="V62" i="21"/>
  <c r="F71" i="21" s="1"/>
  <c r="AH82" i="23"/>
  <c r="U58" i="21"/>
  <c r="AF221" i="23"/>
  <c r="U57" i="21"/>
  <c r="AK221" i="23"/>
  <c r="U59" i="21"/>
  <c r="V221" i="23"/>
  <c r="AA213" i="23"/>
  <c r="AH83" i="23"/>
  <c r="AA221" i="23"/>
  <c r="AH213" i="23"/>
  <c r="H214" i="23"/>
  <c r="T213" i="23"/>
  <c r="AH80" i="23"/>
  <c r="AH81" i="23"/>
  <c r="L221" i="23"/>
  <c r="F213" i="23"/>
  <c r="Q62" i="21"/>
  <c r="AH78" i="23"/>
  <c r="E9" i="24"/>
  <c r="E8" i="24"/>
  <c r="E7" i="24"/>
  <c r="E6" i="24"/>
  <c r="A4" i="24"/>
  <c r="H4" i="3"/>
  <c r="E4" i="3"/>
  <c r="C4" i="3"/>
  <c r="H3" i="3"/>
  <c r="E3" i="3"/>
  <c r="C3" i="3"/>
  <c r="C79" i="21" l="1"/>
  <c r="C76" i="21"/>
  <c r="C77" i="21"/>
  <c r="C78" i="21"/>
  <c r="C74" i="21"/>
  <c r="C72" i="21"/>
  <c r="E73" i="21" s="1"/>
  <c r="E75" i="21" s="1"/>
  <c r="C73" i="21"/>
  <c r="F73" i="21" s="1"/>
  <c r="F75" i="21" s="1"/>
  <c r="C75" i="21"/>
  <c r="U62" i="21"/>
  <c r="AZ220" i="23"/>
  <c r="AP86" i="23"/>
  <c r="F215" i="23"/>
  <c r="AH86" i="23"/>
  <c r="E9" i="11"/>
  <c r="E8" i="11"/>
  <c r="E7" i="11"/>
  <c r="E6" i="11"/>
  <c r="E71" i="21" l="1"/>
  <c r="G71" i="21" s="1"/>
  <c r="E72" i="21"/>
  <c r="G72" i="21" s="1"/>
  <c r="G75" i="21"/>
  <c r="A4" i="11"/>
  <c r="E76" i="21" l="1"/>
  <c r="G59" i="31" s="1"/>
  <c r="E77" i="21" l="1"/>
  <c r="H59" i="31" s="1"/>
  <c r="E43" i="11"/>
  <c r="A44" i="24"/>
  <c r="F43" i="24"/>
  <c r="E44" i="24"/>
  <c r="F43" i="11" l="1"/>
  <c r="C66" i="21"/>
  <c r="G66" i="21" s="1"/>
  <c r="H66" i="21" s="1"/>
  <c r="I235" i="23"/>
  <c r="G43" i="24"/>
  <c r="B14" i="3"/>
  <c r="C14" i="3" s="1"/>
  <c r="D14" i="3" s="1"/>
  <c r="E14" i="3" s="1"/>
  <c r="F14" i="3" s="1"/>
  <c r="G14" i="3" s="1"/>
  <c r="R66" i="21" l="1"/>
  <c r="R3" i="21" s="1"/>
  <c r="C43" i="13" s="1"/>
  <c r="J66" i="21"/>
  <c r="O66" i="21" s="1"/>
  <c r="I91" i="23"/>
  <c r="I108" i="23"/>
  <c r="K66" i="21" l="1"/>
  <c r="M66" i="21" s="1"/>
  <c r="H156" i="23"/>
  <c r="S178" i="23"/>
  <c r="AG178" i="23" s="1"/>
  <c r="L180" i="23" s="1"/>
  <c r="Y180" i="23" s="1"/>
  <c r="R148" i="23"/>
  <c r="AF148" i="23" s="1"/>
  <c r="L150" i="23" s="1"/>
  <c r="Y150" i="23" s="1"/>
  <c r="H123" i="23"/>
  <c r="Z9" i="21" l="1"/>
  <c r="Y10" i="21"/>
  <c r="Y12" i="21"/>
  <c r="Y14" i="21"/>
  <c r="Y16" i="21"/>
  <c r="Y18" i="21"/>
  <c r="Y20" i="21"/>
  <c r="Y22" i="21"/>
  <c r="Y24" i="21"/>
  <c r="Y26" i="21"/>
  <c r="Y28" i="21"/>
  <c r="Y30" i="21"/>
  <c r="Y32" i="21"/>
  <c r="Y34" i="21"/>
  <c r="Y36" i="21"/>
  <c r="Y38" i="21"/>
  <c r="Y40" i="21"/>
  <c r="Y42" i="21"/>
  <c r="Y44" i="21"/>
  <c r="Y46" i="21"/>
  <c r="Y48" i="21"/>
  <c r="Y13" i="21"/>
  <c r="Y17" i="21"/>
  <c r="Y21" i="21"/>
  <c r="Y25" i="21"/>
  <c r="Y27" i="21"/>
  <c r="Y31" i="21"/>
  <c r="Y35" i="21"/>
  <c r="Y39" i="21"/>
  <c r="Y45" i="21"/>
  <c r="Y49" i="21"/>
  <c r="Z13" i="21"/>
  <c r="Z19" i="21"/>
  <c r="Z23" i="21"/>
  <c r="Z27" i="21"/>
  <c r="Z31" i="21"/>
  <c r="Z35" i="21"/>
  <c r="Z39" i="21"/>
  <c r="Z45" i="21"/>
  <c r="Z49" i="21"/>
  <c r="Z10" i="21"/>
  <c r="Z12" i="21"/>
  <c r="Z14" i="21"/>
  <c r="Z16" i="21"/>
  <c r="Z18" i="21"/>
  <c r="Z20" i="21"/>
  <c r="Z22" i="21"/>
  <c r="Z24" i="21"/>
  <c r="Z26" i="21"/>
  <c r="Z28" i="21"/>
  <c r="Z30" i="21"/>
  <c r="Z32" i="21"/>
  <c r="Z34" i="21"/>
  <c r="Z36" i="21"/>
  <c r="Z38" i="21"/>
  <c r="Z40" i="21"/>
  <c r="Z42" i="21"/>
  <c r="Z44" i="21"/>
  <c r="Z46" i="21"/>
  <c r="Z48" i="21"/>
  <c r="Y11" i="21"/>
  <c r="Y15" i="21"/>
  <c r="Y19" i="21"/>
  <c r="Y23" i="21"/>
  <c r="Y29" i="21"/>
  <c r="Y33" i="21"/>
  <c r="Y37" i="21"/>
  <c r="Y41" i="21"/>
  <c r="Y43" i="21"/>
  <c r="Y47" i="21"/>
  <c r="Z11" i="21"/>
  <c r="Z15" i="21"/>
  <c r="Z17" i="21"/>
  <c r="Z21" i="21"/>
  <c r="Z25" i="21"/>
  <c r="Z29" i="21"/>
  <c r="Z33" i="21"/>
  <c r="Z37" i="21"/>
  <c r="Z41" i="21"/>
  <c r="Z43" i="21"/>
  <c r="Z47" i="21"/>
  <c r="Y9" i="21"/>
  <c r="N66" i="21"/>
  <c r="P66" i="21"/>
  <c r="AC47" i="21" s="1"/>
  <c r="K55" i="31" s="1"/>
  <c r="F217" i="23"/>
  <c r="L28" i="31" l="1"/>
  <c r="AA27" i="21"/>
  <c r="F35" i="31" s="1"/>
  <c r="L50" i="31"/>
  <c r="L24" i="31"/>
  <c r="AA44" i="21"/>
  <c r="F52" i="31" s="1"/>
  <c r="AD16" i="21"/>
  <c r="AP16" i="21" s="1"/>
  <c r="H16" i="30" s="1"/>
  <c r="AC35" i="21"/>
  <c r="K43" i="31" s="1"/>
  <c r="AA43" i="21"/>
  <c r="F51" i="31" s="1"/>
  <c r="AD24" i="21"/>
  <c r="H32" i="31" s="1"/>
  <c r="AD19" i="21"/>
  <c r="H27" i="31" s="1"/>
  <c r="AA32" i="21"/>
  <c r="F40" i="31" s="1"/>
  <c r="AC41" i="21"/>
  <c r="K49" i="31" s="1"/>
  <c r="AB15" i="21"/>
  <c r="J23" i="31" s="1"/>
  <c r="AL29" i="21"/>
  <c r="F38" i="11" s="1"/>
  <c r="AC17" i="21"/>
  <c r="K25" i="31" s="1"/>
  <c r="AC25" i="21"/>
  <c r="K33" i="31" s="1"/>
  <c r="AB12" i="21"/>
  <c r="J20" i="31" s="1"/>
  <c r="AA37" i="21"/>
  <c r="F45" i="31" s="1"/>
  <c r="AL12" i="21"/>
  <c r="F21" i="24" s="1"/>
  <c r="AB28" i="21"/>
  <c r="J36" i="31" s="1"/>
  <c r="L29" i="31"/>
  <c r="AB34" i="21"/>
  <c r="J42" i="31" s="1"/>
  <c r="AB9" i="21"/>
  <c r="AN9" i="21" s="1"/>
  <c r="G9" i="30" s="1"/>
  <c r="AC22" i="21"/>
  <c r="K30" i="31" s="1"/>
  <c r="AC14" i="21"/>
  <c r="K22" i="31" s="1"/>
  <c r="L46" i="31"/>
  <c r="L25" i="31"/>
  <c r="AC49" i="21"/>
  <c r="K57" i="31" s="1"/>
  <c r="AC9" i="21"/>
  <c r="K17" i="31" s="1"/>
  <c r="AC29" i="21"/>
  <c r="K37" i="31" s="1"/>
  <c r="AC34" i="21"/>
  <c r="K42" i="31" s="1"/>
  <c r="AB41" i="21"/>
  <c r="J49" i="31" s="1"/>
  <c r="AB23" i="21"/>
  <c r="J31" i="31" s="1"/>
  <c r="AC37" i="21"/>
  <c r="K45" i="31" s="1"/>
  <c r="AC27" i="21"/>
  <c r="K35" i="31" s="1"/>
  <c r="AB46" i="21"/>
  <c r="J54" i="31" s="1"/>
  <c r="AA47" i="21"/>
  <c r="F55" i="31" s="1"/>
  <c r="AA9" i="21"/>
  <c r="F17" i="31" s="1"/>
  <c r="AB45" i="21"/>
  <c r="J53" i="31" s="1"/>
  <c r="AB39" i="21"/>
  <c r="J47" i="31" s="1"/>
  <c r="AL10" i="21"/>
  <c r="F19" i="11" s="1"/>
  <c r="AL23" i="21"/>
  <c r="F32" i="11" s="1"/>
  <c r="AC13" i="21"/>
  <c r="K21" i="31" s="1"/>
  <c r="AB38" i="21"/>
  <c r="J46" i="31" s="1"/>
  <c r="AC42" i="21"/>
  <c r="K50" i="31" s="1"/>
  <c r="L20" i="31"/>
  <c r="AL16" i="21"/>
  <c r="F25" i="11" s="1"/>
  <c r="AC36" i="21"/>
  <c r="K44" i="31" s="1"/>
  <c r="L43" i="31"/>
  <c r="AB36" i="21"/>
  <c r="J44" i="31" s="1"/>
  <c r="AC45" i="21"/>
  <c r="K53" i="31" s="1"/>
  <c r="AL25" i="21"/>
  <c r="F34" i="24" s="1"/>
  <c r="AA24" i="21"/>
  <c r="AK24" i="21" s="1"/>
  <c r="F24" i="30" s="1"/>
  <c r="AD35" i="21"/>
  <c r="H43" i="31" s="1"/>
  <c r="AA35" i="21"/>
  <c r="F43" i="31" s="1"/>
  <c r="AA12" i="21"/>
  <c r="F20" i="31" s="1"/>
  <c r="AA21" i="21"/>
  <c r="F29" i="31" s="1"/>
  <c r="AB10" i="21"/>
  <c r="J18" i="31" s="1"/>
  <c r="AB26" i="21"/>
  <c r="J34" i="31" s="1"/>
  <c r="AL26" i="21"/>
  <c r="F35" i="11" s="1"/>
  <c r="AC33" i="21"/>
  <c r="K41" i="31" s="1"/>
  <c r="AD47" i="21"/>
  <c r="H55" i="31" s="1"/>
  <c r="AA15" i="21"/>
  <c r="F23" i="31" s="1"/>
  <c r="AA46" i="21"/>
  <c r="F54" i="31" s="1"/>
  <c r="AC32" i="21"/>
  <c r="K40" i="31" s="1"/>
  <c r="AC18" i="21"/>
  <c r="K26" i="31" s="1"/>
  <c r="AB22" i="21"/>
  <c r="J30" i="31" s="1"/>
  <c r="AB25" i="21"/>
  <c r="J33" i="31" s="1"/>
  <c r="AA49" i="21"/>
  <c r="F57" i="31" s="1"/>
  <c r="AB43" i="21"/>
  <c r="J51" i="31" s="1"/>
  <c r="AC40" i="21"/>
  <c r="K48" i="31" s="1"/>
  <c r="AD37" i="21"/>
  <c r="H45" i="31" s="1"/>
  <c r="AD21" i="21"/>
  <c r="H29" i="31" s="1"/>
  <c r="AD13" i="21"/>
  <c r="H21" i="31" s="1"/>
  <c r="AD12" i="21"/>
  <c r="H20" i="31" s="1"/>
  <c r="AC43" i="21"/>
  <c r="K51" i="31" s="1"/>
  <c r="AA20" i="21"/>
  <c r="F28" i="31" s="1"/>
  <c r="AC39" i="21"/>
  <c r="K47" i="31" s="1"/>
  <c r="AD29" i="21"/>
  <c r="H37" i="31" s="1"/>
  <c r="AL30" i="21"/>
  <c r="F39" i="11" s="1"/>
  <c r="AB31" i="21"/>
  <c r="J39" i="31" s="1"/>
  <c r="AA11" i="21"/>
  <c r="F19" i="31" s="1"/>
  <c r="AA10" i="21"/>
  <c r="F18" i="31" s="1"/>
  <c r="AL22" i="21"/>
  <c r="F31" i="11" s="1"/>
  <c r="AA23" i="21"/>
  <c r="F31" i="31" s="1"/>
  <c r="AB27" i="21"/>
  <c r="J35" i="31" s="1"/>
  <c r="AA31" i="21"/>
  <c r="F39" i="31" s="1"/>
  <c r="AC46" i="21"/>
  <c r="K54" i="31" s="1"/>
  <c r="AB33" i="21"/>
  <c r="J41" i="31" s="1"/>
  <c r="AB24" i="21"/>
  <c r="J32" i="31" s="1"/>
  <c r="AL20" i="21"/>
  <c r="F29" i="24" s="1"/>
  <c r="AL21" i="21"/>
  <c r="F30" i="11" s="1"/>
  <c r="AB42" i="21"/>
  <c r="J50" i="31" s="1"/>
  <c r="AB17" i="21"/>
  <c r="J25" i="31" s="1"/>
  <c r="AC19" i="21"/>
  <c r="K27" i="31" s="1"/>
  <c r="AA33" i="21"/>
  <c r="F41" i="31" s="1"/>
  <c r="AD38" i="21"/>
  <c r="H46" i="31" s="1"/>
  <c r="AB49" i="21"/>
  <c r="J57" i="31" s="1"/>
  <c r="AB20" i="21"/>
  <c r="J28" i="31" s="1"/>
  <c r="AA28" i="21"/>
  <c r="F36" i="31" s="1"/>
  <c r="AB35" i="21"/>
  <c r="J43" i="31" s="1"/>
  <c r="AB16" i="21"/>
  <c r="J24" i="31" s="1"/>
  <c r="AL11" i="21"/>
  <c r="F20" i="11" s="1"/>
  <c r="AC20" i="21"/>
  <c r="K28" i="31" s="1"/>
  <c r="AA17" i="21"/>
  <c r="F25" i="31" s="1"/>
  <c r="AC12" i="21"/>
  <c r="K20" i="31" s="1"/>
  <c r="AA42" i="21"/>
  <c r="F50" i="31" s="1"/>
  <c r="AC15" i="21"/>
  <c r="K23" i="31" s="1"/>
  <c r="AC21" i="21"/>
  <c r="K29" i="31" s="1"/>
  <c r="AB19" i="21"/>
  <c r="J27" i="31" s="1"/>
  <c r="AL19" i="21"/>
  <c r="F28" i="11" s="1"/>
  <c r="AL24" i="21"/>
  <c r="F33" i="11" s="1"/>
  <c r="L18" i="31"/>
  <c r="L45" i="31"/>
  <c r="L49" i="31"/>
  <c r="L47" i="31"/>
  <c r="AD23" i="21"/>
  <c r="H31" i="31" s="1"/>
  <c r="AB18" i="21"/>
  <c r="J26" i="31" s="1"/>
  <c r="AB44" i="21"/>
  <c r="J52" i="31" s="1"/>
  <c r="AL9" i="21"/>
  <c r="F18" i="11" s="1"/>
  <c r="AB40" i="21"/>
  <c r="J48" i="31" s="1"/>
  <c r="AC23" i="21"/>
  <c r="K31" i="31" s="1"/>
  <c r="AD42" i="21"/>
  <c r="H50" i="31" s="1"/>
  <c r="AA26" i="21"/>
  <c r="F34" i="31" s="1"/>
  <c r="AL28" i="21"/>
  <c r="F37" i="24" s="1"/>
  <c r="AC28" i="21"/>
  <c r="K36" i="31" s="1"/>
  <c r="AA40" i="21"/>
  <c r="F48" i="31" s="1"/>
  <c r="AB13" i="21"/>
  <c r="J21" i="31" s="1"/>
  <c r="AB37" i="21"/>
  <c r="J45" i="31" s="1"/>
  <c r="AC48" i="21"/>
  <c r="K56" i="31" s="1"/>
  <c r="AA13" i="21"/>
  <c r="F21" i="31" s="1"/>
  <c r="AA34" i="21"/>
  <c r="F42" i="31" s="1"/>
  <c r="AL27" i="21"/>
  <c r="F36" i="11" s="1"/>
  <c r="AA22" i="21"/>
  <c r="F30" i="31" s="1"/>
  <c r="AB21" i="21"/>
  <c r="J29" i="31" s="1"/>
  <c r="AA38" i="21"/>
  <c r="F46" i="31" s="1"/>
  <c r="AL31" i="21"/>
  <c r="F40" i="11" s="1"/>
  <c r="AB14" i="21"/>
  <c r="J22" i="31" s="1"/>
  <c r="AA30" i="21"/>
  <c r="F38" i="31" s="1"/>
  <c r="AC26" i="21"/>
  <c r="K34" i="31" s="1"/>
  <c r="AB48" i="21"/>
  <c r="J56" i="31" s="1"/>
  <c r="AB47" i="21"/>
  <c r="J55" i="31" s="1"/>
  <c r="AB30" i="21"/>
  <c r="J38" i="31" s="1"/>
  <c r="AC38" i="21"/>
  <c r="K46" i="31" s="1"/>
  <c r="AA16" i="21"/>
  <c r="F24" i="31" s="1"/>
  <c r="AL15" i="21"/>
  <c r="F24" i="11" s="1"/>
  <c r="AA25" i="21"/>
  <c r="F33" i="31" s="1"/>
  <c r="AA29" i="21"/>
  <c r="F37" i="31" s="1"/>
  <c r="AA18" i="21"/>
  <c r="F26" i="31" s="1"/>
  <c r="AA41" i="21"/>
  <c r="F49" i="31" s="1"/>
  <c r="L55" i="31"/>
  <c r="AD46" i="21"/>
  <c r="H54" i="31" s="1"/>
  <c r="AD34" i="21"/>
  <c r="H42" i="31" s="1"/>
  <c r="AR11" i="21"/>
  <c r="I11" i="30" s="1"/>
  <c r="AD40" i="21"/>
  <c r="H48" i="31" s="1"/>
  <c r="L40" i="31"/>
  <c r="L27" i="31"/>
  <c r="AD9" i="21"/>
  <c r="H17" i="31" s="1"/>
  <c r="AC10" i="21"/>
  <c r="K18" i="31" s="1"/>
  <c r="AB32" i="21"/>
  <c r="J40" i="31" s="1"/>
  <c r="AB29" i="21"/>
  <c r="J37" i="31" s="1"/>
  <c r="AA45" i="21"/>
  <c r="F53" i="31" s="1"/>
  <c r="AA39" i="21"/>
  <c r="F47" i="31" s="1"/>
  <c r="AL14" i="21"/>
  <c r="F23" i="11" s="1"/>
  <c r="AA14" i="21"/>
  <c r="F22" i="31" s="1"/>
  <c r="AC16" i="21"/>
  <c r="K24" i="31" s="1"/>
  <c r="AA36" i="21"/>
  <c r="F44" i="31" s="1"/>
  <c r="AL13" i="21"/>
  <c r="F22" i="24" s="1"/>
  <c r="AA48" i="21"/>
  <c r="F56" i="31" s="1"/>
  <c r="AC30" i="21"/>
  <c r="K38" i="31" s="1"/>
  <c r="L21" i="31"/>
  <c r="L22" i="31"/>
  <c r="AD45" i="21"/>
  <c r="H53" i="31" s="1"/>
  <c r="AD43" i="21"/>
  <c r="H51" i="31" s="1"/>
  <c r="AD27" i="21"/>
  <c r="H35" i="31" s="1"/>
  <c r="L37" i="31"/>
  <c r="AD20" i="21"/>
  <c r="AP20" i="21" s="1"/>
  <c r="H20" i="30" s="1"/>
  <c r="AD17" i="21"/>
  <c r="H25" i="31" s="1"/>
  <c r="AD22" i="21"/>
  <c r="H30" i="31" s="1"/>
  <c r="L38" i="31"/>
  <c r="AD41" i="21"/>
  <c r="H49" i="31" s="1"/>
  <c r="AD11" i="21"/>
  <c r="H19" i="31" s="1"/>
  <c r="L33" i="31"/>
  <c r="L42" i="31"/>
  <c r="AD26" i="21"/>
  <c r="H34" i="31" s="1"/>
  <c r="L54" i="31"/>
  <c r="AD48" i="21"/>
  <c r="H56" i="31" s="1"/>
  <c r="L35" i="31"/>
  <c r="L44" i="31"/>
  <c r="L30" i="31"/>
  <c r="AD31" i="21"/>
  <c r="H39" i="31" s="1"/>
  <c r="AD49" i="21"/>
  <c r="H57" i="31" s="1"/>
  <c r="S66" i="21"/>
  <c r="L52" i="31"/>
  <c r="L51" i="31"/>
  <c r="L53" i="31"/>
  <c r="L36" i="31"/>
  <c r="L26" i="31"/>
  <c r="L31" i="31"/>
  <c r="L34" i="31"/>
  <c r="L48" i="31"/>
  <c r="AD32" i="21"/>
  <c r="H40" i="31" s="1"/>
  <c r="L56" i="31"/>
  <c r="L23" i="31"/>
  <c r="L57" i="31"/>
  <c r="L41" i="31"/>
  <c r="AD44" i="21"/>
  <c r="H52" i="31" s="1"/>
  <c r="AD30" i="21"/>
  <c r="H38" i="31" s="1"/>
  <c r="L32" i="31"/>
  <c r="AD18" i="21"/>
  <c r="H26" i="31" s="1"/>
  <c r="AD39" i="21"/>
  <c r="H47" i="31" s="1"/>
  <c r="L39" i="31"/>
  <c r="AD25" i="21"/>
  <c r="AD15" i="21"/>
  <c r="AD14" i="21"/>
  <c r="AB11" i="21"/>
  <c r="J19" i="31" s="1"/>
  <c r="AC24" i="21"/>
  <c r="K32" i="31" s="1"/>
  <c r="AD28" i="21"/>
  <c r="AL18" i="21"/>
  <c r="F27" i="11" s="1"/>
  <c r="AL17" i="21"/>
  <c r="F26" i="11" s="1"/>
  <c r="AC44" i="21"/>
  <c r="K52" i="31" s="1"/>
  <c r="AC11" i="21"/>
  <c r="K19" i="31" s="1"/>
  <c r="AC31" i="21"/>
  <c r="K39" i="31" s="1"/>
  <c r="AA19" i="21"/>
  <c r="F27" i="31" s="1"/>
  <c r="AD36" i="21"/>
  <c r="H44" i="31" s="1"/>
  <c r="AD10" i="21"/>
  <c r="AD33" i="21"/>
  <c r="H41" i="31" s="1"/>
  <c r="M235" i="23"/>
  <c r="R235" i="23" s="1"/>
  <c r="L220" i="23"/>
  <c r="AK27" i="21" l="1"/>
  <c r="E36" i="24" s="1"/>
  <c r="L17" i="31"/>
  <c r="AE8" i="21"/>
  <c r="L19" i="31"/>
  <c r="AF49" i="21"/>
  <c r="Q57" i="31" s="1"/>
  <c r="AF46" i="21"/>
  <c r="Q54" i="31" s="1"/>
  <c r="AF42" i="21"/>
  <c r="Q50" i="31" s="1"/>
  <c r="AF38" i="21"/>
  <c r="Q46" i="31" s="1"/>
  <c r="AF34" i="21"/>
  <c r="Q42" i="31" s="1"/>
  <c r="AF30" i="21"/>
  <c r="Q38" i="31" s="1"/>
  <c r="AF26" i="21"/>
  <c r="Q34" i="31" s="1"/>
  <c r="AF22" i="21"/>
  <c r="Q30" i="31" s="1"/>
  <c r="AF18" i="21"/>
  <c r="Q26" i="31" s="1"/>
  <c r="AF14" i="21"/>
  <c r="Q22" i="31" s="1"/>
  <c r="AF10" i="21"/>
  <c r="Q18" i="31" s="1"/>
  <c r="AF45" i="21"/>
  <c r="Q53" i="31" s="1"/>
  <c r="AF41" i="21"/>
  <c r="Q49" i="31" s="1"/>
  <c r="AF37" i="21"/>
  <c r="Q45" i="31" s="1"/>
  <c r="AF33" i="21"/>
  <c r="Q41" i="31" s="1"/>
  <c r="AF29" i="21"/>
  <c r="Q37" i="31" s="1"/>
  <c r="AF25" i="21"/>
  <c r="Q33" i="31" s="1"/>
  <c r="AF21" i="21"/>
  <c r="Q29" i="31" s="1"/>
  <c r="AF17" i="21"/>
  <c r="Q25" i="31" s="1"/>
  <c r="AF13" i="21"/>
  <c r="Q21" i="31" s="1"/>
  <c r="AF9" i="21"/>
  <c r="Q17" i="31" s="1"/>
  <c r="AF48" i="21"/>
  <c r="Q56" i="31" s="1"/>
  <c r="AF44" i="21"/>
  <c r="Q52" i="31" s="1"/>
  <c r="AF40" i="21"/>
  <c r="Q48" i="31" s="1"/>
  <c r="AF36" i="21"/>
  <c r="Q44" i="31" s="1"/>
  <c r="AF32" i="21"/>
  <c r="Q40" i="31" s="1"/>
  <c r="AF28" i="21"/>
  <c r="Q36" i="31" s="1"/>
  <c r="AF24" i="21"/>
  <c r="Q32" i="31" s="1"/>
  <c r="AF20" i="21"/>
  <c r="Q28" i="31" s="1"/>
  <c r="AF16" i="21"/>
  <c r="Q24" i="31" s="1"/>
  <c r="AF12" i="21"/>
  <c r="Q20" i="31" s="1"/>
  <c r="AF47" i="21"/>
  <c r="Q55" i="31" s="1"/>
  <c r="AF43" i="21"/>
  <c r="Q51" i="31" s="1"/>
  <c r="AF39" i="21"/>
  <c r="Q47" i="31" s="1"/>
  <c r="AF35" i="21"/>
  <c r="Q43" i="31" s="1"/>
  <c r="AF31" i="21"/>
  <c r="Q39" i="31" s="1"/>
  <c r="AF27" i="21"/>
  <c r="Q35" i="31" s="1"/>
  <c r="AF23" i="21"/>
  <c r="Q31" i="31" s="1"/>
  <c r="AF19" i="21"/>
  <c r="Q27" i="31" s="1"/>
  <c r="AF15" i="21"/>
  <c r="Q23" i="31" s="1"/>
  <c r="AF11" i="21"/>
  <c r="Q19" i="31" s="1"/>
  <c r="T66" i="21"/>
  <c r="E42" i="24" s="1"/>
  <c r="AR20" i="21"/>
  <c r="I20" i="30" s="1"/>
  <c r="AP29" i="21"/>
  <c r="H29" i="30" s="1"/>
  <c r="AR16" i="21"/>
  <c r="I16" i="30" s="1"/>
  <c r="F32" i="24"/>
  <c r="H24" i="31"/>
  <c r="AN28" i="21"/>
  <c r="G28" i="30" s="1"/>
  <c r="AP19" i="21"/>
  <c r="H19" i="30" s="1"/>
  <c r="AR21" i="21"/>
  <c r="I21" i="30" s="1"/>
  <c r="AK29" i="21"/>
  <c r="F52" i="30" s="1"/>
  <c r="AN23" i="21"/>
  <c r="G23" i="30" s="1"/>
  <c r="J17" i="31"/>
  <c r="AP21" i="21"/>
  <c r="H21" i="30" s="1"/>
  <c r="F29" i="11"/>
  <c r="F30" i="24"/>
  <c r="AN18" i="21"/>
  <c r="G18" i="30" s="1"/>
  <c r="AP13" i="21"/>
  <c r="H13" i="30" s="1"/>
  <c r="AN13" i="21"/>
  <c r="G13" i="30" s="1"/>
  <c r="AN12" i="21"/>
  <c r="G12" i="30" s="1"/>
  <c r="AP24" i="21"/>
  <c r="H24" i="30" s="1"/>
  <c r="F21" i="11"/>
  <c r="AN16" i="21"/>
  <c r="G16" i="30" s="1"/>
  <c r="AR17" i="21"/>
  <c r="I17" i="30" s="1"/>
  <c r="AN15" i="21"/>
  <c r="G15" i="30" s="1"/>
  <c r="AK21" i="21"/>
  <c r="F21" i="30" s="1"/>
  <c r="F25" i="24"/>
  <c r="AR29" i="21"/>
  <c r="I29" i="30" s="1"/>
  <c r="AR12" i="21"/>
  <c r="I12" i="30" s="1"/>
  <c r="F19" i="24"/>
  <c r="F38" i="24"/>
  <c r="AK9" i="21"/>
  <c r="F32" i="30" s="1"/>
  <c r="F34" i="11"/>
  <c r="AK10" i="21"/>
  <c r="E19" i="24" s="1"/>
  <c r="AK31" i="21"/>
  <c r="F31" i="30" s="1"/>
  <c r="AK15" i="21"/>
  <c r="F38" i="30" s="1"/>
  <c r="AK22" i="21"/>
  <c r="E31" i="24" s="1"/>
  <c r="AK20" i="21"/>
  <c r="E29" i="24" s="1"/>
  <c r="AK23" i="21"/>
  <c r="E32" i="24" s="1"/>
  <c r="AR15" i="21"/>
  <c r="I15" i="30" s="1"/>
  <c r="AN14" i="21"/>
  <c r="G14" i="30" s="1"/>
  <c r="AN10" i="21"/>
  <c r="G10" i="30" s="1"/>
  <c r="F35" i="24"/>
  <c r="AN17" i="21"/>
  <c r="G17" i="30" s="1"/>
  <c r="E33" i="24"/>
  <c r="AK26" i="21"/>
  <c r="F49" i="30" s="1"/>
  <c r="AK28" i="21"/>
  <c r="E37" i="11" s="1"/>
  <c r="E33" i="11"/>
  <c r="AN31" i="21"/>
  <c r="G31" i="30" s="1"/>
  <c r="F32" i="31"/>
  <c r="AN25" i="21"/>
  <c r="G25" i="30" s="1"/>
  <c r="AN26" i="21"/>
  <c r="G26" i="30" s="1"/>
  <c r="AK18" i="21"/>
  <c r="F41" i="30" s="1"/>
  <c r="F18" i="24"/>
  <c r="F47" i="30"/>
  <c r="AN24" i="21"/>
  <c r="G24" i="30" s="1"/>
  <c r="AK12" i="21"/>
  <c r="F35" i="30" s="1"/>
  <c r="F28" i="24"/>
  <c r="AN22" i="21"/>
  <c r="G22" i="30" s="1"/>
  <c r="F20" i="24"/>
  <c r="AK16" i="21"/>
  <c r="F39" i="30" s="1"/>
  <c r="AN19" i="21"/>
  <c r="G19" i="30" s="1"/>
  <c r="AP12" i="21"/>
  <c r="H12" i="30" s="1"/>
  <c r="F39" i="24"/>
  <c r="F31" i="24"/>
  <c r="AP17" i="21"/>
  <c r="H17" i="30" s="1"/>
  <c r="AK30" i="21"/>
  <c r="F53" i="30" s="1"/>
  <c r="AN21" i="21"/>
  <c r="G21" i="30" s="1"/>
  <c r="F36" i="24"/>
  <c r="AN30" i="21"/>
  <c r="G30" i="30" s="1"/>
  <c r="F33" i="24"/>
  <c r="AN20" i="21"/>
  <c r="G20" i="30" s="1"/>
  <c r="AR22" i="21"/>
  <c r="I22" i="30" s="1"/>
  <c r="AR24" i="21"/>
  <c r="I24" i="30" s="1"/>
  <c r="F24" i="24"/>
  <c r="AP23" i="21"/>
  <c r="H23" i="30" s="1"/>
  <c r="AN27" i="21"/>
  <c r="G27" i="30" s="1"/>
  <c r="F40" i="24"/>
  <c r="AR23" i="21"/>
  <c r="I23" i="30" s="1"/>
  <c r="AR10" i="21"/>
  <c r="I10" i="30" s="1"/>
  <c r="F37" i="11"/>
  <c r="AK13" i="21"/>
  <c r="F36" i="30" s="1"/>
  <c r="AK25" i="21"/>
  <c r="E34" i="11" s="1"/>
  <c r="AK11" i="21"/>
  <c r="F11" i="30" s="1"/>
  <c r="AK17" i="21"/>
  <c r="F40" i="30" s="1"/>
  <c r="E42" i="11"/>
  <c r="H28" i="31"/>
  <c r="AP26" i="21"/>
  <c r="H26" i="30" s="1"/>
  <c r="AR9" i="21"/>
  <c r="I9" i="30" s="1"/>
  <c r="AP11" i="21"/>
  <c r="H11" i="30" s="1"/>
  <c r="F23" i="24"/>
  <c r="AR25" i="21"/>
  <c r="I25" i="30" s="1"/>
  <c r="AN29" i="21"/>
  <c r="G29" i="30" s="1"/>
  <c r="AK14" i="21"/>
  <c r="F37" i="30" s="1"/>
  <c r="AR19" i="21"/>
  <c r="I19" i="30" s="1"/>
  <c r="AR13" i="21"/>
  <c r="I13" i="30" s="1"/>
  <c r="AP22" i="21"/>
  <c r="H22" i="30" s="1"/>
  <c r="AP27" i="21"/>
  <c r="H27" i="30" s="1"/>
  <c r="AP9" i="21"/>
  <c r="H9" i="30" s="1"/>
  <c r="AP31" i="21"/>
  <c r="H31" i="30" s="1"/>
  <c r="AR28" i="21"/>
  <c r="I28" i="30" s="1"/>
  <c r="AR14" i="21"/>
  <c r="I14" i="30" s="1"/>
  <c r="AR30" i="21"/>
  <c r="I30" i="30" s="1"/>
  <c r="F22" i="11"/>
  <c r="AR27" i="21"/>
  <c r="I27" i="30" s="1"/>
  <c r="AP18" i="21"/>
  <c r="H18" i="30" s="1"/>
  <c r="AR26" i="21"/>
  <c r="I26" i="30" s="1"/>
  <c r="AR18" i="21"/>
  <c r="I18" i="30" s="1"/>
  <c r="AP30" i="21"/>
  <c r="H30" i="30" s="1"/>
  <c r="AP25" i="21"/>
  <c r="H25" i="30" s="1"/>
  <c r="H33" i="31"/>
  <c r="AR31" i="21"/>
  <c r="I31" i="30" s="1"/>
  <c r="AN11" i="21"/>
  <c r="G11" i="30" s="1"/>
  <c r="H22" i="31"/>
  <c r="AP14" i="21"/>
  <c r="H14" i="30" s="1"/>
  <c r="F26" i="24"/>
  <c r="AK19" i="21"/>
  <c r="F19" i="30" s="1"/>
  <c r="H23" i="31"/>
  <c r="AP15" i="21"/>
  <c r="H15" i="30" s="1"/>
  <c r="F27" i="24"/>
  <c r="H18" i="31"/>
  <c r="AP10" i="21"/>
  <c r="H10" i="30" s="1"/>
  <c r="H36" i="31"/>
  <c r="AP28" i="21"/>
  <c r="H28" i="30" s="1"/>
  <c r="F50" i="30"/>
  <c r="E36" i="11"/>
  <c r="F27" i="30"/>
  <c r="E38" i="11" l="1"/>
  <c r="F14" i="30"/>
  <c r="S3" i="21"/>
  <c r="A50" i="13" s="1"/>
  <c r="E38" i="24"/>
  <c r="F29" i="30"/>
  <c r="E27" i="11"/>
  <c r="E19" i="11"/>
  <c r="E35" i="11"/>
  <c r="E30" i="24"/>
  <c r="F22" i="30"/>
  <c r="E39" i="11"/>
  <c r="F13" i="30"/>
  <c r="F33" i="30"/>
  <c r="F20" i="30"/>
  <c r="E35" i="24"/>
  <c r="F44" i="30"/>
  <c r="E30" i="11"/>
  <c r="F10" i="30"/>
  <c r="F26" i="30"/>
  <c r="E29" i="11"/>
  <c r="F43" i="30"/>
  <c r="F9" i="30"/>
  <c r="E18" i="24"/>
  <c r="F23" i="30"/>
  <c r="F54" i="30"/>
  <c r="E32" i="11"/>
  <c r="E40" i="24"/>
  <c r="F51" i="30"/>
  <c r="E18" i="11"/>
  <c r="E40" i="11"/>
  <c r="F46" i="30"/>
  <c r="F15" i="30"/>
  <c r="E31" i="11"/>
  <c r="E24" i="11"/>
  <c r="E24" i="24"/>
  <c r="E25" i="11"/>
  <c r="F18" i="30"/>
  <c r="F34" i="30"/>
  <c r="F45" i="30"/>
  <c r="F17" i="30"/>
  <c r="F12" i="30"/>
  <c r="E21" i="24"/>
  <c r="E26" i="24"/>
  <c r="E25" i="24"/>
  <c r="E21" i="11"/>
  <c r="E20" i="24"/>
  <c r="F16" i="30"/>
  <c r="E27" i="24"/>
  <c r="E26" i="11"/>
  <c r="E37" i="24"/>
  <c r="F25" i="30"/>
  <c r="F30" i="30"/>
  <c r="E39" i="24"/>
  <c r="F28" i="30"/>
  <c r="E22" i="11"/>
  <c r="E23" i="24"/>
  <c r="E22" i="24"/>
  <c r="E20" i="11"/>
  <c r="E34" i="24"/>
  <c r="F48" i="30"/>
  <c r="E23" i="11"/>
  <c r="F42" i="30"/>
  <c r="E28" i="24"/>
  <c r="E28" i="11"/>
</calcChain>
</file>

<file path=xl/sharedStrings.xml><?xml version="1.0" encoding="utf-8"?>
<sst xmlns="http://schemas.openxmlformats.org/spreadsheetml/2006/main" count="975" uniqueCount="577">
  <si>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4" type="noConversion"/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</si>
  <si>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4" type="noConversion"/>
  </si>
  <si>
    <t>등록번호</t>
    <phoneticPr fontId="4" type="noConversion"/>
  </si>
  <si>
    <r>
      <rPr>
        <sz val="8"/>
        <rFont val="맑은 고딕"/>
        <family val="3"/>
        <charset val="129"/>
      </rPr>
      <t>접수번호</t>
    </r>
    <phoneticPr fontId="4" type="noConversion"/>
  </si>
  <si>
    <r>
      <rPr>
        <sz val="8"/>
        <rFont val="맑은 고딕"/>
        <family val="3"/>
        <charset val="129"/>
      </rPr>
      <t>의뢰기관</t>
    </r>
    <phoneticPr fontId="4" type="noConversion"/>
  </si>
  <si>
    <r>
      <rPr>
        <sz val="8"/>
        <rFont val="맑은 고딕"/>
        <family val="3"/>
        <charset val="129"/>
      </rPr>
      <t>교정일자</t>
    </r>
    <phoneticPr fontId="4" type="noConversion"/>
  </si>
  <si>
    <r>
      <rPr>
        <sz val="8"/>
        <rFont val="맑은 고딕"/>
        <family val="3"/>
        <charset val="129"/>
      </rPr>
      <t>기기명</t>
    </r>
    <phoneticPr fontId="4" type="noConversion"/>
  </si>
  <si>
    <t>교정절차서1</t>
    <phoneticPr fontId="4" type="noConversion"/>
  </si>
  <si>
    <r>
      <rPr>
        <sz val="8"/>
        <rFont val="맑은 고딕"/>
        <family val="3"/>
        <charset val="129"/>
      </rPr>
      <t>제작회사</t>
    </r>
    <phoneticPr fontId="4" type="noConversion"/>
  </si>
  <si>
    <t>교정절차서2</t>
    <phoneticPr fontId="4" type="noConversion"/>
  </si>
  <si>
    <r>
      <rPr>
        <sz val="8"/>
        <rFont val="맑은 고딕"/>
        <family val="3"/>
        <charset val="129"/>
      </rPr>
      <t>형식</t>
    </r>
    <phoneticPr fontId="4" type="noConversion"/>
  </si>
  <si>
    <t>접수확인자</t>
    <phoneticPr fontId="4" type="noConversion"/>
  </si>
  <si>
    <r>
      <rPr>
        <sz val="8"/>
        <rFont val="맑은 고딕"/>
        <family val="3"/>
        <charset val="129"/>
      </rPr>
      <t>기기번호</t>
    </r>
    <phoneticPr fontId="4" type="noConversion"/>
  </si>
  <si>
    <t>인증교정자</t>
    <phoneticPr fontId="4" type="noConversion"/>
  </si>
  <si>
    <t>기술책임자</t>
    <phoneticPr fontId="4" type="noConversion"/>
  </si>
  <si>
    <r>
      <rPr>
        <sz val="8"/>
        <rFont val="맑은 고딕"/>
        <family val="3"/>
        <charset val="129"/>
      </rPr>
      <t>교정주기</t>
    </r>
    <phoneticPr fontId="4" type="noConversion"/>
  </si>
  <si>
    <r>
      <t>KOLAS</t>
    </r>
    <r>
      <rPr>
        <sz val="8"/>
        <rFont val="맑은 고딕"/>
        <family val="3"/>
        <charset val="129"/>
      </rPr>
      <t>유무</t>
    </r>
    <phoneticPr fontId="4" type="noConversion"/>
  </si>
  <si>
    <t>1: KOLAS 성적서
0: 비공인성적서</t>
    <phoneticPr fontId="4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</si>
  <si>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</si>
  <si>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최저온도</t>
    </r>
    <phoneticPr fontId="4" type="noConversion"/>
  </si>
  <si>
    <t>최저습도</t>
    <phoneticPr fontId="4" type="noConversion"/>
  </si>
  <si>
    <t>최저기압</t>
    <phoneticPr fontId="4" type="noConversion"/>
  </si>
  <si>
    <t>교정장소</t>
    <phoneticPr fontId="4" type="noConversion"/>
  </si>
  <si>
    <t>0: KC00-011 고정표준실
1: 현장교정
4: KC10-244 고정표준실</t>
    <phoneticPr fontId="4" type="noConversion"/>
  </si>
  <si>
    <r>
      <rPr>
        <sz val="8"/>
        <rFont val="맑은 고딕"/>
        <family val="3"/>
        <charset val="129"/>
      </rPr>
      <t>최고온도</t>
    </r>
    <phoneticPr fontId="4" type="noConversion"/>
  </si>
  <si>
    <r>
      <rPr>
        <sz val="8"/>
        <rFont val="맑은 고딕"/>
        <family val="3"/>
        <charset val="129"/>
      </rPr>
      <t>최고습도</t>
    </r>
    <phoneticPr fontId="4" type="noConversion"/>
  </si>
  <si>
    <t>최고기압</t>
    <phoneticPr fontId="4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</si>
  <si>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4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</si>
  <si>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</si>
  <si>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등록번호</t>
    </r>
    <phoneticPr fontId="4" type="noConversion"/>
  </si>
  <si>
    <t>기기명</t>
    <phoneticPr fontId="4" type="noConversion"/>
  </si>
  <si>
    <t>제작회사</t>
    <phoneticPr fontId="4" type="noConversion"/>
  </si>
  <si>
    <t>기기번호</t>
    <phoneticPr fontId="4" type="noConversion"/>
  </si>
  <si>
    <t>차기교정예정일자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</si>
  <si>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</si>
  <si>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>세부분류코드</t>
    <phoneticPr fontId="4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</si>
  <si>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4" type="noConversion"/>
  </si>
  <si>
    <t>전체</t>
    <phoneticPr fontId="4" type="noConversion"/>
  </si>
  <si>
    <t>특이사항</t>
    <phoneticPr fontId="4" type="noConversion"/>
  </si>
  <si>
    <t>PASS</t>
    <phoneticPr fontId="4" type="noConversion"/>
  </si>
  <si>
    <t>FIAL</t>
    <phoneticPr fontId="4" type="noConversion"/>
  </si>
  <si>
    <t>교정자 확인</t>
    <phoneticPr fontId="4" type="noConversion"/>
  </si>
  <si>
    <t>확인전</t>
  </si>
  <si>
    <t>CONDITION</t>
    <phoneticPr fontId="4" type="noConversion"/>
  </si>
  <si>
    <t>SPEC</t>
    <phoneticPr fontId="4" type="noConversion"/>
  </si>
  <si>
    <t>MEASURED VALUE</t>
    <phoneticPr fontId="4" type="noConversion"/>
  </si>
  <si>
    <t>Display</t>
    <phoneticPr fontId="4" type="noConversion"/>
  </si>
  <si>
    <t>분해능단위</t>
    <phoneticPr fontId="4" type="noConversion"/>
  </si>
  <si>
    <t>MIN</t>
    <phoneticPr fontId="4" type="noConversion"/>
  </si>
  <si>
    <t>MAX</t>
    <phoneticPr fontId="4" type="noConversion"/>
  </si>
  <si>
    <t>UNIT</t>
    <phoneticPr fontId="4" type="noConversion"/>
  </si>
  <si>
    <t>CMC_UNIT</t>
    <phoneticPr fontId="4" type="noConversion"/>
  </si>
  <si>
    <t>CMC 검토</t>
    <phoneticPr fontId="4" type="noConversion"/>
  </si>
  <si>
    <t>자유도</t>
  </si>
  <si>
    <t>∞</t>
  </si>
  <si>
    <t>CMC_1</t>
    <phoneticPr fontId="4" type="noConversion"/>
  </si>
  <si>
    <t>CMC_2</t>
  </si>
  <si>
    <t xml:space="preserve"> 성적서발급번호(Certificate No) :</t>
    <phoneticPr fontId="4" type="noConversion"/>
  </si>
  <si>
    <t>CALIBRATION Result</t>
    <phoneticPr fontId="4" type="noConversion"/>
  </si>
  <si>
    <t>부록</t>
    <phoneticPr fontId="4" type="noConversion"/>
  </si>
  <si>
    <t>단위</t>
    <phoneticPr fontId="4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</si>
  <si>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</t>
    </r>
    <r>
      <rPr>
        <b/>
        <sz val="20"/>
        <rFont val="돋움"/>
        <family val="3"/>
        <charset val="129"/>
      </rPr>
      <t>◆</t>
    </r>
    <phoneticPr fontId="4" type="noConversion"/>
  </si>
  <si>
    <t>최소눈금</t>
    <phoneticPr fontId="4" type="noConversion"/>
  </si>
  <si>
    <t>CMC</t>
    <phoneticPr fontId="4" type="noConversion"/>
  </si>
  <si>
    <t>1st</t>
    <phoneticPr fontId="4" type="noConversion"/>
  </si>
  <si>
    <t>2nd</t>
    <phoneticPr fontId="4" type="noConversion"/>
  </si>
  <si>
    <t>등록번호</t>
    <phoneticPr fontId="77" type="noConversion"/>
  </si>
  <si>
    <t>기기명(종류)</t>
    <phoneticPr fontId="77" type="noConversion"/>
  </si>
  <si>
    <t>측정값</t>
    <phoneticPr fontId="77" type="noConversion"/>
  </si>
  <si>
    <t>단위</t>
    <phoneticPr fontId="77" type="noConversion"/>
  </si>
  <si>
    <t>보정값</t>
    <phoneticPr fontId="77" type="noConversion"/>
  </si>
  <si>
    <t>불확도 1</t>
    <phoneticPr fontId="77" type="noConversion"/>
  </si>
  <si>
    <t>불확도 단위</t>
    <phoneticPr fontId="77" type="noConversion"/>
  </si>
  <si>
    <t>포함인자</t>
    <phoneticPr fontId="77" type="noConversion"/>
  </si>
  <si>
    <t>판정결과</t>
    <phoneticPr fontId="4" type="noConversion"/>
  </si>
  <si>
    <t>Resolution</t>
    <phoneticPr fontId="4" type="noConversion"/>
  </si>
  <si>
    <t>분해능</t>
    <phoneticPr fontId="4" type="noConversion"/>
  </si>
  <si>
    <t>2회</t>
  </si>
  <si>
    <t>3회</t>
  </si>
  <si>
    <t>◆ 측정불확도 추정보고서 ◆</t>
    <phoneticPr fontId="4" type="noConversion"/>
  </si>
  <si>
    <t>환산계수</t>
    <phoneticPr fontId="4" type="noConversion"/>
  </si>
  <si>
    <t>표준편차</t>
    <phoneticPr fontId="4" type="noConversion"/>
  </si>
  <si>
    <t>C</t>
    <phoneticPr fontId="4" type="noConversion"/>
  </si>
  <si>
    <t>D</t>
    <phoneticPr fontId="4" type="noConversion"/>
  </si>
  <si>
    <t>A5. 불확도 기여도 :</t>
    <phoneticPr fontId="4" type="noConversion"/>
  </si>
  <si>
    <t>|</t>
    <phoneticPr fontId="4" type="noConversion"/>
  </si>
  <si>
    <t>×</t>
    <phoneticPr fontId="4" type="noConversion"/>
  </si>
  <si>
    <t>A6. 자유도 :</t>
    <phoneticPr fontId="4" type="noConversion"/>
  </si>
  <si>
    <t>U</t>
    <phoneticPr fontId="4" type="noConversion"/>
  </si>
  <si>
    <t>k</t>
    <phoneticPr fontId="4" type="noConversion"/>
  </si>
  <si>
    <t>B2. 표준불확도 :</t>
    <phoneticPr fontId="4" type="noConversion"/>
  </si>
  <si>
    <t>B3. 확률분포 :</t>
    <phoneticPr fontId="4" type="noConversion"/>
  </si>
  <si>
    <t>B4. 감도계수 :</t>
    <phoneticPr fontId="4" type="noConversion"/>
  </si>
  <si>
    <t>B6.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</si>
  <si>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4" type="noConversion"/>
  </si>
  <si>
    <t>C3. 확률분포 :</t>
    <phoneticPr fontId="4" type="noConversion"/>
  </si>
  <si>
    <t>C4. 감도계수 :</t>
    <phoneticPr fontId="4" type="noConversion"/>
  </si>
  <si>
    <t>C6. 자유도 :</t>
    <phoneticPr fontId="4" type="noConversion"/>
  </si>
  <si>
    <t>D1. 추정값 :</t>
    <phoneticPr fontId="4" type="noConversion"/>
  </si>
  <si>
    <t>D4. 감도계수 :</t>
    <phoneticPr fontId="4" type="noConversion"/>
  </si>
  <si>
    <t>D6. 자유도 :</t>
    <phoneticPr fontId="4" type="noConversion"/>
  </si>
  <si>
    <t>+</t>
    <phoneticPr fontId="4" type="noConversion"/>
  </si>
  <si>
    <t>1회</t>
    <phoneticPr fontId="4" type="noConversion"/>
  </si>
  <si>
    <t>● Calibration Result</t>
    <phoneticPr fontId="4" type="noConversion"/>
  </si>
  <si>
    <t xml:space="preserve"> 성적서발급번호(Certificate No) :</t>
    <phoneticPr fontId="4" type="noConversion"/>
  </si>
  <si>
    <t>● 교정결과</t>
    <phoneticPr fontId="4" type="noConversion"/>
  </si>
  <si>
    <t>교정번호</t>
    <phoneticPr fontId="4" type="noConversion"/>
  </si>
  <si>
    <t>교정일자</t>
    <phoneticPr fontId="4" type="noConversion"/>
  </si>
  <si>
    <t>● Range 1</t>
    <phoneticPr fontId="4" type="noConversion"/>
  </si>
  <si>
    <t>○ 측정데이터</t>
    <phoneticPr fontId="4" type="noConversion"/>
  </si>
  <si>
    <t>교정자</t>
    <phoneticPr fontId="4" type="noConversion"/>
  </si>
  <si>
    <t>Spec</t>
    <phoneticPr fontId="4" type="noConversion"/>
  </si>
  <si>
    <t>교정값</t>
    <phoneticPr fontId="4" type="noConversion"/>
  </si>
  <si>
    <t>Decision</t>
    <phoneticPr fontId="4" type="noConversion"/>
  </si>
  <si>
    <t>[Length Calibration]</t>
    <phoneticPr fontId="4" type="noConversion"/>
  </si>
  <si>
    <t>명목값</t>
    <phoneticPr fontId="4" type="noConversion"/>
  </si>
  <si>
    <t>3rd</t>
    <phoneticPr fontId="4" type="noConversion"/>
  </si>
  <si>
    <t>4th</t>
    <phoneticPr fontId="4" type="noConversion"/>
  </si>
  <si>
    <t>5th</t>
    <phoneticPr fontId="4" type="noConversion"/>
  </si>
  <si>
    <t>기준기 교정데이터</t>
    <phoneticPr fontId="4" type="noConversion"/>
  </si>
  <si>
    <t>번호</t>
    <phoneticPr fontId="77" type="noConversion"/>
  </si>
  <si>
    <t>측정위치</t>
    <phoneticPr fontId="77" type="noConversion"/>
  </si>
  <si>
    <t>명목값</t>
    <phoneticPr fontId="77" type="noConversion"/>
  </si>
  <si>
    <t>기준값</t>
    <phoneticPr fontId="77" type="noConversion"/>
  </si>
  <si>
    <t>단위</t>
    <phoneticPr fontId="77" type="noConversion"/>
  </si>
  <si>
    <t>불확도 2</t>
  </si>
  <si>
    <t>비고</t>
    <phoneticPr fontId="4" type="noConversion"/>
  </si>
  <si>
    <t>열팽창계수</t>
    <phoneticPr fontId="77" type="noConversion"/>
  </si>
  <si>
    <t>단위</t>
    <phoneticPr fontId="4" type="noConversion"/>
  </si>
  <si>
    <t>개수</t>
    <phoneticPr fontId="4" type="noConversion"/>
  </si>
  <si>
    <t>교정일자</t>
    <phoneticPr fontId="77" type="noConversion"/>
  </si>
  <si>
    <t>최대범위</t>
    <phoneticPr fontId="4" type="noConversion"/>
  </si>
  <si>
    <t>CMC2</t>
    <phoneticPr fontId="4" type="noConversion"/>
  </si>
  <si>
    <r>
      <t>3회</t>
    </r>
    <r>
      <rPr>
        <b/>
        <sz val="9"/>
        <color indexed="9"/>
        <rFont val="굴림"/>
        <family val="3"/>
        <charset val="129"/>
      </rPr>
      <t/>
    </r>
  </si>
  <si>
    <r>
      <t>4회</t>
    </r>
    <r>
      <rPr>
        <b/>
        <sz val="9"/>
        <color indexed="9"/>
        <rFont val="굴림"/>
        <family val="3"/>
        <charset val="129"/>
      </rPr>
      <t/>
    </r>
  </si>
  <si>
    <r>
      <t>5회</t>
    </r>
    <r>
      <rPr>
        <b/>
        <sz val="9"/>
        <color indexed="9"/>
        <rFont val="굴림"/>
        <family val="3"/>
        <charset val="129"/>
      </rPr>
      <t/>
    </r>
  </si>
  <si>
    <t>α_avr</t>
  </si>
  <si>
    <t>열팽창계수차</t>
    <phoneticPr fontId="4" type="noConversion"/>
  </si>
  <si>
    <t>Δα</t>
  </si>
  <si>
    <t>Δt</t>
  </si>
  <si>
    <t>t_avr-20</t>
  </si>
  <si>
    <t>δt</t>
  </si>
  <si>
    <t>최소범위</t>
    <phoneticPr fontId="4" type="noConversion"/>
  </si>
  <si>
    <t>Res. (mm)</t>
    <phoneticPr fontId="4" type="noConversion"/>
  </si>
  <si>
    <t>μm</t>
    <phoneticPr fontId="4" type="noConversion"/>
  </si>
  <si>
    <t>평균열팽창계수</t>
    <phoneticPr fontId="4" type="noConversion"/>
  </si>
  <si>
    <t>/℃</t>
    <phoneticPr fontId="4" type="noConversion"/>
  </si>
  <si>
    <t>℃·μm</t>
    <phoneticPr fontId="4" type="noConversion"/>
  </si>
  <si>
    <t>CMC단위</t>
    <phoneticPr fontId="4" type="noConversion"/>
  </si>
  <si>
    <t>2. 교정결과</t>
    <phoneticPr fontId="4" type="noConversion"/>
  </si>
  <si>
    <t>온도차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</si>
  <si>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</si>
  <si>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Δt</t>
    <phoneticPr fontId="4" type="noConversion"/>
  </si>
  <si>
    <t>℃</t>
    <phoneticPr fontId="4" type="noConversion"/>
  </si>
  <si>
    <t>1. 교정조건</t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</si>
  <si>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</si>
  <si>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최대범위</t>
    <phoneticPr fontId="4" type="noConversion"/>
  </si>
  <si>
    <t>분해능</t>
    <phoneticPr fontId="4" type="noConversion"/>
  </si>
  <si>
    <t>단위</t>
    <phoneticPr fontId="4" type="noConversion"/>
  </si>
  <si>
    <t>환산계수</t>
    <phoneticPr fontId="4" type="noConversion"/>
  </si>
  <si>
    <t>Div. (mm)</t>
    <phoneticPr fontId="4" type="noConversion"/>
  </si>
  <si>
    <t>CMC1</t>
    <phoneticPr fontId="4" type="noConversion"/>
  </si>
  <si>
    <r>
      <t>CMC</t>
    </r>
    <r>
      <rPr>
        <b/>
        <sz val="9"/>
        <color indexed="9"/>
        <rFont val="돋움"/>
        <family val="3"/>
        <charset val="129"/>
      </rPr>
      <t>초과</t>
    </r>
    <r>
      <rPr>
        <b/>
        <sz val="9"/>
        <color indexed="9"/>
        <rFont val="Tahoma"/>
        <family val="2"/>
      </rPr>
      <t>?</t>
    </r>
  </si>
  <si>
    <t>FAIL?</t>
  </si>
  <si>
    <t>보정값</t>
    <phoneticPr fontId="4" type="noConversion"/>
  </si>
  <si>
    <t>Pass/Fail</t>
    <phoneticPr fontId="4" type="noConversion"/>
  </si>
  <si>
    <t>3. 불확도 계산</t>
    <phoneticPr fontId="4" type="noConversion"/>
  </si>
  <si>
    <t>4. 성적서용</t>
    <phoneticPr fontId="4" type="noConversion"/>
  </si>
  <si>
    <t>요인</t>
    <phoneticPr fontId="4" type="noConversion"/>
  </si>
  <si>
    <t>입력량</t>
    <phoneticPr fontId="4" type="noConversion"/>
  </si>
  <si>
    <t>추정값</t>
    <phoneticPr fontId="4" type="noConversion"/>
  </si>
  <si>
    <t>단위</t>
    <phoneticPr fontId="4" type="noConversion"/>
  </si>
  <si>
    <t>요인(값)</t>
    <phoneticPr fontId="4" type="noConversion"/>
  </si>
  <si>
    <t>표준불확도</t>
    <phoneticPr fontId="4" type="noConversion"/>
  </si>
  <si>
    <t>확률분포</t>
    <phoneticPr fontId="4" type="noConversion"/>
  </si>
  <si>
    <t>감도계수</t>
    <phoneticPr fontId="4" type="noConversion"/>
  </si>
  <si>
    <t>불확도기여량</t>
    <phoneticPr fontId="4" type="noConversion"/>
  </si>
  <si>
    <t>자유도</t>
    <phoneticPr fontId="4" type="noConversion"/>
  </si>
  <si>
    <t>눈금값</t>
    <phoneticPr fontId="4" type="noConversion"/>
  </si>
  <si>
    <t>A</t>
    <phoneticPr fontId="4" type="noConversion"/>
  </si>
  <si>
    <t>지시값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</si>
  <si>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</si>
  <si>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t>mm</t>
    <phoneticPr fontId="4" type="noConversion"/>
  </si>
  <si>
    <t>μm</t>
    <phoneticPr fontId="4" type="noConversion"/>
  </si>
  <si>
    <t>μm</t>
    <phoneticPr fontId="4" type="noConversion"/>
  </si>
  <si>
    <t>B</t>
    <phoneticPr fontId="4" type="noConversion"/>
  </si>
  <si>
    <t>기준기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</si>
  <si>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s</t>
    </r>
    <phoneticPr fontId="4" type="noConversion"/>
  </si>
  <si>
    <t>정규</t>
    <phoneticPr fontId="4" type="noConversion"/>
  </si>
  <si>
    <t>∞</t>
    <phoneticPr fontId="4" type="noConversion"/>
  </si>
  <si>
    <t>℃·μm</t>
    <phoneticPr fontId="4" type="noConversion"/>
  </si>
  <si>
    <t>∞</t>
    <phoneticPr fontId="4" type="noConversion"/>
  </si>
  <si>
    <t>E</t>
    <phoneticPr fontId="4" type="noConversion"/>
  </si>
  <si>
    <t>직사각형</t>
    <phoneticPr fontId="4" type="noConversion"/>
  </si>
  <si>
    <t>/℃·μm</t>
    <phoneticPr fontId="4" type="noConversion"/>
  </si>
  <si>
    <t>F</t>
    <phoneticPr fontId="4" type="noConversion"/>
  </si>
  <si>
    <t>G</t>
    <phoneticPr fontId="4" type="noConversion"/>
  </si>
  <si>
    <t>분해능</t>
    <phoneticPr fontId="4" type="noConversion"/>
  </si>
  <si>
    <t>직사각형</t>
    <phoneticPr fontId="4" type="noConversion"/>
  </si>
  <si>
    <t>H</t>
    <phoneticPr fontId="4" type="noConversion"/>
  </si>
  <si>
    <t>mm</t>
    <phoneticPr fontId="4" type="noConversion"/>
  </si>
  <si>
    <t>I</t>
    <phoneticPr fontId="4" type="noConversion"/>
  </si>
  <si>
    <t>합성표준</t>
    <phoneticPr fontId="4" type="noConversion"/>
  </si>
  <si>
    <t>※ 직사각형 확률분포가 합성표준불확도에 미치는 영향</t>
    <phoneticPr fontId="4" type="noConversion"/>
  </si>
  <si>
    <t>직사각형
분포 성분</t>
    <phoneticPr fontId="4" type="noConversion"/>
  </si>
  <si>
    <t>k</t>
    <phoneticPr fontId="4" type="noConversion"/>
  </si>
  <si>
    <t>측정불확도</t>
    <phoneticPr fontId="4" type="noConversion"/>
  </si>
  <si>
    <t>신뢰수준(%)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</si>
  <si>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</si>
  <si>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t>단위</t>
    <phoneticPr fontId="4" type="noConversion"/>
  </si>
  <si>
    <t>계산(mm)</t>
    <phoneticPr fontId="4" type="noConversion"/>
  </si>
  <si>
    <t>CMC</t>
    <phoneticPr fontId="4" type="noConversion"/>
  </si>
  <si>
    <t>Number</t>
    <phoneticPr fontId="4" type="noConversion"/>
  </si>
  <si>
    <t>소수점</t>
    <phoneticPr fontId="4" type="noConversion"/>
  </si>
  <si>
    <t>Format</t>
    <phoneticPr fontId="4" type="noConversion"/>
  </si>
  <si>
    <t>자리수</t>
    <phoneticPr fontId="4" type="noConversion"/>
  </si>
  <si>
    <t>0</t>
    <phoneticPr fontId="4" type="noConversion"/>
  </si>
  <si>
    <t>0.0</t>
    <phoneticPr fontId="4" type="noConversion"/>
  </si>
  <si>
    <t>0.00</t>
    <phoneticPr fontId="4" type="noConversion"/>
  </si>
  <si>
    <t>0.000</t>
    <phoneticPr fontId="4" type="noConversion"/>
  </si>
  <si>
    <t>0.000 0</t>
    <phoneticPr fontId="4" type="noConversion"/>
  </si>
  <si>
    <t>0.000 00</t>
    <phoneticPr fontId="4" type="noConversion"/>
  </si>
  <si>
    <t>0.000 000</t>
    <phoneticPr fontId="4" type="noConversion"/>
  </si>
  <si>
    <t>0.000 000 0</t>
    <phoneticPr fontId="4" type="noConversion"/>
  </si>
  <si>
    <t>0.000 000 00</t>
    <phoneticPr fontId="4" type="noConversion"/>
  </si>
  <si>
    <t>0.000 000 000</t>
    <phoneticPr fontId="4" type="noConversion"/>
  </si>
  <si>
    <t>최소범위 (mm)</t>
    <phoneticPr fontId="4" type="noConversion"/>
  </si>
  <si>
    <t>최대범위 (mm)</t>
    <phoneticPr fontId="4" type="noConversion"/>
  </si>
  <si>
    <r>
      <t xml:space="preserve">1. </t>
    </r>
    <r>
      <rPr>
        <b/>
        <sz val="9"/>
        <rFont val="돋움"/>
        <family val="3"/>
        <charset val="129"/>
      </rPr>
      <t>반복측정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4" type="noConversion"/>
  </si>
  <si>
    <t>4회</t>
  </si>
  <si>
    <t>5회</t>
  </si>
  <si>
    <t>(mm)</t>
    <phoneticPr fontId="4" type="noConversion"/>
  </si>
  <si>
    <t>1. 교정결과</t>
    <phoneticPr fontId="4" type="noConversion"/>
  </si>
  <si>
    <t>(mm)</t>
    <phoneticPr fontId="4" type="noConversion"/>
  </si>
  <si>
    <t>■ 측정기본정보</t>
    <phoneticPr fontId="4" type="noConversion"/>
  </si>
  <si>
    <t>단위</t>
    <phoneticPr fontId="4" type="noConversion"/>
  </si>
  <si>
    <t>■ 반복 측정 결과</t>
    <phoneticPr fontId="4" type="noConversion"/>
  </si>
  <si>
    <t>평균값</t>
    <phoneticPr fontId="4" type="noConversion"/>
  </si>
  <si>
    <t>1회</t>
    <phoneticPr fontId="4" type="noConversion"/>
  </si>
  <si>
    <t>2회</t>
    <phoneticPr fontId="4" type="noConversion"/>
  </si>
  <si>
    <t>3회</t>
    <phoneticPr fontId="4" type="noConversion"/>
  </si>
  <si>
    <t>4회</t>
    <phoneticPr fontId="4" type="noConversion"/>
  </si>
  <si>
    <t>5회</t>
    <phoneticPr fontId="4" type="noConversion"/>
  </si>
  <si>
    <t>mm</t>
    <phoneticPr fontId="4" type="noConversion"/>
  </si>
  <si>
    <t>mm</t>
    <phoneticPr fontId="4" type="noConversion"/>
  </si>
  <si>
    <t>■ 수학적 모델</t>
    <phoneticPr fontId="4" type="noConversion"/>
  </si>
  <si>
    <t>: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</si>
  <si>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x</t>
    </r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</si>
  <si>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phoneticPr fontId="4" type="noConversion"/>
  </si>
  <si>
    <t>기준기의 교정값</t>
    <phoneticPr fontId="4" type="noConversion"/>
  </si>
  <si>
    <r>
      <t>l</t>
    </r>
    <r>
      <rPr>
        <vertAlign val="subscript"/>
        <sz val="10"/>
        <rFont val="Times New Roman"/>
        <family val="1"/>
      </rPr>
      <t>0</t>
    </r>
    <phoneticPr fontId="4" type="noConversion"/>
  </si>
  <si>
    <t>기준기의 명목값</t>
    <phoneticPr fontId="4" type="noConversion"/>
  </si>
  <si>
    <t>Δt</t>
    <phoneticPr fontId="4" type="noConversion"/>
  </si>
  <si>
    <t>Δα</t>
    <phoneticPr fontId="4" type="noConversion"/>
  </si>
  <si>
    <t>δt</t>
    <phoneticPr fontId="4" type="noConversion"/>
  </si>
  <si>
    <t>■ 합성표준불확도 관계식</t>
    <phoneticPr fontId="4" type="noConversion"/>
  </si>
  <si>
    <t>※ 감도계수</t>
    <phoneticPr fontId="4" type="noConversion"/>
  </si>
  <si>
    <t>■ 불확도 총괄표</t>
    <phoneticPr fontId="4" type="noConversion"/>
  </si>
  <si>
    <t>입력량</t>
    <phoneticPr fontId="4" type="noConversion"/>
  </si>
  <si>
    <t>추정값</t>
    <phoneticPr fontId="4" type="noConversion"/>
  </si>
  <si>
    <t>표준불확도</t>
    <phoneticPr fontId="4" type="noConversion"/>
  </si>
  <si>
    <t>확률분포</t>
    <phoneticPr fontId="4" type="noConversion"/>
  </si>
  <si>
    <t>감도계수</t>
    <phoneticPr fontId="4" type="noConversion"/>
  </si>
  <si>
    <t>불확도 기여량</t>
    <phoneticPr fontId="4" type="noConversion"/>
  </si>
  <si>
    <t>자유도</t>
    <phoneticPr fontId="4" type="noConversion"/>
  </si>
  <si>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</si>
  <si>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phoneticPr fontId="4" type="noConversion"/>
  </si>
  <si>
    <t>C</t>
    <phoneticPr fontId="4" type="noConversion"/>
  </si>
  <si>
    <t>Δα</t>
    <phoneticPr fontId="4" type="noConversion"/>
  </si>
  <si>
    <t>Δt</t>
    <phoneticPr fontId="4" type="noConversion"/>
  </si>
  <si>
    <t>F</t>
    <phoneticPr fontId="4" type="noConversion"/>
  </si>
  <si>
    <t>δt</t>
    <phoneticPr fontId="4" type="noConversion"/>
  </si>
  <si>
    <t>G</t>
    <phoneticPr fontId="4" type="noConversion"/>
  </si>
  <si>
    <t>I</t>
    <phoneticPr fontId="4" type="noConversion"/>
  </si>
  <si>
    <t>■ 표준불확도 성분의 계산</t>
    <phoneticPr fontId="4" type="noConversion"/>
  </si>
  <si>
    <t>※ 표준불확도 성분은 우연효과로 인한 불확도로써 A형 평가를 통하여 구한다.</t>
    <phoneticPr fontId="4" type="noConversion"/>
  </si>
  <si>
    <r>
      <t>반복측정한</t>
    </r>
    <r>
      <rPr>
        <sz val="10"/>
        <rFont val="맑은 고딕"/>
        <family val="1"/>
        <scheme val="major"/>
      </rPr>
      <t xml:space="preserve"> 결과의 </t>
    </r>
    <r>
      <rPr>
        <sz val="10"/>
        <rFont val="맑은 고딕"/>
        <family val="3"/>
        <charset val="129"/>
        <scheme val="major"/>
      </rPr>
      <t>표준편차(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)를 구하고 이 값을 측정횟수의 제곱근으로 나누어 구한다.</t>
    </r>
    <phoneticPr fontId="4" type="noConversion"/>
  </si>
  <si>
    <t>A2. 표준불확도 :</t>
    <phoneticPr fontId="4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</si>
  <si>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표준편차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s</t>
    </r>
    <r>
      <rPr>
        <sz val="10"/>
        <rFont val="Times New Roman"/>
        <family val="1"/>
      </rPr>
      <t>) :</t>
    </r>
    <phoneticPr fontId="4" type="noConversion"/>
  </si>
  <si>
    <t>μm</t>
    <phoneticPr fontId="4" type="noConversion"/>
  </si>
  <si>
    <t>s</t>
    <phoneticPr fontId="4" type="noConversion"/>
  </si>
  <si>
    <t>=</t>
    <phoneticPr fontId="4" type="noConversion"/>
  </si>
  <si>
    <t>=</t>
    <phoneticPr fontId="4" type="noConversion"/>
  </si>
  <si>
    <t>A4. 감도계수 :</t>
    <phoneticPr fontId="4" type="noConversion"/>
  </si>
  <si>
    <t>×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</si>
  <si>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  <scheme val="minor"/>
      </rPr>
      <t>- 1 = 5 - 1 = 4</t>
    </r>
    <phoneticPr fontId="4" type="noConversion"/>
  </si>
  <si>
    <t>※ 교정성적서에 주어진 기준기의 측정불확도를 포함인자로 나누어 구한다.</t>
    <phoneticPr fontId="4" type="noConversion"/>
  </si>
  <si>
    <t>B1. 추정값 :</t>
    <phoneticPr fontId="4" type="noConversion"/>
  </si>
  <si>
    <t>B5. 불확도 기여도 :</t>
    <phoneticPr fontId="4" type="noConversion"/>
  </si>
  <si>
    <t>C1. 추정값 :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</si>
  <si>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</si>
  <si>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C2. 표준불확도 :</t>
    <phoneticPr fontId="4" type="noConversion"/>
  </si>
  <si>
    <t>※ 불확도 전파법칙에 의한 수식 :</t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</si>
  <si>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=u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=</t>
    </r>
    <phoneticPr fontId="4" type="noConversion"/>
  </si>
  <si>
    <r>
      <t>1.0×10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</si>
  <si>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r>
      <t>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</si>
  <si>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불확도 전파법칙에 의한 수식에 열팽창계수의 불확도 값을 대입하여 계산하면</t>
    <phoneticPr fontId="4" type="noConversion"/>
  </si>
  <si>
    <r>
      <t>0.41×10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</si>
  <si>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℃×</t>
    <phoneticPr fontId="4" type="noConversion"/>
  </si>
  <si>
    <t>μm</t>
    <phoneticPr fontId="4" type="noConversion"/>
  </si>
  <si>
    <t>μm</t>
    <phoneticPr fontId="4" type="noConversion"/>
  </si>
  <si>
    <t>℃·μm</t>
    <phoneticPr fontId="4" type="noConversion"/>
  </si>
  <si>
    <t>C5. 불확도 기여량 :</t>
    <phoneticPr fontId="4" type="noConversion"/>
  </si>
  <si>
    <t>｜</t>
    <phoneticPr fontId="4" type="noConversion"/>
  </si>
  <si>
    <r>
      <t>℃·μm × 0.41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</si>
  <si>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｜</t>
    <phoneticPr fontId="4" type="noConversion"/>
  </si>
  <si>
    <t>μm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</si>
  <si>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</si>
  <si>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D2. 표준불확도 :</t>
    <phoneticPr fontId="4" type="noConversion"/>
  </si>
  <si>
    <r>
      <t xml:space="preserve">※ 불확도 전파법칙에 의한 수식 : </t>
    </r>
    <r>
      <rPr>
        <i/>
        <sz val="10"/>
        <rFont val="Times New Roman"/>
        <family val="1"/>
      </rPr>
      <t>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Δα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=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+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</si>
  <si>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sz val="10"/>
        <rFont val="맑은 고딕"/>
        <family val="3"/>
        <charset val="129"/>
        <scheme val="major"/>
      </rPr>
      <t xml:space="preserve"> = 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</si>
  <si>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불확도 전파법칙에 의한 수식에 열팽창계수의 불확도 값을 대입하여 계산하면</t>
    <phoneticPr fontId="4" type="noConversion"/>
  </si>
  <si>
    <t>D3. 확률분포 :</t>
    <phoneticPr fontId="4" type="noConversion"/>
  </si>
  <si>
    <t>℃×</t>
    <phoneticPr fontId="4" type="noConversion"/>
  </si>
  <si>
    <t>=</t>
    <phoneticPr fontId="4" type="noConversion"/>
  </si>
  <si>
    <t>D5. 불확도 기여량 :</t>
    <phoneticPr fontId="4" type="noConversion"/>
  </si>
  <si>
    <r>
      <t>℃·μm × 0.82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</si>
  <si>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E1. 추정값 :</t>
    <phoneticPr fontId="4" type="noConversion"/>
  </si>
  <si>
    <t>E2. 표준불확도 :</t>
    <phoneticPr fontId="4" type="noConversion"/>
  </si>
  <si>
    <t>E3. 확률분포 :</t>
    <phoneticPr fontId="4" type="noConversion"/>
  </si>
  <si>
    <t>E4. 감도계수 :</t>
    <phoneticPr fontId="4" type="noConversion"/>
  </si>
  <si>
    <t>×</t>
    <phoneticPr fontId="4" type="noConversion"/>
  </si>
  <si>
    <t>=</t>
    <phoneticPr fontId="4" type="noConversion"/>
  </si>
  <si>
    <t>E5. 불확도 기여량 :</t>
    <phoneticPr fontId="4" type="noConversion"/>
  </si>
  <si>
    <t>｜</t>
    <phoneticPr fontId="4" type="noConversion"/>
  </si>
  <si>
    <t>×</t>
    <phoneticPr fontId="4" type="noConversion"/>
  </si>
  <si>
    <t>E6. 자유도 :</t>
    <phoneticPr fontId="4" type="noConversion"/>
  </si>
  <si>
    <t>F1. 추정값 :</t>
    <phoneticPr fontId="4" type="noConversion"/>
  </si>
  <si>
    <t>F2. 표준불확도 :</t>
    <phoneticPr fontId="4" type="noConversion"/>
  </si>
  <si>
    <t>F3. 확률분포 :</t>
    <phoneticPr fontId="4" type="noConversion"/>
  </si>
  <si>
    <t>F4. 감도계수 :</t>
    <phoneticPr fontId="4" type="noConversion"/>
  </si>
  <si>
    <t>F5. 불확도 기여량 :</t>
    <phoneticPr fontId="4" type="noConversion"/>
  </si>
  <si>
    <t>｜</t>
    <phoneticPr fontId="4" type="noConversion"/>
  </si>
  <si>
    <t>/℃·μm</t>
    <phoneticPr fontId="4" type="noConversion"/>
  </si>
  <si>
    <t>×</t>
    <phoneticPr fontId="4" type="noConversion"/>
  </si>
  <si>
    <t>μm</t>
    <phoneticPr fontId="4" type="noConversion"/>
  </si>
  <si>
    <t>F6.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</si>
  <si>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4" type="noConversion"/>
  </si>
  <si>
    <t>G1. 추정값 :</t>
    <phoneticPr fontId="4" type="noConversion"/>
  </si>
  <si>
    <t>G2. 표준불확도 :</t>
    <phoneticPr fontId="4" type="noConversion"/>
  </si>
  <si>
    <t>G3. 확률분포 :</t>
    <phoneticPr fontId="4" type="noConversion"/>
  </si>
  <si>
    <t>G4. 감도계수 :</t>
    <phoneticPr fontId="4" type="noConversion"/>
  </si>
  <si>
    <t>G5. 불확도 기여량 :</t>
    <phoneticPr fontId="4" type="noConversion"/>
  </si>
  <si>
    <t>G6. 자유도 :</t>
    <phoneticPr fontId="4" type="noConversion"/>
  </si>
  <si>
    <t>H1. 추정값 :</t>
    <phoneticPr fontId="4" type="noConversion"/>
  </si>
  <si>
    <t>H2. 표준불확도 :</t>
    <phoneticPr fontId="4" type="noConversion"/>
  </si>
  <si>
    <t>H3. 확률분포 :</t>
    <phoneticPr fontId="4" type="noConversion"/>
  </si>
  <si>
    <t>H4. 감도계수 :</t>
    <phoneticPr fontId="4" type="noConversion"/>
  </si>
  <si>
    <t>H5. 불확도 기여량 :</t>
    <phoneticPr fontId="4" type="noConversion"/>
  </si>
  <si>
    <t>H6. 자유도 :</t>
    <phoneticPr fontId="4" type="noConversion"/>
  </si>
  <si>
    <t>■ 합성표준불확도 계산</t>
    <phoneticPr fontId="4" type="noConversion"/>
  </si>
  <si>
    <t>+</t>
    <phoneticPr fontId="4" type="noConversion"/>
  </si>
  <si>
    <t>■ 유효자유도</t>
    <phoneticPr fontId="4" type="noConversion"/>
  </si>
  <si>
    <t>※ 합성표준불확도를 구성하는 입력변수 중에서 직사각형 확률분포를 가지는 한 개 또는 두 개의 표준불확도 성분이</t>
    <phoneticPr fontId="4" type="noConversion"/>
  </si>
  <si>
    <t>전체의 대부분을 차지하는 경우가 아닌 경우, 유효자유도 계산 결과 값을 이용하여 t 분포표에서 신뢰수준 약 95%에</t>
    <phoneticPr fontId="4" type="noConversion"/>
  </si>
  <si>
    <r>
      <t xml:space="preserve">해당하는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값을 찾아서 계산한다.</t>
    </r>
    <phoneticPr fontId="4" type="noConversion"/>
  </si>
  <si>
    <r>
      <t xml:space="preserve">이 때 유효자유도가 10 이상으로 충분히 큰 경우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=2를 적용한다.</t>
    </r>
    <phoneticPr fontId="4" type="noConversion"/>
  </si>
  <si>
    <t>×</t>
  </si>
  <si>
    <t>※ 합성표준불확도를 구성하는 입력변수 중에서 직사각형 확률분포를 가지는 한 개 또는 두 개의 표준불확도 성분이</t>
    <phoneticPr fontId="4" type="noConversion"/>
  </si>
  <si>
    <t>전체의 대부분을 차지하는 경우, 주된 성분에 대한 잔여 성분의 크기가 0.3보다 작은지 점검한다.</t>
    <phoneticPr fontId="4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</si>
  <si>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4" type="noConversion"/>
  </si>
  <si>
    <t>≒</t>
    <phoneticPr fontId="4" type="noConversion"/>
  </si>
  <si>
    <t>※ 5회 측정한 표준편차가 0 일 때, 최소한 분해능 1눈금의 차이는 있을 수 있다고 추정하여 다음과 같이 계산한다. (이 내용은 KOLAS 평가시 제외)</t>
    <phoneticPr fontId="4" type="noConversion"/>
  </si>
  <si>
    <t>d</t>
    <phoneticPr fontId="4" type="noConversion"/>
  </si>
  <si>
    <r>
      <t>B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</si>
  <si>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B</t>
    <phoneticPr fontId="4" type="noConversion"/>
  </si>
  <si>
    <r>
      <rPr>
        <b/>
        <sz val="10"/>
        <rFont val="맑은 고딕"/>
        <family val="1"/>
        <scheme val="major"/>
      </rPr>
      <t>1</t>
    </r>
    <r>
      <rPr>
        <b/>
        <sz val="10"/>
        <rFont val="맑은 고딕"/>
        <family val="3"/>
        <charset val="129"/>
        <scheme val="major"/>
      </rPr>
      <t xml:space="preserve">. 기준기의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s</t>
    </r>
    <r>
      <rPr>
        <b/>
        <sz val="10"/>
        <rFont val="Times New Roman"/>
        <family val="1"/>
      </rPr>
      <t>)</t>
    </r>
    <phoneticPr fontId="4" type="noConversion"/>
  </si>
  <si>
    <t>A1. 추정값 :</t>
    <phoneticPr fontId="4" type="noConversion"/>
  </si>
  <si>
    <t>A3. 확률분포 :</t>
    <phoneticPr fontId="4" type="noConversion"/>
  </si>
  <si>
    <t>※ 여현오차 :</t>
    <phoneticPr fontId="4" type="noConversion"/>
  </si>
  <si>
    <t>여현오차</t>
    <phoneticPr fontId="4" type="noConversion"/>
  </si>
  <si>
    <r>
      <t>B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</si>
  <si>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</si>
  <si>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● 교정료 계산</t>
    <phoneticPr fontId="4" type="noConversion"/>
  </si>
  <si>
    <t>조건 1</t>
    <phoneticPr fontId="4" type="noConversion"/>
  </si>
  <si>
    <t>조건 2</t>
    <phoneticPr fontId="4" type="noConversion"/>
  </si>
  <si>
    <t>기본수수료</t>
    <phoneticPr fontId="4" type="noConversion"/>
  </si>
  <si>
    <t>추가수수료</t>
    <phoneticPr fontId="4" type="noConversion"/>
  </si>
  <si>
    <t>인치?</t>
    <phoneticPr fontId="4" type="noConversion"/>
  </si>
  <si>
    <t>소계</t>
    <phoneticPr fontId="4" type="noConversion"/>
  </si>
  <si>
    <t>합계</t>
    <phoneticPr fontId="4" type="noConversion"/>
  </si>
  <si>
    <t>※ 인치의 경우 기본수수료에서 80% 추가함.</t>
    <phoneticPr fontId="4" type="noConversion"/>
  </si>
  <si>
    <t>주 기여량</t>
    <phoneticPr fontId="4" type="noConversion"/>
  </si>
  <si>
    <r>
      <t>B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</si>
  <si>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비율이 0.3보다 작으면 직사각형 확률분포를 적용하여 반너비의 비율을 구하고 사다리꼴 분포에 해당하는</t>
    <phoneticPr fontId="4" type="noConversion"/>
  </si>
  <si>
    <t>명목값</t>
    <phoneticPr fontId="4" type="noConversion"/>
  </si>
  <si>
    <t>명목값</t>
    <phoneticPr fontId="4" type="noConversion"/>
  </si>
  <si>
    <t>■ 측정불확도</t>
    <phoneticPr fontId="4" type="noConversion"/>
  </si>
  <si>
    <t>사용중지?</t>
  </si>
  <si>
    <r>
      <t>(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</si>
  <si>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</si>
  <si>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</si>
  <si>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|u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)|</t>
    </r>
    <phoneticPr fontId="4" type="noConversion"/>
  </si>
  <si>
    <t>β</t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</si>
  <si>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1</t>
    </r>
    <phoneticPr fontId="4" type="noConversion"/>
  </si>
  <si>
    <t>COID</t>
    <phoneticPr fontId="4" type="noConversion"/>
  </si>
  <si>
    <r>
      <t>U+</t>
    </r>
    <r>
      <rPr>
        <sz val="9"/>
        <rFont val="돋움"/>
        <family val="3"/>
        <charset val="129"/>
      </rPr>
      <t>α</t>
    </r>
    <phoneticPr fontId="4" type="noConversion"/>
  </si>
  <si>
    <r>
      <t xml:space="preserve">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를 구하여 계산한다.</t>
    </r>
    <phoneticPr fontId="4" type="noConversion"/>
  </si>
  <si>
    <t>눈금값
(mm)</t>
    <phoneticPr fontId="4" type="noConversion"/>
  </si>
  <si>
    <t>전진방향</t>
    <phoneticPr fontId="4" type="noConversion"/>
  </si>
  <si>
    <t>후퇴방향</t>
    <phoneticPr fontId="4" type="noConversion"/>
  </si>
  <si>
    <t>다이얼/디지털 게이지 지시값</t>
    <phoneticPr fontId="4" type="noConversion"/>
  </si>
  <si>
    <t>삼각형</t>
    <phoneticPr fontId="4" type="noConversion"/>
  </si>
  <si>
    <t>데이터수</t>
    <phoneticPr fontId="4" type="noConversion"/>
  </si>
  <si>
    <t>번호</t>
    <phoneticPr fontId="4" type="noConversion"/>
  </si>
  <si>
    <t>판정</t>
    <phoneticPr fontId="4" type="noConversion"/>
  </si>
  <si>
    <t>전진</t>
    <phoneticPr fontId="4" type="noConversion"/>
  </si>
  <si>
    <t>후퇴</t>
    <phoneticPr fontId="4" type="noConversion"/>
  </si>
  <si>
    <t>Clockwise</t>
    <phoneticPr fontId="4" type="noConversion"/>
  </si>
  <si>
    <t>Counterclockwise</t>
    <phoneticPr fontId="4" type="noConversion"/>
  </si>
  <si>
    <t>방향</t>
    <phoneticPr fontId="4" type="noConversion"/>
  </si>
  <si>
    <t>전진방향</t>
    <phoneticPr fontId="4" type="noConversion"/>
  </si>
  <si>
    <t>후퇴방향</t>
    <phoneticPr fontId="4" type="noConversion"/>
  </si>
  <si>
    <t>표준온도에서 다이얼/디지털 게이지의 보정값</t>
    <phoneticPr fontId="4" type="noConversion"/>
  </si>
  <si>
    <t>다이얼/디지털 게이지의 지시값</t>
  </si>
  <si>
    <t>다이얼/디지털 게이지와 기준기의 온도차이</t>
  </si>
  <si>
    <t>다이얼/디지털 게이지와 기준기의 열팽창계수 차이</t>
  </si>
  <si>
    <t>다이얼/디지털 게이지와 기준기의 평균 온도값과 기준온도와의 차</t>
  </si>
  <si>
    <t>다이얼/디지털 게이지의 분해능 한계에 대한 보정값 (기대값=0)</t>
  </si>
  <si>
    <t>다이얼/디지털 게이지와 기준기의 평균열팽창계수</t>
  </si>
  <si>
    <t>다이얼/디지털 게이지 설치시 여현오차에 의한 보정값 (기대값=0)</t>
  </si>
  <si>
    <t>1) 다이얼 게이지 시험기 사용 시</t>
    <phoneticPr fontId="4" type="noConversion"/>
  </si>
  <si>
    <r>
      <rPr>
        <b/>
        <sz val="10"/>
        <rFont val="맑은 고딕"/>
        <family val="1"/>
        <scheme val="major"/>
      </rPr>
      <t>2</t>
    </r>
    <r>
      <rPr>
        <b/>
        <sz val="10"/>
        <rFont val="맑은 고딕"/>
        <family val="3"/>
        <charset val="129"/>
        <scheme val="major"/>
      </rPr>
      <t xml:space="preserve">. 다이얼/디지털 게이지 지시값의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x</t>
    </r>
    <r>
      <rPr>
        <b/>
        <sz val="10"/>
        <rFont val="Times New Roman"/>
        <family val="1"/>
      </rPr>
      <t>)</t>
    </r>
    <phoneticPr fontId="4" type="noConversion"/>
  </si>
  <si>
    <t>※ 다이얼/디지털 게이지와 기준기의 평균 열팽창계수 :</t>
    <phoneticPr fontId="4" type="noConversion"/>
  </si>
  <si>
    <t>2) 게이지 블록 사용 시</t>
    <phoneticPr fontId="4" type="noConversion"/>
  </si>
  <si>
    <t>=</t>
    <phoneticPr fontId="4" type="noConversion"/>
  </si>
  <si>
    <t>μm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</si>
  <si>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10%로 추정</t>
    </r>
    <phoneticPr fontId="4" type="noConversion"/>
  </si>
  <si>
    <t>mm 이하</t>
    <phoneticPr fontId="4" type="noConversion"/>
  </si>
  <si>
    <t>mm 이하</t>
    <phoneticPr fontId="4" type="noConversion"/>
  </si>
  <si>
    <t>mm 이하</t>
    <phoneticPr fontId="4" type="noConversion"/>
  </si>
  <si>
    <t>추가 10 mm마다 20 % 추가</t>
    <phoneticPr fontId="4" type="noConversion"/>
  </si>
  <si>
    <t>최대범위</t>
    <phoneticPr fontId="4" type="noConversion"/>
  </si>
  <si>
    <t>기본수수료</t>
    <phoneticPr fontId="4" type="noConversion"/>
  </si>
  <si>
    <t>추가치수</t>
    <phoneticPr fontId="4" type="noConversion"/>
  </si>
  <si>
    <t>사용블럭 2</t>
  </si>
  <si>
    <t>사용블럭 3</t>
  </si>
  <si>
    <t>기준기명</t>
  </si>
  <si>
    <t>명목값</t>
  </si>
  <si>
    <t>단위</t>
  </si>
  <si>
    <t>교정값</t>
  </si>
  <si>
    <t>불확도 단위</t>
  </si>
  <si>
    <t>k</t>
  </si>
  <si>
    <t>0점블럭</t>
  </si>
  <si>
    <t>사용블럭 1</t>
  </si>
  <si>
    <t>0점블럭교정값</t>
  </si>
  <si>
    <t>사용블럭교정값</t>
  </si>
  <si>
    <t>열팽창계수</t>
  </si>
  <si>
    <t>사용블럭 4</t>
  </si>
  <si>
    <r>
      <t xml:space="preserve">※ 다이얼/디지털 게이지와 기준기의 열팽창계수 차이 : </t>
    </r>
    <r>
      <rPr>
        <i/>
        <sz val="10"/>
        <rFont val="Times New Roman"/>
        <family val="1"/>
      </rPr>
      <t>Δα</t>
    </r>
    <r>
      <rPr>
        <sz val="10"/>
        <rFont val="맑은 고딕"/>
        <family val="3"/>
        <charset val="129"/>
        <scheme val="major"/>
      </rPr>
      <t xml:space="preserve"> = 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 xml:space="preserve"> - 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</si>
  <si>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 xml:space="preserve">) = </t>
    </r>
    <r>
      <rPr>
        <sz val="10"/>
        <rFont val="바탕"/>
        <family val="1"/>
        <charset val="129"/>
      </rPr>
      <t>∞</t>
    </r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</si>
  <si>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</si>
  <si>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4" type="noConversion"/>
  </si>
  <si>
    <t>fees</t>
    <phoneticPr fontId="4" type="noConversion"/>
  </si>
  <si>
    <t>P/F</t>
    <phoneticPr fontId="4" type="noConversion"/>
  </si>
  <si>
    <r>
      <t xml:space="preserve">3. 다이얼/디지털 게이지와 기준기의 평균 열팽창계수에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맑은 고딕"/>
        <family val="3"/>
        <charset val="129"/>
        <scheme val="major"/>
      </rPr>
      <t>(    )</t>
    </r>
    <phoneticPr fontId="4" type="noConversion"/>
  </si>
  <si>
    <r>
      <rPr>
        <b/>
        <sz val="10"/>
        <rFont val="맑은 고딕"/>
        <family val="1"/>
        <scheme val="major"/>
      </rPr>
      <t>4</t>
    </r>
    <r>
      <rPr>
        <b/>
        <sz val="10"/>
        <rFont val="맑은 고딕"/>
        <family val="3"/>
        <charset val="129"/>
        <scheme val="major"/>
      </rPr>
      <t xml:space="preserve">. 다이얼/디지털 게이지와 기준기의 온도 차에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맑은 고딕"/>
        <family val="3"/>
        <charset val="129"/>
        <scheme val="major"/>
      </rPr>
      <t>(</t>
    </r>
    <r>
      <rPr>
        <b/>
        <i/>
        <sz val="10"/>
        <rFont val="Times New Roman"/>
        <family val="1"/>
      </rPr>
      <t>Δt</t>
    </r>
    <r>
      <rPr>
        <b/>
        <sz val="10"/>
        <rFont val="맑은 고딕"/>
        <family val="3"/>
        <charset val="129"/>
        <scheme val="major"/>
      </rPr>
      <t>)</t>
    </r>
    <phoneticPr fontId="4" type="noConversion"/>
  </si>
  <si>
    <r>
      <rPr>
        <b/>
        <sz val="10"/>
        <rFont val="맑은 고딕"/>
        <family val="1"/>
        <scheme val="major"/>
      </rPr>
      <t>5</t>
    </r>
    <r>
      <rPr>
        <b/>
        <sz val="10"/>
        <rFont val="맑은 고딕"/>
        <family val="3"/>
        <charset val="129"/>
        <scheme val="major"/>
      </rPr>
      <t xml:space="preserve">. 다이얼/디지털 게이지와 기준기의 열팽창계수 차에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Δα</t>
    </r>
    <r>
      <rPr>
        <b/>
        <sz val="10"/>
        <rFont val="Times New Roman"/>
        <family val="1"/>
      </rPr>
      <t>)</t>
    </r>
    <phoneticPr fontId="4" type="noConversion"/>
  </si>
  <si>
    <r>
      <rPr>
        <b/>
        <sz val="10"/>
        <rFont val="맑은 고딕"/>
        <family val="1"/>
        <scheme val="major"/>
      </rPr>
      <t>6</t>
    </r>
    <r>
      <rPr>
        <b/>
        <sz val="10"/>
        <rFont val="맑은 고딕"/>
        <family val="3"/>
        <charset val="129"/>
        <scheme val="major"/>
      </rPr>
      <t xml:space="preserve">. 다이얼/디지털 게이지와 기준기의 평균온도와 기준 온도와의 차이에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t</t>
    </r>
    <r>
      <rPr>
        <b/>
        <sz val="10"/>
        <rFont val="Times New Roman"/>
        <family val="1"/>
      </rPr>
      <t>)</t>
    </r>
    <phoneticPr fontId="4" type="noConversion"/>
  </si>
  <si>
    <t>Correction value</t>
    <phoneticPr fontId="4" type="noConversion"/>
  </si>
  <si>
    <t>Indication value
(mm)</t>
    <phoneticPr fontId="4" type="noConversion"/>
  </si>
  <si>
    <t>비고</t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</si>
  <si>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c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</si>
  <si>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c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</si>
  <si>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c</t>
    </r>
    <phoneticPr fontId="4" type="noConversion"/>
  </si>
  <si>
    <r>
      <rPr>
        <b/>
        <sz val="10"/>
        <rFont val="맑은 고딕"/>
        <family val="1"/>
        <scheme val="major"/>
      </rPr>
      <t>8</t>
    </r>
    <r>
      <rPr>
        <b/>
        <sz val="10"/>
        <rFont val="맑은 고딕"/>
        <family val="3"/>
        <charset val="129"/>
        <scheme val="major"/>
      </rPr>
      <t xml:space="preserve">. 다이얼/디지털 게이지 설치시 여현오차에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δl</t>
    </r>
    <r>
      <rPr>
        <b/>
        <i/>
        <vertAlign val="subscript"/>
        <sz val="10"/>
        <rFont val="Times New Roman"/>
        <family val="1"/>
      </rPr>
      <t>c</t>
    </r>
    <r>
      <rPr>
        <b/>
        <sz val="10"/>
        <rFont val="Times New Roman"/>
        <family val="1"/>
      </rPr>
      <t>)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</si>
  <si>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</si>
  <si>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phoneticPr fontId="4" type="noConversion"/>
  </si>
  <si>
    <t>추정하여 직사각형 확률분포를 적용하여 계산하면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</si>
  <si>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 xml:space="preserve">) </t>
    </r>
    <phoneticPr fontId="4" type="noConversion"/>
  </si>
  <si>
    <t>℃</t>
    <phoneticPr fontId="4" type="noConversion"/>
  </si>
  <si>
    <t>여기에 직사각형 확률분포를 적용하여 계산하면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</si>
  <si>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 xml:space="preserve">) </t>
    </r>
    <phoneticPr fontId="4" type="noConversion"/>
  </si>
  <si>
    <t>℃</t>
    <phoneticPr fontId="4" type="noConversion"/>
  </si>
  <si>
    <t>※ 다이얼/디지털 게이지 분해능의 반범위에 직사각형 확률분포를 적용하여 계산한다.</t>
    <phoneticPr fontId="4" type="noConversion"/>
  </si>
  <si>
    <r>
      <t>※ 분해능 (</t>
    </r>
    <r>
      <rPr>
        <i/>
        <sz val="10"/>
        <rFont val="Times New Roman"/>
        <family val="1"/>
      </rPr>
      <t>d</t>
    </r>
    <r>
      <rPr>
        <sz val="10"/>
        <rFont val="맑은 고딕"/>
        <family val="3"/>
        <charset val="129"/>
        <scheme val="major"/>
      </rPr>
      <t>)=</t>
    </r>
    <phoneticPr fontId="4" type="noConversion"/>
  </si>
  <si>
    <t>mm</t>
    <phoneticPr fontId="4" type="noConversion"/>
  </si>
  <si>
    <t>μm</t>
    <phoneticPr fontId="4" type="noConversion"/>
  </si>
  <si>
    <t>|</t>
    <phoneticPr fontId="4" type="noConversion"/>
  </si>
  <si>
    <t>여현오차가 발생한다. 이때 발생하는 여현오차에 직사각형 확률 분포를 적용하여 계산한다.</t>
    <phoneticPr fontId="4" type="noConversion"/>
  </si>
  <si>
    <t>※ 다이얼/디지털 게이지 교정시 다이얼 게이지 축과 기준기의 축이 나란하도록 설치하여야 하나 정확히 일치되지 않으면</t>
    <phoneticPr fontId="4" type="noConversion"/>
  </si>
  <si>
    <t>mm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</si>
  <si>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>)</t>
    </r>
    <phoneticPr fontId="4" type="noConversion"/>
  </si>
  <si>
    <t>μm</t>
    <phoneticPr fontId="4" type="noConversion"/>
  </si>
  <si>
    <t>×</t>
    <phoneticPr fontId="4" type="noConversion"/>
  </si>
  <si>
    <t>사용?</t>
    <phoneticPr fontId="4" type="noConversion"/>
  </si>
  <si>
    <t>단위</t>
    <phoneticPr fontId="4" type="noConversion"/>
  </si>
  <si>
    <t>표준편차</t>
    <phoneticPr fontId="4" type="noConversion"/>
  </si>
  <si>
    <t>기준값</t>
    <phoneticPr fontId="4" type="noConversion"/>
  </si>
  <si>
    <t>지시값</t>
    <phoneticPr fontId="4" type="noConversion"/>
  </si>
  <si>
    <t>열팽창계수</t>
    <phoneticPr fontId="4" type="noConversion"/>
  </si>
  <si>
    <t>열팽창계수차</t>
    <phoneticPr fontId="4" type="noConversion"/>
  </si>
  <si>
    <t>t_avr-20</t>
    <phoneticPr fontId="4" type="noConversion"/>
  </si>
  <si>
    <t>자리수 맞춤</t>
    <phoneticPr fontId="4" type="noConversion"/>
  </si>
  <si>
    <t>표기용</t>
    <phoneticPr fontId="4" type="noConversion"/>
  </si>
  <si>
    <t>1회</t>
    <phoneticPr fontId="4" type="noConversion"/>
  </si>
  <si>
    <t>2회</t>
    <phoneticPr fontId="4" type="noConversion"/>
  </si>
  <si>
    <t>평균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</si>
  <si>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</si>
  <si>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</si>
  <si>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</si>
  <si>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α_avr</t>
    <phoneticPr fontId="4" type="noConversion"/>
  </si>
  <si>
    <t>Δα</t>
    <phoneticPr fontId="4" type="noConversion"/>
  </si>
  <si>
    <t>δt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</si>
  <si>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</si>
  <si>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r>
      <t>B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</si>
  <si>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보정값</t>
    <phoneticPr fontId="4" type="noConversion"/>
  </si>
  <si>
    <t>교정값</t>
    <phoneticPr fontId="4" type="noConversion"/>
  </si>
  <si>
    <t>Min</t>
    <phoneticPr fontId="4" type="noConversion"/>
  </si>
  <si>
    <t>Max</t>
    <phoneticPr fontId="4" type="noConversion"/>
  </si>
  <si>
    <t>눈금값</t>
    <phoneticPr fontId="4" type="noConversion"/>
  </si>
  <si>
    <t>교정값</t>
    <phoneticPr fontId="4" type="noConversion"/>
  </si>
  <si>
    <t>Spec</t>
    <phoneticPr fontId="4" type="noConversion"/>
  </si>
  <si>
    <t>Pass/Fail</t>
    <phoneticPr fontId="4" type="noConversion"/>
  </si>
  <si>
    <t>mm</t>
    <phoneticPr fontId="4" type="noConversion"/>
  </si>
  <si>
    <t>/℃</t>
    <phoneticPr fontId="4" type="noConversion"/>
  </si>
  <si>
    <t>℃</t>
    <phoneticPr fontId="4" type="noConversion"/>
  </si>
  <si>
    <t>℃</t>
    <phoneticPr fontId="4" type="noConversion"/>
  </si>
  <si>
    <t>mm</t>
    <phoneticPr fontId="4" type="noConversion"/>
  </si>
  <si>
    <t>mm</t>
    <phoneticPr fontId="4" type="noConversion"/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</si>
  <si>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B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</si>
  <si>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요인(값)</t>
    <phoneticPr fontId="4" type="noConversion"/>
  </si>
  <si>
    <t>나눔수</t>
    <phoneticPr fontId="4" type="noConversion"/>
  </si>
  <si>
    <t>분모</t>
    <phoneticPr fontId="4" type="noConversion"/>
  </si>
  <si>
    <t>잔여 기여량</t>
    <phoneticPr fontId="4" type="noConversion"/>
  </si>
  <si>
    <t>보정값</t>
    <phoneticPr fontId="4" type="noConversion"/>
  </si>
  <si>
    <t>불확도</t>
    <phoneticPr fontId="4" type="noConversion"/>
  </si>
  <si>
    <t>mm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</si>
  <si>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</si>
  <si>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 xml:space="preserve"> 성적서발급번호(Certificate No) :</t>
    <phoneticPr fontId="4" type="noConversion"/>
  </si>
  <si>
    <t>Indication Value</t>
    <phoneticPr fontId="4" type="noConversion"/>
  </si>
  <si>
    <t>Unit</t>
    <phoneticPr fontId="4" type="noConversion"/>
  </si>
  <si>
    <t>Spec</t>
    <phoneticPr fontId="4" type="noConversion"/>
  </si>
  <si>
    <t>조정 전</t>
    <phoneticPr fontId="4" type="noConversion"/>
  </si>
  <si>
    <t>조정 후</t>
    <phoneticPr fontId="4" type="noConversion"/>
  </si>
  <si>
    <t>Measurement Uncertainty</t>
    <phoneticPr fontId="4" type="noConversion"/>
  </si>
  <si>
    <t>mm</t>
    <phoneticPr fontId="4" type="noConversion"/>
  </si>
  <si>
    <t>-</t>
    <phoneticPr fontId="4" type="noConversion"/>
  </si>
  <si>
    <t>-</t>
    <phoneticPr fontId="4" type="noConversion"/>
  </si>
  <si>
    <t>Measured
Value</t>
    <phoneticPr fontId="4" type="noConversion"/>
  </si>
  <si>
    <t>Correction
Value</t>
    <phoneticPr fontId="4" type="noConversion"/>
  </si>
  <si>
    <t>Pass
/Fail</t>
    <phoneticPr fontId="4" type="noConversion"/>
  </si>
  <si>
    <t>Pass
/Fail</t>
    <phoneticPr fontId="4" type="noConversion"/>
  </si>
  <si>
    <t>측정불확도1</t>
    <phoneticPr fontId="4" type="noConversion"/>
  </si>
  <si>
    <t>측정불확도2</t>
  </si>
  <si>
    <t>U &amp; r</t>
  </si>
  <si>
    <t>선택</t>
    <phoneticPr fontId="4" type="noConversion"/>
  </si>
  <si>
    <t>소수점 자리수</t>
    <phoneticPr fontId="4" type="noConversion"/>
  </si>
  <si>
    <t>5% rule</t>
    <phoneticPr fontId="4" type="noConversion"/>
  </si>
  <si>
    <t>Number Format</t>
    <phoneticPr fontId="4" type="noConversion"/>
  </si>
  <si>
    <t>CMC초과?</t>
    <phoneticPr fontId="4" type="noConversion"/>
  </si>
  <si>
    <t>불확도표기</t>
    <phoneticPr fontId="4" type="noConversion"/>
  </si>
  <si>
    <t>U+α</t>
    <phoneticPr fontId="4" type="noConversion"/>
  </si>
  <si>
    <t>U&amp;r</t>
    <phoneticPr fontId="4" type="noConversion"/>
  </si>
  <si>
    <t>HCT</t>
    <phoneticPr fontId="4" type="noConversion"/>
  </si>
  <si>
    <t>mm</t>
    <phoneticPr fontId="4" type="noConversion"/>
  </si>
  <si>
    <t>불확도</t>
    <phoneticPr fontId="4" type="noConversion"/>
  </si>
  <si>
    <t>성적서</t>
    <phoneticPr fontId="4" type="noConversion"/>
  </si>
  <si>
    <t>분해능</t>
    <phoneticPr fontId="4" type="noConversion"/>
  </si>
  <si>
    <t>선택</t>
    <phoneticPr fontId="4" type="noConversion"/>
  </si>
  <si>
    <t>Rawdata</t>
    <phoneticPr fontId="4" type="noConversion"/>
  </si>
  <si>
    <r>
      <t>u</t>
    </r>
    <r>
      <rPr>
        <b/>
        <vertAlign val="superscript"/>
        <sz val="9"/>
        <color indexed="9"/>
        <rFont val="맑은 고딕"/>
        <family val="3"/>
        <charset val="129"/>
        <scheme val="major"/>
      </rPr>
      <t>4</t>
    </r>
    <r>
      <rPr>
        <b/>
        <sz val="9"/>
        <color indexed="9"/>
        <rFont val="맑은 고딕"/>
        <family val="3"/>
        <charset val="129"/>
        <scheme val="major"/>
      </rPr>
      <t>/ν</t>
    </r>
    <phoneticPr fontId="4" type="noConversion"/>
  </si>
  <si>
    <t>직사각형분포</t>
    <phoneticPr fontId="4" type="noConversion"/>
  </si>
  <si>
    <t>크기순</t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</si>
  <si>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2</t>
    </r>
    <phoneticPr fontId="4" type="noConversion"/>
  </si>
  <si>
    <t>확률분포별 불확도기여량</t>
    <phoneticPr fontId="4" type="noConversion"/>
  </si>
  <si>
    <t>직사각형</t>
    <phoneticPr fontId="4" type="noConversion"/>
  </si>
  <si>
    <t>기타</t>
    <phoneticPr fontId="4" type="noConversion"/>
  </si>
  <si>
    <t>영향</t>
    <phoneticPr fontId="4" type="noConversion"/>
  </si>
  <si>
    <t>비율</t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</si>
  <si>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r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</si>
  <si>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r</t>
    </r>
    <phoneticPr fontId="4" type="noConversion"/>
  </si>
  <si>
    <r>
      <rPr>
        <b/>
        <sz val="10"/>
        <rFont val="맑은 고딕"/>
        <family val="1"/>
        <scheme val="major"/>
      </rPr>
      <t>7</t>
    </r>
    <r>
      <rPr>
        <b/>
        <sz val="10"/>
        <rFont val="맑은 고딕"/>
        <family val="3"/>
        <charset val="129"/>
        <scheme val="major"/>
      </rPr>
      <t xml:space="preserve">. 다이얼/디지털 게이지의 분해능에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r</t>
    </r>
    <r>
      <rPr>
        <b/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</si>
  <si>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r</t>
    </r>
    <r>
      <rPr>
        <sz val="10"/>
        <rFont val="Times New Roman"/>
        <family val="1"/>
      </rPr>
      <t>)</t>
    </r>
    <phoneticPr fontId="4" type="noConversion"/>
  </si>
  <si>
    <t>값</t>
    <phoneticPr fontId="4" type="noConversion"/>
  </si>
  <si>
    <t>단위포함</t>
    <phoneticPr fontId="4" type="noConversion"/>
  </si>
  <si>
    <t>최소눈금 표기용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</si>
</sst>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6">
    <numFmt numFmtId="41" formatCode="_-* #,##0_-;\-* #,##0_-;_-* &quot;-&quot;_-;_-@_-"/>
    <numFmt numFmtId="43" formatCode="_-* #,##0.00_-;\-* #,##0.00_-;_-* &quot;-&quot;??_-;_-@_-"/>
    <numFmt numFmtId="176" formatCode="_ &quot;₩&quot;* #,##0.00_ ;_ &quot;₩&quot;* &quot;₩&quot;&quot;₩&quot;&quot;₩&quot;&quot;₩&quot;&quot;₩&quot;&quot;₩&quot;&quot;₩&quot;\-#,##0.00_ ;_ &quot;₩&quot;* &quot;-&quot;??_ ;_ @_ "/>
    <numFmt numFmtId="177" formatCode="&quot;₩&quot;#,##0;&quot;₩&quot;&quot;₩&quot;&quot;₩&quot;&quot;₩&quot;&quot;₩&quot;&quot;₩&quot;&quot;₩&quot;&quot;₩&quot;&quot;₩&quot;\-#,##0"/>
    <numFmt numFmtId="178" formatCode="_ * #,##0.00_ ;_ * &quot;₩&quot;&quot;₩&quot;&quot;₩&quot;&quot;₩&quot;&quot;₩&quot;&quot;₩&quot;&quot;₩&quot;\-#,##0.00_ ;_ * &quot;-&quot;??_ ;_ @_ "/>
    <numFmt numFmtId="179" formatCode="&quot;₩&quot;#,##0;[Red]&quot;₩&quot;&quot;₩&quot;&quot;₩&quot;&quot;₩&quot;&quot;₩&quot;&quot;₩&quot;&quot;₩&quot;&quot;₩&quot;&quot;₩&quot;\-#,##0"/>
    <numFmt numFmtId="180" formatCode="_ * #,##0_ ;_ * \-#,##0_ ;_ * &quot;-&quot;_ ;_ @_ "/>
    <numFmt numFmtId="181" formatCode="_ * #,##0.00_ ;_ * \-#,##0.00_ ;_ * &quot;-&quot;??_ ;_ @_ "/>
    <numFmt numFmtId="182" formatCode="&quot;₩&quot;#,##0;&quot;₩&quot;&quot;₩&quot;&quot;₩&quot;&quot;₩&quot;&quot;₩&quot;&quot;₩&quot;&quot;₩&quot;&quot;₩&quot;\-#,##0"/>
    <numFmt numFmtId="183" formatCode="&quot;₩&quot;#,##0.00;&quot;₩&quot;&quot;₩&quot;&quot;₩&quot;&quot;₩&quot;&quot;₩&quot;&quot;₩&quot;&quot;₩&quot;&quot;₩&quot;\-#,##0.00"/>
    <numFmt numFmtId="184" formatCode="################################"/>
    <numFmt numFmtId="185" formatCode="0.0\ &quot;℃&quot;"/>
    <numFmt numFmtId="186" formatCode="0\ &quot;％ R.H.&quot;"/>
    <numFmt numFmtId="187" formatCode="0.0\ &quot;hPa&quot;"/>
    <numFmt numFmtId="188" formatCode="0.00_ "/>
    <numFmt numFmtId="189" formatCode="0.000_ "/>
    <numFmt numFmtId="190" formatCode="0.000000_ "/>
    <numFmt numFmtId="191" formatCode="0.00\ &quot;mg&quot;"/>
    <numFmt numFmtId="192" formatCode="0.000\ &quot;kg&quot;"/>
    <numFmt numFmtId="193" formatCode="0.0_ "/>
    <numFmt numFmtId="194" formatCode="0.0\ &quot;kg&quot;"/>
    <numFmt numFmtId="195" formatCode="#\ ##0.0\ &quot;mg&quot;"/>
    <numFmt numFmtId="196" formatCode="0.000"/>
    <numFmt numFmtId="197" formatCode="0.00000"/>
    <numFmt numFmtId="198" formatCode="####\-##\-##"/>
    <numFmt numFmtId="199" formatCode="0.000_);[Red]\(0.000\)"/>
    <numFmt numFmtId="200" formatCode="0.0000_);[Red]\(0.0000\)"/>
    <numFmt numFmtId="201" formatCode="0.0000_ "/>
    <numFmt numFmtId="202" formatCode="\√\(0\)"/>
    <numFmt numFmtId="203" formatCode="0.0"/>
    <numFmt numFmtId="204" formatCode="#0.0\ E+00"/>
    <numFmt numFmtId="205" formatCode="&quot;0&quot;.0#\ E+00"/>
    <numFmt numFmtId="206" formatCode="\(0.00\ &quot;μm&quot;\)"/>
    <numFmt numFmtId="207" formatCode="0.00\ &quot;μm&quot;"/>
    <numFmt numFmtId="208" formatCode="0.00\ \℃"/>
    <numFmt numFmtId="209" formatCode="&quot;0.58 ℃×( -&quot;0.00"/>
    <numFmt numFmtId="210" formatCode="0.000\ &quot;mm&quot;"/>
    <numFmt numFmtId="211" formatCode="0.000\ 00"/>
    <numFmt numFmtId="212" formatCode="#\ ###\ ###"/>
    <numFmt numFmtId="213" formatCode="0.0\ &quot;μm&quot;"/>
    <numFmt numFmtId="214" formatCode="0.000\ &quot;μm&quot;"/>
    <numFmt numFmtId="215" formatCode="_-* #,##0_-;\-* #,##0_-;_-* &quot;-&quot;??_-;_-@_-"/>
    <numFmt numFmtId="216" formatCode="0.00_);[Red]\(0.00\)"/>
    <numFmt numFmtId="217" formatCode="0.0000"/>
    <numFmt numFmtId="218" formatCode="0_ "/>
    <numFmt numFmtId="219" formatCode="0.0E+00"/>
  </numFmts>
  <fonts count="104">
    <font>
      <sz val="11"/>
      <name val="돋움"/>
      <family val="3"/>
      <charset val="129"/>
    </font>
    <font>
      <sz val="9"/>
      <name val="Tahoma"/>
      <family val="2"/>
    </font>
    <font>
      <b/>
      <sz val="9"/>
      <name val="Tahoma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9"/>
      <name val="Tahoma"/>
      <family val="2"/>
    </font>
    <font>
      <sz val="10"/>
      <name val="Arial"/>
      <family val="2"/>
    </font>
    <font>
      <b/>
      <sz val="9"/>
      <color indexed="9"/>
      <name val="돋움"/>
      <family val="3"/>
      <charset val="129"/>
    </font>
    <font>
      <sz val="8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0"/>
      <color indexed="36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¹ÙÅÁÃ¼"/>
      <family val="1"/>
      <charset val="129"/>
    </font>
    <font>
      <sz val="14"/>
      <name val="¾©"/>
      <family val="3"/>
      <charset val="129"/>
    </font>
    <font>
      <sz val="10"/>
      <name val="±¼¸²Ã¼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¾©"/>
      <family val="3"/>
      <charset val="129"/>
    </font>
    <font>
      <b/>
      <sz val="20"/>
      <name val="Tahoma"/>
      <family val="2"/>
    </font>
    <font>
      <b/>
      <sz val="20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8"/>
      <color indexed="10"/>
      <name val="Tahoma"/>
      <family val="2"/>
    </font>
    <font>
      <sz val="8"/>
      <name val="맑은 고딕"/>
      <family val="3"/>
      <charset val="129"/>
    </font>
    <font>
      <sz val="8"/>
      <color indexed="8"/>
      <name val="Tahoma"/>
      <family val="2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sz val="9"/>
      <color indexed="8"/>
      <name val="Arial Unicode MS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22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name val="Arial Unicode MS"/>
      <family val="3"/>
      <charset val="129"/>
    </font>
    <font>
      <b/>
      <sz val="9"/>
      <name val="돋움"/>
      <family val="3"/>
      <charset val="129"/>
    </font>
    <font>
      <b/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sz val="9"/>
      <color rgb="FFFF0000"/>
      <name val="Arial Unicode MS"/>
      <family val="3"/>
      <charset val="129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Times New Roman"/>
      <family val="1"/>
    </font>
    <font>
      <b/>
      <i/>
      <sz val="10"/>
      <name val="Times New Roman"/>
      <family val="1"/>
    </font>
    <font>
      <b/>
      <i/>
      <vertAlign val="subscript"/>
      <sz val="10"/>
      <name val="Times New Roman"/>
      <family val="1"/>
    </font>
    <font>
      <i/>
      <sz val="10"/>
      <name val="맑은 고딕"/>
      <family val="3"/>
      <charset val="129"/>
      <scheme val="major"/>
    </font>
    <font>
      <b/>
      <sz val="10"/>
      <name val="맑은 고딕"/>
      <family val="1"/>
      <scheme val="major"/>
    </font>
    <font>
      <b/>
      <sz val="20"/>
      <name val="맑은 고딕"/>
      <family val="3"/>
      <charset val="129"/>
      <scheme val="minor"/>
    </font>
    <font>
      <b/>
      <sz val="20"/>
      <name val="Felix Titling"/>
      <family val="5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color indexed="9"/>
      <name val="맑은 고딕"/>
      <family val="3"/>
      <charset val="129"/>
      <scheme val="major"/>
    </font>
    <font>
      <b/>
      <vertAlign val="subscript"/>
      <sz val="9"/>
      <color indexed="9"/>
      <name val="맑은 고딕"/>
      <family val="3"/>
      <charset val="129"/>
      <scheme val="major"/>
    </font>
    <font>
      <b/>
      <sz val="9"/>
      <color indexed="9"/>
      <name val="굴림"/>
      <family val="3"/>
      <charset val="129"/>
    </font>
    <font>
      <vertAlign val="subscript"/>
      <sz val="9"/>
      <name val="맑은 고딕"/>
      <family val="3"/>
      <charset val="129"/>
      <scheme val="major"/>
    </font>
    <font>
      <b/>
      <sz val="9"/>
      <color rgb="FFFF0000"/>
      <name val="Tahoma"/>
      <family val="2"/>
    </font>
    <font>
      <vertAlign val="subscript"/>
      <sz val="10"/>
      <name val="Times New Roman"/>
      <family val="1"/>
    </font>
    <font>
      <b/>
      <sz val="10"/>
      <name val="Times New Roman"/>
      <family val="1"/>
    </font>
    <font>
      <sz val="10"/>
      <name val="맑은 고딕"/>
      <family val="1"/>
      <scheme val="major"/>
    </font>
    <font>
      <vertAlign val="superscript"/>
      <sz val="10"/>
      <name val="맑은 고딕"/>
      <family val="3"/>
      <charset val="129"/>
      <scheme val="major"/>
    </font>
    <font>
      <b/>
      <i/>
      <sz val="10"/>
      <name val="맑은 고딕"/>
      <family val="3"/>
      <charset val="129"/>
    </font>
    <font>
      <i/>
      <vertAlign val="superscript"/>
      <sz val="10"/>
      <name val="Times New Roman"/>
      <family val="1"/>
    </font>
    <font>
      <sz val="10"/>
      <color rgb="FFFF000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inor"/>
    </font>
    <font>
      <b/>
      <i/>
      <sz val="9"/>
      <color indexed="9"/>
      <name val="Times New Roman"/>
      <family val="1"/>
    </font>
    <font>
      <b/>
      <vertAlign val="subscript"/>
      <sz val="9"/>
      <color indexed="9"/>
      <name val="Times New Roman"/>
      <family val="1"/>
    </font>
    <font>
      <sz val="9"/>
      <color theme="0" tint="-0.249977111117893"/>
      <name val="맑은 고딕"/>
      <family val="3"/>
      <charset val="129"/>
      <scheme val="major"/>
    </font>
    <font>
      <sz val="9"/>
      <name val="돋움"/>
      <family val="3"/>
      <charset val="129"/>
    </font>
    <font>
      <b/>
      <sz val="10"/>
      <color rgb="FFFF0000"/>
      <name val="맑은 고딕"/>
      <family val="3"/>
      <charset val="129"/>
      <scheme val="major"/>
    </font>
    <font>
      <sz val="10"/>
      <name val="바탕"/>
      <family val="1"/>
      <charset val="129"/>
    </font>
    <font>
      <b/>
      <sz val="9"/>
      <color indexed="8"/>
      <name val="Arial Unicode MS"/>
      <family val="3"/>
      <charset val="129"/>
    </font>
    <font>
      <b/>
      <vertAlign val="superscript"/>
      <sz val="9"/>
      <color indexed="9"/>
      <name val="맑은 고딕"/>
      <family val="3"/>
      <charset val="129"/>
      <scheme val="major"/>
    </font>
    <font>
      <sz val="9"/>
      <color indexed="9"/>
      <name val="맑은 고딕"/>
      <family val="3"/>
      <charset val="129"/>
      <scheme val="maj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/>
      <bottom style="thin">
        <color theme="0" tint="-0.24994659260841701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theme="0" tint="-0.49998474074526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114">
    <xf numFmtId="0" fontId="0" fillId="0" borderId="0">
      <alignment vertical="center"/>
    </xf>
    <xf numFmtId="0" fontId="13" fillId="0" borderId="0"/>
    <xf numFmtId="0" fontId="13" fillId="0" borderId="0"/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7" fillId="0" borderId="0"/>
    <xf numFmtId="0" fontId="37" fillId="0" borderId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76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4" fillId="0" borderId="0"/>
    <xf numFmtId="180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38" fontId="35" fillId="16" borderId="0" applyNumberFormat="0" applyBorder="0" applyAlignment="0" applyProtection="0"/>
    <xf numFmtId="10" fontId="35" fillId="17" borderId="1" applyNumberFormat="0" applyBorder="0" applyAlignment="0" applyProtection="0"/>
    <xf numFmtId="0" fontId="36" fillId="0" borderId="0"/>
    <xf numFmtId="0" fontId="6" fillId="0" borderId="0"/>
    <xf numFmtId="10" fontId="6" fillId="0" borderId="0" applyFont="0" applyFill="0" applyBorder="0" applyAlignment="0" applyProtection="0"/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2" borderId="2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3" fillId="23" borderId="3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2" fillId="0" borderId="0"/>
    <xf numFmtId="0" fontId="21" fillId="0" borderId="0" applyNumberFormat="0" applyFill="0" applyBorder="0" applyAlignment="0" applyProtection="0">
      <alignment vertical="center"/>
    </xf>
    <xf numFmtId="0" fontId="22" fillId="25" borderId="4" applyNumberFormat="0" applyAlignment="0" applyProtection="0">
      <alignment vertical="center"/>
    </xf>
    <xf numFmtId="0" fontId="6" fillId="0" borderId="0"/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7" borderId="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22" borderId="10" applyNumberFormat="0" applyAlignment="0" applyProtection="0">
      <alignment vertical="center"/>
    </xf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43" fillId="0" borderId="0">
      <alignment vertical="center"/>
    </xf>
    <xf numFmtId="0" fontId="3" fillId="0" borderId="0">
      <alignment vertical="center"/>
    </xf>
    <xf numFmtId="0" fontId="3" fillId="0" borderId="0"/>
    <xf numFmtId="0" fontId="51" fillId="0" borderId="0">
      <alignment vertical="center"/>
    </xf>
    <xf numFmtId="0" fontId="14" fillId="0" borderId="0">
      <alignment vertical="center"/>
    </xf>
    <xf numFmtId="0" fontId="3" fillId="0" borderId="0"/>
    <xf numFmtId="0" fontId="4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5" applyNumberFormat="0" applyBorder="0" applyAlignment="0" applyProtection="0"/>
    <xf numFmtId="0" fontId="17" fillId="22" borderId="66" applyNumberFormat="0" applyAlignment="0" applyProtection="0">
      <alignment vertical="center"/>
    </xf>
    <xf numFmtId="0" fontId="3" fillId="23" borderId="63" applyNumberFormat="0" applyFont="0" applyAlignment="0" applyProtection="0">
      <alignment vertical="center"/>
    </xf>
    <xf numFmtId="0" fontId="24" fillId="0" borderId="67" applyNumberFormat="0" applyFill="0" applyAlignment="0" applyProtection="0">
      <alignment vertical="center"/>
    </xf>
    <xf numFmtId="0" fontId="25" fillId="7" borderId="66" applyNumberFormat="0" applyAlignment="0" applyProtection="0">
      <alignment vertical="center"/>
    </xf>
    <xf numFmtId="0" fontId="31" fillId="22" borderId="68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70" applyNumberFormat="0" applyBorder="0" applyAlignment="0" applyProtection="0"/>
    <xf numFmtId="0" fontId="17" fillId="22" borderId="71" applyNumberFormat="0" applyAlignment="0" applyProtection="0">
      <alignment vertical="center"/>
    </xf>
    <xf numFmtId="0" fontId="3" fillId="23" borderId="69" applyNumberFormat="0" applyFont="0" applyAlignment="0" applyProtection="0">
      <alignment vertical="center"/>
    </xf>
    <xf numFmtId="0" fontId="24" fillId="0" borderId="72" applyNumberFormat="0" applyFill="0" applyAlignment="0" applyProtection="0">
      <alignment vertical="center"/>
    </xf>
    <xf numFmtId="0" fontId="25" fillId="7" borderId="71" applyNumberFormat="0" applyAlignment="0" applyProtection="0">
      <alignment vertical="center"/>
    </xf>
    <xf numFmtId="0" fontId="31" fillId="22" borderId="73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70" applyNumberFormat="0" applyBorder="0" applyAlignment="0" applyProtection="0"/>
    <xf numFmtId="0" fontId="17" fillId="22" borderId="71" applyNumberFormat="0" applyAlignment="0" applyProtection="0">
      <alignment vertical="center"/>
    </xf>
    <xf numFmtId="0" fontId="3" fillId="23" borderId="69" applyNumberFormat="0" applyFont="0" applyAlignment="0" applyProtection="0">
      <alignment vertical="center"/>
    </xf>
    <xf numFmtId="0" fontId="24" fillId="0" borderId="72" applyNumberFormat="0" applyFill="0" applyAlignment="0" applyProtection="0">
      <alignment vertical="center"/>
    </xf>
    <xf numFmtId="0" fontId="25" fillId="7" borderId="71" applyNumberFormat="0" applyAlignment="0" applyProtection="0">
      <alignment vertical="center"/>
    </xf>
    <xf numFmtId="0" fontId="31" fillId="22" borderId="73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0" borderId="0"/>
  </cellStyleXfs>
  <cellXfs count="525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44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vertical="center"/>
    </xf>
    <xf numFmtId="0" fontId="8" fillId="0" borderId="1" xfId="0" applyFont="1" applyFill="1" applyBorder="1" applyAlignment="1" applyProtection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14" fontId="1" fillId="0" borderId="0" xfId="0" applyNumberFormat="1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Font="1" applyAlignment="1">
      <alignment horizontal="center" vertical="center"/>
    </xf>
    <xf numFmtId="0" fontId="53" fillId="26" borderId="0" xfId="0" applyFont="1" applyFill="1" applyAlignment="1">
      <alignment horizontal="center" vertical="center"/>
    </xf>
    <xf numFmtId="0" fontId="53" fillId="26" borderId="0" xfId="0" applyFont="1" applyFill="1" applyAlignment="1">
      <alignment horizontal="center" vertical="center" wrapText="1"/>
    </xf>
    <xf numFmtId="0" fontId="56" fillId="0" borderId="0" xfId="0" applyFont="1" applyAlignment="1">
      <alignment horizontal="left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4" fillId="0" borderId="0" xfId="0" applyFont="1" applyAlignment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7" fillId="0" borderId="0" xfId="0" applyFont="1" applyBorder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/>
    <xf numFmtId="0" fontId="55" fillId="0" borderId="25" xfId="0" applyFont="1" applyBorder="1" applyAlignment="1">
      <alignment horizontal="center" vertical="center"/>
    </xf>
    <xf numFmtId="0" fontId="52" fillId="0" borderId="25" xfId="0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NumberFormat="1" applyFont="1" applyBorder="1" applyAlignment="1">
      <alignment horizontal="center" vertical="center"/>
    </xf>
    <xf numFmtId="0" fontId="8" fillId="29" borderId="11" xfId="0" applyFont="1" applyFill="1" applyBorder="1" applyAlignment="1" applyProtection="1">
      <alignment horizontal="center" vertical="center"/>
      <protection locked="0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 applyFill="1" applyBorder="1" applyAlignment="1">
      <alignment vertical="center"/>
    </xf>
    <xf numFmtId="0" fontId="48" fillId="0" borderId="0" xfId="79" applyNumberFormat="1" applyFont="1" applyFill="1" applyAlignment="1">
      <alignment horizontal="center" vertical="center"/>
    </xf>
    <xf numFmtId="0" fontId="48" fillId="0" borderId="0" xfId="79" applyNumberFormat="1" applyFont="1" applyFill="1" applyAlignment="1">
      <alignment vertical="center"/>
    </xf>
    <xf numFmtId="0" fontId="11" fillId="0" borderId="0" xfId="0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3" fillId="26" borderId="33" xfId="0" applyFont="1" applyFill="1" applyBorder="1" applyAlignment="1">
      <alignment horizontal="center" vertical="center" wrapText="1"/>
    </xf>
    <xf numFmtId="0" fontId="55" fillId="0" borderId="33" xfId="0" applyFont="1" applyBorder="1" applyAlignment="1">
      <alignment horizontal="center" vertical="center"/>
    </xf>
    <xf numFmtId="0" fontId="64" fillId="0" borderId="0" xfId="79" applyNumberFormat="1" applyFont="1" applyFill="1" applyAlignment="1">
      <alignment horizontal="left" vertical="center"/>
    </xf>
    <xf numFmtId="0" fontId="64" fillId="0" borderId="0" xfId="79" applyNumberFormat="1" applyFont="1" applyFill="1" applyAlignment="1">
      <alignment vertical="center"/>
    </xf>
    <xf numFmtId="0" fontId="9" fillId="0" borderId="0" xfId="0" applyNumberFormat="1" applyFont="1" applyFill="1">
      <alignment vertical="center"/>
    </xf>
    <xf numFmtId="0" fontId="61" fillId="0" borderId="0" xfId="0" applyNumberFormat="1" applyFont="1" applyFill="1" applyBorder="1" applyAlignment="1">
      <alignment vertical="center"/>
    </xf>
    <xf numFmtId="0" fontId="1" fillId="0" borderId="0" xfId="79" applyNumberFormat="1" applyFont="1" applyFill="1" applyAlignment="1">
      <alignment horizontal="left" vertical="center"/>
    </xf>
    <xf numFmtId="0" fontId="48" fillId="0" borderId="0" xfId="0" applyNumberFormat="1" applyFont="1">
      <alignment vertical="center"/>
    </xf>
    <xf numFmtId="0" fontId="1" fillId="0" borderId="0" xfId="79" applyNumberFormat="1" applyFont="1" applyFill="1" applyBorder="1" applyAlignment="1">
      <alignment horizontal="left" vertical="center"/>
    </xf>
    <xf numFmtId="0" fontId="48" fillId="0" borderId="0" xfId="79" applyNumberFormat="1" applyFont="1" applyFill="1" applyAlignment="1">
      <alignment horizontal="left" vertical="center"/>
    </xf>
    <xf numFmtId="0" fontId="48" fillId="0" borderId="0" xfId="79" applyNumberFormat="1" applyFont="1" applyFill="1" applyBorder="1" applyAlignment="1">
      <alignment horizontal="center" vertical="center"/>
    </xf>
    <xf numFmtId="3" fontId="48" fillId="0" borderId="0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right" vertical="center"/>
    </xf>
    <xf numFmtId="0" fontId="48" fillId="0" borderId="0" xfId="0" applyNumberFormat="1" applyFont="1" applyBorder="1" applyAlignment="1">
      <alignment vertical="center"/>
    </xf>
    <xf numFmtId="0" fontId="55" fillId="0" borderId="35" xfId="0" applyFont="1" applyBorder="1" applyAlignment="1">
      <alignment horizontal="center" vertical="center"/>
    </xf>
    <xf numFmtId="0" fontId="67" fillId="0" borderId="0" xfId="0" applyFont="1">
      <alignment vertical="center"/>
    </xf>
    <xf numFmtId="0" fontId="67" fillId="0" borderId="0" xfId="0" applyFont="1" applyBorder="1">
      <alignment vertical="center"/>
    </xf>
    <xf numFmtId="0" fontId="68" fillId="0" borderId="0" xfId="0" applyFont="1" applyBorder="1" applyAlignment="1">
      <alignment vertical="center"/>
    </xf>
    <xf numFmtId="0" fontId="67" fillId="0" borderId="0" xfId="0" applyFont="1" applyAlignment="1">
      <alignment vertical="center"/>
    </xf>
    <xf numFmtId="0" fontId="65" fillId="0" borderId="0" xfId="0" applyFont="1" applyBorder="1" applyAlignment="1">
      <alignment vertical="center"/>
    </xf>
    <xf numFmtId="0" fontId="68" fillId="0" borderId="0" xfId="0" applyFont="1" applyBorder="1">
      <alignment vertical="center"/>
    </xf>
    <xf numFmtId="0" fontId="69" fillId="0" borderId="0" xfId="0" applyFont="1" applyBorder="1">
      <alignment vertical="center"/>
    </xf>
    <xf numFmtId="1" fontId="67" fillId="0" borderId="0" xfId="0" applyNumberFormat="1" applyFont="1" applyBorder="1" applyAlignment="1">
      <alignment vertical="center"/>
    </xf>
    <xf numFmtId="0" fontId="38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190" fontId="1" fillId="0" borderId="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49" fontId="1" fillId="0" borderId="0" xfId="0" applyNumberFormat="1" applyFont="1" applyFill="1" applyBorder="1" applyAlignment="1">
      <alignment vertical="center"/>
    </xf>
    <xf numFmtId="0" fontId="74" fillId="0" borderId="0" xfId="0" applyNumberFormat="1" applyFont="1" applyAlignment="1">
      <alignment vertical="center"/>
    </xf>
    <xf numFmtId="0" fontId="52" fillId="0" borderId="0" xfId="0" applyNumberFormat="1" applyFont="1" applyAlignment="1">
      <alignment vertical="center"/>
    </xf>
    <xf numFmtId="0" fontId="54" fillId="0" borderId="0" xfId="0" applyNumberFormat="1" applyFont="1" applyBorder="1" applyAlignment="1">
      <alignment vertical="center"/>
    </xf>
    <xf numFmtId="0" fontId="68" fillId="0" borderId="0" xfId="0" applyFont="1" applyBorder="1" applyAlignment="1">
      <alignment horizontal="left" vertical="center" indent="1"/>
    </xf>
    <xf numFmtId="0" fontId="52" fillId="0" borderId="0" xfId="0" applyNumberFormat="1" applyFont="1" applyFill="1" applyBorder="1" applyAlignment="1">
      <alignment vertical="center"/>
    </xf>
    <xf numFmtId="191" fontId="67" fillId="0" borderId="0" xfId="0" applyNumberFormat="1" applyFont="1" applyBorder="1" applyAlignment="1">
      <alignment horizontal="center" vertical="center"/>
    </xf>
    <xf numFmtId="0" fontId="48" fillId="31" borderId="0" xfId="79" applyNumberFormat="1" applyFont="1" applyFill="1" applyAlignment="1">
      <alignment horizontal="center" vertical="center"/>
    </xf>
    <xf numFmtId="0" fontId="60" fillId="31" borderId="0" xfId="0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horizontal="center" vertical="center"/>
    </xf>
    <xf numFmtId="0" fontId="48" fillId="0" borderId="36" xfId="79" applyNumberFormat="1" applyFont="1" applyFill="1" applyBorder="1" applyAlignment="1">
      <alignment horizontal="right" vertical="center"/>
    </xf>
    <xf numFmtId="0" fontId="50" fillId="0" borderId="36" xfId="80" applyNumberFormat="1" applyFont="1" applyFill="1" applyBorder="1" applyAlignment="1">
      <alignment horizontal="right" vertical="center"/>
    </xf>
    <xf numFmtId="0" fontId="48" fillId="0" borderId="36" xfId="79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left" vertical="center"/>
    </xf>
    <xf numFmtId="0" fontId="48" fillId="0" borderId="0" xfId="0" applyFont="1">
      <alignment vertical="center"/>
    </xf>
    <xf numFmtId="49" fontId="1" fillId="0" borderId="0" xfId="79" applyNumberFormat="1" applyFont="1" applyFill="1" applyBorder="1" applyAlignment="1">
      <alignment horizontal="left" vertical="center"/>
    </xf>
    <xf numFmtId="49" fontId="48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center" vertical="center"/>
    </xf>
    <xf numFmtId="0" fontId="46" fillId="17" borderId="1" xfId="0" applyNumberFormat="1" applyFont="1" applyFill="1" applyBorder="1" applyAlignment="1" applyProtection="1">
      <alignment horizontal="center" vertical="center" shrinkToFit="1"/>
      <protection locked="0"/>
    </xf>
    <xf numFmtId="185" fontId="8" fillId="17" borderId="1" xfId="0" applyNumberFormat="1" applyFont="1" applyFill="1" applyBorder="1" applyAlignment="1" applyProtection="1">
      <alignment horizontal="center" vertical="center" shrinkToFit="1"/>
    </xf>
    <xf numFmtId="186" fontId="8" fillId="17" borderId="1" xfId="0" applyNumberFormat="1" applyFont="1" applyFill="1" applyBorder="1" applyAlignment="1" applyProtection="1">
      <alignment horizontal="center" vertical="center" shrinkToFit="1"/>
    </xf>
    <xf numFmtId="187" fontId="8" fillId="0" borderId="1" xfId="0" applyNumberFormat="1" applyFont="1" applyFill="1" applyBorder="1" applyAlignment="1" applyProtection="1">
      <alignment horizontal="center" vertical="center" shrinkToFit="1"/>
    </xf>
    <xf numFmtId="0" fontId="48" fillId="0" borderId="39" xfId="79" applyNumberFormat="1" applyFont="1" applyFill="1" applyBorder="1" applyAlignment="1">
      <alignment vertical="center"/>
    </xf>
    <xf numFmtId="0" fontId="48" fillId="0" borderId="39" xfId="79" applyNumberFormat="1" applyFont="1" applyFill="1" applyBorder="1" applyAlignment="1">
      <alignment horizontal="left" vertical="center"/>
    </xf>
    <xf numFmtId="0" fontId="48" fillId="0" borderId="39" xfId="79" applyNumberFormat="1" applyFont="1" applyFill="1" applyBorder="1" applyAlignment="1">
      <alignment horizontal="right" vertical="center"/>
    </xf>
    <xf numFmtId="49" fontId="48" fillId="0" borderId="0" xfId="79" applyNumberFormat="1" applyFont="1" applyFill="1" applyAlignment="1">
      <alignment horizontal="center" vertical="center"/>
    </xf>
    <xf numFmtId="0" fontId="64" fillId="0" borderId="0" xfId="79" applyNumberFormat="1" applyFont="1" applyFill="1" applyAlignment="1">
      <alignment horizontal="center" vertical="center"/>
    </xf>
    <xf numFmtId="0" fontId="78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5" fillId="0" borderId="38" xfId="0" applyFont="1" applyBorder="1" applyAlignment="1">
      <alignment horizontal="center" vertical="center"/>
    </xf>
    <xf numFmtId="0" fontId="79" fillId="0" borderId="0" xfId="0" applyFont="1" applyBorder="1">
      <alignment vertical="center"/>
    </xf>
    <xf numFmtId="195" fontId="67" fillId="0" borderId="39" xfId="0" applyNumberFormat="1" applyFont="1" applyBorder="1" applyAlignment="1">
      <alignment vertical="center"/>
    </xf>
    <xf numFmtId="0" fontId="48" fillId="0" borderId="39" xfId="79" applyNumberFormat="1" applyFont="1" applyFill="1" applyBorder="1" applyAlignment="1">
      <alignment horizontal="center" vertical="center"/>
    </xf>
    <xf numFmtId="0" fontId="50" fillId="0" borderId="39" xfId="80" applyNumberFormat="1" applyFont="1" applyFill="1" applyBorder="1" applyAlignment="1">
      <alignment horizontal="right" vertical="center"/>
    </xf>
    <xf numFmtId="0" fontId="48" fillId="0" borderId="40" xfId="79" applyNumberFormat="1" applyFont="1" applyFill="1" applyBorder="1" applyAlignment="1">
      <alignment horizontal="center" vertical="center"/>
    </xf>
    <xf numFmtId="0" fontId="7" fillId="28" borderId="42" xfId="0" applyNumberFormat="1" applyFont="1" applyFill="1" applyBorder="1" applyAlignment="1">
      <alignment horizontal="center" vertical="center"/>
    </xf>
    <xf numFmtId="0" fontId="1" fillId="0" borderId="41" xfId="78" applyNumberFormat="1" applyFont="1" applyFill="1" applyBorder="1" applyAlignment="1">
      <alignment horizontal="center" vertical="center"/>
    </xf>
    <xf numFmtId="49" fontId="1" fillId="0" borderId="41" xfId="78" applyNumberFormat="1" applyFont="1" applyFill="1" applyBorder="1" applyAlignment="1">
      <alignment horizontal="center" vertical="center"/>
    </xf>
    <xf numFmtId="198" fontId="1" fillId="0" borderId="41" xfId="78" applyNumberFormat="1" applyFont="1" applyFill="1" applyBorder="1" applyAlignment="1">
      <alignment horizontal="center" vertical="center"/>
    </xf>
    <xf numFmtId="0" fontId="6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48" fillId="0" borderId="0" xfId="0" applyFont="1" applyBorder="1">
      <alignment vertical="center"/>
    </xf>
    <xf numFmtId="49" fontId="48" fillId="0" borderId="0" xfId="79" applyNumberFormat="1" applyFont="1" applyFill="1" applyBorder="1" applyAlignment="1">
      <alignment horizontal="center" vertical="center"/>
    </xf>
    <xf numFmtId="0" fontId="48" fillId="31" borderId="43" xfId="79" applyNumberFormat="1" applyFont="1" applyFill="1" applyBorder="1" applyAlignment="1">
      <alignment horizontal="center" vertical="center"/>
    </xf>
    <xf numFmtId="0" fontId="60" fillId="31" borderId="43" xfId="0" applyNumberFormat="1" applyFont="1" applyFill="1" applyBorder="1" applyAlignment="1">
      <alignment horizontal="left" vertical="center"/>
    </xf>
    <xf numFmtId="0" fontId="69" fillId="0" borderId="0" xfId="0" applyFont="1" applyBorder="1" applyAlignment="1">
      <alignment vertical="center"/>
    </xf>
    <xf numFmtId="0" fontId="67" fillId="0" borderId="0" xfId="0" quotePrefix="1" applyFont="1" applyBorder="1" applyAlignment="1">
      <alignment vertical="center"/>
    </xf>
    <xf numFmtId="0" fontId="1" fillId="35" borderId="0" xfId="0" applyFont="1" applyFill="1" applyBorder="1" applyProtection="1">
      <alignment vertical="center"/>
      <protection locked="0"/>
    </xf>
    <xf numFmtId="49" fontId="55" fillId="0" borderId="49" xfId="0" applyNumberFormat="1" applyFont="1" applyBorder="1" applyAlignment="1">
      <alignment horizontal="center" vertical="center"/>
    </xf>
    <xf numFmtId="0" fontId="53" fillId="26" borderId="49" xfId="0" applyFont="1" applyFill="1" applyBorder="1" applyAlignment="1">
      <alignment horizontal="center" vertical="center" wrapText="1"/>
    </xf>
    <xf numFmtId="0" fontId="55" fillId="0" borderId="49" xfId="0" applyFont="1" applyBorder="1" applyAlignment="1">
      <alignment horizontal="center" vertical="center"/>
    </xf>
    <xf numFmtId="0" fontId="52" fillId="0" borderId="49" xfId="0" applyFont="1" applyBorder="1" applyAlignment="1">
      <alignment horizontal="center" vertical="center"/>
    </xf>
    <xf numFmtId="0" fontId="52" fillId="0" borderId="49" xfId="0" applyNumberFormat="1" applyFont="1" applyBorder="1" applyAlignment="1">
      <alignment horizontal="center" vertical="center"/>
    </xf>
    <xf numFmtId="0" fontId="76" fillId="33" borderId="49" xfId="0" applyFont="1" applyFill="1" applyBorder="1">
      <alignment vertical="center"/>
    </xf>
    <xf numFmtId="0" fontId="80" fillId="0" borderId="0" xfId="0" applyNumberFormat="1" applyFont="1" applyFill="1" applyAlignment="1">
      <alignment horizontal="left" vertical="center" indent="1"/>
    </xf>
    <xf numFmtId="0" fontId="81" fillId="0" borderId="0" xfId="0" applyNumberFormat="1" applyFont="1" applyFill="1" applyBorder="1" applyAlignment="1">
      <alignment horizontal="center" vertical="center"/>
    </xf>
    <xf numFmtId="0" fontId="81" fillId="0" borderId="0" xfId="0" applyNumberFormat="1" applyFont="1" applyFill="1" applyBorder="1" applyAlignment="1">
      <alignment horizontal="left" vertical="center"/>
    </xf>
    <xf numFmtId="0" fontId="81" fillId="0" borderId="0" xfId="0" applyNumberFormat="1" applyFont="1">
      <alignment vertical="center"/>
    </xf>
    <xf numFmtId="0" fontId="81" fillId="0" borderId="0" xfId="0" applyNumberFormat="1" applyFont="1" applyFill="1" applyBorder="1" applyAlignment="1">
      <alignment vertical="center"/>
    </xf>
    <xf numFmtId="0" fontId="81" fillId="0" borderId="48" xfId="0" applyNumberFormat="1" applyFont="1" applyFill="1" applyBorder="1" applyAlignment="1">
      <alignment horizontal="center" vertical="center"/>
    </xf>
    <xf numFmtId="0" fontId="81" fillId="0" borderId="0" xfId="0" applyNumberFormat="1" applyFont="1" applyFill="1" applyAlignment="1">
      <alignment vertical="center"/>
    </xf>
    <xf numFmtId="0" fontId="80" fillId="0" borderId="0" xfId="0" applyNumberFormat="1" applyFont="1" applyFill="1" applyBorder="1" applyAlignment="1">
      <alignment vertical="center"/>
    </xf>
    <xf numFmtId="0" fontId="81" fillId="0" borderId="48" xfId="78" applyNumberFormat="1" applyFont="1" applyFill="1" applyBorder="1" applyAlignment="1">
      <alignment horizontal="center" vertical="center"/>
    </xf>
    <xf numFmtId="188" fontId="81" fillId="0" borderId="48" xfId="78" applyNumberFormat="1" applyFont="1" applyFill="1" applyBorder="1" applyAlignment="1">
      <alignment horizontal="center" vertical="center"/>
    </xf>
    <xf numFmtId="188" fontId="81" fillId="0" borderId="48" xfId="0" applyNumberFormat="1" applyFont="1" applyFill="1" applyBorder="1" applyAlignment="1">
      <alignment horizontal="center" vertical="center"/>
    </xf>
    <xf numFmtId="0" fontId="81" fillId="32" borderId="48" xfId="0" applyNumberFormat="1" applyFont="1" applyFill="1" applyBorder="1" applyAlignment="1">
      <alignment horizontal="center" vertical="center"/>
    </xf>
    <xf numFmtId="0" fontId="81" fillId="29" borderId="48" xfId="0" applyNumberFormat="1" applyFont="1" applyFill="1" applyBorder="1" applyAlignment="1">
      <alignment horizontal="center" vertical="center"/>
    </xf>
    <xf numFmtId="0" fontId="81" fillId="34" borderId="48" xfId="0" applyNumberFormat="1" applyFont="1" applyFill="1" applyBorder="1" applyAlignment="1">
      <alignment horizontal="center" vertical="center"/>
    </xf>
    <xf numFmtId="189" fontId="81" fillId="36" borderId="48" xfId="0" applyNumberFormat="1" applyFont="1" applyFill="1" applyBorder="1" applyAlignment="1">
      <alignment horizontal="center" vertical="center"/>
    </xf>
    <xf numFmtId="0" fontId="81" fillId="0" borderId="48" xfId="0" applyNumberFormat="1" applyFont="1" applyFill="1" applyBorder="1" applyAlignment="1">
      <alignment horizontal="left" vertical="center"/>
    </xf>
    <xf numFmtId="49" fontId="81" fillId="0" borderId="48" xfId="0" applyNumberFormat="1" applyFont="1" applyFill="1" applyBorder="1" applyAlignment="1">
      <alignment horizontal="left" vertical="center"/>
    </xf>
    <xf numFmtId="0" fontId="81" fillId="0" borderId="54" xfId="0" applyNumberFormat="1" applyFont="1" applyFill="1" applyBorder="1" applyAlignment="1">
      <alignment horizontal="center" vertical="center"/>
    </xf>
    <xf numFmtId="199" fontId="81" fillId="29" borderId="55" xfId="0" applyNumberFormat="1" applyFont="1" applyFill="1" applyBorder="1" applyAlignment="1">
      <alignment horizontal="center" vertical="center"/>
    </xf>
    <xf numFmtId="199" fontId="81" fillId="0" borderId="57" xfId="0" applyNumberFormat="1" applyFont="1" applyFill="1" applyBorder="1" applyAlignment="1">
      <alignment horizontal="center" vertical="center"/>
    </xf>
    <xf numFmtId="200" fontId="81" fillId="0" borderId="54" xfId="0" applyNumberFormat="1" applyFont="1" applyFill="1" applyBorder="1" applyAlignment="1">
      <alignment horizontal="center" vertical="center"/>
    </xf>
    <xf numFmtId="0" fontId="81" fillId="35" borderId="54" xfId="0" applyNumberFormat="1" applyFont="1" applyFill="1" applyBorder="1" applyAlignment="1">
      <alignment horizontal="center" vertical="center"/>
    </xf>
    <xf numFmtId="201" fontId="81" fillId="0" borderId="48" xfId="0" applyNumberFormat="1" applyFont="1" applyFill="1" applyBorder="1" applyAlignment="1">
      <alignment horizontal="center" vertical="center"/>
    </xf>
    <xf numFmtId="0" fontId="80" fillId="0" borderId="0" xfId="0" applyNumberFormat="1" applyFont="1" applyFill="1" applyAlignment="1">
      <alignment vertical="center"/>
    </xf>
    <xf numFmtId="0" fontId="81" fillId="32" borderId="48" xfId="0" applyNumberFormat="1" applyFont="1" applyFill="1" applyBorder="1" applyAlignment="1">
      <alignment horizontal="center" vertical="center" wrapText="1"/>
    </xf>
    <xf numFmtId="0" fontId="81" fillId="0" borderId="48" xfId="0" applyNumberFormat="1" applyFont="1" applyFill="1" applyBorder="1" applyAlignment="1">
      <alignment horizontal="center" vertical="center" wrapText="1"/>
    </xf>
    <xf numFmtId="0" fontId="81" fillId="0" borderId="48" xfId="0" applyNumberFormat="1" applyFont="1" applyBorder="1" applyAlignment="1">
      <alignment horizontal="center" vertical="center"/>
    </xf>
    <xf numFmtId="193" fontId="81" fillId="0" borderId="48" xfId="0" applyNumberFormat="1" applyFont="1" applyFill="1" applyBorder="1" applyAlignment="1">
      <alignment horizontal="center" vertical="center"/>
    </xf>
    <xf numFmtId="202" fontId="81" fillId="0" borderId="48" xfId="0" applyNumberFormat="1" applyFont="1" applyFill="1" applyBorder="1" applyAlignment="1">
      <alignment horizontal="center" vertical="center"/>
    </xf>
    <xf numFmtId="203" fontId="81" fillId="0" borderId="48" xfId="0" applyNumberFormat="1" applyFont="1" applyFill="1" applyBorder="1" applyAlignment="1">
      <alignment horizontal="center" vertical="center"/>
    </xf>
    <xf numFmtId="0" fontId="78" fillId="0" borderId="49" xfId="0" applyFont="1" applyBorder="1" applyAlignment="1">
      <alignment horizontal="center" vertical="center"/>
    </xf>
    <xf numFmtId="204" fontId="81" fillId="0" borderId="48" xfId="0" applyNumberFormat="1" applyFont="1" applyFill="1" applyBorder="1" applyAlignment="1">
      <alignment horizontal="center" vertical="center"/>
    </xf>
    <xf numFmtId="204" fontId="81" fillId="31" borderId="48" xfId="0" applyNumberFormat="1" applyFont="1" applyFill="1" applyBorder="1" applyAlignment="1">
      <alignment horizontal="center" vertical="center"/>
    </xf>
    <xf numFmtId="205" fontId="81" fillId="0" borderId="48" xfId="0" applyNumberFormat="1" applyFont="1" applyFill="1" applyBorder="1" applyAlignment="1">
      <alignment horizontal="center" vertical="center"/>
    </xf>
    <xf numFmtId="0" fontId="82" fillId="28" borderId="47" xfId="0" applyNumberFormat="1" applyFont="1" applyFill="1" applyBorder="1" applyAlignment="1">
      <alignment horizontal="center" vertical="center" wrapText="1"/>
    </xf>
    <xf numFmtId="0" fontId="82" fillId="28" borderId="53" xfId="0" applyNumberFormat="1" applyFont="1" applyFill="1" applyBorder="1" applyAlignment="1">
      <alignment horizontal="center" vertical="center"/>
    </xf>
    <xf numFmtId="0" fontId="82" fillId="28" borderId="48" xfId="0" applyNumberFormat="1" applyFont="1" applyFill="1" applyBorder="1" applyAlignment="1">
      <alignment horizontal="center" vertical="center" wrapText="1"/>
    </xf>
    <xf numFmtId="0" fontId="82" fillId="28" borderId="48" xfId="0" applyNumberFormat="1" applyFont="1" applyFill="1" applyBorder="1" applyAlignment="1">
      <alignment horizontal="center" vertical="center"/>
    </xf>
    <xf numFmtId="189" fontId="81" fillId="0" borderId="48" xfId="0" applyNumberFormat="1" applyFont="1" applyFill="1" applyBorder="1" applyAlignment="1">
      <alignment horizontal="center" vertical="center"/>
    </xf>
    <xf numFmtId="0" fontId="5" fillId="28" borderId="47" xfId="0" applyNumberFormat="1" applyFont="1" applyFill="1" applyBorder="1" applyAlignment="1">
      <alignment horizontal="center" vertical="center"/>
    </xf>
    <xf numFmtId="0" fontId="86" fillId="35" borderId="53" xfId="78" applyNumberFormat="1" applyFont="1" applyFill="1" applyBorder="1" applyAlignment="1">
      <alignment horizontal="center" vertical="center"/>
    </xf>
    <xf numFmtId="0" fontId="80" fillId="0" borderId="0" xfId="0" applyNumberFormat="1" applyFont="1" applyFill="1" applyAlignment="1">
      <alignment horizontal="left" vertical="center"/>
    </xf>
    <xf numFmtId="201" fontId="81" fillId="0" borderId="56" xfId="0" applyNumberFormat="1" applyFont="1" applyFill="1" applyBorder="1" applyAlignment="1">
      <alignment horizontal="center" vertical="center"/>
    </xf>
    <xf numFmtId="201" fontId="81" fillId="0" borderId="54" xfId="0" applyNumberFormat="1" applyFont="1" applyFill="1" applyBorder="1" applyAlignment="1">
      <alignment horizontal="center" vertical="center"/>
    </xf>
    <xf numFmtId="0" fontId="81" fillId="35" borderId="56" xfId="0" applyNumberFormat="1" applyFont="1" applyFill="1" applyBorder="1" applyAlignment="1">
      <alignment horizontal="center" vertical="center"/>
    </xf>
    <xf numFmtId="0" fontId="48" fillId="0" borderId="31" xfId="79" applyNumberFormat="1" applyFont="1" applyFill="1" applyBorder="1" applyAlignment="1">
      <alignment horizontal="center" vertical="center"/>
    </xf>
    <xf numFmtId="0" fontId="48" fillId="0" borderId="50" xfId="79" applyNumberFormat="1" applyFont="1" applyFill="1" applyBorder="1" applyAlignment="1">
      <alignment horizontal="center" vertical="center"/>
    </xf>
    <xf numFmtId="0" fontId="48" fillId="0" borderId="49" xfId="79" applyNumberFormat="1" applyFont="1" applyFill="1" applyBorder="1" applyAlignment="1">
      <alignment horizontal="center" vertical="center"/>
    </xf>
    <xf numFmtId="0" fontId="48" fillId="0" borderId="60" xfId="79" applyNumberFormat="1" applyFont="1" applyFill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192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196" fontId="67" fillId="0" borderId="0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horizontal="left" vertical="center"/>
    </xf>
    <xf numFmtId="0" fontId="65" fillId="0" borderId="0" xfId="0" applyFont="1" applyBorder="1" applyAlignment="1">
      <alignment horizontal="right" vertical="center"/>
    </xf>
    <xf numFmtId="0" fontId="67" fillId="0" borderId="0" xfId="0" applyNumberFormat="1" applyFont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65" fillId="0" borderId="0" xfId="0" quotePrefix="1" applyFont="1" applyBorder="1" applyAlignment="1">
      <alignment vertical="center"/>
    </xf>
    <xf numFmtId="0" fontId="67" fillId="0" borderId="0" xfId="0" applyFont="1" applyBorder="1" applyAlignment="1">
      <alignment vertical="center" shrinkToFit="1"/>
    </xf>
    <xf numFmtId="206" fontId="67" fillId="0" borderId="0" xfId="0" applyNumberFormat="1" applyFont="1" applyBorder="1" applyAlignment="1">
      <alignment vertical="center"/>
    </xf>
    <xf numFmtId="207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right" vertical="center"/>
    </xf>
    <xf numFmtId="207" fontId="67" fillId="0" borderId="0" xfId="0" applyNumberFormat="1" applyFont="1" applyBorder="1" applyAlignment="1">
      <alignment horizontal="center" vertical="center"/>
    </xf>
    <xf numFmtId="0" fontId="67" fillId="0" borderId="0" xfId="0" applyNumberFormat="1" applyFont="1" applyBorder="1" applyAlignment="1">
      <alignment vertical="center" shrinkToFit="1"/>
    </xf>
    <xf numFmtId="209" fontId="67" fillId="0" borderId="0" xfId="0" applyNumberFormat="1" applyFont="1" applyBorder="1" applyAlignment="1"/>
    <xf numFmtId="0" fontId="67" fillId="0" borderId="0" xfId="0" applyNumberFormat="1" applyFont="1" applyBorder="1" applyAlignment="1"/>
    <xf numFmtId="185" fontId="67" fillId="0" borderId="0" xfId="0" applyNumberFormat="1" applyFont="1" applyBorder="1" applyAlignment="1">
      <alignment vertical="center"/>
    </xf>
    <xf numFmtId="208" fontId="67" fillId="0" borderId="0" xfId="0" applyNumberFormat="1" applyFont="1" applyBorder="1" applyAlignment="1">
      <alignment vertical="center"/>
    </xf>
    <xf numFmtId="0" fontId="93" fillId="0" borderId="0" xfId="0" applyFont="1" applyBorder="1" applyAlignment="1">
      <alignment vertical="center"/>
    </xf>
    <xf numFmtId="203" fontId="93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left" vertical="center" shrinkToFit="1"/>
    </xf>
    <xf numFmtId="211" fontId="67" fillId="0" borderId="0" xfId="0" applyNumberFormat="1" applyFont="1" applyBorder="1" applyAlignment="1">
      <alignment vertical="center"/>
    </xf>
    <xf numFmtId="211" fontId="67" fillId="0" borderId="0" xfId="0" applyNumberFormat="1" applyFont="1" applyBorder="1" applyAlignment="1">
      <alignment horizontal="center" vertical="center"/>
    </xf>
    <xf numFmtId="212" fontId="67" fillId="0" borderId="0" xfId="0" applyNumberFormat="1" applyFont="1" applyBorder="1" applyAlignment="1">
      <alignment vertical="center"/>
    </xf>
    <xf numFmtId="214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2" fontId="67" fillId="0" borderId="0" xfId="0" applyNumberFormat="1" applyFont="1" applyBorder="1" applyAlignment="1">
      <alignment vertical="center"/>
    </xf>
    <xf numFmtId="192" fontId="67" fillId="0" borderId="0" xfId="0" applyNumberFormat="1" applyFont="1" applyBorder="1" applyAlignment="1">
      <alignment vertical="center"/>
    </xf>
    <xf numFmtId="0" fontId="65" fillId="0" borderId="0" xfId="0" applyFont="1" applyBorder="1" applyAlignment="1">
      <alignment horizontal="right" vertical="center"/>
    </xf>
    <xf numFmtId="0" fontId="65" fillId="0" borderId="0" xfId="0" applyFont="1" applyBorder="1" applyAlignment="1">
      <alignment horizontal="center" vertical="center"/>
    </xf>
    <xf numFmtId="0" fontId="54" fillId="0" borderId="0" xfId="0" applyNumberFormat="1" applyFont="1">
      <alignment vertical="center"/>
    </xf>
    <xf numFmtId="0" fontId="52" fillId="0" borderId="0" xfId="0" applyNumberFormat="1" applyFont="1">
      <alignment vertical="center"/>
    </xf>
    <xf numFmtId="0" fontId="52" fillId="0" borderId="58" xfId="0" applyNumberFormat="1" applyFont="1" applyBorder="1" applyAlignment="1">
      <alignment vertical="center"/>
    </xf>
    <xf numFmtId="0" fontId="52" fillId="0" borderId="59" xfId="0" applyNumberFormat="1" applyFont="1" applyBorder="1" applyAlignment="1">
      <alignment vertical="center"/>
    </xf>
    <xf numFmtId="0" fontId="52" fillId="0" borderId="0" xfId="78" applyNumberFormat="1" applyFont="1" applyFill="1" applyBorder="1" applyAlignment="1">
      <alignment horizontal="center" vertical="center"/>
    </xf>
    <xf numFmtId="0" fontId="94" fillId="0" borderId="0" xfId="0" applyNumberFormat="1" applyFont="1" applyAlignment="1">
      <alignment vertical="center"/>
    </xf>
    <xf numFmtId="0" fontId="94" fillId="0" borderId="0" xfId="0" applyNumberFormat="1" applyFont="1" applyAlignment="1">
      <alignment horizontal="left" vertical="center" indent="1"/>
    </xf>
    <xf numFmtId="0" fontId="52" fillId="0" borderId="59" xfId="0" applyNumberFormat="1" applyFont="1" applyBorder="1" applyAlignment="1">
      <alignment horizontal="left" vertical="center"/>
    </xf>
    <xf numFmtId="0" fontId="93" fillId="0" borderId="0" xfId="0" applyFont="1" applyBorder="1">
      <alignment vertical="center"/>
    </xf>
    <xf numFmtId="0" fontId="81" fillId="32" borderId="64" xfId="0" applyNumberFormat="1" applyFont="1" applyFill="1" applyBorder="1" applyAlignment="1">
      <alignment horizontal="center" vertical="center" wrapText="1"/>
    </xf>
    <xf numFmtId="0" fontId="81" fillId="0" borderId="63" xfId="0" applyNumberFormat="1" applyFont="1" applyFill="1" applyBorder="1" applyAlignment="1">
      <alignment horizontal="center" vertical="center"/>
    </xf>
    <xf numFmtId="0" fontId="81" fillId="0" borderId="56" xfId="0" applyNumberFormat="1" applyFont="1" applyFill="1" applyBorder="1" applyAlignment="1">
      <alignment horizontal="center" vertical="center"/>
    </xf>
    <xf numFmtId="216" fontId="81" fillId="0" borderId="48" xfId="0" applyNumberFormat="1" applyFont="1" applyFill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0" fontId="52" fillId="0" borderId="49" xfId="0" applyNumberFormat="1" applyFont="1" applyBorder="1" applyAlignment="1">
      <alignment horizontal="center" vertical="center" shrinkToFit="1"/>
    </xf>
    <xf numFmtId="41" fontId="52" fillId="0" borderId="49" xfId="87" applyFont="1" applyBorder="1" applyAlignment="1">
      <alignment horizontal="center" vertical="center"/>
    </xf>
    <xf numFmtId="0" fontId="52" fillId="0" borderId="49" xfId="87" applyNumberFormat="1" applyFont="1" applyBorder="1" applyAlignment="1">
      <alignment horizontal="center" vertical="center"/>
    </xf>
    <xf numFmtId="41" fontId="52" fillId="0" borderId="49" xfId="0" applyNumberFormat="1" applyFont="1" applyBorder="1" applyAlignment="1">
      <alignment horizontal="center" vertical="center"/>
    </xf>
    <xf numFmtId="215" fontId="52" fillId="0" borderId="49" xfId="87" applyNumberFormat="1" applyFont="1" applyBorder="1" applyAlignment="1">
      <alignment horizontal="center" vertical="center"/>
    </xf>
    <xf numFmtId="41" fontId="52" fillId="0" borderId="49" xfId="87" applyNumberFormat="1" applyFont="1" applyBorder="1" applyAlignment="1">
      <alignment horizontal="center" vertical="center"/>
    </xf>
    <xf numFmtId="0" fontId="76" fillId="33" borderId="49" xfId="0" applyFont="1" applyFill="1" applyBorder="1">
      <alignment vertical="center"/>
    </xf>
    <xf numFmtId="0" fontId="48" fillId="0" borderId="60" xfId="79" applyNumberFormat="1" applyFont="1" applyFill="1" applyBorder="1" applyAlignment="1">
      <alignment horizontal="center" vertical="center"/>
    </xf>
    <xf numFmtId="0" fontId="82" fillId="28" borderId="69" xfId="0" applyNumberFormat="1" applyFont="1" applyFill="1" applyBorder="1" applyAlignment="1">
      <alignment horizontal="center" vertical="center" wrapText="1"/>
    </xf>
    <xf numFmtId="0" fontId="82" fillId="28" borderId="69" xfId="0" applyNumberFormat="1" applyFont="1" applyFill="1" applyBorder="1" applyAlignment="1">
      <alignment horizontal="center" vertical="center"/>
    </xf>
    <xf numFmtId="0" fontId="48" fillId="0" borderId="43" xfId="79" applyNumberFormat="1" applyFont="1" applyFill="1" applyBorder="1" applyAlignment="1">
      <alignment horizontal="center" vertical="center"/>
    </xf>
    <xf numFmtId="0" fontId="95" fillId="28" borderId="69" xfId="0" applyNumberFormat="1" applyFont="1" applyFill="1" applyBorder="1" applyAlignment="1">
      <alignment horizontal="center" vertical="center"/>
    </xf>
    <xf numFmtId="189" fontId="81" fillId="0" borderId="69" xfId="0" applyNumberFormat="1" applyFont="1" applyFill="1" applyBorder="1" applyAlignment="1">
      <alignment horizontal="center" vertical="center"/>
    </xf>
    <xf numFmtId="0" fontId="81" fillId="0" borderId="69" xfId="0" applyNumberFormat="1" applyFont="1" applyFill="1" applyBorder="1" applyAlignment="1">
      <alignment horizontal="center" vertical="center"/>
    </xf>
    <xf numFmtId="0" fontId="97" fillId="0" borderId="69" xfId="0" applyNumberFormat="1" applyFont="1" applyFill="1" applyBorder="1" applyAlignment="1">
      <alignment horizontal="center" vertical="center"/>
    </xf>
    <xf numFmtId="0" fontId="48" fillId="0" borderId="60" xfId="79" applyNumberFormat="1" applyFont="1" applyFill="1" applyBorder="1" applyAlignment="1">
      <alignment horizontal="center" vertical="center"/>
    </xf>
    <xf numFmtId="0" fontId="48" fillId="0" borderId="61" xfId="79" applyNumberFormat="1" applyFont="1" applyFill="1" applyBorder="1" applyAlignment="1">
      <alignment horizontal="center" vertical="center"/>
    </xf>
    <xf numFmtId="193" fontId="81" fillId="0" borderId="69" xfId="0" applyNumberFormat="1" applyFont="1" applyFill="1" applyBorder="1" applyAlignment="1">
      <alignment horizontal="center" vertical="center"/>
    </xf>
    <xf numFmtId="0" fontId="48" fillId="0" borderId="50" xfId="79" applyNumberFormat="1" applyFont="1" applyFill="1" applyBorder="1" applyAlignment="1">
      <alignment horizontal="center" vertical="center"/>
    </xf>
    <xf numFmtId="0" fontId="82" fillId="28" borderId="74" xfId="0" applyNumberFormat="1" applyFont="1" applyFill="1" applyBorder="1" applyAlignment="1">
      <alignment horizontal="center" vertical="center"/>
    </xf>
    <xf numFmtId="0" fontId="82" fillId="28" borderId="44" xfId="0" applyNumberFormat="1" applyFont="1" applyFill="1" applyBorder="1" applyAlignment="1">
      <alignment horizontal="center" vertical="center"/>
    </xf>
    <xf numFmtId="0" fontId="82" fillId="28" borderId="46" xfId="0" applyNumberFormat="1" applyFont="1" applyFill="1" applyBorder="1" applyAlignment="1">
      <alignment horizontal="center" vertical="center"/>
    </xf>
    <xf numFmtId="0" fontId="82" fillId="28" borderId="64" xfId="0" applyNumberFormat="1" applyFont="1" applyFill="1" applyBorder="1" applyAlignment="1">
      <alignment horizontal="center" vertical="center"/>
    </xf>
    <xf numFmtId="190" fontId="82" fillId="28" borderId="64" xfId="0" applyNumberFormat="1" applyFont="1" applyFill="1" applyBorder="1" applyAlignment="1">
      <alignment horizontal="center" vertical="center" wrapText="1"/>
    </xf>
    <xf numFmtId="0" fontId="81" fillId="0" borderId="54" xfId="79" applyNumberFormat="1" applyFont="1" applyFill="1" applyBorder="1" applyAlignment="1">
      <alignment horizontal="center" vertical="center"/>
    </xf>
    <xf numFmtId="0" fontId="48" fillId="0" borderId="50" xfId="79" applyNumberFormat="1" applyFont="1" applyFill="1" applyBorder="1" applyAlignment="1">
      <alignment horizontal="center" vertical="center"/>
    </xf>
    <xf numFmtId="0" fontId="48" fillId="0" borderId="60" xfId="79" applyNumberFormat="1" applyFont="1" applyFill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65" fillId="0" borderId="0" xfId="0" applyFont="1" applyBorder="1" applyAlignment="1">
      <alignment horizontal="right" vertical="center"/>
    </xf>
    <xf numFmtId="0" fontId="65" fillId="0" borderId="0" xfId="0" applyFont="1" applyBorder="1" applyAlignment="1">
      <alignment horizontal="center" vertical="center"/>
    </xf>
    <xf numFmtId="196" fontId="81" fillId="0" borderId="48" xfId="0" applyNumberFormat="1" applyFont="1" applyFill="1" applyBorder="1" applyAlignment="1">
      <alignment horizontal="center" vertical="center"/>
    </xf>
    <xf numFmtId="196" fontId="81" fillId="32" borderId="48" xfId="0" applyNumberFormat="1" applyFont="1" applyFill="1" applyBorder="1" applyAlignment="1">
      <alignment horizontal="center" vertical="center"/>
    </xf>
    <xf numFmtId="0" fontId="99" fillId="0" borderId="0" xfId="0" applyFont="1" applyBorder="1">
      <alignment vertical="center"/>
    </xf>
    <xf numFmtId="0" fontId="67" fillId="0" borderId="39" xfId="0" applyFont="1" applyBorder="1">
      <alignment vertical="center"/>
    </xf>
    <xf numFmtId="0" fontId="52" fillId="0" borderId="0" xfId="0" applyFont="1" applyBorder="1" applyAlignment="1">
      <alignment vertical="center"/>
    </xf>
    <xf numFmtId="212" fontId="67" fillId="0" borderId="0" xfId="0" applyNumberFormat="1" applyFont="1" applyBorder="1" applyAlignment="1">
      <alignment vertical="center" shrinkToFit="1"/>
    </xf>
    <xf numFmtId="0" fontId="59" fillId="27" borderId="51" xfId="81" applyFont="1" applyFill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48" fillId="0" borderId="58" xfId="79" applyNumberFormat="1" applyFont="1" applyFill="1" applyBorder="1" applyAlignment="1">
      <alignment horizontal="center" vertical="center"/>
    </xf>
    <xf numFmtId="0" fontId="48" fillId="0" borderId="37" xfId="79" applyNumberFormat="1" applyFont="1" applyFill="1" applyBorder="1" applyAlignment="1">
      <alignment horizontal="center" vertical="center"/>
    </xf>
    <xf numFmtId="0" fontId="48" fillId="0" borderId="50" xfId="79" applyNumberFormat="1" applyFont="1" applyFill="1" applyBorder="1" applyAlignment="1">
      <alignment horizontal="center" vertical="center"/>
    </xf>
    <xf numFmtId="0" fontId="48" fillId="0" borderId="61" xfId="79" applyNumberFormat="1" applyFont="1" applyFill="1" applyBorder="1" applyAlignment="1">
      <alignment horizontal="center" vertical="center"/>
    </xf>
    <xf numFmtId="0" fontId="48" fillId="0" borderId="60" xfId="79" applyNumberFormat="1" applyFont="1" applyFill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48" fillId="0" borderId="0" xfId="79" applyNumberFormat="1" applyFont="1" applyFill="1" applyAlignment="1">
      <alignment horizontal="left" vertical="center" indent="2"/>
    </xf>
    <xf numFmtId="0" fontId="81" fillId="34" borderId="69" xfId="0" applyNumberFormat="1" applyFont="1" applyFill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0" fontId="67" fillId="0" borderId="0" xfId="0" applyNumberFormat="1" applyFont="1" applyBorder="1" applyAlignment="1">
      <alignment horizontal="center" vertical="center"/>
    </xf>
    <xf numFmtId="192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 shrinkToFit="1"/>
    </xf>
    <xf numFmtId="0" fontId="67" fillId="0" borderId="0" xfId="0" applyFont="1" applyBorder="1" applyAlignment="1">
      <alignment vertical="center"/>
    </xf>
    <xf numFmtId="0" fontId="67" fillId="0" borderId="39" xfId="0" applyNumberFormat="1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0" fontId="67" fillId="0" borderId="39" xfId="0" applyNumberFormat="1" applyFont="1" applyBorder="1" applyAlignment="1">
      <alignment horizontal="center" vertical="center"/>
    </xf>
    <xf numFmtId="203" fontId="69" fillId="0" borderId="0" xfId="0" applyNumberFormat="1" applyFont="1" applyBorder="1" applyAlignment="1">
      <alignment vertical="center"/>
    </xf>
    <xf numFmtId="0" fontId="82" fillId="28" borderId="69" xfId="0" applyNumberFormat="1" applyFont="1" applyFill="1" applyBorder="1" applyAlignment="1">
      <alignment horizontal="center" vertical="center" wrapText="1"/>
    </xf>
    <xf numFmtId="0" fontId="82" fillId="28" borderId="69" xfId="0" applyNumberFormat="1" applyFont="1" applyFill="1" applyBorder="1" applyAlignment="1">
      <alignment horizontal="center" vertical="center" shrinkToFit="1"/>
    </xf>
    <xf numFmtId="190" fontId="82" fillId="28" borderId="69" xfId="0" applyNumberFormat="1" applyFont="1" applyFill="1" applyBorder="1" applyAlignment="1">
      <alignment horizontal="center" vertical="center" wrapText="1"/>
    </xf>
    <xf numFmtId="49" fontId="82" fillId="28" borderId="69" xfId="0" applyNumberFormat="1" applyFont="1" applyFill="1" applyBorder="1" applyAlignment="1">
      <alignment horizontal="center" vertical="center"/>
    </xf>
    <xf numFmtId="190" fontId="82" fillId="28" borderId="69" xfId="0" applyNumberFormat="1" applyFont="1" applyFill="1" applyBorder="1" applyAlignment="1">
      <alignment horizontal="center" vertical="center"/>
    </xf>
    <xf numFmtId="0" fontId="82" fillId="28" borderId="69" xfId="0" quotePrefix="1" applyNumberFormat="1" applyFont="1" applyFill="1" applyBorder="1" applyAlignment="1">
      <alignment horizontal="center" vertical="center" wrapText="1"/>
    </xf>
    <xf numFmtId="0" fontId="67" fillId="0" borderId="0" xfId="0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0" fontId="82" fillId="28" borderId="69" xfId="0" applyNumberFormat="1" applyFont="1" applyFill="1" applyBorder="1" applyAlignment="1">
      <alignment horizontal="center" vertical="center" wrapText="1"/>
    </xf>
    <xf numFmtId="0" fontId="81" fillId="31" borderId="48" xfId="0" applyNumberFormat="1" applyFont="1" applyFill="1" applyBorder="1" applyAlignment="1">
      <alignment horizontal="center" vertical="center"/>
    </xf>
    <xf numFmtId="196" fontId="81" fillId="0" borderId="69" xfId="0" applyNumberFormat="1" applyFont="1" applyFill="1" applyBorder="1" applyAlignment="1">
      <alignment horizontal="center" vertical="center"/>
    </xf>
    <xf numFmtId="204" fontId="81" fillId="0" borderId="69" xfId="0" applyNumberFormat="1" applyFont="1" applyFill="1" applyBorder="1" applyAlignment="1">
      <alignment horizontal="center" vertical="center"/>
    </xf>
    <xf numFmtId="202" fontId="81" fillId="0" borderId="69" xfId="0" applyNumberFormat="1" applyFont="1" applyFill="1" applyBorder="1" applyAlignment="1">
      <alignment horizontal="center" vertical="center"/>
    </xf>
    <xf numFmtId="2" fontId="81" fillId="32" borderId="69" xfId="86" applyNumberFormat="1" applyFont="1" applyFill="1" applyBorder="1" applyAlignment="1">
      <alignment horizontal="center" vertical="center" wrapText="1"/>
    </xf>
    <xf numFmtId="196" fontId="81" fillId="31" borderId="69" xfId="0" applyNumberFormat="1" applyFont="1" applyFill="1" applyBorder="1" applyAlignment="1">
      <alignment horizontal="center" vertical="center"/>
    </xf>
    <xf numFmtId="0" fontId="82" fillId="28" borderId="69" xfId="0" applyNumberFormat="1" applyFont="1" applyFill="1" applyBorder="1" applyAlignment="1">
      <alignment horizontal="center" vertical="center" wrapText="1"/>
    </xf>
    <xf numFmtId="0" fontId="48" fillId="0" borderId="76" xfId="79" applyNumberFormat="1" applyFont="1" applyFill="1" applyBorder="1" applyAlignment="1">
      <alignment vertical="center"/>
    </xf>
    <xf numFmtId="0" fontId="48" fillId="0" borderId="76" xfId="79" applyNumberFormat="1" applyFont="1" applyFill="1" applyBorder="1" applyAlignment="1">
      <alignment horizontal="left" vertical="center"/>
    </xf>
    <xf numFmtId="0" fontId="50" fillId="0" borderId="76" xfId="80" applyNumberFormat="1" applyFont="1" applyFill="1" applyBorder="1" applyAlignment="1">
      <alignment horizontal="right" vertical="center"/>
    </xf>
    <xf numFmtId="0" fontId="48" fillId="0" borderId="76" xfId="79" applyNumberFormat="1" applyFont="1" applyFill="1" applyBorder="1" applyAlignment="1">
      <alignment horizontal="right" vertical="center"/>
    </xf>
    <xf numFmtId="0" fontId="48" fillId="0" borderId="76" xfId="79" applyNumberFormat="1" applyFont="1" applyFill="1" applyBorder="1" applyAlignment="1">
      <alignment horizontal="center" vertical="center"/>
    </xf>
    <xf numFmtId="49" fontId="60" fillId="0" borderId="0" xfId="79" applyNumberFormat="1" applyFont="1" applyFill="1" applyBorder="1" applyAlignment="1">
      <alignment vertical="center"/>
    </xf>
    <xf numFmtId="49" fontId="60" fillId="0" borderId="0" xfId="79" applyNumberFormat="1" applyFont="1" applyFill="1" applyBorder="1" applyAlignment="1">
      <alignment horizontal="center" vertical="center"/>
    </xf>
    <xf numFmtId="218" fontId="101" fillId="37" borderId="76" xfId="113" applyNumberFormat="1" applyFont="1" applyFill="1" applyBorder="1" applyAlignment="1">
      <alignment horizontal="center" vertical="center" wrapText="1"/>
    </xf>
    <xf numFmtId="49" fontId="60" fillId="37" borderId="76" xfId="79" applyNumberFormat="1" applyFont="1" applyFill="1" applyBorder="1" applyAlignment="1">
      <alignment horizontal="center" vertical="center" wrapText="1"/>
    </xf>
    <xf numFmtId="0" fontId="82" fillId="28" borderId="69" xfId="0" applyNumberFormat="1" applyFont="1" applyFill="1" applyBorder="1" applyAlignment="1">
      <alignment horizontal="center" vertical="center"/>
    </xf>
    <xf numFmtId="0" fontId="82" fillId="28" borderId="69" xfId="0" applyNumberFormat="1" applyFont="1" applyFill="1" applyBorder="1" applyAlignment="1">
      <alignment horizontal="center" vertical="center" wrapText="1"/>
    </xf>
    <xf numFmtId="0" fontId="81" fillId="36" borderId="69" xfId="0" applyNumberFormat="1" applyFont="1" applyFill="1" applyBorder="1" applyAlignment="1">
      <alignment horizontal="center" vertical="center"/>
    </xf>
    <xf numFmtId="0" fontId="82" fillId="28" borderId="69" xfId="0" applyNumberFormat="1" applyFont="1" applyFill="1" applyBorder="1" applyAlignment="1">
      <alignment horizontal="center" vertical="center"/>
    </xf>
    <xf numFmtId="189" fontId="81" fillId="0" borderId="69" xfId="0" applyNumberFormat="1" applyFont="1" applyFill="1" applyBorder="1" applyAlignment="1">
      <alignment horizontal="center" vertical="center"/>
    </xf>
    <xf numFmtId="0" fontId="103" fillId="28" borderId="69" xfId="0" applyNumberFormat="1" applyFont="1" applyFill="1" applyBorder="1" applyAlignment="1">
      <alignment horizontal="center" vertical="center"/>
    </xf>
    <xf numFmtId="196" fontId="81" fillId="32" borderId="69" xfId="0" applyNumberFormat="1" applyFont="1" applyFill="1" applyBorder="1" applyAlignment="1">
      <alignment horizontal="center" vertical="center"/>
    </xf>
    <xf numFmtId="2" fontId="81" fillId="32" borderId="63" xfId="0" applyNumberFormat="1" applyFont="1" applyFill="1" applyBorder="1" applyAlignment="1">
      <alignment horizontal="center" vertical="center"/>
    </xf>
    <xf numFmtId="196" fontId="81" fillId="29" borderId="69" xfId="0" applyNumberFormat="1" applyFont="1" applyFill="1" applyBorder="1" applyAlignment="1">
      <alignment horizontal="center" vertical="center"/>
    </xf>
    <xf numFmtId="219" fontId="81" fillId="31" borderId="69" xfId="0" applyNumberFormat="1" applyFont="1" applyFill="1" applyBorder="1" applyAlignment="1">
      <alignment horizontal="center" vertical="center"/>
    </xf>
    <xf numFmtId="189" fontId="81" fillId="0" borderId="69" xfId="0" applyNumberFormat="1" applyFont="1" applyFill="1" applyBorder="1" applyAlignment="1">
      <alignment horizontal="center" vertical="center"/>
    </xf>
    <xf numFmtId="0" fontId="82" fillId="28" borderId="69" xfId="0" applyNumberFormat="1" applyFont="1" applyFill="1" applyBorder="1" applyAlignment="1">
      <alignment horizontal="center" vertical="center" wrapText="1"/>
    </xf>
    <xf numFmtId="0" fontId="81" fillId="38" borderId="69" xfId="0" applyNumberFormat="1" applyFont="1" applyFill="1" applyBorder="1" applyAlignment="1">
      <alignment horizontal="center" vertical="center"/>
    </xf>
    <xf numFmtId="0" fontId="82" fillId="28" borderId="69" xfId="0" applyNumberFormat="1" applyFont="1" applyFill="1" applyBorder="1" applyAlignment="1">
      <alignment horizontal="center" vertical="center" wrapText="1"/>
    </xf>
    <xf numFmtId="0" fontId="82" fillId="28" borderId="69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 applyProtection="1">
      <alignment horizontal="center" vertical="center" shrinkToFit="1"/>
    </xf>
    <xf numFmtId="0" fontId="4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vertical="center" shrinkToFit="1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8" fillId="29" borderId="1" xfId="0" applyFont="1" applyFill="1" applyBorder="1" applyAlignment="1" applyProtection="1">
      <alignment vertical="center" shrinkToFit="1"/>
      <protection locked="0"/>
    </xf>
    <xf numFmtId="0" fontId="38" fillId="0" borderId="11" xfId="0" applyFont="1" applyFill="1" applyBorder="1" applyAlignment="1" applyProtection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</xf>
    <xf numFmtId="0" fontId="9" fillId="0" borderId="14" xfId="0" applyFont="1" applyFill="1" applyBorder="1" applyAlignment="1" applyProtection="1">
      <alignment vertical="center"/>
    </xf>
    <xf numFmtId="0" fontId="0" fillId="0" borderId="14" xfId="0" applyFill="1" applyBorder="1" applyAlignment="1" applyProtection="1">
      <alignment vertical="center"/>
    </xf>
    <xf numFmtId="0" fontId="0" fillId="0" borderId="16" xfId="0" applyFill="1" applyBorder="1" applyAlignment="1" applyProtection="1">
      <alignment vertical="center"/>
    </xf>
    <xf numFmtId="0" fontId="11" fillId="0" borderId="0" xfId="0" applyFont="1" applyFill="1" applyBorder="1" applyAlignment="1" applyProtection="1">
      <alignment horizontal="left" vertical="center" shrinkToFit="1"/>
    </xf>
    <xf numFmtId="0" fontId="11" fillId="0" borderId="1" xfId="0" applyFont="1" applyFill="1" applyBorder="1" applyAlignment="1" applyProtection="1">
      <alignment horizontal="center" vertical="center" shrinkToFit="1"/>
    </xf>
    <xf numFmtId="49" fontId="8" fillId="0" borderId="1" xfId="0" applyNumberFormat="1" applyFont="1" applyFill="1" applyBorder="1" applyAlignment="1" applyProtection="1">
      <alignment horizontal="center" vertical="center" shrinkToFit="1"/>
    </xf>
    <xf numFmtId="49" fontId="8" fillId="0" borderId="1" xfId="0" applyNumberFormat="1" applyFont="1" applyFill="1" applyBorder="1" applyAlignment="1" applyProtection="1">
      <alignment vertical="center" shrinkToFit="1"/>
    </xf>
    <xf numFmtId="184" fontId="8" fillId="0" borderId="1" xfId="0" applyNumberFormat="1" applyFont="1" applyFill="1" applyBorder="1" applyAlignment="1" applyProtection="1">
      <alignment horizontal="center" vertical="center" shrinkToFit="1"/>
    </xf>
    <xf numFmtId="0" fontId="45" fillId="0" borderId="1" xfId="0" applyFont="1" applyFill="1" applyBorder="1" applyAlignment="1" applyProtection="1">
      <alignment horizontal="center" vertical="center" shrinkToFit="1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8" fillId="17" borderId="1" xfId="0" applyFont="1" applyFill="1" applyBorder="1" applyAlignment="1" applyProtection="1">
      <alignment horizontal="center" vertical="center" shrinkToFit="1"/>
      <protection locked="0"/>
    </xf>
    <xf numFmtId="0" fontId="8" fillId="29" borderId="11" xfId="0" applyFont="1" applyFill="1" applyBorder="1" applyAlignment="1" applyProtection="1">
      <alignment horizontal="left" vertical="center" wrapText="1"/>
    </xf>
    <xf numFmtId="0" fontId="8" fillId="29" borderId="14" xfId="0" applyFont="1" applyFill="1" applyBorder="1" applyAlignment="1" applyProtection="1">
      <alignment horizontal="left" vertical="center" wrapText="1"/>
    </xf>
    <xf numFmtId="0" fontId="8" fillId="29" borderId="16" xfId="0" applyFont="1" applyFill="1" applyBorder="1" applyAlignment="1" applyProtection="1">
      <alignment horizontal="left" vertical="center" wrapText="1"/>
    </xf>
    <xf numFmtId="0" fontId="8" fillId="0" borderId="21" xfId="0" applyNumberFormat="1" applyFont="1" applyFill="1" applyBorder="1" applyAlignment="1" applyProtection="1">
      <alignment horizontal="center" vertical="center" shrinkToFit="1"/>
    </xf>
    <xf numFmtId="0" fontId="8" fillId="0" borderId="18" xfId="0" applyNumberFormat="1" applyFont="1" applyFill="1" applyBorder="1" applyAlignment="1" applyProtection="1">
      <alignment horizontal="center" vertical="center" shrinkToFit="1"/>
    </xf>
    <xf numFmtId="0" fontId="41" fillId="29" borderId="22" xfId="0" applyFont="1" applyFill="1" applyBorder="1" applyAlignment="1" applyProtection="1">
      <alignment horizontal="left" vertical="center" wrapText="1"/>
    </xf>
    <xf numFmtId="0" fontId="41" fillId="29" borderId="16" xfId="0" applyFont="1" applyFill="1" applyBorder="1" applyAlignment="1" applyProtection="1">
      <alignment horizontal="left" vertical="center"/>
    </xf>
    <xf numFmtId="0" fontId="41" fillId="0" borderId="12" xfId="0" applyFont="1" applyFill="1" applyBorder="1" applyAlignment="1" applyProtection="1">
      <alignment horizontal="center" vertical="center"/>
    </xf>
    <xf numFmtId="0" fontId="41" fillId="0" borderId="13" xfId="0" applyFont="1" applyFill="1" applyBorder="1" applyAlignment="1" applyProtection="1">
      <alignment horizontal="center" vertical="center"/>
    </xf>
    <xf numFmtId="0" fontId="41" fillId="0" borderId="23" xfId="0" applyFont="1" applyFill="1" applyBorder="1" applyAlignment="1" applyProtection="1">
      <alignment horizontal="left" vertical="center" wrapText="1"/>
    </xf>
    <xf numFmtId="0" fontId="41" fillId="0" borderId="15" xfId="0" applyFont="1" applyFill="1" applyBorder="1" applyAlignment="1" applyProtection="1">
      <alignment horizontal="left" vertical="center"/>
    </xf>
    <xf numFmtId="0" fontId="41" fillId="0" borderId="24" xfId="0" applyFont="1" applyFill="1" applyBorder="1" applyAlignment="1" applyProtection="1">
      <alignment horizontal="left" vertical="center"/>
    </xf>
    <xf numFmtId="0" fontId="41" fillId="0" borderId="20" xfId="0" applyFont="1" applyFill="1" applyBorder="1" applyAlignment="1" applyProtection="1">
      <alignment horizontal="left" vertical="center"/>
    </xf>
    <xf numFmtId="0" fontId="63" fillId="0" borderId="28" xfId="0" applyFont="1" applyFill="1" applyBorder="1" applyAlignment="1" applyProtection="1">
      <alignment horizontal="left" vertical="center" wrapText="1"/>
      <protection locked="0"/>
    </xf>
    <xf numFmtId="0" fontId="63" fillId="0" borderId="29" xfId="0" applyFont="1" applyFill="1" applyBorder="1" applyAlignment="1" applyProtection="1">
      <alignment horizontal="left" vertical="center" wrapText="1"/>
      <protection locked="0"/>
    </xf>
    <xf numFmtId="0" fontId="63" fillId="0" borderId="30" xfId="0" applyFont="1" applyFill="1" applyBorder="1" applyAlignment="1" applyProtection="1">
      <alignment horizontal="left" vertical="center" wrapText="1"/>
      <protection locked="0"/>
    </xf>
    <xf numFmtId="0" fontId="63" fillId="0" borderId="31" xfId="0" applyFont="1" applyFill="1" applyBorder="1" applyAlignment="1" applyProtection="1">
      <alignment horizontal="left" vertical="center" wrapText="1"/>
      <protection locked="0"/>
    </xf>
    <xf numFmtId="0" fontId="63" fillId="0" borderId="0" xfId="0" applyFont="1" applyFill="1" applyBorder="1" applyAlignment="1" applyProtection="1">
      <alignment horizontal="left" vertical="center" wrapText="1"/>
      <protection locked="0"/>
    </xf>
    <xf numFmtId="0" fontId="63" fillId="0" borderId="32" xfId="0" applyFont="1" applyFill="1" applyBorder="1" applyAlignment="1" applyProtection="1">
      <alignment horizontal="left" vertical="center" wrapText="1"/>
      <protection locked="0"/>
    </xf>
    <xf numFmtId="0" fontId="63" fillId="0" borderId="18" xfId="0" applyFont="1" applyFill="1" applyBorder="1" applyAlignment="1" applyProtection="1">
      <alignment horizontal="left" vertical="center" wrapText="1"/>
      <protection locked="0"/>
    </xf>
    <xf numFmtId="0" fontId="63" fillId="0" borderId="19" xfId="0" applyFont="1" applyFill="1" applyBorder="1" applyAlignment="1" applyProtection="1">
      <alignment horizontal="left" vertical="center" wrapText="1"/>
      <protection locked="0"/>
    </xf>
    <xf numFmtId="0" fontId="63" fillId="0" borderId="20" xfId="0" applyFont="1" applyFill="1" applyBorder="1" applyAlignment="1" applyProtection="1">
      <alignment horizontal="left" vertical="center" wrapText="1"/>
      <protection locked="0"/>
    </xf>
    <xf numFmtId="0" fontId="63" fillId="0" borderId="26" xfId="0" applyFont="1" applyFill="1" applyBorder="1" applyAlignment="1">
      <alignment horizontal="center" vertical="center"/>
    </xf>
    <xf numFmtId="0" fontId="63" fillId="30" borderId="34" xfId="0" applyFont="1" applyFill="1" applyBorder="1" applyAlignment="1" applyProtection="1">
      <alignment horizontal="center" vertical="center"/>
      <protection locked="0"/>
    </xf>
    <xf numFmtId="0" fontId="63" fillId="0" borderId="35" xfId="0" applyFont="1" applyFill="1" applyBorder="1" applyAlignment="1">
      <alignment horizontal="center" vertical="center"/>
    </xf>
    <xf numFmtId="0" fontId="63" fillId="0" borderId="27" xfId="0" applyFont="1" applyFill="1" applyBorder="1" applyAlignment="1">
      <alignment horizontal="center" vertical="center" wrapText="1"/>
    </xf>
    <xf numFmtId="0" fontId="63" fillId="0" borderId="17" xfId="0" applyFont="1" applyFill="1" applyBorder="1" applyAlignment="1">
      <alignment horizontal="center" vertical="center" wrapText="1"/>
    </xf>
    <xf numFmtId="0" fontId="63" fillId="0" borderId="13" xfId="0" applyFont="1" applyFill="1" applyBorder="1" applyAlignment="1">
      <alignment horizontal="center" vertical="center" wrapText="1"/>
    </xf>
    <xf numFmtId="0" fontId="47" fillId="0" borderId="0" xfId="79" applyNumberFormat="1" applyFont="1" applyAlignment="1">
      <alignment horizontal="center" wrapText="1"/>
    </xf>
    <xf numFmtId="0" fontId="48" fillId="0" borderId="60" xfId="79" applyNumberFormat="1" applyFont="1" applyFill="1" applyBorder="1" applyAlignment="1">
      <alignment horizontal="center" vertical="center" wrapText="1"/>
    </xf>
    <xf numFmtId="0" fontId="48" fillId="0" borderId="17" xfId="79" applyNumberFormat="1" applyFont="1" applyFill="1" applyBorder="1" applyAlignment="1">
      <alignment horizontal="center" vertical="center"/>
    </xf>
    <xf numFmtId="0" fontId="48" fillId="0" borderId="61" xfId="79" applyNumberFormat="1" applyFont="1" applyFill="1" applyBorder="1" applyAlignment="1">
      <alignment horizontal="center" vertical="center"/>
    </xf>
    <xf numFmtId="0" fontId="48" fillId="0" borderId="58" xfId="79" applyNumberFormat="1" applyFont="1" applyFill="1" applyBorder="1" applyAlignment="1">
      <alignment horizontal="center" vertical="center"/>
    </xf>
    <xf numFmtId="0" fontId="48" fillId="0" borderId="59" xfId="79" applyNumberFormat="1" applyFont="1" applyFill="1" applyBorder="1" applyAlignment="1">
      <alignment horizontal="center" vertical="center"/>
    </xf>
    <xf numFmtId="49" fontId="75" fillId="0" borderId="0" xfId="82" applyNumberFormat="1" applyFont="1" applyFill="1" applyBorder="1" applyAlignment="1">
      <alignment horizontal="center" vertical="center" wrapText="1"/>
    </xf>
    <xf numFmtId="0" fontId="60" fillId="37" borderId="0" xfId="0" applyNumberFormat="1" applyFont="1" applyFill="1" applyAlignment="1">
      <alignment horizontal="center" vertical="center"/>
    </xf>
    <xf numFmtId="49" fontId="60" fillId="37" borderId="0" xfId="79" applyNumberFormat="1" applyFont="1" applyFill="1" applyBorder="1" applyAlignment="1">
      <alignment horizontal="center" vertical="center"/>
    </xf>
    <xf numFmtId="49" fontId="60" fillId="37" borderId="76" xfId="79" applyNumberFormat="1" applyFont="1" applyFill="1" applyBorder="1" applyAlignment="1">
      <alignment horizontal="center" vertical="center"/>
    </xf>
    <xf numFmtId="218" fontId="60" fillId="37" borderId="0" xfId="0" applyNumberFormat="1" applyFont="1" applyFill="1" applyBorder="1" applyAlignment="1">
      <alignment horizontal="center" vertical="center" wrapText="1"/>
    </xf>
    <xf numFmtId="218" fontId="60" fillId="37" borderId="76" xfId="0" applyNumberFormat="1" applyFont="1" applyFill="1" applyBorder="1" applyAlignment="1">
      <alignment horizontal="center" vertical="center" wrapText="1"/>
    </xf>
    <xf numFmtId="49" fontId="60" fillId="37" borderId="0" xfId="0" applyNumberFormat="1" applyFont="1" applyFill="1" applyBorder="1" applyAlignment="1">
      <alignment horizontal="center" vertical="center"/>
    </xf>
    <xf numFmtId="49" fontId="60" fillId="37" borderId="76" xfId="0" applyNumberFormat="1" applyFont="1" applyFill="1" applyBorder="1" applyAlignment="1">
      <alignment horizontal="center" vertical="center"/>
    </xf>
    <xf numFmtId="218" fontId="48" fillId="37" borderId="0" xfId="0" applyNumberFormat="1" applyFont="1" applyFill="1" applyAlignment="1">
      <alignment horizontal="center" vertical="center"/>
    </xf>
    <xf numFmtId="218" fontId="48" fillId="37" borderId="76" xfId="0" applyNumberFormat="1" applyFont="1" applyFill="1" applyBorder="1" applyAlignment="1">
      <alignment horizontal="center" vertical="center"/>
    </xf>
    <xf numFmtId="218" fontId="60" fillId="37" borderId="0" xfId="0" applyNumberFormat="1" applyFont="1" applyFill="1" applyAlignment="1">
      <alignment horizontal="center" vertical="center"/>
    </xf>
    <xf numFmtId="218" fontId="60" fillId="37" borderId="76" xfId="0" applyNumberFormat="1" applyFont="1" applyFill="1" applyBorder="1" applyAlignment="1">
      <alignment horizontal="center" vertical="center"/>
    </xf>
    <xf numFmtId="218" fontId="101" fillId="37" borderId="0" xfId="113" applyNumberFormat="1" applyFont="1" applyFill="1" applyBorder="1" applyAlignment="1">
      <alignment horizontal="center" vertical="center" wrapText="1"/>
    </xf>
    <xf numFmtId="218" fontId="101" fillId="37" borderId="76" xfId="113" applyNumberFormat="1" applyFont="1" applyFill="1" applyBorder="1" applyAlignment="1">
      <alignment horizontal="center" vertical="center" wrapText="1"/>
    </xf>
    <xf numFmtId="218" fontId="101" fillId="37" borderId="0" xfId="113" applyNumberFormat="1" applyFont="1" applyFill="1" applyBorder="1" applyAlignment="1">
      <alignment horizontal="center" vertical="center"/>
    </xf>
    <xf numFmtId="218" fontId="101" fillId="37" borderId="76" xfId="113" applyNumberFormat="1" applyFont="1" applyFill="1" applyBorder="1" applyAlignment="1">
      <alignment horizontal="center" vertical="center"/>
    </xf>
    <xf numFmtId="0" fontId="60" fillId="37" borderId="0" xfId="0" applyNumberFormat="1" applyFont="1" applyFill="1" applyBorder="1" applyAlignment="1">
      <alignment horizontal="center" vertical="center"/>
    </xf>
    <xf numFmtId="0" fontId="60" fillId="37" borderId="76" xfId="0" applyNumberFormat="1" applyFont="1" applyFill="1" applyBorder="1" applyAlignment="1">
      <alignment horizontal="center" vertical="center"/>
    </xf>
    <xf numFmtId="218" fontId="48" fillId="37" borderId="0" xfId="0" applyNumberFormat="1" applyFont="1" applyFill="1" applyBorder="1" applyAlignment="1">
      <alignment horizontal="center" vertical="center"/>
    </xf>
    <xf numFmtId="218" fontId="60" fillId="37" borderId="0" xfId="0" applyNumberFormat="1" applyFont="1" applyFill="1" applyBorder="1" applyAlignment="1">
      <alignment horizontal="center" vertical="center"/>
    </xf>
    <xf numFmtId="0" fontId="48" fillId="0" borderId="60" xfId="79" applyNumberFormat="1" applyFont="1" applyFill="1" applyBorder="1" applyAlignment="1">
      <alignment horizontal="center" vertical="center"/>
    </xf>
    <xf numFmtId="0" fontId="47" fillId="0" borderId="0" xfId="79" applyFont="1" applyAlignment="1">
      <alignment horizontal="center" wrapText="1"/>
    </xf>
    <xf numFmtId="0" fontId="7" fillId="28" borderId="47" xfId="0" applyNumberFormat="1" applyFont="1" applyFill="1" applyBorder="1" applyAlignment="1">
      <alignment horizontal="center" vertical="center" wrapText="1"/>
    </xf>
    <xf numFmtId="0" fontId="7" fillId="28" borderId="53" xfId="0" applyNumberFormat="1" applyFont="1" applyFill="1" applyBorder="1" applyAlignment="1">
      <alignment horizontal="center" vertical="center" wrapText="1"/>
    </xf>
    <xf numFmtId="0" fontId="7" fillId="28" borderId="44" xfId="0" applyNumberFormat="1" applyFont="1" applyFill="1" applyBorder="1" applyAlignment="1">
      <alignment horizontal="center" vertical="center"/>
    </xf>
    <xf numFmtId="0" fontId="7" fillId="28" borderId="45" xfId="0" applyNumberFormat="1" applyFont="1" applyFill="1" applyBorder="1" applyAlignment="1">
      <alignment horizontal="center" vertical="center"/>
    </xf>
    <xf numFmtId="0" fontId="7" fillId="28" borderId="46" xfId="0" applyNumberFormat="1" applyFont="1" applyFill="1" applyBorder="1" applyAlignment="1">
      <alignment horizontal="center" vertical="center"/>
    </xf>
    <xf numFmtId="198" fontId="1" fillId="0" borderId="44" xfId="78" applyNumberFormat="1" applyFont="1" applyFill="1" applyBorder="1" applyAlignment="1">
      <alignment horizontal="center" vertical="center"/>
    </xf>
    <xf numFmtId="198" fontId="1" fillId="0" borderId="46" xfId="78" applyNumberFormat="1" applyFont="1" applyFill="1" applyBorder="1" applyAlignment="1">
      <alignment horizontal="center" vertical="center"/>
    </xf>
    <xf numFmtId="49" fontId="1" fillId="0" borderId="44" xfId="78" applyNumberFormat="1" applyFont="1" applyFill="1" applyBorder="1" applyAlignment="1">
      <alignment horizontal="center" vertical="center"/>
    </xf>
    <xf numFmtId="49" fontId="1" fillId="0" borderId="46" xfId="78" applyNumberFormat="1" applyFont="1" applyFill="1" applyBorder="1" applyAlignment="1">
      <alignment horizontal="center" vertical="center"/>
    </xf>
    <xf numFmtId="2" fontId="67" fillId="0" borderId="0" xfId="0" applyNumberFormat="1" applyFont="1" applyBorder="1" applyAlignment="1">
      <alignment horizontal="right" vertical="center"/>
    </xf>
    <xf numFmtId="188" fontId="67" fillId="0" borderId="39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2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196" fontId="67" fillId="0" borderId="0" xfId="0" applyNumberFormat="1" applyFont="1" applyBorder="1" applyAlignment="1">
      <alignment vertical="center"/>
    </xf>
    <xf numFmtId="192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vertical="center"/>
    </xf>
    <xf numFmtId="0" fontId="67" fillId="0" borderId="58" xfId="0" applyNumberFormat="1" applyFont="1" applyBorder="1" applyAlignment="1">
      <alignment horizontal="center" vertical="center"/>
    </xf>
    <xf numFmtId="0" fontId="67" fillId="0" borderId="62" xfId="0" applyNumberFormat="1" applyFont="1" applyBorder="1" applyAlignment="1">
      <alignment horizontal="center" vertical="center"/>
    </xf>
    <xf numFmtId="0" fontId="67" fillId="0" borderId="59" xfId="0" applyNumberFormat="1" applyFont="1" applyBorder="1" applyAlignment="1">
      <alignment horizontal="center" vertical="center"/>
    </xf>
    <xf numFmtId="210" fontId="67" fillId="0" borderId="0" xfId="0" applyNumberFormat="1" applyFont="1" applyBorder="1" applyAlignment="1">
      <alignment horizontal="left" vertical="center"/>
    </xf>
    <xf numFmtId="207" fontId="65" fillId="0" borderId="39" xfId="0" applyNumberFormat="1" applyFont="1" applyBorder="1" applyAlignment="1">
      <alignment horizontal="center" vertical="center"/>
    </xf>
    <xf numFmtId="207" fontId="67" fillId="0" borderId="39" xfId="0" applyNumberFormat="1" applyFont="1" applyBorder="1" applyAlignment="1">
      <alignment horizontal="center" vertical="center"/>
    </xf>
    <xf numFmtId="203" fontId="67" fillId="0" borderId="0" xfId="0" applyNumberFormat="1" applyFont="1" applyBorder="1" applyAlignment="1">
      <alignment horizontal="center" vertical="center"/>
    </xf>
    <xf numFmtId="0" fontId="67" fillId="32" borderId="58" xfId="0" applyFont="1" applyFill="1" applyBorder="1" applyAlignment="1">
      <alignment horizontal="center" vertical="center" wrapText="1"/>
    </xf>
    <xf numFmtId="0" fontId="67" fillId="32" borderId="62" xfId="0" applyFont="1" applyFill="1" applyBorder="1" applyAlignment="1">
      <alignment horizontal="center" vertical="center" wrapText="1"/>
    </xf>
    <xf numFmtId="0" fontId="67" fillId="32" borderId="59" xfId="0" applyFont="1" applyFill="1" applyBorder="1" applyAlignment="1">
      <alignment horizontal="center" vertical="center" wrapText="1"/>
    </xf>
    <xf numFmtId="0" fontId="67" fillId="0" borderId="0" xfId="0" applyNumberFormat="1" applyFont="1" applyBorder="1" applyAlignment="1">
      <alignment vertical="center" shrinkToFit="1"/>
    </xf>
    <xf numFmtId="0" fontId="67" fillId="0" borderId="62" xfId="0" applyNumberFormat="1" applyFont="1" applyBorder="1" applyAlignment="1">
      <alignment vertical="center"/>
    </xf>
    <xf numFmtId="0" fontId="67" fillId="0" borderId="59" xfId="0" applyNumberFormat="1" applyFont="1" applyBorder="1" applyAlignment="1">
      <alignment vertical="center"/>
    </xf>
    <xf numFmtId="0" fontId="52" fillId="32" borderId="49" xfId="0" applyNumberFormat="1" applyFont="1" applyFill="1" applyBorder="1" applyAlignment="1">
      <alignment horizontal="center" vertical="center" shrinkToFit="1"/>
    </xf>
    <xf numFmtId="0" fontId="52" fillId="32" borderId="49" xfId="0" applyNumberFormat="1" applyFont="1" applyFill="1" applyBorder="1" applyAlignment="1">
      <alignment horizontal="center" vertical="center"/>
    </xf>
    <xf numFmtId="0" fontId="67" fillId="0" borderId="49" xfId="0" applyNumberFormat="1" applyFont="1" applyBorder="1" applyAlignment="1">
      <alignment horizontal="center" vertical="center" shrinkToFit="1"/>
    </xf>
    <xf numFmtId="0" fontId="52" fillId="29" borderId="49" xfId="0" applyNumberFormat="1" applyFont="1" applyFill="1" applyBorder="1" applyAlignment="1">
      <alignment horizontal="center" vertical="center"/>
    </xf>
    <xf numFmtId="0" fontId="67" fillId="0" borderId="60" xfId="0" applyFont="1" applyBorder="1" applyAlignment="1">
      <alignment horizontal="center" vertical="center"/>
    </xf>
    <xf numFmtId="0" fontId="69" fillId="0" borderId="61" xfId="0" applyFont="1" applyBorder="1" applyAlignment="1">
      <alignment horizontal="center" vertical="center"/>
    </xf>
    <xf numFmtId="0" fontId="67" fillId="0" borderId="49" xfId="0" applyFont="1" applyBorder="1" applyAlignment="1">
      <alignment horizontal="center" vertical="center"/>
    </xf>
    <xf numFmtId="0" fontId="67" fillId="0" borderId="58" xfId="0" applyFont="1" applyBorder="1" applyAlignment="1">
      <alignment horizontal="center" vertical="center"/>
    </xf>
    <xf numFmtId="0" fontId="67" fillId="0" borderId="62" xfId="0" applyFont="1" applyBorder="1" applyAlignment="1">
      <alignment horizontal="center" vertical="center"/>
    </xf>
    <xf numFmtId="0" fontId="67" fillId="0" borderId="59" xfId="0" applyFont="1" applyBorder="1" applyAlignment="1">
      <alignment horizontal="center" vertical="center"/>
    </xf>
    <xf numFmtId="0" fontId="67" fillId="0" borderId="58" xfId="0" applyFont="1" applyBorder="1" applyAlignment="1">
      <alignment vertical="center"/>
    </xf>
    <xf numFmtId="0" fontId="67" fillId="0" borderId="62" xfId="0" applyFont="1" applyBorder="1" applyAlignment="1">
      <alignment vertical="center"/>
    </xf>
    <xf numFmtId="0" fontId="67" fillId="0" borderId="62" xfId="0" applyFont="1" applyBorder="1" applyAlignment="1">
      <alignment horizontal="left" vertical="center"/>
    </xf>
    <xf numFmtId="0" fontId="67" fillId="0" borderId="59" xfId="0" applyFont="1" applyBorder="1" applyAlignment="1">
      <alignment horizontal="left" vertical="center"/>
    </xf>
    <xf numFmtId="0" fontId="69" fillId="0" borderId="37" xfId="0" applyFont="1" applyBorder="1" applyAlignment="1">
      <alignment horizontal="center" vertical="center"/>
    </xf>
    <xf numFmtId="0" fontId="69" fillId="0" borderId="39" xfId="0" applyFont="1" applyBorder="1" applyAlignment="1">
      <alignment horizontal="center" vertical="center"/>
    </xf>
    <xf numFmtId="0" fontId="69" fillId="0" borderId="52" xfId="0" applyFont="1" applyBorder="1" applyAlignment="1">
      <alignment horizontal="center" vertical="center"/>
    </xf>
    <xf numFmtId="2" fontId="67" fillId="0" borderId="58" xfId="0" applyNumberFormat="1" applyFont="1" applyBorder="1" applyAlignment="1">
      <alignment vertical="center"/>
    </xf>
    <xf numFmtId="2" fontId="67" fillId="0" borderId="62" xfId="0" applyNumberFormat="1" applyFont="1" applyBorder="1" applyAlignment="1">
      <alignment vertical="center"/>
    </xf>
    <xf numFmtId="192" fontId="67" fillId="0" borderId="62" xfId="0" applyNumberFormat="1" applyFont="1" applyBorder="1" applyAlignment="1">
      <alignment vertical="center"/>
    </xf>
    <xf numFmtId="192" fontId="67" fillId="0" borderId="59" xfId="0" applyNumberFormat="1" applyFont="1" applyBorder="1" applyAlignment="1">
      <alignment vertical="center"/>
    </xf>
    <xf numFmtId="0" fontId="67" fillId="0" borderId="50" xfId="0" applyFont="1" applyBorder="1" applyAlignment="1">
      <alignment horizontal="center" vertical="center"/>
    </xf>
    <xf numFmtId="0" fontId="67" fillId="0" borderId="43" xfId="0" applyFont="1" applyBorder="1" applyAlignment="1">
      <alignment horizontal="center" vertical="center"/>
    </xf>
    <xf numFmtId="0" fontId="67" fillId="0" borderId="51" xfId="0" applyFont="1" applyBorder="1" applyAlignment="1">
      <alignment horizontal="center" vertical="center"/>
    </xf>
    <xf numFmtId="0" fontId="67" fillId="0" borderId="58" xfId="0" applyNumberFormat="1" applyFont="1" applyBorder="1" applyAlignment="1">
      <alignment horizontal="right" vertical="center"/>
    </xf>
    <xf numFmtId="0" fontId="67" fillId="0" borderId="62" xfId="0" applyNumberFormat="1" applyFont="1" applyBorder="1" applyAlignment="1">
      <alignment horizontal="right" vertical="center"/>
    </xf>
    <xf numFmtId="0" fontId="65" fillId="0" borderId="58" xfId="0" applyFont="1" applyBorder="1" applyAlignment="1">
      <alignment horizontal="center" vertical="center"/>
    </xf>
    <xf numFmtId="0" fontId="65" fillId="0" borderId="62" xfId="0" applyFont="1" applyBorder="1" applyAlignment="1">
      <alignment horizontal="center" vertical="center"/>
    </xf>
    <xf numFmtId="0" fontId="65" fillId="0" borderId="59" xfId="0" applyFont="1" applyBorder="1" applyAlignment="1">
      <alignment horizontal="center" vertical="center"/>
    </xf>
    <xf numFmtId="189" fontId="67" fillId="0" borderId="0" xfId="0" applyNumberFormat="1" applyFont="1" applyBorder="1" applyAlignment="1">
      <alignment vertical="center"/>
    </xf>
    <xf numFmtId="197" fontId="67" fillId="0" borderId="0" xfId="0" applyNumberFormat="1" applyFont="1" applyBorder="1" applyAlignment="1">
      <alignment vertical="center"/>
    </xf>
    <xf numFmtId="0" fontId="67" fillId="32" borderId="50" xfId="0" applyFont="1" applyFill="1" applyBorder="1" applyAlignment="1">
      <alignment horizontal="center" vertical="center" wrapText="1"/>
    </xf>
    <xf numFmtId="0" fontId="67" fillId="32" borderId="43" xfId="0" applyFont="1" applyFill="1" applyBorder="1" applyAlignment="1">
      <alignment horizontal="center" vertical="center" wrapText="1"/>
    </xf>
    <xf numFmtId="0" fontId="67" fillId="32" borderId="51" xfId="0" applyFont="1" applyFill="1" applyBorder="1" applyAlignment="1">
      <alignment horizontal="center" vertical="center" wrapText="1"/>
    </xf>
    <xf numFmtId="0" fontId="67" fillId="32" borderId="37" xfId="0" applyFont="1" applyFill="1" applyBorder="1" applyAlignment="1">
      <alignment horizontal="center" vertical="center" wrapText="1"/>
    </xf>
    <xf numFmtId="0" fontId="67" fillId="32" borderId="39" xfId="0" applyFont="1" applyFill="1" applyBorder="1" applyAlignment="1">
      <alignment horizontal="center" vertical="center" wrapText="1"/>
    </xf>
    <xf numFmtId="0" fontId="67" fillId="32" borderId="52" xfId="0" applyFont="1" applyFill="1" applyBorder="1" applyAlignment="1">
      <alignment horizontal="center" vertical="center" wrapText="1"/>
    </xf>
    <xf numFmtId="0" fontId="65" fillId="0" borderId="0" xfId="0" applyFont="1" applyBorder="1" applyAlignment="1">
      <alignment horizontal="center" vertical="center"/>
    </xf>
    <xf numFmtId="0" fontId="67" fillId="0" borderId="31" xfId="0" applyFont="1" applyBorder="1" applyAlignment="1">
      <alignment horizontal="center" vertical="center"/>
    </xf>
    <xf numFmtId="0" fontId="67" fillId="0" borderId="32" xfId="0" applyFont="1" applyBorder="1" applyAlignment="1">
      <alignment horizontal="center" vertical="center"/>
    </xf>
    <xf numFmtId="0" fontId="67" fillId="0" borderId="37" xfId="0" applyFont="1" applyBorder="1" applyAlignment="1">
      <alignment horizontal="center" vertical="center"/>
    </xf>
    <xf numFmtId="0" fontId="67" fillId="0" borderId="52" xfId="0" applyFont="1" applyBorder="1" applyAlignment="1">
      <alignment horizontal="center" vertical="center"/>
    </xf>
    <xf numFmtId="0" fontId="65" fillId="0" borderId="37" xfId="0" applyFont="1" applyBorder="1" applyAlignment="1">
      <alignment horizontal="center" vertical="center"/>
    </xf>
    <xf numFmtId="0" fontId="65" fillId="0" borderId="39" xfId="0" applyFont="1" applyBorder="1" applyAlignment="1">
      <alignment horizontal="center" vertical="center"/>
    </xf>
    <xf numFmtId="0" fontId="65" fillId="0" borderId="52" xfId="0" applyFont="1" applyBorder="1" applyAlignment="1">
      <alignment horizontal="center" vertical="center"/>
    </xf>
    <xf numFmtId="0" fontId="67" fillId="0" borderId="58" xfId="0" applyNumberFormat="1" applyFont="1" applyBorder="1" applyAlignment="1">
      <alignment vertical="center"/>
    </xf>
    <xf numFmtId="0" fontId="65" fillId="0" borderId="43" xfId="0" applyFont="1" applyBorder="1" applyAlignment="1">
      <alignment horizontal="center" vertical="center"/>
    </xf>
    <xf numFmtId="0" fontId="67" fillId="0" borderId="39" xfId="0" applyNumberFormat="1" applyFont="1" applyBorder="1" applyAlignment="1">
      <alignment vertical="center"/>
    </xf>
    <xf numFmtId="194" fontId="67" fillId="0" borderId="39" xfId="0" applyNumberFormat="1" applyFont="1" applyBorder="1" applyAlignment="1">
      <alignment vertical="center"/>
    </xf>
    <xf numFmtId="0" fontId="67" fillId="0" borderId="0" xfId="0" applyFont="1" applyBorder="1" applyAlignment="1">
      <alignment horizontal="left" vertical="center"/>
    </xf>
    <xf numFmtId="2" fontId="67" fillId="0" borderId="39" xfId="0" applyNumberFormat="1" applyFont="1" applyBorder="1" applyAlignment="1">
      <alignment vertical="center"/>
    </xf>
    <xf numFmtId="0" fontId="67" fillId="0" borderId="39" xfId="0" applyFont="1" applyBorder="1" applyAlignment="1">
      <alignment horizontal="center" vertical="center"/>
    </xf>
    <xf numFmtId="0" fontId="67" fillId="0" borderId="0" xfId="0" applyFont="1" applyBorder="1" applyAlignment="1">
      <alignment horizontal="center" vertical="center" shrinkToFit="1"/>
    </xf>
    <xf numFmtId="0" fontId="67" fillId="0" borderId="43" xfId="0" applyNumberFormat="1" applyFont="1" applyBorder="1" applyAlignment="1">
      <alignment horizontal="center" vertical="center"/>
    </xf>
    <xf numFmtId="203" fontId="69" fillId="0" borderId="0" xfId="0" applyNumberFormat="1" applyFont="1" applyBorder="1" applyAlignment="1">
      <alignment horizontal="center" vertical="center"/>
    </xf>
    <xf numFmtId="0" fontId="67" fillId="0" borderId="0" xfId="0" applyNumberFormat="1" applyFont="1" applyBorder="1" applyAlignment="1">
      <alignment horizontal="right" vertical="center"/>
    </xf>
    <xf numFmtId="185" fontId="67" fillId="0" borderId="0" xfId="0" applyNumberFormat="1" applyFont="1" applyBorder="1" applyAlignment="1">
      <alignment horizontal="left" vertical="center"/>
    </xf>
    <xf numFmtId="213" fontId="67" fillId="0" borderId="0" xfId="0" applyNumberFormat="1" applyFont="1" applyBorder="1" applyAlignment="1">
      <alignment horizontal="center" vertical="center"/>
    </xf>
    <xf numFmtId="207" fontId="67" fillId="0" borderId="0" xfId="0" applyNumberFormat="1" applyFont="1" applyBorder="1" applyAlignment="1">
      <alignment horizontal="center" vertical="center"/>
    </xf>
    <xf numFmtId="188" fontId="67" fillId="0" borderId="39" xfId="0" applyNumberFormat="1" applyFont="1" applyBorder="1" applyAlignment="1">
      <alignment horizontal="center" vertical="center" shrinkToFit="1"/>
    </xf>
    <xf numFmtId="208" fontId="67" fillId="0" borderId="0" xfId="0" applyNumberFormat="1" applyFont="1" applyBorder="1" applyAlignment="1">
      <alignment horizontal="center" vertical="center"/>
    </xf>
    <xf numFmtId="212" fontId="67" fillId="0" borderId="0" xfId="0" applyNumberFormat="1" applyFont="1" applyBorder="1" applyAlignment="1">
      <alignment horizontal="left" vertical="center" shrinkToFit="1"/>
    </xf>
    <xf numFmtId="2" fontId="67" fillId="0" borderId="0" xfId="0" applyNumberFormat="1" applyFont="1" applyBorder="1" applyAlignment="1">
      <alignment horizontal="center" vertical="center"/>
    </xf>
    <xf numFmtId="0" fontId="67" fillId="0" borderId="39" xfId="0" applyFont="1" applyBorder="1" applyAlignment="1">
      <alignment horizontal="center"/>
    </xf>
    <xf numFmtId="0" fontId="67" fillId="0" borderId="0" xfId="0" applyNumberFormat="1" applyFont="1" applyBorder="1" applyAlignment="1">
      <alignment horizontal="center" vertical="center"/>
    </xf>
    <xf numFmtId="0" fontId="67" fillId="0" borderId="0" xfId="0" applyFont="1" applyBorder="1">
      <alignment vertical="center"/>
    </xf>
    <xf numFmtId="0" fontId="69" fillId="0" borderId="0" xfId="0" applyFont="1" applyBorder="1" applyAlignment="1">
      <alignment horizontal="center" vertical="center"/>
    </xf>
    <xf numFmtId="217" fontId="67" fillId="0" borderId="0" xfId="0" applyNumberFormat="1" applyFont="1" applyBorder="1" applyAlignment="1">
      <alignment vertical="center" shrinkToFit="1"/>
    </xf>
    <xf numFmtId="203" fontId="67" fillId="0" borderId="39" xfId="0" applyNumberFormat="1" applyFont="1" applyBorder="1" applyAlignment="1">
      <alignment vertical="center"/>
    </xf>
    <xf numFmtId="41" fontId="52" fillId="0" borderId="60" xfId="87" applyFont="1" applyBorder="1" applyAlignment="1">
      <alignment horizontal="center" vertical="center" wrapText="1"/>
    </xf>
    <xf numFmtId="41" fontId="52" fillId="0" borderId="17" xfId="87" applyFont="1" applyBorder="1" applyAlignment="1">
      <alignment horizontal="center" vertical="center" wrapText="1"/>
    </xf>
    <xf numFmtId="41" fontId="52" fillId="0" borderId="61" xfId="87" applyFont="1" applyBorder="1" applyAlignment="1">
      <alignment horizontal="center" vertical="center" wrapText="1"/>
    </xf>
    <xf numFmtId="215" fontId="52" fillId="0" borderId="60" xfId="87" applyNumberFormat="1" applyFont="1" applyBorder="1" applyAlignment="1">
      <alignment horizontal="center" vertical="center"/>
    </xf>
    <xf numFmtId="215" fontId="52" fillId="0" borderId="17" xfId="87" applyNumberFormat="1" applyFont="1" applyBorder="1" applyAlignment="1">
      <alignment horizontal="center" vertical="center"/>
    </xf>
    <xf numFmtId="215" fontId="52" fillId="0" borderId="61" xfId="87" applyNumberFormat="1" applyFont="1" applyBorder="1" applyAlignment="1">
      <alignment horizontal="center" vertical="center"/>
    </xf>
    <xf numFmtId="0" fontId="82" fillId="28" borderId="44" xfId="0" applyNumberFormat="1" applyFont="1" applyFill="1" applyBorder="1" applyAlignment="1">
      <alignment horizontal="center" vertical="center" wrapText="1"/>
    </xf>
    <xf numFmtId="0" fontId="82" fillId="28" borderId="46" xfId="0" applyNumberFormat="1" applyFont="1" applyFill="1" applyBorder="1" applyAlignment="1">
      <alignment horizontal="center" vertical="center" wrapText="1"/>
    </xf>
    <xf numFmtId="193" fontId="81" fillId="0" borderId="44" xfId="0" applyNumberFormat="1" applyFont="1" applyFill="1" applyBorder="1" applyAlignment="1">
      <alignment horizontal="center" vertical="center"/>
    </xf>
    <xf numFmtId="193" fontId="81" fillId="0" borderId="45" xfId="0" applyNumberFormat="1" applyFont="1" applyFill="1" applyBorder="1" applyAlignment="1">
      <alignment horizontal="center" vertical="center"/>
    </xf>
    <xf numFmtId="193" fontId="81" fillId="0" borderId="46" xfId="0" applyNumberFormat="1" applyFont="1" applyFill="1" applyBorder="1" applyAlignment="1">
      <alignment horizontal="center" vertical="center"/>
    </xf>
    <xf numFmtId="0" fontId="82" fillId="28" borderId="45" xfId="0" applyNumberFormat="1" applyFont="1" applyFill="1" applyBorder="1" applyAlignment="1">
      <alignment horizontal="center" vertical="center" wrapText="1"/>
    </xf>
    <xf numFmtId="0" fontId="82" fillId="28" borderId="64" xfId="0" applyNumberFormat="1" applyFont="1" applyFill="1" applyBorder="1" applyAlignment="1">
      <alignment horizontal="center" vertical="center" wrapText="1"/>
    </xf>
    <xf numFmtId="0" fontId="82" fillId="28" borderId="53" xfId="0" applyNumberFormat="1" applyFont="1" applyFill="1" applyBorder="1" applyAlignment="1">
      <alignment horizontal="center" vertical="center" wrapText="1"/>
    </xf>
    <xf numFmtId="0" fontId="82" fillId="28" borderId="77" xfId="0" applyNumberFormat="1" applyFont="1" applyFill="1" applyBorder="1" applyAlignment="1">
      <alignment horizontal="center" vertical="center" wrapText="1"/>
    </xf>
    <xf numFmtId="0" fontId="82" fillId="28" borderId="69" xfId="0" applyNumberFormat="1" applyFont="1" applyFill="1" applyBorder="1" applyAlignment="1">
      <alignment horizontal="center" vertical="center" wrapText="1"/>
    </xf>
    <xf numFmtId="0" fontId="82" fillId="28" borderId="64" xfId="0" applyNumberFormat="1" applyFont="1" applyFill="1" applyBorder="1" applyAlignment="1">
      <alignment horizontal="center" vertical="center"/>
    </xf>
    <xf numFmtId="0" fontId="82" fillId="28" borderId="75" xfId="0" applyNumberFormat="1" applyFont="1" applyFill="1" applyBorder="1" applyAlignment="1">
      <alignment horizontal="center" vertical="center"/>
    </xf>
    <xf numFmtId="0" fontId="82" fillId="28" borderId="53" xfId="0" applyNumberFormat="1" applyFont="1" applyFill="1" applyBorder="1" applyAlignment="1">
      <alignment horizontal="center" vertical="center"/>
    </xf>
    <xf numFmtId="0" fontId="82" fillId="28" borderId="69" xfId="0" applyNumberFormat="1" applyFont="1" applyFill="1" applyBorder="1" applyAlignment="1">
      <alignment horizontal="center" vertical="center"/>
    </xf>
    <xf numFmtId="0" fontId="52" fillId="0" borderId="58" xfId="0" applyNumberFormat="1" applyFont="1" applyBorder="1" applyAlignment="1">
      <alignment horizontal="center" vertical="center"/>
    </xf>
    <xf numFmtId="0" fontId="52" fillId="0" borderId="59" xfId="0" applyNumberFormat="1" applyFont="1" applyBorder="1" applyAlignment="1">
      <alignment horizontal="center" vertical="center"/>
    </xf>
    <xf numFmtId="0" fontId="82" fillId="28" borderId="44" xfId="0" applyNumberFormat="1" applyFont="1" applyFill="1" applyBorder="1" applyAlignment="1">
      <alignment horizontal="center" vertical="center"/>
    </xf>
    <xf numFmtId="0" fontId="82" fillId="28" borderId="46" xfId="0" applyNumberFormat="1" applyFont="1" applyFill="1" applyBorder="1" applyAlignment="1">
      <alignment horizontal="center" vertical="center"/>
    </xf>
    <xf numFmtId="0" fontId="82" fillId="28" borderId="78" xfId="0" applyNumberFormat="1" applyFont="1" applyFill="1" applyBorder="1" applyAlignment="1">
      <alignment horizontal="center" vertical="center" wrapText="1"/>
    </xf>
    <xf numFmtId="0" fontId="82" fillId="28" borderId="47" xfId="0" applyNumberFormat="1" applyFont="1" applyFill="1" applyBorder="1" applyAlignment="1">
      <alignment horizontal="center" vertical="center" wrapText="1"/>
    </xf>
    <xf numFmtId="0" fontId="82" fillId="28" borderId="47" xfId="0" applyNumberFormat="1" applyFont="1" applyFill="1" applyBorder="1" applyAlignment="1">
      <alignment horizontal="center" vertical="center"/>
    </xf>
    <xf numFmtId="190" fontId="82" fillId="28" borderId="44" xfId="0" applyNumberFormat="1" applyFont="1" applyFill="1" applyBorder="1" applyAlignment="1">
      <alignment horizontal="center" vertical="center" wrapText="1"/>
    </xf>
    <xf numFmtId="190" fontId="82" fillId="28" borderId="46" xfId="0" applyNumberFormat="1" applyFont="1" applyFill="1" applyBorder="1" applyAlignment="1">
      <alignment horizontal="center" vertical="center" wrapText="1"/>
    </xf>
    <xf numFmtId="189" fontId="81" fillId="0" borderId="69" xfId="0" applyNumberFormat="1" applyFont="1" applyFill="1" applyBorder="1" applyAlignment="1">
      <alignment horizontal="center" vertical="center"/>
    </xf>
    <xf numFmtId="188" fontId="81" fillId="32" borderId="64" xfId="86" applyNumberFormat="1" applyFont="1" applyFill="1" applyBorder="1" applyAlignment="1">
      <alignment horizontal="center" vertical="center" wrapText="1"/>
    </xf>
    <xf numFmtId="188" fontId="81" fillId="32" borderId="53" xfId="86" applyNumberFormat="1" applyFont="1" applyFill="1" applyBorder="1" applyAlignment="1">
      <alignment horizontal="center" vertical="center" wrapText="1"/>
    </xf>
    <xf numFmtId="190" fontId="82" fillId="28" borderId="64" xfId="0" applyNumberFormat="1" applyFont="1" applyFill="1" applyBorder="1" applyAlignment="1">
      <alignment horizontal="center" vertical="center" wrapText="1"/>
    </xf>
    <xf numFmtId="190" fontId="82" fillId="28" borderId="53" xfId="0" applyNumberFormat="1" applyFont="1" applyFill="1" applyBorder="1" applyAlignment="1">
      <alignment horizontal="center" vertical="center" wrapText="1"/>
    </xf>
  </cellXfs>
  <cellStyles count="114">
    <cellStyle name="??&amp;O?&amp;H?_x0008__x000f__x0007_?_x0007__x0001__x0001_" xfId="1"/>
    <cellStyle name="??&amp;O?&amp;H?_x0008_??_x0007__x0001__x0001_" xfId="2"/>
    <cellStyle name="æØè [0.00]_PRODUCT DETAIL Q1" xfId="3"/>
    <cellStyle name="æØè_PRODUCT DETAIL Q1" xfId="4"/>
    <cellStyle name="ÊÝ [0.00]_PRODUCT DETAIL Q1" xfId="5"/>
    <cellStyle name="ÊÝ_PRODUCT DETAIL Q1" xfId="6"/>
    <cellStyle name="W?_BOOKSHIP" xfId="7"/>
    <cellStyle name="W_BOOKSHIP" xfId="8"/>
    <cellStyle name="20% - 강조색1" xfId="9" builtinId="30" customBuiltin="1"/>
    <cellStyle name="20% - 강조색2" xfId="10" builtinId="34" customBuiltin="1"/>
    <cellStyle name="20% - 강조색3" xfId="11" builtinId="38" customBuiltin="1"/>
    <cellStyle name="20% - 강조색4" xfId="12" builtinId="42" customBuiltin="1"/>
    <cellStyle name="20% - 강조색5" xfId="13" builtinId="46" customBuiltin="1"/>
    <cellStyle name="20% - 강조색6" xfId="14" builtinId="50" customBuiltin="1"/>
    <cellStyle name="40% - 강조색1" xfId="15" builtinId="31" customBuiltin="1"/>
    <cellStyle name="40% - 강조색2" xfId="16" builtinId="35" customBuiltin="1"/>
    <cellStyle name="40% - 강조색3" xfId="17" builtinId="39" customBuiltin="1"/>
    <cellStyle name="40% - 강조색4" xfId="18" builtinId="43" customBuiltin="1"/>
    <cellStyle name="40% - 강조색5" xfId="19" builtinId="47" customBuiltin="1"/>
    <cellStyle name="40% - 강조색6" xfId="20" builtinId="51" customBuiltin="1"/>
    <cellStyle name="60% - 강조색1" xfId="21" builtinId="32" customBuiltin="1"/>
    <cellStyle name="60% - 강조색2" xfId="22" builtinId="36" customBuiltin="1"/>
    <cellStyle name="60% - 강조색3" xfId="23" builtinId="40" customBuiltin="1"/>
    <cellStyle name="60% - 강조색4" xfId="24" builtinId="44" customBuiltin="1"/>
    <cellStyle name="60% - 강조색5" xfId="25" builtinId="48" customBuiltin="1"/>
    <cellStyle name="60% - 강조색6" xfId="26" builtinId="52" customBuiltin="1"/>
    <cellStyle name="ÅëÈ­ [0]_¸ÅÃâ" xfId="27"/>
    <cellStyle name="ÅëÈ­_¸ÅÃâ" xfId="28"/>
    <cellStyle name="ÄÞ¸¶ [0]_¸ÅÃâ" xfId="29"/>
    <cellStyle name="ÄÞ¸¶_¸ÅÃâ" xfId="30"/>
    <cellStyle name="Ç¥ÁØ_(Á¤º¸ºÎ¹®)¿ùº°ÀÎ¿ø°èÈ¹" xfId="31"/>
    <cellStyle name="Comma [0]_ SG&amp;A Bridge " xfId="32"/>
    <cellStyle name="Comma_ SG&amp;A Bridge " xfId="33"/>
    <cellStyle name="Currency [0]_ SG&amp;A Bridge " xfId="34"/>
    <cellStyle name="Currency_ SG&amp;A Bridge " xfId="35"/>
    <cellStyle name="Grey" xfId="36"/>
    <cellStyle name="Input [yellow]" xfId="37"/>
    <cellStyle name="Input [yellow] 2" xfId="88"/>
    <cellStyle name="Input [yellow] 2 2" xfId="104"/>
    <cellStyle name="Input [yellow] 3" xfId="97"/>
    <cellStyle name="Normal - Style1" xfId="38"/>
    <cellStyle name="Normal_ SG&amp;A Bridge " xfId="39"/>
    <cellStyle name="Percent [2]" xfId="40"/>
    <cellStyle name="강조색1" xfId="41" builtinId="29" customBuiltin="1"/>
    <cellStyle name="강조색2" xfId="42" builtinId="33" customBuiltin="1"/>
    <cellStyle name="강조색3" xfId="43" builtinId="37" customBuiltin="1"/>
    <cellStyle name="강조색4" xfId="44" builtinId="41" customBuiltin="1"/>
    <cellStyle name="강조색5" xfId="45" builtinId="45" customBuiltin="1"/>
    <cellStyle name="강조색6" xfId="46" builtinId="49" customBuiltin="1"/>
    <cellStyle name="경고문" xfId="47" builtinId="11" customBuiltin="1"/>
    <cellStyle name="계산" xfId="48" builtinId="22" customBuiltin="1"/>
    <cellStyle name="계산 2" xfId="89"/>
    <cellStyle name="계산 2 2" xfId="105"/>
    <cellStyle name="계산 3" xfId="98"/>
    <cellStyle name="나쁨" xfId="49" builtinId="27" customBuiltin="1"/>
    <cellStyle name="뒤에 오는 하이퍼링크_불확도(OPM)" xfId="50"/>
    <cellStyle name="메모" xfId="51" builtinId="10" customBuiltin="1"/>
    <cellStyle name="메모 2" xfId="90"/>
    <cellStyle name="메모 2 2" xfId="106"/>
    <cellStyle name="메모 3" xfId="99"/>
    <cellStyle name="백분율" xfId="86" builtinId="5"/>
    <cellStyle name="백분율 2" xfId="83"/>
    <cellStyle name="보통" xfId="52" builtinId="28" customBuiltin="1"/>
    <cellStyle name="뷭?_BOOKSHIP" xfId="53"/>
    <cellStyle name="설명 텍스트" xfId="54" builtinId="53" customBuiltin="1"/>
    <cellStyle name="셀 확인" xfId="55" builtinId="23" customBuiltin="1"/>
    <cellStyle name="쉼표 [0]" xfId="87" builtinId="6"/>
    <cellStyle name="쉼표 [0] 2" xfId="94"/>
    <cellStyle name="쉼표 [0] 2 2" xfId="96"/>
    <cellStyle name="쉼표 [0] 2 2 2" xfId="112"/>
    <cellStyle name="쉼표 [0] 2 3" xfId="110"/>
    <cellStyle name="쉼표 [0] 3" xfId="95"/>
    <cellStyle name="쉼표 [0] 3 2" xfId="111"/>
    <cellStyle name="쉼표 [0] 4" xfId="103"/>
    <cellStyle name="스타일 1" xfId="56"/>
    <cellStyle name="연결된 셀" xfId="57" builtinId="24" customBuiltin="1"/>
    <cellStyle name="요약" xfId="58" builtinId="25" customBuiltin="1"/>
    <cellStyle name="요약 2" xfId="91"/>
    <cellStyle name="요약 2 2" xfId="107"/>
    <cellStyle name="요약 3" xfId="100"/>
    <cellStyle name="입력" xfId="59" builtinId="20" customBuiltin="1"/>
    <cellStyle name="입력 2" xfId="92"/>
    <cellStyle name="입력 2 2" xfId="108"/>
    <cellStyle name="입력 3" xfId="101"/>
    <cellStyle name="제목" xfId="60" builtinId="15" customBuiltin="1"/>
    <cellStyle name="제목 1" xfId="61" builtinId="16" customBuiltin="1"/>
    <cellStyle name="제목 2" xfId="62" builtinId="17" customBuiltin="1"/>
    <cellStyle name="제목 3" xfId="63" builtinId="18" customBuiltin="1"/>
    <cellStyle name="제목 4" xfId="64" builtinId="19" customBuiltin="1"/>
    <cellStyle name="좋음" xfId="65" builtinId="26" customBuiltin="1"/>
    <cellStyle name="출력" xfId="66" builtinId="21" customBuiltin="1"/>
    <cellStyle name="출력 2" xfId="93"/>
    <cellStyle name="출력 2 2" xfId="109"/>
    <cellStyle name="출력 3" xfId="102"/>
    <cellStyle name="콤마 [0]_  갑 지  " xfId="67"/>
    <cellStyle name="콤마_  갑 지  " xfId="68"/>
    <cellStyle name="표준" xfId="0" builtinId="0" customBuiltin="1"/>
    <cellStyle name="표준 2" xfId="69"/>
    <cellStyle name="표준 2 2" xfId="70"/>
    <cellStyle name="표준 2 3" xfId="84"/>
    <cellStyle name="표준 2 3 2" xfId="85"/>
    <cellStyle name="표준 3" xfId="71"/>
    <cellStyle name="표준 3 2" xfId="72"/>
    <cellStyle name="표준 3 3" xfId="73"/>
    <cellStyle name="표준 4" xfId="74"/>
    <cellStyle name="표준 5" xfId="75"/>
    <cellStyle name="표준 6" xfId="76"/>
    <cellStyle name="표준 7" xfId="77"/>
    <cellStyle name="표준_AGLIENT 34401A(12.22)" xfId="78"/>
    <cellStyle name="표준_ESS-2000" xfId="79"/>
    <cellStyle name="표준_Sheet1" xfId="81"/>
    <cellStyle name="표준_교정결과" xfId="113"/>
    <cellStyle name="표준_영문Reg004-X" xfId="82"/>
    <cellStyle name="표준_최신샘플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</xdr:colOff>
      <xdr:row>42</xdr:row>
      <xdr:rowOff>4762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981325" y="8415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981325" y="8415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42</xdr:row>
      <xdr:rowOff>9525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705225" y="8420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705225" y="8420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58</xdr:row>
      <xdr:rowOff>9525</xdr:rowOff>
    </xdr:from>
    <xdr:to>
      <xdr:col>7</xdr:col>
      <xdr:colOff>267929</xdr:colOff>
      <xdr:row>58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733550" y="765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33550" y="765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28575</xdr:colOff>
      <xdr:row>99</xdr:row>
      <xdr:rowOff>57150</xdr:rowOff>
    </xdr:from>
    <xdr:ext cx="741678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TextBox 4"/>
            <xdr:cNvSpPr txBox="1"/>
          </xdr:nvSpPr>
          <xdr:spPr>
            <a:xfrm>
              <a:off x="1247775" y="22840950"/>
              <a:ext cx="741678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4" name="TextBox 4"/>
            <xdr:cNvSpPr txBox="1"/>
          </xdr:nvSpPr>
          <xdr:spPr>
            <a:xfrm>
              <a:off x="1247775" y="22840950"/>
              <a:ext cx="741678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𝑐_(𝑙_𝑠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9526</xdr:colOff>
      <xdr:row>69</xdr:row>
      <xdr:rowOff>4767</xdr:rowOff>
    </xdr:from>
    <xdr:ext cx="5500224" cy="8731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314326" y="16597317"/>
              <a:ext cx="5500224" cy="8731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acc>
                          <m:accPr>
                            <m:chr m:val="̅"/>
                            <m:ctrlP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14326" y="16597317"/>
              <a:ext cx="5500224" cy="8731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𝑐_(𝑙_𝑠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 )=1,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𝑐_(𝑙_𝑥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 )=−1,  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 ̅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̅∙𝑙_0,  </a:t>
              </a:r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𝑡∙𝑙_0,  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∙𝑙_0,  𝑐_(〖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𝑙_𝑟 )=1,  𝑐_(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𝑙_𝑐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𝑙_𝑐 )=1</a:t>
              </a:r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</xdr:col>
      <xdr:colOff>9525</xdr:colOff>
      <xdr:row>67</xdr:row>
      <xdr:rowOff>14286</xdr:rowOff>
    </xdr:from>
    <xdr:to>
      <xdr:col>50</xdr:col>
      <xdr:colOff>47625</xdr:colOff>
      <xdr:row>68</xdr:row>
      <xdr:rowOff>3320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TextBox 2"/>
            <xdr:cNvSpPr txBox="1">
              <a:spLocks/>
            </xdr:cNvSpPr>
          </xdr:nvSpPr>
          <xdr:spPr>
            <a:xfrm>
              <a:off x="161925" y="16130586"/>
              <a:ext cx="7505700" cy="227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∆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acc>
                              <m:accPr>
                                <m:chr m:val="̅"/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ko-KR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</m:acc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∆</m:t>
                            </m:r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𝛼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8" name="TextBox 2"/>
            <xdr:cNvSpPr txBox="1">
              <a:spLocks/>
            </xdr:cNvSpPr>
          </xdr:nvSpPr>
          <xdr:spPr>
            <a:xfrm>
              <a:off x="161925" y="16130586"/>
              <a:ext cx="7505700" cy="227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𝑡∙𝑙_0 )^2 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̅∙𝑙_0 )^2 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𝑡∙𝑙_0 )^2 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∙𝑙_0 )^2 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𝑙〗_𝑟)+𝑢^2 (〖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𝑙〗_𝑐)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53</xdr:row>
      <xdr:rowOff>80961</xdr:rowOff>
    </xdr:from>
    <xdr:to>
      <xdr:col>37</xdr:col>
      <xdr:colOff>51862</xdr:colOff>
      <xdr:row>54</xdr:row>
      <xdr:rowOff>187290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>
              <a:spLocks noChangeAspect="1"/>
            </xdr:cNvSpPr>
          </xdr:nvSpPr>
          <xdr:spPr>
            <a:xfrm>
              <a:off x="0" y="12863511"/>
              <a:ext cx="5690662" cy="344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20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20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  <m:r>
                          <a:rPr lang="en-US" altLang="ko-KR" sz="2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∙∆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+∆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2" name="TextBox 1"/>
            <xdr:cNvSpPr txBox="1">
              <a:spLocks noChangeAspect="1"/>
            </xdr:cNvSpPr>
          </xdr:nvSpPr>
          <xdr:spPr>
            <a:xfrm>
              <a:off x="0" y="12863511"/>
              <a:ext cx="5690662" cy="344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𝐵_𝑥=𝑙_𝑠−𝑙_𝑥−(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 ̅</a:t>
              </a:r>
              <a:r>
                <a:rPr lang="en-US" altLang="ko-KR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∙∆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𝑡+∆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𝛼∙𝛿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𝑡) 𝑙_0+〖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𝑙〗_𝑟+〖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𝑙〗_𝑐</a:t>
              </a:r>
              <a:endParaRPr lang="ko-KR" altLang="en-US" sz="2000"/>
            </a:p>
          </xdr:txBody>
        </xdr:sp>
      </mc:Fallback>
    </mc:AlternateContent>
    <xdr:clientData/>
  </xdr:twoCellAnchor>
  <xdr:oneCellAnchor>
    <xdr:from>
      <xdr:col>16</xdr:col>
      <xdr:colOff>47624</xdr:colOff>
      <xdr:row>94</xdr:row>
      <xdr:rowOff>228600</xdr:rowOff>
    </xdr:from>
    <xdr:ext cx="1724025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TextBox 6"/>
            <xdr:cNvSpPr txBox="1"/>
          </xdr:nvSpPr>
          <xdr:spPr>
            <a:xfrm>
              <a:off x="2486024" y="22774275"/>
              <a:ext cx="1724025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          </m:t>
                          </m:r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+</m:t>
                      </m:r>
                      <m:sSup>
                        <m:sSup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  <m:t>             </m:t>
                              </m:r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×</m:t>
                              </m:r>
                              <m:sSub>
                                <m:sSubPr>
                                  <m:ctrlPr>
                                    <a:rPr lang="en-US" altLang="ko-KR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ko-KR" sz="1100" b="0" i="1">
                                      <a:latin typeface="Cambria Math" panose="02040503050406030204" pitchFamily="18" charset="0"/>
                                    </a:rPr>
                                    <m:t>𝑙</m:t>
                                  </m:r>
                                </m:e>
                                <m:sub>
                                  <m:r>
                                    <a:rPr lang="en-US" altLang="ko-KR" sz="1100" b="0" i="1">
                                      <a:latin typeface="Cambria Math" panose="02040503050406030204" pitchFamily="18" charset="0"/>
                                    </a:rPr>
                                    <m:t>0</m:t>
                                  </m:r>
                                </m:sub>
                              </m:sSub>
                            </m:e>
                          </m:d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e>
                  </m:rad>
                </m:oMath>
              </a14:m>
              <a:r>
                <a:rPr lang="ko-KR" altLang="en-US" sz="1100"/>
                <a:t>   </a:t>
              </a:r>
              <a:r>
                <a:rPr lang="en-US" altLang="ko-KR" sz="1100"/>
                <a:t>nm</a:t>
              </a:r>
              <a:endParaRPr lang="ko-KR" altLang="en-US" sz="1100"/>
            </a:p>
          </xdr:txBody>
        </xdr:sp>
      </mc:Choice>
      <mc:Fallback xmlns="">
        <xdr:sp macro="" textlink="">
          <xdr:nvSpPr>
            <xdr:cNvPr id="66" name="TextBox 6"/>
            <xdr:cNvSpPr txBox="1"/>
          </xdr:nvSpPr>
          <xdr:spPr>
            <a:xfrm>
              <a:off x="2486024" y="22774275"/>
              <a:ext cx="1724025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√(〖          〗^2+(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𝑙_0 )^2 )</a:t>
              </a:r>
              <a:r>
                <a:rPr lang="ko-KR" altLang="en-US" sz="1100"/>
                <a:t>   </a:t>
              </a:r>
              <a:r>
                <a:rPr lang="en-US" altLang="ko-KR" sz="1100"/>
                <a:t>nm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29</xdr:col>
      <xdr:colOff>47624</xdr:colOff>
      <xdr:row>94</xdr:row>
      <xdr:rowOff>228600</xdr:rowOff>
    </xdr:from>
    <xdr:ext cx="2143126" cy="2056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TextBox 6"/>
            <xdr:cNvSpPr txBox="1"/>
          </xdr:nvSpPr>
          <xdr:spPr>
            <a:xfrm>
              <a:off x="4467224" y="22774275"/>
              <a:ext cx="2143126" cy="2056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          </m:t>
                          </m:r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+</m:t>
                      </m:r>
                      <m:sSup>
                        <m:sSup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  <m:t>             </m:t>
                              </m:r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×</m:t>
                              </m:r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  <m:t>                  </m:t>
                              </m:r>
                            </m:e>
                          </m:d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e>
                  </m:rad>
                </m:oMath>
              </a14:m>
              <a:r>
                <a:rPr lang="ko-KR" altLang="en-US" sz="1100"/>
                <a:t>   </a:t>
              </a:r>
              <a:r>
                <a:rPr lang="en-US" altLang="ko-KR" sz="1100"/>
                <a:t>nm</a:t>
              </a:r>
              <a:endParaRPr lang="ko-KR" altLang="en-US" sz="1100"/>
            </a:p>
          </xdr:txBody>
        </xdr:sp>
      </mc:Choice>
      <mc:Fallback xmlns="">
        <xdr:sp macro="" textlink="">
          <xdr:nvSpPr>
            <xdr:cNvPr id="67" name="TextBox 6"/>
            <xdr:cNvSpPr txBox="1"/>
          </xdr:nvSpPr>
          <xdr:spPr>
            <a:xfrm>
              <a:off x="4467224" y="22774275"/>
              <a:ext cx="2143126" cy="2056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√(〖          〗^2+(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      )^2 )</a:t>
              </a:r>
              <a:r>
                <a:rPr lang="ko-KR" altLang="en-US" sz="1100"/>
                <a:t>   </a:t>
              </a:r>
              <a:r>
                <a:rPr lang="en-US" altLang="ko-KR" sz="1100"/>
                <a:t>nm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38100</xdr:colOff>
      <xdr:row>110</xdr:row>
      <xdr:rowOff>19050</xdr:rowOff>
    </xdr:from>
    <xdr:ext cx="228600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TextBox 5"/>
            <xdr:cNvSpPr txBox="1"/>
          </xdr:nvSpPr>
          <xdr:spPr>
            <a:xfrm>
              <a:off x="1866900" y="26612850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8" name="TextBox 5"/>
            <xdr:cNvSpPr txBox="1"/>
          </xdr:nvSpPr>
          <xdr:spPr>
            <a:xfrm>
              <a:off x="1866900" y="26612850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√𝑛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123825</xdr:colOff>
      <xdr:row>110</xdr:row>
      <xdr:rowOff>19050</xdr:rowOff>
    </xdr:from>
    <xdr:ext cx="228600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TextBox 5"/>
            <xdr:cNvSpPr txBox="1"/>
          </xdr:nvSpPr>
          <xdr:spPr>
            <a:xfrm>
              <a:off x="2562225" y="26612850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9" name="TextBox 5"/>
            <xdr:cNvSpPr txBox="1"/>
          </xdr:nvSpPr>
          <xdr:spPr>
            <a:xfrm>
              <a:off x="2562225" y="26612850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142874</xdr:colOff>
      <xdr:row>113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TextBox 5"/>
            <xdr:cNvSpPr txBox="1"/>
          </xdr:nvSpPr>
          <xdr:spPr>
            <a:xfrm>
              <a:off x="1819274" y="273272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0" name="TextBox 5"/>
            <xdr:cNvSpPr txBox="1"/>
          </xdr:nvSpPr>
          <xdr:spPr>
            <a:xfrm>
              <a:off x="1819274" y="273272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95249</xdr:colOff>
      <xdr:row>113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TextBox 5"/>
            <xdr:cNvSpPr txBox="1"/>
          </xdr:nvSpPr>
          <xdr:spPr>
            <a:xfrm>
              <a:off x="2533649" y="273272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1" name="TextBox 5"/>
            <xdr:cNvSpPr txBox="1"/>
          </xdr:nvSpPr>
          <xdr:spPr>
            <a:xfrm>
              <a:off x="2533649" y="273272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115</xdr:row>
      <xdr:rowOff>57150</xdr:rowOff>
    </xdr:from>
    <xdr:ext cx="777521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TextBox 4"/>
            <xdr:cNvSpPr txBox="1"/>
          </xdr:nvSpPr>
          <xdr:spPr>
            <a:xfrm>
              <a:off x="1228725" y="27841575"/>
              <a:ext cx="777521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2" name="TextBox 4"/>
            <xdr:cNvSpPr txBox="1"/>
          </xdr:nvSpPr>
          <xdr:spPr>
            <a:xfrm>
              <a:off x="1228725" y="27841575"/>
              <a:ext cx="777521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𝑐_(𝑙_𝑥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29</xdr:col>
      <xdr:colOff>85725</xdr:colOff>
      <xdr:row>120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TextBox 4"/>
            <xdr:cNvSpPr txBox="1"/>
          </xdr:nvSpPr>
          <xdr:spPr>
            <a:xfrm>
              <a:off x="4505325" y="2876550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3" name="TextBox 4"/>
            <xdr:cNvSpPr txBox="1"/>
          </xdr:nvSpPr>
          <xdr:spPr>
            <a:xfrm>
              <a:off x="4505325" y="2876550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95250</xdr:colOff>
      <xdr:row>79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TextBox 4"/>
            <xdr:cNvSpPr txBox="1"/>
          </xdr:nvSpPr>
          <xdr:spPr>
            <a:xfrm>
              <a:off x="704850" y="1900237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4" name="TextBox 4"/>
            <xdr:cNvSpPr txBox="1"/>
          </xdr:nvSpPr>
          <xdr:spPr>
            <a:xfrm>
              <a:off x="704850" y="1900237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28575</xdr:colOff>
      <xdr:row>59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TextBox 4"/>
            <xdr:cNvSpPr txBox="1"/>
          </xdr:nvSpPr>
          <xdr:spPr>
            <a:xfrm>
              <a:off x="485775" y="1423987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5" name="TextBox 4"/>
            <xdr:cNvSpPr txBox="1"/>
          </xdr:nvSpPr>
          <xdr:spPr>
            <a:xfrm>
              <a:off x="485775" y="1423987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22</xdr:col>
      <xdr:colOff>85725</xdr:colOff>
      <xdr:row>121</xdr:row>
      <xdr:rowOff>38100</xdr:rowOff>
    </xdr:from>
    <xdr:ext cx="11620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TextBox 4"/>
            <xdr:cNvSpPr txBox="1"/>
          </xdr:nvSpPr>
          <xdr:spPr>
            <a:xfrm>
              <a:off x="4505325" y="29489400"/>
              <a:ext cx="1162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)/2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6" name="TextBox 4"/>
            <xdr:cNvSpPr txBox="1"/>
          </xdr:nvSpPr>
          <xdr:spPr>
            <a:xfrm>
              <a:off x="4505325" y="29489400"/>
              <a:ext cx="1162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_𝑠+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_𝑥)/2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9525</xdr:colOff>
      <xdr:row>123</xdr:row>
      <xdr:rowOff>69881</xdr:rowOff>
    </xdr:from>
    <xdr:ext cx="2209799" cy="348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TextBox 4"/>
            <xdr:cNvSpPr txBox="1"/>
          </xdr:nvSpPr>
          <xdr:spPr>
            <a:xfrm>
              <a:off x="3514725" y="29759306"/>
              <a:ext cx="2209799" cy="348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7" name="TextBox 4"/>
            <xdr:cNvSpPr txBox="1"/>
          </xdr:nvSpPr>
          <xdr:spPr>
            <a:xfrm>
              <a:off x="3514725" y="29759306"/>
              <a:ext cx="2209799" cy="348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)=1/4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𝑢^2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)+1/4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𝑢^2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66674</xdr:colOff>
      <xdr:row>126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5"/>
            <xdr:cNvSpPr txBox="1"/>
          </xdr:nvSpPr>
          <xdr:spPr>
            <a:xfrm>
              <a:off x="4181474" y="304228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8" name="TextBox 5"/>
            <xdr:cNvSpPr txBox="1"/>
          </xdr:nvSpPr>
          <xdr:spPr>
            <a:xfrm>
              <a:off x="4181474" y="304228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9524</xdr:colOff>
      <xdr:row>127</xdr:row>
      <xdr:rowOff>203231</xdr:rowOff>
    </xdr:from>
    <xdr:ext cx="3419475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TextBox 4"/>
            <xdr:cNvSpPr txBox="1"/>
          </xdr:nvSpPr>
          <xdr:spPr>
            <a:xfrm>
              <a:off x="1381124" y="30845156"/>
              <a:ext cx="341947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9" name="TextBox 4"/>
            <xdr:cNvSpPr txBox="1"/>
          </xdr:nvSpPr>
          <xdr:spPr>
            <a:xfrm>
              <a:off x="1381124" y="30845156"/>
              <a:ext cx="341947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)=√(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1/4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℃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)^2+1/4 (0.58×〖10〗^(−6)/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131</xdr:row>
      <xdr:rowOff>57150</xdr:rowOff>
    </xdr:from>
    <xdr:ext cx="1375698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TextBox 79"/>
            <xdr:cNvSpPr txBox="1"/>
          </xdr:nvSpPr>
          <xdr:spPr>
            <a:xfrm>
              <a:off x="1228725" y="31651575"/>
              <a:ext cx="1375698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acc>
                          <m:accPr>
                            <m:chr m:val="̅"/>
                            <m:ctrlP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0" name="TextBox 79"/>
            <xdr:cNvSpPr txBox="1"/>
          </xdr:nvSpPr>
          <xdr:spPr>
            <a:xfrm>
              <a:off x="1228725" y="31651575"/>
              <a:ext cx="1375698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 ̅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134</xdr:row>
      <xdr:rowOff>9525</xdr:rowOff>
    </xdr:from>
    <xdr:ext cx="2743201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TextBox 5"/>
            <xdr:cNvSpPr txBox="1"/>
          </xdr:nvSpPr>
          <xdr:spPr>
            <a:xfrm>
              <a:off x="1076324" y="32318325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1" name="TextBox 5"/>
            <xdr:cNvSpPr txBox="1"/>
          </xdr:nvSpPr>
          <xdr:spPr>
            <a:xfrm>
              <a:off x="1076324" y="32318325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ν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 )=1/2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(100/𝑅)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1/2 (100/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=50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8</xdr:col>
      <xdr:colOff>104775</xdr:colOff>
      <xdr:row>161</xdr:row>
      <xdr:rowOff>57150</xdr:rowOff>
    </xdr:from>
    <xdr:ext cx="1452129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TextBox 81"/>
            <xdr:cNvSpPr txBox="1"/>
          </xdr:nvSpPr>
          <xdr:spPr>
            <a:xfrm>
              <a:off x="1323975" y="38795325"/>
              <a:ext cx="1452129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2" name="TextBox 81"/>
            <xdr:cNvSpPr txBox="1"/>
          </xdr:nvSpPr>
          <xdr:spPr>
            <a:xfrm>
              <a:off x="1323975" y="38795325"/>
              <a:ext cx="1452129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147</xdr:row>
      <xdr:rowOff>57150</xdr:rowOff>
    </xdr:from>
    <xdr:ext cx="1346010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TextBox 82"/>
            <xdr:cNvSpPr txBox="1"/>
          </xdr:nvSpPr>
          <xdr:spPr>
            <a:xfrm>
              <a:off x="1228725" y="35461575"/>
              <a:ext cx="134601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3" name="TextBox 82"/>
            <xdr:cNvSpPr txBox="1"/>
          </xdr:nvSpPr>
          <xdr:spPr>
            <a:xfrm>
              <a:off x="1228725" y="35461575"/>
              <a:ext cx="134601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114300</xdr:colOff>
      <xdr:row>177</xdr:row>
      <xdr:rowOff>57150</xdr:rowOff>
    </xdr:from>
    <xdr:ext cx="1443344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TextBox 83"/>
            <xdr:cNvSpPr txBox="1"/>
          </xdr:nvSpPr>
          <xdr:spPr>
            <a:xfrm>
              <a:off x="1333500" y="42605325"/>
              <a:ext cx="1443344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4" name="TextBox 83"/>
            <xdr:cNvSpPr txBox="1"/>
          </xdr:nvSpPr>
          <xdr:spPr>
            <a:xfrm>
              <a:off x="1333500" y="42605325"/>
              <a:ext cx="1443344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190</xdr:row>
      <xdr:rowOff>57150</xdr:rowOff>
    </xdr:from>
    <xdr:ext cx="845552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TextBox 84"/>
            <xdr:cNvSpPr txBox="1"/>
          </xdr:nvSpPr>
          <xdr:spPr>
            <a:xfrm>
              <a:off x="1228725" y="45462825"/>
              <a:ext cx="845552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5" name="TextBox 84"/>
            <xdr:cNvSpPr txBox="1"/>
          </xdr:nvSpPr>
          <xdr:spPr>
            <a:xfrm>
              <a:off x="1228725" y="45462825"/>
              <a:ext cx="845552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𝑙_𝑟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9526</xdr:colOff>
      <xdr:row>204</xdr:row>
      <xdr:rowOff>57150</xdr:rowOff>
    </xdr:from>
    <xdr:ext cx="819150" cy="476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" name="TextBox 85"/>
            <xdr:cNvSpPr txBox="1"/>
          </xdr:nvSpPr>
          <xdr:spPr>
            <a:xfrm>
              <a:off x="1228726" y="48796575"/>
              <a:ext cx="819150" cy="476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Choice>
      <mc:Fallback xmlns="">
        <xdr:sp macro="" textlink="">
          <xdr:nvSpPr>
            <xdr:cNvPr id="86" name="TextBox 85"/>
            <xdr:cNvSpPr txBox="1"/>
          </xdr:nvSpPr>
          <xdr:spPr>
            <a:xfrm>
              <a:off x="1228726" y="48796575"/>
              <a:ext cx="819150" cy="476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𝑙_𝑐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𝑙_𝑐 )=</a:t>
              </a:r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136</xdr:row>
      <xdr:rowOff>47625</xdr:rowOff>
    </xdr:from>
    <xdr:ext cx="3124201" cy="6023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" name="TextBox 5"/>
            <xdr:cNvSpPr txBox="1"/>
          </xdr:nvSpPr>
          <xdr:spPr>
            <a:xfrm>
              <a:off x="1076324" y="32832675"/>
              <a:ext cx="3124201" cy="602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ba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(0.41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−6</m:t>
                                </m:r>
                              </m:sup>
                            </m:s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f>
                                  <m:f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f>
                                  <m:f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7" name="TextBox 5"/>
            <xdr:cNvSpPr txBox="1"/>
          </xdr:nvSpPr>
          <xdr:spPr>
            <a:xfrm>
              <a:off x="1076324" y="32832675"/>
              <a:ext cx="3124201" cy="602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ν(¯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)=</a:t>
              </a:r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(0.41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×〖10〗^(−6))〗^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×〖10〗^(−6))〗^4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〖(1/2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×〖10〗^(−6))〗^4/50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9</xdr:col>
      <xdr:colOff>9524</xdr:colOff>
      <xdr:row>159</xdr:row>
      <xdr:rowOff>12731</xdr:rowOff>
    </xdr:from>
    <xdr:ext cx="4371976" cy="216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" name="TextBox 4"/>
            <xdr:cNvSpPr txBox="1"/>
          </xdr:nvSpPr>
          <xdr:spPr>
            <a:xfrm>
              <a:off x="1381124" y="38274656"/>
              <a:ext cx="4371976" cy="216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=0.82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−6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ko-KR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℃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8" name="TextBox 4"/>
            <xdr:cNvSpPr txBox="1"/>
          </xdr:nvSpPr>
          <xdr:spPr>
            <a:xfrm>
              <a:off x="1381124" y="38274656"/>
              <a:ext cx="4371976" cy="216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℃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)^2+(0.58×〖10〗^(−6)/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=0.82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×〖10〗^(−6)/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℃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152399</xdr:colOff>
      <xdr:row>145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9" name="TextBox 5"/>
            <xdr:cNvSpPr txBox="1"/>
          </xdr:nvSpPr>
          <xdr:spPr>
            <a:xfrm>
              <a:off x="2133599" y="347186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9" name="TextBox 5"/>
            <xdr:cNvSpPr txBox="1"/>
          </xdr:nvSpPr>
          <xdr:spPr>
            <a:xfrm>
              <a:off x="2133599" y="347186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164</xdr:row>
      <xdr:rowOff>9525</xdr:rowOff>
    </xdr:from>
    <xdr:ext cx="2743201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TextBox 5"/>
            <xdr:cNvSpPr txBox="1"/>
          </xdr:nvSpPr>
          <xdr:spPr>
            <a:xfrm>
              <a:off x="1076324" y="32318325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92" name="TextBox 5"/>
            <xdr:cNvSpPr txBox="1"/>
          </xdr:nvSpPr>
          <xdr:spPr>
            <a:xfrm>
              <a:off x="1076324" y="32318325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ν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 )=1/2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(100/𝑅)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1/2 (100/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=50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166</xdr:row>
      <xdr:rowOff>47625</xdr:rowOff>
    </xdr:from>
    <xdr:ext cx="2733676" cy="4966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3" name="TextBox 5"/>
            <xdr:cNvSpPr txBox="1"/>
          </xdr:nvSpPr>
          <xdr:spPr>
            <a:xfrm>
              <a:off x="1076325" y="39976425"/>
              <a:ext cx="2733676" cy="496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(0.82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−6</m:t>
                                </m:r>
                              </m:sup>
                            </m:s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93" name="TextBox 5"/>
            <xdr:cNvSpPr txBox="1"/>
          </xdr:nvSpPr>
          <xdr:spPr>
            <a:xfrm>
              <a:off x="1076325" y="39976425"/>
              <a:ext cx="2733676" cy="496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(0.82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×〖10〗^(−6))〗^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〖(0.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×〖10〗^(−6))〗^4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〖(0.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×〖10〗^(−6))〗^4/50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13</xdr:col>
      <xdr:colOff>66674</xdr:colOff>
      <xdr:row>175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4" name="TextBox 5"/>
            <xdr:cNvSpPr txBox="1"/>
          </xdr:nvSpPr>
          <xdr:spPr>
            <a:xfrm>
              <a:off x="1895474" y="421005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4" name="TextBox 5"/>
            <xdr:cNvSpPr txBox="1"/>
          </xdr:nvSpPr>
          <xdr:spPr>
            <a:xfrm>
              <a:off x="1895474" y="421005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142874</xdr:colOff>
      <xdr:row>188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5" name="TextBox 5"/>
            <xdr:cNvSpPr txBox="1"/>
          </xdr:nvSpPr>
          <xdr:spPr>
            <a:xfrm>
              <a:off x="2124074" y="449484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5" name="TextBox 5"/>
            <xdr:cNvSpPr txBox="1"/>
          </xdr:nvSpPr>
          <xdr:spPr>
            <a:xfrm>
              <a:off x="2124074" y="449484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19</xdr:col>
      <xdr:colOff>152399</xdr:colOff>
      <xdr:row>188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6" name="TextBox 5"/>
            <xdr:cNvSpPr txBox="1"/>
          </xdr:nvSpPr>
          <xdr:spPr>
            <a:xfrm>
              <a:off x="2895599" y="449484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6" name="TextBox 5"/>
            <xdr:cNvSpPr txBox="1"/>
          </xdr:nvSpPr>
          <xdr:spPr>
            <a:xfrm>
              <a:off x="2895599" y="449484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193</xdr:row>
      <xdr:rowOff>9525</xdr:rowOff>
    </xdr:from>
    <xdr:ext cx="2266950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7" name="TextBox 5"/>
            <xdr:cNvSpPr txBox="1"/>
          </xdr:nvSpPr>
          <xdr:spPr>
            <a:xfrm>
              <a:off x="1076325" y="46129575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7" name="TextBox 5"/>
            <xdr:cNvSpPr txBox="1"/>
          </xdr:nvSpPr>
          <xdr:spPr>
            <a:xfrm>
              <a:off x="1076325" y="46129575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𝑙_𝑟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19049</xdr:colOff>
      <xdr:row>202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8" name="TextBox 5"/>
            <xdr:cNvSpPr txBox="1"/>
          </xdr:nvSpPr>
          <xdr:spPr>
            <a:xfrm>
              <a:off x="2152649" y="482917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8" name="TextBox 5"/>
            <xdr:cNvSpPr txBox="1"/>
          </xdr:nvSpPr>
          <xdr:spPr>
            <a:xfrm>
              <a:off x="2152649" y="482917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207</xdr:row>
      <xdr:rowOff>9525</xdr:rowOff>
    </xdr:from>
    <xdr:ext cx="2266950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9" name="TextBox 5"/>
            <xdr:cNvSpPr txBox="1"/>
          </xdr:nvSpPr>
          <xdr:spPr>
            <a:xfrm>
              <a:off x="1076325" y="49463325"/>
              <a:ext cx="2266950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9" name="TextBox 5"/>
            <xdr:cNvSpPr txBox="1"/>
          </xdr:nvSpPr>
          <xdr:spPr>
            <a:xfrm>
              <a:off x="1076325" y="49463325"/>
              <a:ext cx="2266950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𝑙_𝑐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</xdr:col>
      <xdr:colOff>38100</xdr:colOff>
      <xdr:row>211</xdr:row>
      <xdr:rowOff>28576</xdr:rowOff>
    </xdr:from>
    <xdr:to>
      <xdr:col>35</xdr:col>
      <xdr:colOff>0</xdr:colOff>
      <xdr:row>212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0" name="TextBox 2"/>
            <xdr:cNvSpPr txBox="1">
              <a:spLocks/>
            </xdr:cNvSpPr>
          </xdr:nvSpPr>
          <xdr:spPr>
            <a:xfrm>
              <a:off x="190500" y="50434876"/>
              <a:ext cx="5143500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0" name="TextBox 2"/>
            <xdr:cNvSpPr txBox="1">
              <a:spLocks/>
            </xdr:cNvSpPr>
          </xdr:nvSpPr>
          <xdr:spPr>
            <a:xfrm>
              <a:off x="190500" y="50434876"/>
              <a:ext cx="5143500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𝑙〗_𝑟)+𝑢^2 (〖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𝑙〗_𝑐)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</xdr:col>
      <xdr:colOff>142875</xdr:colOff>
      <xdr:row>212</xdr:row>
      <xdr:rowOff>38101</xdr:rowOff>
    </xdr:from>
    <xdr:to>
      <xdr:col>10</xdr:col>
      <xdr:colOff>104775</xdr:colOff>
      <xdr:row>213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1" name="TextBox 2"/>
            <xdr:cNvSpPr txBox="1">
              <a:spLocks/>
            </xdr:cNvSpPr>
          </xdr:nvSpPr>
          <xdr:spPr>
            <a:xfrm>
              <a:off x="447675" y="50682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1" name="TextBox 2"/>
            <xdr:cNvSpPr txBox="1">
              <a:spLocks/>
            </xdr:cNvSpPr>
          </xdr:nvSpPr>
          <xdr:spPr>
            <a:xfrm>
              <a:off x="447675" y="50682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11</xdr:col>
      <xdr:colOff>142875</xdr:colOff>
      <xdr:row>212</xdr:row>
      <xdr:rowOff>38101</xdr:rowOff>
    </xdr:from>
    <xdr:to>
      <xdr:col>17</xdr:col>
      <xdr:colOff>104775</xdr:colOff>
      <xdr:row>213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2" name="TextBox 2"/>
            <xdr:cNvSpPr txBox="1">
              <a:spLocks/>
            </xdr:cNvSpPr>
          </xdr:nvSpPr>
          <xdr:spPr>
            <a:xfrm>
              <a:off x="1514475" y="50682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2" name="TextBox 2"/>
            <xdr:cNvSpPr txBox="1">
              <a:spLocks/>
            </xdr:cNvSpPr>
          </xdr:nvSpPr>
          <xdr:spPr>
            <a:xfrm>
              <a:off x="1514475" y="50682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18</xdr:col>
      <xdr:colOff>142875</xdr:colOff>
      <xdr:row>212</xdr:row>
      <xdr:rowOff>38101</xdr:rowOff>
    </xdr:from>
    <xdr:to>
      <xdr:col>24</xdr:col>
      <xdr:colOff>104775</xdr:colOff>
      <xdr:row>213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" name="TextBox 2"/>
            <xdr:cNvSpPr txBox="1">
              <a:spLocks/>
            </xdr:cNvSpPr>
          </xdr:nvSpPr>
          <xdr:spPr>
            <a:xfrm>
              <a:off x="2581275" y="50682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3" name="TextBox 2"/>
            <xdr:cNvSpPr txBox="1">
              <a:spLocks/>
            </xdr:cNvSpPr>
          </xdr:nvSpPr>
          <xdr:spPr>
            <a:xfrm>
              <a:off x="2581275" y="50682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25</xdr:col>
      <xdr:colOff>133350</xdr:colOff>
      <xdr:row>212</xdr:row>
      <xdr:rowOff>38101</xdr:rowOff>
    </xdr:from>
    <xdr:to>
      <xdr:col>31</xdr:col>
      <xdr:colOff>95250</xdr:colOff>
      <xdr:row>213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4" name="TextBox 2"/>
            <xdr:cNvSpPr txBox="1">
              <a:spLocks/>
            </xdr:cNvSpPr>
          </xdr:nvSpPr>
          <xdr:spPr>
            <a:xfrm>
              <a:off x="3638550" y="50682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4" name="TextBox 2"/>
            <xdr:cNvSpPr txBox="1">
              <a:spLocks/>
            </xdr:cNvSpPr>
          </xdr:nvSpPr>
          <xdr:spPr>
            <a:xfrm>
              <a:off x="3638550" y="50682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32</xdr:col>
      <xdr:colOff>133350</xdr:colOff>
      <xdr:row>212</xdr:row>
      <xdr:rowOff>38101</xdr:rowOff>
    </xdr:from>
    <xdr:to>
      <xdr:col>38</xdr:col>
      <xdr:colOff>95250</xdr:colOff>
      <xdr:row>213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5" name="TextBox 2"/>
            <xdr:cNvSpPr txBox="1">
              <a:spLocks/>
            </xdr:cNvSpPr>
          </xdr:nvSpPr>
          <xdr:spPr>
            <a:xfrm>
              <a:off x="4705350" y="50682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5" name="TextBox 2"/>
            <xdr:cNvSpPr txBox="1">
              <a:spLocks/>
            </xdr:cNvSpPr>
          </xdr:nvSpPr>
          <xdr:spPr>
            <a:xfrm>
              <a:off x="4705350" y="50682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6</xdr:col>
      <xdr:colOff>142875</xdr:colOff>
      <xdr:row>213</xdr:row>
      <xdr:rowOff>28576</xdr:rowOff>
    </xdr:from>
    <xdr:to>
      <xdr:col>12</xdr:col>
      <xdr:colOff>104775</xdr:colOff>
      <xdr:row>213</xdr:row>
      <xdr:rowOff>228600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6" name="TextBox 2"/>
            <xdr:cNvSpPr txBox="1">
              <a:spLocks/>
            </xdr:cNvSpPr>
          </xdr:nvSpPr>
          <xdr:spPr>
            <a:xfrm>
              <a:off x="752475" y="509111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6" name="TextBox 2"/>
            <xdr:cNvSpPr txBox="1">
              <a:spLocks/>
            </xdr:cNvSpPr>
          </xdr:nvSpPr>
          <xdr:spPr>
            <a:xfrm>
              <a:off x="752475" y="509111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13</xdr:col>
      <xdr:colOff>142875</xdr:colOff>
      <xdr:row>213</xdr:row>
      <xdr:rowOff>28576</xdr:rowOff>
    </xdr:from>
    <xdr:to>
      <xdr:col>19</xdr:col>
      <xdr:colOff>104775</xdr:colOff>
      <xdr:row>213</xdr:row>
      <xdr:rowOff>228600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7" name="TextBox 2"/>
            <xdr:cNvSpPr txBox="1">
              <a:spLocks/>
            </xdr:cNvSpPr>
          </xdr:nvSpPr>
          <xdr:spPr>
            <a:xfrm>
              <a:off x="1819275" y="509111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7" name="TextBox 2"/>
            <xdr:cNvSpPr txBox="1">
              <a:spLocks/>
            </xdr:cNvSpPr>
          </xdr:nvSpPr>
          <xdr:spPr>
            <a:xfrm>
              <a:off x="1819275" y="509111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20</xdr:col>
      <xdr:colOff>142875</xdr:colOff>
      <xdr:row>213</xdr:row>
      <xdr:rowOff>28576</xdr:rowOff>
    </xdr:from>
    <xdr:to>
      <xdr:col>26</xdr:col>
      <xdr:colOff>104775</xdr:colOff>
      <xdr:row>213</xdr:row>
      <xdr:rowOff>228600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8" name="TextBox 2"/>
            <xdr:cNvSpPr txBox="1">
              <a:spLocks/>
            </xdr:cNvSpPr>
          </xdr:nvSpPr>
          <xdr:spPr>
            <a:xfrm>
              <a:off x="2886075" y="509111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8" name="TextBox 2"/>
            <xdr:cNvSpPr txBox="1">
              <a:spLocks/>
            </xdr:cNvSpPr>
          </xdr:nvSpPr>
          <xdr:spPr>
            <a:xfrm>
              <a:off x="2886075" y="509111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</xdr:col>
      <xdr:colOff>142875</xdr:colOff>
      <xdr:row>214</xdr:row>
      <xdr:rowOff>38101</xdr:rowOff>
    </xdr:from>
    <xdr:to>
      <xdr:col>10</xdr:col>
      <xdr:colOff>104775</xdr:colOff>
      <xdr:row>215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9" name="TextBox 2"/>
            <xdr:cNvSpPr txBox="1">
              <a:spLocks/>
            </xdr:cNvSpPr>
          </xdr:nvSpPr>
          <xdr:spPr>
            <a:xfrm>
              <a:off x="447675" y="5115877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9" name="TextBox 2"/>
            <xdr:cNvSpPr txBox="1">
              <a:spLocks/>
            </xdr:cNvSpPr>
          </xdr:nvSpPr>
          <xdr:spPr>
            <a:xfrm>
              <a:off x="447675" y="5115877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11</xdr:col>
      <xdr:colOff>0</xdr:colOff>
      <xdr:row>220</xdr:row>
      <xdr:rowOff>19050</xdr:rowOff>
    </xdr:from>
    <xdr:to>
      <xdr:col>15</xdr:col>
      <xdr:colOff>123825</xdr:colOff>
      <xdr:row>220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0" name="TextBox 2"/>
            <xdr:cNvSpPr txBox="1">
              <a:spLocks/>
            </xdr:cNvSpPr>
          </xdr:nvSpPr>
          <xdr:spPr>
            <a:xfrm>
              <a:off x="1323975" y="5256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0" name="TextBox 2"/>
            <xdr:cNvSpPr txBox="1">
              <a:spLocks/>
            </xdr:cNvSpPr>
          </xdr:nvSpPr>
          <xdr:spPr>
            <a:xfrm>
              <a:off x="1323975" y="5256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28</xdr:col>
      <xdr:colOff>47625</xdr:colOff>
      <xdr:row>219</xdr:row>
      <xdr:rowOff>28575</xdr:rowOff>
    </xdr:from>
    <xdr:to>
      <xdr:col>33</xdr:col>
      <xdr:colOff>19050</xdr:colOff>
      <xdr:row>219</xdr:row>
      <xdr:rowOff>238124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1" name="TextBox 2"/>
            <xdr:cNvSpPr txBox="1">
              <a:spLocks/>
            </xdr:cNvSpPr>
          </xdr:nvSpPr>
          <xdr:spPr>
            <a:xfrm>
              <a:off x="4010025" y="523398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1" name="TextBox 2"/>
            <xdr:cNvSpPr txBox="1">
              <a:spLocks/>
            </xdr:cNvSpPr>
          </xdr:nvSpPr>
          <xdr:spPr>
            <a:xfrm>
              <a:off x="4010025" y="523398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15</xdr:col>
      <xdr:colOff>85725</xdr:colOff>
      <xdr:row>220</xdr:row>
      <xdr:rowOff>19050</xdr:rowOff>
    </xdr:from>
    <xdr:to>
      <xdr:col>20</xdr:col>
      <xdr:colOff>57150</xdr:colOff>
      <xdr:row>220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2" name="TextBox 2"/>
            <xdr:cNvSpPr txBox="1">
              <a:spLocks/>
            </xdr:cNvSpPr>
          </xdr:nvSpPr>
          <xdr:spPr>
            <a:xfrm>
              <a:off x="2066925" y="5256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2" name="TextBox 2"/>
            <xdr:cNvSpPr txBox="1">
              <a:spLocks/>
            </xdr:cNvSpPr>
          </xdr:nvSpPr>
          <xdr:spPr>
            <a:xfrm>
              <a:off x="2066925" y="5256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20</xdr:col>
      <xdr:colOff>114300</xdr:colOff>
      <xdr:row>220</xdr:row>
      <xdr:rowOff>19050</xdr:rowOff>
    </xdr:from>
    <xdr:to>
      <xdr:col>25</xdr:col>
      <xdr:colOff>85725</xdr:colOff>
      <xdr:row>220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3" name="TextBox 2"/>
            <xdr:cNvSpPr txBox="1">
              <a:spLocks/>
            </xdr:cNvSpPr>
          </xdr:nvSpPr>
          <xdr:spPr>
            <a:xfrm>
              <a:off x="2857500" y="5256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3" name="TextBox 2"/>
            <xdr:cNvSpPr txBox="1">
              <a:spLocks/>
            </xdr:cNvSpPr>
          </xdr:nvSpPr>
          <xdr:spPr>
            <a:xfrm>
              <a:off x="2857500" y="5256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25</xdr:col>
      <xdr:colOff>95250</xdr:colOff>
      <xdr:row>220</xdr:row>
      <xdr:rowOff>19050</xdr:rowOff>
    </xdr:from>
    <xdr:to>
      <xdr:col>30</xdr:col>
      <xdr:colOff>66675</xdr:colOff>
      <xdr:row>220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4" name="TextBox 2"/>
            <xdr:cNvSpPr txBox="1">
              <a:spLocks/>
            </xdr:cNvSpPr>
          </xdr:nvSpPr>
          <xdr:spPr>
            <a:xfrm>
              <a:off x="3600450" y="5256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4" name="TextBox 2"/>
            <xdr:cNvSpPr txBox="1">
              <a:spLocks/>
            </xdr:cNvSpPr>
          </xdr:nvSpPr>
          <xdr:spPr>
            <a:xfrm>
              <a:off x="3600450" y="5256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30</xdr:col>
      <xdr:colOff>104775</xdr:colOff>
      <xdr:row>220</xdr:row>
      <xdr:rowOff>19050</xdr:rowOff>
    </xdr:from>
    <xdr:to>
      <xdr:col>35</xdr:col>
      <xdr:colOff>76200</xdr:colOff>
      <xdr:row>220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5" name="TextBox 2"/>
            <xdr:cNvSpPr txBox="1">
              <a:spLocks/>
            </xdr:cNvSpPr>
          </xdr:nvSpPr>
          <xdr:spPr>
            <a:xfrm>
              <a:off x="4371975" y="5256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5" name="TextBox 2"/>
            <xdr:cNvSpPr txBox="1">
              <a:spLocks/>
            </xdr:cNvSpPr>
          </xdr:nvSpPr>
          <xdr:spPr>
            <a:xfrm>
              <a:off x="4371975" y="5256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35</xdr:col>
      <xdr:colOff>95250</xdr:colOff>
      <xdr:row>220</xdr:row>
      <xdr:rowOff>19050</xdr:rowOff>
    </xdr:from>
    <xdr:to>
      <xdr:col>40</xdr:col>
      <xdr:colOff>66675</xdr:colOff>
      <xdr:row>220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6" name="TextBox 2"/>
            <xdr:cNvSpPr txBox="1">
              <a:spLocks/>
            </xdr:cNvSpPr>
          </xdr:nvSpPr>
          <xdr:spPr>
            <a:xfrm>
              <a:off x="5124450" y="5256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6" name="TextBox 2"/>
            <xdr:cNvSpPr txBox="1">
              <a:spLocks/>
            </xdr:cNvSpPr>
          </xdr:nvSpPr>
          <xdr:spPr>
            <a:xfrm>
              <a:off x="5124450" y="5256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40</xdr:col>
      <xdr:colOff>85725</xdr:colOff>
      <xdr:row>220</xdr:row>
      <xdr:rowOff>19050</xdr:rowOff>
    </xdr:from>
    <xdr:to>
      <xdr:col>45</xdr:col>
      <xdr:colOff>57150</xdr:colOff>
      <xdr:row>220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7" name="TextBox 2"/>
            <xdr:cNvSpPr txBox="1">
              <a:spLocks/>
            </xdr:cNvSpPr>
          </xdr:nvSpPr>
          <xdr:spPr>
            <a:xfrm>
              <a:off x="5876925" y="5256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7" name="TextBox 2"/>
            <xdr:cNvSpPr txBox="1">
              <a:spLocks/>
            </xdr:cNvSpPr>
          </xdr:nvSpPr>
          <xdr:spPr>
            <a:xfrm>
              <a:off x="5876925" y="5256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45</xdr:col>
      <xdr:colOff>95250</xdr:colOff>
      <xdr:row>220</xdr:row>
      <xdr:rowOff>19050</xdr:rowOff>
    </xdr:from>
    <xdr:to>
      <xdr:col>50</xdr:col>
      <xdr:colOff>66675</xdr:colOff>
      <xdr:row>220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8" name="TextBox 2"/>
            <xdr:cNvSpPr txBox="1">
              <a:spLocks/>
            </xdr:cNvSpPr>
          </xdr:nvSpPr>
          <xdr:spPr>
            <a:xfrm>
              <a:off x="6648450" y="5256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8" name="TextBox 2"/>
            <xdr:cNvSpPr txBox="1">
              <a:spLocks/>
            </xdr:cNvSpPr>
          </xdr:nvSpPr>
          <xdr:spPr>
            <a:xfrm>
              <a:off x="6648450" y="5256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oneCellAnchor>
    <xdr:from>
      <xdr:col>1</xdr:col>
      <xdr:colOff>47625</xdr:colOff>
      <xdr:row>219</xdr:row>
      <xdr:rowOff>52101</xdr:rowOff>
    </xdr:from>
    <xdr:ext cx="1476375" cy="728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00025" y="52363401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00025" y="52363401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1)^𝑁▒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150</xdr:row>
      <xdr:rowOff>9524</xdr:rowOff>
    </xdr:from>
    <xdr:ext cx="2266950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TextBox 5"/>
            <xdr:cNvSpPr txBox="1"/>
          </xdr:nvSpPr>
          <xdr:spPr>
            <a:xfrm>
              <a:off x="1076325" y="30175199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61" name="TextBox 5"/>
            <xdr:cNvSpPr txBox="1"/>
          </xdr:nvSpPr>
          <xdr:spPr>
            <a:xfrm>
              <a:off x="1076325" y="30175199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𝜈(∆𝑡)=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100/20)^2=12</a:t>
              </a:r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180</xdr:row>
      <xdr:rowOff>9525</xdr:rowOff>
    </xdr:from>
    <xdr:ext cx="2133601" cy="504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TextBox 5"/>
            <xdr:cNvSpPr txBox="1"/>
          </xdr:nvSpPr>
          <xdr:spPr>
            <a:xfrm>
              <a:off x="1076325" y="37557075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2" name="TextBox 5"/>
            <xdr:cNvSpPr txBox="1"/>
          </xdr:nvSpPr>
          <xdr:spPr>
            <a:xfrm>
              <a:off x="1076325" y="37557075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𝑡)=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100/20)^2=12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showGridLines="0" tabSelected="1" zoomScaleNormal="100" zoomScaleSheetLayoutView="115" workbookViewId="0">
      <selection sqref="A1:J1"/>
    </sheetView>
  </sheetViews>
  <sheetFormatPr defaultColWidth="8.109375" defaultRowHeight="12.95" customHeight="1"/>
  <cols>
    <col min="1" max="11" width="8.109375" style="1" customWidth="1"/>
    <col min="12" max="16384" width="8.109375" style="1"/>
  </cols>
  <sheetData>
    <row r="1" spans="1:13" ht="51.95" customHeight="1">
      <c r="A1" s="323" t="s">
        <v>0</v>
      </c>
      <c r="B1" s="324"/>
      <c r="C1" s="324"/>
      <c r="D1" s="324"/>
      <c r="E1" s="324"/>
      <c r="F1" s="324"/>
      <c r="G1" s="324"/>
      <c r="H1" s="325"/>
      <c r="I1" s="326"/>
      <c r="J1" s="327"/>
    </row>
    <row r="2" spans="1:13" ht="12.95" customHeight="1">
      <c r="A2" s="328" t="s">
        <v>1</v>
      </c>
      <c r="B2" s="328"/>
      <c r="C2" s="328"/>
      <c r="D2" s="328"/>
      <c r="E2" s="328"/>
      <c r="F2" s="328"/>
      <c r="G2" s="328"/>
      <c r="H2" s="328"/>
      <c r="I2" s="328"/>
      <c r="J2" s="328"/>
    </row>
    <row r="3" spans="1:13" ht="12.95" customHeight="1">
      <c r="A3" s="320" t="s">
        <v>2</v>
      </c>
      <c r="B3" s="317"/>
      <c r="C3" s="329"/>
      <c r="D3" s="329"/>
      <c r="E3" s="329"/>
      <c r="F3" s="317" t="s">
        <v>3</v>
      </c>
      <c r="G3" s="317"/>
      <c r="H3" s="330"/>
      <c r="I3" s="319"/>
      <c r="J3" s="319"/>
    </row>
    <row r="4" spans="1:13" ht="12.95" customHeight="1">
      <c r="A4" s="317" t="s">
        <v>4</v>
      </c>
      <c r="B4" s="317"/>
      <c r="C4" s="318"/>
      <c r="D4" s="317"/>
      <c r="E4" s="317"/>
      <c r="F4" s="317" t="s">
        <v>5</v>
      </c>
      <c r="G4" s="317"/>
      <c r="H4" s="317"/>
      <c r="I4" s="319"/>
      <c r="J4" s="319"/>
    </row>
    <row r="5" spans="1:13" ht="12.95" customHeight="1">
      <c r="A5" s="317" t="s">
        <v>6</v>
      </c>
      <c r="B5" s="317"/>
      <c r="C5" s="317"/>
      <c r="D5" s="319"/>
      <c r="E5" s="319"/>
      <c r="F5" s="320" t="s">
        <v>7</v>
      </c>
      <c r="G5" s="317"/>
      <c r="H5" s="321"/>
      <c r="I5" s="322"/>
      <c r="J5" s="322"/>
    </row>
    <row r="6" spans="1:13" ht="12.95" customHeight="1">
      <c r="A6" s="317" t="s">
        <v>8</v>
      </c>
      <c r="B6" s="317"/>
      <c r="C6" s="317"/>
      <c r="D6" s="319"/>
      <c r="E6" s="319"/>
      <c r="F6" s="320" t="s">
        <v>9</v>
      </c>
      <c r="G6" s="317"/>
      <c r="H6" s="321"/>
      <c r="I6" s="322"/>
      <c r="J6" s="322"/>
    </row>
    <row r="7" spans="1:13" ht="12.95" customHeight="1">
      <c r="A7" s="317" t="s">
        <v>10</v>
      </c>
      <c r="B7" s="317"/>
      <c r="C7" s="332"/>
      <c r="D7" s="319"/>
      <c r="E7" s="319"/>
      <c r="F7" s="320" t="s">
        <v>11</v>
      </c>
      <c r="G7" s="317"/>
      <c r="H7" s="317"/>
      <c r="I7" s="319"/>
      <c r="J7" s="319"/>
    </row>
    <row r="8" spans="1:13" ht="12.95" customHeight="1">
      <c r="A8" s="317" t="s">
        <v>12</v>
      </c>
      <c r="B8" s="317"/>
      <c r="C8" s="330"/>
      <c r="D8" s="331"/>
      <c r="E8" s="331"/>
      <c r="F8" s="320" t="s">
        <v>13</v>
      </c>
      <c r="G8" s="317"/>
      <c r="H8" s="317"/>
      <c r="I8" s="319"/>
      <c r="J8" s="319"/>
    </row>
    <row r="9" spans="1:13" ht="12.95" customHeight="1">
      <c r="A9" s="320" t="s">
        <v>35</v>
      </c>
      <c r="B9" s="317"/>
      <c r="C9" s="321"/>
      <c r="D9" s="322"/>
      <c r="E9" s="322"/>
      <c r="F9" s="333" t="s">
        <v>14</v>
      </c>
      <c r="G9" s="333"/>
      <c r="H9" s="321"/>
      <c r="I9" s="322"/>
      <c r="J9" s="322"/>
    </row>
    <row r="10" spans="1:13" ht="23.25" customHeight="1">
      <c r="A10" s="317" t="s">
        <v>15</v>
      </c>
      <c r="B10" s="317"/>
      <c r="C10" s="321"/>
      <c r="D10" s="322"/>
      <c r="E10" s="322"/>
      <c r="F10" s="317" t="s">
        <v>16</v>
      </c>
      <c r="G10" s="317"/>
      <c r="H10" s="34"/>
      <c r="I10" s="341" t="s">
        <v>17</v>
      </c>
      <c r="J10" s="342"/>
      <c r="K10" s="4"/>
    </row>
    <row r="11" spans="1:13" ht="12.95" customHeight="1">
      <c r="A11" s="328" t="s">
        <v>18</v>
      </c>
      <c r="B11" s="328"/>
      <c r="C11" s="328"/>
      <c r="D11" s="328"/>
      <c r="E11" s="328"/>
      <c r="F11" s="328"/>
      <c r="G11" s="328"/>
      <c r="H11" s="328"/>
      <c r="I11" s="328"/>
      <c r="J11" s="328"/>
      <c r="K11" s="5"/>
    </row>
    <row r="12" spans="1:13" ht="17.25" customHeight="1">
      <c r="A12" s="3" t="s">
        <v>19</v>
      </c>
      <c r="B12" s="89"/>
      <c r="C12" s="6" t="s">
        <v>20</v>
      </c>
      <c r="D12" s="90"/>
      <c r="E12" s="6" t="s">
        <v>21</v>
      </c>
      <c r="F12" s="91"/>
      <c r="G12" s="343" t="s">
        <v>22</v>
      </c>
      <c r="H12" s="339"/>
      <c r="I12" s="345" t="s">
        <v>23</v>
      </c>
      <c r="J12" s="346"/>
      <c r="K12" s="4"/>
      <c r="L12" s="7"/>
      <c r="M12" s="7"/>
    </row>
    <row r="13" spans="1:13" ht="17.25" customHeight="1">
      <c r="A13" s="8" t="s">
        <v>24</v>
      </c>
      <c r="B13" s="89"/>
      <c r="C13" s="8" t="s">
        <v>25</v>
      </c>
      <c r="D13" s="90"/>
      <c r="E13" s="6" t="s">
        <v>26</v>
      </c>
      <c r="F13" s="91"/>
      <c r="G13" s="344"/>
      <c r="H13" s="340"/>
      <c r="I13" s="347"/>
      <c r="J13" s="348"/>
      <c r="K13" s="5"/>
    </row>
    <row r="14" spans="1:13" ht="12.95" customHeight="1">
      <c r="A14" s="328" t="s">
        <v>27</v>
      </c>
      <c r="B14" s="328"/>
      <c r="C14" s="328"/>
      <c r="D14" s="328"/>
      <c r="E14" s="328"/>
      <c r="F14" s="328"/>
      <c r="G14" s="328"/>
      <c r="H14" s="328"/>
      <c r="I14" s="328"/>
      <c r="J14" s="328"/>
      <c r="K14" s="5"/>
    </row>
    <row r="15" spans="1:13" ht="39" customHeight="1">
      <c r="A15" s="336"/>
      <c r="B15" s="337"/>
      <c r="C15" s="337"/>
      <c r="D15" s="337"/>
      <c r="E15" s="337"/>
      <c r="F15" s="337"/>
      <c r="G15" s="337"/>
      <c r="H15" s="337"/>
      <c r="I15" s="337"/>
      <c r="J15" s="338"/>
    </row>
    <row r="16" spans="1:13" ht="12.95" customHeight="1">
      <c r="A16" s="328" t="s">
        <v>28</v>
      </c>
      <c r="B16" s="328"/>
      <c r="C16" s="328"/>
      <c r="D16" s="328"/>
      <c r="E16" s="328"/>
      <c r="F16" s="328"/>
      <c r="G16" s="328"/>
      <c r="H16" s="328"/>
      <c r="I16" s="328"/>
      <c r="J16" s="328"/>
    </row>
    <row r="17" spans="1:12" ht="12.95" customHeight="1">
      <c r="A17" s="3" t="s">
        <v>29</v>
      </c>
      <c r="B17" s="320" t="s">
        <v>30</v>
      </c>
      <c r="C17" s="317"/>
      <c r="D17" s="317"/>
      <c r="E17" s="317"/>
      <c r="F17" s="320" t="s">
        <v>31</v>
      </c>
      <c r="G17" s="317"/>
      <c r="H17" s="3" t="s">
        <v>10</v>
      </c>
      <c r="I17" s="2" t="s">
        <v>32</v>
      </c>
      <c r="J17" s="2" t="s">
        <v>33</v>
      </c>
      <c r="L17" s="5"/>
    </row>
    <row r="18" spans="1:12" ht="12.95" customHeight="1">
      <c r="A18" s="35"/>
      <c r="B18" s="334"/>
      <c r="C18" s="335"/>
      <c r="D18" s="335"/>
      <c r="E18" s="335"/>
      <c r="F18" s="334"/>
      <c r="G18" s="335"/>
      <c r="H18" s="40"/>
      <c r="I18" s="18"/>
      <c r="J18" s="88"/>
      <c r="L18" s="5"/>
    </row>
    <row r="19" spans="1:12" ht="12.95" customHeight="1">
      <c r="A19" s="35"/>
      <c r="B19" s="334"/>
      <c r="C19" s="335"/>
      <c r="D19" s="335"/>
      <c r="E19" s="335"/>
      <c r="F19" s="334"/>
      <c r="G19" s="335"/>
      <c r="H19" s="21"/>
      <c r="I19" s="21"/>
      <c r="J19" s="88"/>
      <c r="L19" s="5"/>
    </row>
    <row r="20" spans="1:12" ht="12.95" customHeight="1">
      <c r="A20" s="35"/>
      <c r="B20" s="334"/>
      <c r="C20" s="335"/>
      <c r="D20" s="335"/>
      <c r="E20" s="335"/>
      <c r="F20" s="334"/>
      <c r="G20" s="335"/>
      <c r="H20" s="32"/>
      <c r="I20" s="32"/>
      <c r="J20" s="88"/>
      <c r="L20" s="5"/>
    </row>
    <row r="21" spans="1:12" ht="12.95" customHeight="1">
      <c r="A21" s="35"/>
      <c r="B21" s="334"/>
      <c r="C21" s="335"/>
      <c r="D21" s="335"/>
      <c r="E21" s="335"/>
      <c r="F21" s="334"/>
      <c r="G21" s="335"/>
      <c r="H21" s="32"/>
      <c r="I21" s="9"/>
      <c r="J21" s="88"/>
      <c r="L21" s="5"/>
    </row>
    <row r="22" spans="1:12" ht="12.95" customHeight="1">
      <c r="A22" s="35"/>
      <c r="B22" s="334"/>
      <c r="C22" s="335"/>
      <c r="D22" s="335"/>
      <c r="E22" s="335"/>
      <c r="F22" s="334"/>
      <c r="G22" s="335"/>
      <c r="H22" s="20"/>
      <c r="I22" s="11"/>
      <c r="J22" s="88"/>
      <c r="L22" s="5"/>
    </row>
    <row r="23" spans="1:12" ht="12.95" customHeight="1">
      <c r="A23" s="35"/>
      <c r="B23" s="334"/>
      <c r="C23" s="335"/>
      <c r="D23" s="335"/>
      <c r="E23" s="335"/>
      <c r="F23" s="334"/>
      <c r="G23" s="335"/>
      <c r="H23" s="11"/>
      <c r="I23" s="9"/>
      <c r="J23" s="88"/>
      <c r="L23" s="5"/>
    </row>
    <row r="24" spans="1:12" ht="12.95" customHeight="1">
      <c r="A24" s="35"/>
      <c r="B24" s="334"/>
      <c r="C24" s="335"/>
      <c r="D24" s="335"/>
      <c r="E24" s="335"/>
      <c r="F24" s="334"/>
      <c r="G24" s="335"/>
      <c r="H24" s="16"/>
      <c r="I24" s="9"/>
      <c r="J24" s="88"/>
      <c r="L24" s="5"/>
    </row>
    <row r="25" spans="1:12" ht="12.95" customHeight="1">
      <c r="A25" s="35"/>
      <c r="B25" s="334"/>
      <c r="C25" s="335"/>
      <c r="D25" s="335"/>
      <c r="E25" s="335"/>
      <c r="F25" s="334"/>
      <c r="G25" s="335"/>
      <c r="H25" s="16"/>
      <c r="I25" s="9"/>
      <c r="J25" s="88"/>
      <c r="L25" s="5"/>
    </row>
    <row r="26" spans="1:12" ht="12.95" customHeight="1">
      <c r="A26" s="35"/>
      <c r="B26" s="334"/>
      <c r="C26" s="335"/>
      <c r="D26" s="335"/>
      <c r="E26" s="335"/>
      <c r="F26" s="334"/>
      <c r="G26" s="335"/>
      <c r="H26" s="16"/>
      <c r="I26" s="9"/>
      <c r="J26" s="88"/>
      <c r="L26" s="5"/>
    </row>
    <row r="27" spans="1:12" ht="12.95" customHeight="1">
      <c r="A27" s="35"/>
      <c r="B27" s="334"/>
      <c r="C27" s="335"/>
      <c r="D27" s="335"/>
      <c r="E27" s="335"/>
      <c r="F27" s="334"/>
      <c r="G27" s="335"/>
      <c r="H27" s="9"/>
      <c r="I27" s="9"/>
      <c r="J27" s="88"/>
    </row>
    <row r="28" spans="1:12" ht="12.95" customHeight="1">
      <c r="A28" s="35"/>
      <c r="B28" s="334"/>
      <c r="C28" s="335"/>
      <c r="D28" s="335"/>
      <c r="E28" s="335"/>
      <c r="F28" s="334"/>
      <c r="G28" s="335"/>
      <c r="H28" s="9"/>
      <c r="I28" s="9"/>
      <c r="J28" s="88"/>
    </row>
    <row r="29" spans="1:12" ht="12.95" customHeight="1">
      <c r="A29" s="35"/>
      <c r="B29" s="334"/>
      <c r="C29" s="335"/>
      <c r="D29" s="335"/>
      <c r="E29" s="335"/>
      <c r="F29" s="334"/>
      <c r="G29" s="335"/>
      <c r="H29" s="9"/>
      <c r="I29" s="9"/>
      <c r="J29" s="88"/>
    </row>
    <row r="30" spans="1:12" ht="12.95" customHeight="1">
      <c r="A30" s="35"/>
      <c r="B30" s="334"/>
      <c r="C30" s="335"/>
      <c r="D30" s="335"/>
      <c r="E30" s="335"/>
      <c r="F30" s="334"/>
      <c r="G30" s="335"/>
      <c r="H30" s="9"/>
      <c r="I30" s="9"/>
      <c r="J30" s="88"/>
    </row>
    <row r="31" spans="1:12" ht="12.95" customHeight="1">
      <c r="A31" s="35"/>
      <c r="B31" s="334"/>
      <c r="C31" s="335"/>
      <c r="D31" s="335"/>
      <c r="E31" s="335"/>
      <c r="F31" s="334"/>
      <c r="G31" s="335"/>
      <c r="H31" s="9"/>
      <c r="I31" s="9"/>
      <c r="J31" s="88"/>
    </row>
    <row r="32" spans="1:12" ht="12.95" customHeight="1">
      <c r="A32" s="35"/>
      <c r="B32" s="334"/>
      <c r="C32" s="335"/>
      <c r="D32" s="335"/>
      <c r="E32" s="335"/>
      <c r="F32" s="334"/>
      <c r="G32" s="335"/>
      <c r="H32" s="9"/>
      <c r="I32" s="9"/>
      <c r="J32" s="88"/>
    </row>
    <row r="33" spans="1:10" ht="12.95" customHeight="1">
      <c r="A33" s="35"/>
      <c r="B33" s="334"/>
      <c r="C33" s="335"/>
      <c r="D33" s="335"/>
      <c r="E33" s="335"/>
      <c r="F33" s="334"/>
      <c r="G33" s="335"/>
      <c r="H33" s="9"/>
      <c r="I33" s="9"/>
      <c r="J33" s="88"/>
    </row>
    <row r="34" spans="1:10" ht="12.95" customHeight="1">
      <c r="A34" s="35"/>
      <c r="B34" s="334"/>
      <c r="C34" s="335"/>
      <c r="D34" s="335"/>
      <c r="E34" s="335"/>
      <c r="F34" s="334"/>
      <c r="G34" s="335"/>
      <c r="H34" s="9"/>
      <c r="I34" s="9"/>
      <c r="J34" s="88"/>
    </row>
    <row r="35" spans="1:10" ht="12.95" customHeight="1">
      <c r="A35" s="35"/>
      <c r="B35" s="334"/>
      <c r="C35" s="335"/>
      <c r="D35" s="335"/>
      <c r="E35" s="335"/>
      <c r="F35" s="334"/>
      <c r="G35" s="335"/>
      <c r="H35" s="9"/>
      <c r="I35" s="9"/>
      <c r="J35" s="88"/>
    </row>
    <row r="36" spans="1:10" ht="12.95" customHeight="1">
      <c r="A36" s="35"/>
      <c r="B36" s="334"/>
      <c r="C36" s="335"/>
      <c r="D36" s="335"/>
      <c r="E36" s="335"/>
      <c r="F36" s="334"/>
      <c r="G36" s="335"/>
      <c r="H36" s="9"/>
      <c r="I36" s="9"/>
      <c r="J36" s="88"/>
    </row>
    <row r="37" spans="1:10" ht="12.95" customHeight="1">
      <c r="A37" s="35"/>
      <c r="B37" s="334"/>
      <c r="C37" s="335"/>
      <c r="D37" s="335"/>
      <c r="E37" s="335"/>
      <c r="F37" s="334"/>
      <c r="G37" s="335"/>
      <c r="H37" s="9"/>
      <c r="I37" s="9"/>
      <c r="J37" s="88"/>
    </row>
    <row r="38" spans="1:10" ht="12.95" customHeight="1">
      <c r="A38" s="39" t="s">
        <v>36</v>
      </c>
      <c r="B38" s="5"/>
      <c r="C38" s="5"/>
      <c r="D38" s="5"/>
      <c r="E38" s="5"/>
      <c r="J38" s="10"/>
    </row>
    <row r="39" spans="1:10" ht="12.95" customHeight="1">
      <c r="A39" s="358" t="s">
        <v>37</v>
      </c>
      <c r="B39" s="358"/>
      <c r="C39" s="358"/>
      <c r="D39" s="358"/>
      <c r="E39" s="358"/>
      <c r="F39" s="361" t="s">
        <v>38</v>
      </c>
      <c r="G39" s="349"/>
      <c r="H39" s="350"/>
      <c r="I39" s="350"/>
      <c r="J39" s="351"/>
    </row>
    <row r="40" spans="1:10" ht="12.95" customHeight="1">
      <c r="A40" s="358" t="s">
        <v>39</v>
      </c>
      <c r="B40" s="358"/>
      <c r="C40" s="358"/>
      <c r="D40" s="358"/>
      <c r="E40" s="358"/>
      <c r="F40" s="362"/>
      <c r="G40" s="352"/>
      <c r="H40" s="353"/>
      <c r="I40" s="353"/>
      <c r="J40" s="354"/>
    </row>
    <row r="41" spans="1:10" ht="12.95" customHeight="1">
      <c r="A41" s="358" t="s">
        <v>40</v>
      </c>
      <c r="B41" s="358"/>
      <c r="C41" s="358"/>
      <c r="D41" s="358"/>
      <c r="E41" s="358"/>
      <c r="F41" s="362"/>
      <c r="G41" s="352"/>
      <c r="H41" s="353"/>
      <c r="I41" s="353"/>
      <c r="J41" s="354"/>
    </row>
    <row r="42" spans="1:10" ht="12.95" customHeight="1">
      <c r="A42" s="358" t="s">
        <v>41</v>
      </c>
      <c r="B42" s="358"/>
      <c r="C42" s="359" t="s">
        <v>42</v>
      </c>
      <c r="D42" s="359"/>
      <c r="E42" s="359"/>
      <c r="F42" s="363"/>
      <c r="G42" s="355"/>
      <c r="H42" s="356"/>
      <c r="I42" s="356"/>
      <c r="J42" s="357"/>
    </row>
    <row r="43" spans="1:10" ht="12.95" customHeight="1">
      <c r="A43" s="360" t="s">
        <v>52</v>
      </c>
      <c r="B43" s="360"/>
      <c r="C43" s="360" t="e">
        <f ca="1">Calcu!R3</f>
        <v>#N/A</v>
      </c>
      <c r="D43" s="360"/>
      <c r="E43" s="360"/>
    </row>
    <row r="46" spans="1:10" ht="12.95" customHeight="1">
      <c r="B46" s="1" t="s">
        <v>395</v>
      </c>
    </row>
    <row r="47" spans="1:10" ht="12.95" customHeight="1">
      <c r="B47" s="1" t="s">
        <v>396</v>
      </c>
    </row>
    <row r="48" spans="1:10" ht="12.95" customHeight="1">
      <c r="A48" s="1">
        <f ca="1">Calcu!R84</f>
        <v>22000</v>
      </c>
      <c r="B48" s="1" t="s">
        <v>453</v>
      </c>
    </row>
    <row r="49" spans="1:2" ht="12.95" customHeight="1">
      <c r="A49" s="117"/>
    </row>
    <row r="50" spans="1:2" ht="12.95" customHeight="1">
      <c r="A50" s="1" t="str">
        <f>Calcu!S3</f>
        <v>PASS</v>
      </c>
      <c r="B50" s="1" t="s">
        <v>454</v>
      </c>
    </row>
    <row r="52" spans="1:2" ht="12.95" customHeight="1">
      <c r="B52" s="1" t="s">
        <v>545</v>
      </c>
    </row>
  </sheetData>
  <sheetProtection selectLockedCells="1"/>
  <mergeCells count="95">
    <mergeCell ref="A43:B43"/>
    <mergeCell ref="C43:E43"/>
    <mergeCell ref="A39:B39"/>
    <mergeCell ref="C39:E39"/>
    <mergeCell ref="F39:F42"/>
    <mergeCell ref="G39:J42"/>
    <mergeCell ref="A40:B40"/>
    <mergeCell ref="C40:E40"/>
    <mergeCell ref="A41:B41"/>
    <mergeCell ref="C41:E41"/>
    <mergeCell ref="A42:B42"/>
    <mergeCell ref="C42:E42"/>
    <mergeCell ref="B23:E23"/>
    <mergeCell ref="F23:G23"/>
    <mergeCell ref="F26:G26"/>
    <mergeCell ref="B37:E37"/>
    <mergeCell ref="F37:G37"/>
    <mergeCell ref="B34:E34"/>
    <mergeCell ref="F34:G34"/>
    <mergeCell ref="B35:E35"/>
    <mergeCell ref="B36:E36"/>
    <mergeCell ref="F35:G35"/>
    <mergeCell ref="F36:G36"/>
    <mergeCell ref="B33:E33"/>
    <mergeCell ref="F33:G33"/>
    <mergeCell ref="B28:E28"/>
    <mergeCell ref="F28:G28"/>
    <mergeCell ref="F31:G31"/>
    <mergeCell ref="B32:E32"/>
    <mergeCell ref="F32:G32"/>
    <mergeCell ref="B31:E31"/>
    <mergeCell ref="F24:G24"/>
    <mergeCell ref="B25:E25"/>
    <mergeCell ref="F25:G25"/>
    <mergeCell ref="B26:E26"/>
    <mergeCell ref="B27:E27"/>
    <mergeCell ref="F27:G27"/>
    <mergeCell ref="B29:E29"/>
    <mergeCell ref="F29:G29"/>
    <mergeCell ref="B30:E30"/>
    <mergeCell ref="B24:E24"/>
    <mergeCell ref="F30:G30"/>
    <mergeCell ref="A15:J15"/>
    <mergeCell ref="A16:J16"/>
    <mergeCell ref="B17:E17"/>
    <mergeCell ref="H9:J9"/>
    <mergeCell ref="F17:G17"/>
    <mergeCell ref="C10:E10"/>
    <mergeCell ref="A10:B10"/>
    <mergeCell ref="H12:H13"/>
    <mergeCell ref="A14:J14"/>
    <mergeCell ref="I10:J10"/>
    <mergeCell ref="A11:J11"/>
    <mergeCell ref="G12:G13"/>
    <mergeCell ref="I12:J13"/>
    <mergeCell ref="B22:E22"/>
    <mergeCell ref="F22:G22"/>
    <mergeCell ref="B20:E20"/>
    <mergeCell ref="F18:G18"/>
    <mergeCell ref="F19:G19"/>
    <mergeCell ref="B18:E18"/>
    <mergeCell ref="B19:E19"/>
    <mergeCell ref="F20:G20"/>
    <mergeCell ref="B21:E21"/>
    <mergeCell ref="F21:G21"/>
    <mergeCell ref="A6:B6"/>
    <mergeCell ref="C6:E6"/>
    <mergeCell ref="F6:G6"/>
    <mergeCell ref="H6:J6"/>
    <mergeCell ref="F10:G10"/>
    <mergeCell ref="A8:B8"/>
    <mergeCell ref="C8:E8"/>
    <mergeCell ref="F8:G8"/>
    <mergeCell ref="H8:J8"/>
    <mergeCell ref="A9:B9"/>
    <mergeCell ref="A7:B7"/>
    <mergeCell ref="C7:E7"/>
    <mergeCell ref="F7:G7"/>
    <mergeCell ref="H7:J7"/>
    <mergeCell ref="C9:E9"/>
    <mergeCell ref="F9:G9"/>
    <mergeCell ref="A1:J1"/>
    <mergeCell ref="A2:J2"/>
    <mergeCell ref="A3:B3"/>
    <mergeCell ref="C3:E3"/>
    <mergeCell ref="F3:G3"/>
    <mergeCell ref="H3:J3"/>
    <mergeCell ref="A4:B4"/>
    <mergeCell ref="C4:E4"/>
    <mergeCell ref="F4:G4"/>
    <mergeCell ref="H4:J4"/>
    <mergeCell ref="A5:B5"/>
    <mergeCell ref="C5:E5"/>
    <mergeCell ref="F5:G5"/>
    <mergeCell ref="H5:J5"/>
  </mergeCells>
  <phoneticPr fontId="4" type="noConversion"/>
  <dataValidations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orientation="portrait" r:id="rId1"/>
  <headerFooter alignWithMargins="0">
    <oddFooter>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1"/>
  <sheetViews>
    <sheetView workbookViewId="0"/>
  </sheetViews>
  <sheetFormatPr defaultColWidth="8.88671875" defaultRowHeight="12"/>
  <cols>
    <col min="1" max="1" width="5.21875" style="97" bestFit="1" customWidth="1"/>
    <col min="2" max="2" width="6.6640625" style="97" bestFit="1" customWidth="1"/>
    <col min="3" max="3" width="8.88671875" style="97"/>
    <col min="4" max="4" width="6.6640625" style="97" bestFit="1" customWidth="1"/>
    <col min="5" max="13" width="1.77734375" style="97" customWidth="1"/>
    <col min="14" max="15" width="6" style="97" bestFit="1" customWidth="1"/>
    <col min="16" max="16" width="7.5546875" style="97" bestFit="1" customWidth="1"/>
    <col min="17" max="17" width="4" style="97" bestFit="1" customWidth="1"/>
    <col min="18" max="18" width="5.33203125" style="97" bestFit="1" customWidth="1"/>
    <col min="19" max="19" width="4" style="97" bestFit="1" customWidth="1"/>
    <col min="20" max="21" width="6.5546875" style="97" bestFit="1" customWidth="1"/>
    <col min="22" max="22" width="8.44140625" style="97" bestFit="1" customWidth="1"/>
    <col min="23" max="23" width="6.6640625" style="97" bestFit="1" customWidth="1"/>
    <col min="24" max="24" width="5.33203125" style="97" bestFit="1" customWidth="1"/>
    <col min="25" max="25" width="8.33203125" style="97" bestFit="1" customWidth="1"/>
    <col min="26" max="27" width="4" style="97" bestFit="1" customWidth="1"/>
    <col min="28" max="34" width="1.77734375" style="97" customWidth="1"/>
    <col min="35" max="35" width="7.5546875" style="97" bestFit="1" customWidth="1"/>
    <col min="36" max="16384" width="8.88671875" style="97"/>
  </cols>
  <sheetData>
    <row r="1" spans="1:36">
      <c r="A1" s="123" t="s">
        <v>120</v>
      </c>
      <c r="B1" s="123" t="s">
        <v>66</v>
      </c>
      <c r="C1" s="123" t="s">
        <v>67</v>
      </c>
      <c r="D1" s="123" t="s">
        <v>121</v>
      </c>
      <c r="E1" s="123"/>
      <c r="F1" s="123"/>
      <c r="G1" s="123"/>
      <c r="H1" s="123"/>
      <c r="I1" s="123"/>
      <c r="J1" s="123"/>
      <c r="K1" s="123"/>
      <c r="L1" s="123"/>
      <c r="M1" s="123"/>
      <c r="N1" s="123" t="s">
        <v>122</v>
      </c>
      <c r="O1" s="123" t="s">
        <v>123</v>
      </c>
      <c r="P1" s="123" t="s">
        <v>68</v>
      </c>
      <c r="Q1" s="123" t="s">
        <v>124</v>
      </c>
      <c r="R1" s="123" t="s">
        <v>70</v>
      </c>
      <c r="S1" s="123" t="s">
        <v>69</v>
      </c>
      <c r="T1" s="123" t="s">
        <v>71</v>
      </c>
      <c r="U1" s="123" t="s">
        <v>125</v>
      </c>
      <c r="V1" s="123" t="s">
        <v>72</v>
      </c>
      <c r="W1" s="123" t="s">
        <v>73</v>
      </c>
      <c r="X1" s="123" t="s">
        <v>126</v>
      </c>
      <c r="Y1" s="123" t="s">
        <v>127</v>
      </c>
      <c r="Z1" s="123" t="s">
        <v>128</v>
      </c>
      <c r="AA1" s="123" t="s">
        <v>129</v>
      </c>
      <c r="AB1" s="123"/>
      <c r="AC1" s="123"/>
      <c r="AD1" s="123"/>
      <c r="AE1" s="123"/>
      <c r="AF1" s="123"/>
      <c r="AG1" s="123"/>
      <c r="AH1" s="123"/>
      <c r="AI1" s="123" t="s">
        <v>130</v>
      </c>
      <c r="AJ1" s="225" t="s">
        <v>388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89"/>
  <sheetViews>
    <sheetView zoomScaleNormal="100" workbookViewId="0"/>
  </sheetViews>
  <sheetFormatPr defaultColWidth="9" defaultRowHeight="17.100000000000001" customHeight="1"/>
  <cols>
    <col min="1" max="36" width="10.44140625" style="33" customWidth="1"/>
    <col min="37" max="16384" width="9" style="33"/>
  </cols>
  <sheetData>
    <row r="1" spans="1:17" s="12" customFormat="1" ht="33" customHeight="1">
      <c r="A1" s="15" t="s">
        <v>114</v>
      </c>
    </row>
    <row r="2" spans="1:17" s="12" customFormat="1" ht="17.100000000000001" customHeight="1">
      <c r="A2" s="17" t="s">
        <v>43</v>
      </c>
      <c r="C2" s="98" t="s">
        <v>63</v>
      </c>
      <c r="F2" s="98" t="s">
        <v>75</v>
      </c>
      <c r="J2" s="17" t="s">
        <v>44</v>
      </c>
      <c r="M2" s="17" t="s">
        <v>45</v>
      </c>
    </row>
    <row r="3" spans="1:17" s="12" customFormat="1" ht="13.5">
      <c r="A3" s="14" t="s">
        <v>115</v>
      </c>
      <c r="B3" s="14" t="s">
        <v>60</v>
      </c>
      <c r="C3" s="14" t="s">
        <v>55</v>
      </c>
      <c r="D3" s="14" t="s">
        <v>56</v>
      </c>
      <c r="E3" s="14" t="s">
        <v>51</v>
      </c>
      <c r="F3" s="13" t="s">
        <v>46</v>
      </c>
      <c r="G3" s="14" t="s">
        <v>62</v>
      </c>
      <c r="H3" s="14" t="s">
        <v>76</v>
      </c>
      <c r="I3" s="14" t="s">
        <v>47</v>
      </c>
      <c r="J3" s="14" t="s">
        <v>48</v>
      </c>
      <c r="K3" s="41" t="s">
        <v>49</v>
      </c>
      <c r="L3" s="41" t="s">
        <v>50</v>
      </c>
      <c r="M3" s="41" t="s">
        <v>64</v>
      </c>
      <c r="N3" s="41" t="s">
        <v>65</v>
      </c>
      <c r="O3" s="119" t="s">
        <v>116</v>
      </c>
      <c r="P3" s="119" t="s">
        <v>117</v>
      </c>
      <c r="Q3" s="41" t="s">
        <v>118</v>
      </c>
    </row>
    <row r="4" spans="1:17" s="12" customFormat="1" ht="17.100000000000001" customHeight="1">
      <c r="A4" s="118"/>
      <c r="B4" s="23"/>
      <c r="C4" s="23"/>
      <c r="D4" s="55"/>
      <c r="E4" s="42"/>
      <c r="F4" s="23"/>
      <c r="G4" s="23"/>
      <c r="H4" s="99"/>
      <c r="I4" s="42"/>
      <c r="J4" s="23"/>
      <c r="K4" s="23"/>
      <c r="L4" s="23"/>
      <c r="M4" s="23"/>
      <c r="N4" s="23"/>
      <c r="O4" s="120"/>
      <c r="P4" s="120"/>
      <c r="Q4" s="23"/>
    </row>
    <row r="5" spans="1:17" s="12" customFormat="1" ht="17.100000000000001" customHeight="1">
      <c r="A5" s="118"/>
      <c r="B5" s="23"/>
      <c r="C5" s="23"/>
      <c r="D5" s="55"/>
      <c r="E5" s="42"/>
      <c r="F5" s="23"/>
      <c r="G5" s="23"/>
      <c r="H5" s="99"/>
      <c r="I5" s="42"/>
      <c r="J5" s="23"/>
      <c r="K5" s="24"/>
      <c r="L5" s="24"/>
      <c r="M5" s="24"/>
      <c r="N5" s="24"/>
      <c r="O5" s="121"/>
      <c r="P5" s="121"/>
      <c r="Q5" s="24"/>
    </row>
    <row r="6" spans="1:17" s="12" customFormat="1" ht="17.100000000000001" customHeight="1">
      <c r="A6" s="118"/>
      <c r="B6" s="23"/>
      <c r="C6" s="23"/>
      <c r="D6" s="55"/>
      <c r="E6" s="42"/>
      <c r="F6" s="23"/>
      <c r="G6" s="23"/>
      <c r="H6" s="99"/>
      <c r="I6" s="42"/>
      <c r="J6" s="23"/>
      <c r="K6" s="24"/>
      <c r="L6" s="24"/>
      <c r="M6" s="24"/>
      <c r="N6" s="24"/>
      <c r="O6" s="121"/>
      <c r="P6" s="121"/>
      <c r="Q6" s="24"/>
    </row>
    <row r="7" spans="1:17" s="12" customFormat="1" ht="17.100000000000001" customHeight="1">
      <c r="A7" s="118"/>
      <c r="B7" s="23"/>
      <c r="C7" s="23"/>
      <c r="D7" s="55"/>
      <c r="E7" s="42"/>
      <c r="F7" s="23"/>
      <c r="G7" s="23"/>
      <c r="H7" s="99"/>
      <c r="I7" s="42"/>
      <c r="J7" s="23"/>
      <c r="K7" s="24"/>
      <c r="L7" s="24"/>
      <c r="M7" s="24"/>
      <c r="N7" s="24"/>
      <c r="O7" s="121"/>
      <c r="P7" s="121"/>
      <c r="Q7" s="24"/>
    </row>
    <row r="8" spans="1:17" s="12" customFormat="1" ht="17.100000000000001" customHeight="1">
      <c r="A8" s="118"/>
      <c r="B8" s="23"/>
      <c r="C8" s="23"/>
      <c r="D8" s="55"/>
      <c r="E8" s="42"/>
      <c r="F8" s="23"/>
      <c r="G8" s="23"/>
      <c r="H8" s="99"/>
      <c r="I8" s="42"/>
      <c r="J8" s="23"/>
      <c r="K8" s="24"/>
      <c r="L8" s="24"/>
      <c r="M8" s="24"/>
      <c r="N8" s="24"/>
      <c r="O8" s="121"/>
      <c r="P8" s="121"/>
      <c r="Q8" s="24"/>
    </row>
    <row r="9" spans="1:17" s="12" customFormat="1" ht="17.100000000000001" customHeight="1">
      <c r="A9" s="118"/>
      <c r="B9" s="23"/>
      <c r="C9" s="23"/>
      <c r="D9" s="55"/>
      <c r="E9" s="42"/>
      <c r="F9" s="23"/>
      <c r="G9" s="23"/>
      <c r="H9" s="99"/>
      <c r="I9" s="42"/>
      <c r="J9" s="23"/>
      <c r="K9" s="24"/>
      <c r="L9" s="24"/>
      <c r="M9" s="24"/>
      <c r="N9" s="24"/>
      <c r="O9" s="121"/>
      <c r="P9" s="121"/>
      <c r="Q9" s="24"/>
    </row>
    <row r="10" spans="1:17" s="12" customFormat="1" ht="17.100000000000001" customHeight="1">
      <c r="A10" s="118"/>
      <c r="B10" s="23"/>
      <c r="C10" s="23"/>
      <c r="D10" s="55"/>
      <c r="E10" s="42"/>
      <c r="F10" s="23"/>
      <c r="G10" s="23"/>
      <c r="H10" s="99"/>
      <c r="I10" s="42"/>
      <c r="J10" s="23"/>
      <c r="K10" s="24"/>
      <c r="L10" s="24"/>
      <c r="M10" s="24"/>
      <c r="N10" s="24"/>
      <c r="O10" s="121"/>
      <c r="P10" s="121"/>
      <c r="Q10" s="24"/>
    </row>
    <row r="11" spans="1:17" s="12" customFormat="1" ht="17.100000000000001" customHeight="1">
      <c r="A11" s="118"/>
      <c r="B11" s="23"/>
      <c r="C11" s="23"/>
      <c r="D11" s="55"/>
      <c r="E11" s="42"/>
      <c r="F11" s="23"/>
      <c r="G11" s="23"/>
      <c r="H11" s="99"/>
      <c r="I11" s="42"/>
      <c r="J11" s="23"/>
      <c r="K11" s="24"/>
      <c r="L11" s="24"/>
      <c r="M11" s="24"/>
      <c r="N11" s="24"/>
      <c r="O11" s="121"/>
      <c r="P11" s="121"/>
      <c r="Q11" s="24"/>
    </row>
    <row r="12" spans="1:17" s="12" customFormat="1" ht="17.100000000000001" customHeight="1">
      <c r="A12" s="118"/>
      <c r="B12" s="23"/>
      <c r="C12" s="23"/>
      <c r="D12" s="55"/>
      <c r="E12" s="42"/>
      <c r="F12" s="23"/>
      <c r="G12" s="23"/>
      <c r="H12" s="99"/>
      <c r="I12" s="42"/>
      <c r="J12" s="23"/>
      <c r="K12" s="24"/>
      <c r="L12" s="24"/>
      <c r="M12" s="24"/>
      <c r="N12" s="24"/>
      <c r="O12" s="121"/>
      <c r="P12" s="121"/>
      <c r="Q12" s="24"/>
    </row>
    <row r="13" spans="1:17" s="12" customFormat="1" ht="17.100000000000001" customHeight="1">
      <c r="A13" s="118"/>
      <c r="B13" s="23"/>
      <c r="C13" s="23"/>
      <c r="D13" s="55"/>
      <c r="E13" s="42"/>
      <c r="F13" s="23"/>
      <c r="G13" s="23"/>
      <c r="H13" s="99"/>
      <c r="I13" s="42"/>
      <c r="J13" s="23"/>
      <c r="K13" s="24"/>
      <c r="L13" s="24"/>
      <c r="M13" s="24"/>
      <c r="N13" s="24"/>
      <c r="O13" s="121"/>
      <c r="P13" s="121"/>
      <c r="Q13" s="24"/>
    </row>
    <row r="14" spans="1:17" s="12" customFormat="1" ht="17.100000000000001" customHeight="1">
      <c r="A14" s="118"/>
      <c r="B14" s="23"/>
      <c r="C14" s="23"/>
      <c r="D14" s="55"/>
      <c r="E14" s="42"/>
      <c r="F14" s="23"/>
      <c r="G14" s="23"/>
      <c r="H14" s="99"/>
      <c r="I14" s="42"/>
      <c r="J14" s="23"/>
      <c r="K14" s="24"/>
      <c r="L14" s="24"/>
      <c r="M14" s="24"/>
      <c r="N14" s="24"/>
      <c r="O14" s="121"/>
      <c r="P14" s="121"/>
      <c r="Q14" s="24"/>
    </row>
    <row r="15" spans="1:17" s="12" customFormat="1" ht="17.100000000000001" customHeight="1">
      <c r="A15" s="118"/>
      <c r="B15" s="23"/>
      <c r="C15" s="23"/>
      <c r="D15" s="55"/>
      <c r="E15" s="42"/>
      <c r="F15" s="23"/>
      <c r="G15" s="23"/>
      <c r="H15" s="99"/>
      <c r="I15" s="42"/>
      <c r="J15" s="24"/>
      <c r="K15" s="24"/>
      <c r="L15" s="24"/>
      <c r="M15" s="24"/>
      <c r="N15" s="24"/>
      <c r="O15" s="121"/>
      <c r="P15" s="121"/>
      <c r="Q15" s="24"/>
    </row>
    <row r="16" spans="1:17" s="12" customFormat="1" ht="17.100000000000001" customHeight="1">
      <c r="A16" s="118"/>
      <c r="B16" s="23"/>
      <c r="C16" s="23"/>
      <c r="D16" s="55"/>
      <c r="E16" s="42"/>
      <c r="F16" s="23"/>
      <c r="G16" s="23"/>
      <c r="H16" s="99"/>
      <c r="I16" s="42"/>
      <c r="J16" s="24"/>
      <c r="K16" s="24"/>
      <c r="L16" s="24"/>
      <c r="M16" s="24"/>
      <c r="N16" s="24"/>
      <c r="O16" s="121"/>
      <c r="P16" s="121"/>
      <c r="Q16" s="24"/>
    </row>
    <row r="17" spans="1:17" s="12" customFormat="1" ht="17.100000000000001" customHeight="1">
      <c r="A17" s="118"/>
      <c r="B17" s="23"/>
      <c r="C17" s="23"/>
      <c r="D17" s="55"/>
      <c r="E17" s="42"/>
      <c r="F17" s="23"/>
      <c r="G17" s="23"/>
      <c r="H17" s="99"/>
      <c r="I17" s="42"/>
      <c r="J17" s="24"/>
      <c r="K17" s="24"/>
      <c r="L17" s="24"/>
      <c r="M17" s="24"/>
      <c r="N17" s="24"/>
      <c r="O17" s="121"/>
      <c r="P17" s="121"/>
      <c r="Q17" s="24"/>
    </row>
    <row r="18" spans="1:17" s="12" customFormat="1" ht="17.100000000000001" customHeight="1">
      <c r="A18" s="118"/>
      <c r="B18" s="23"/>
      <c r="C18" s="23"/>
      <c r="D18" s="55"/>
      <c r="E18" s="42"/>
      <c r="F18" s="23"/>
      <c r="G18" s="23"/>
      <c r="H18" s="99"/>
      <c r="I18" s="42"/>
      <c r="J18" s="24"/>
      <c r="K18" s="24"/>
      <c r="L18" s="24"/>
      <c r="M18" s="24"/>
      <c r="N18" s="24"/>
      <c r="O18" s="121"/>
      <c r="P18" s="121"/>
      <c r="Q18" s="24"/>
    </row>
    <row r="19" spans="1:17" s="12" customFormat="1" ht="17.100000000000001" customHeight="1">
      <c r="A19" s="118"/>
      <c r="B19" s="120"/>
      <c r="C19" s="120"/>
      <c r="D19" s="120"/>
      <c r="E19" s="120"/>
      <c r="F19" s="120"/>
      <c r="G19" s="120"/>
      <c r="H19" s="120"/>
      <c r="I19" s="120"/>
      <c r="J19" s="121"/>
      <c r="K19" s="121"/>
      <c r="L19" s="121"/>
      <c r="M19" s="121"/>
      <c r="N19" s="121"/>
      <c r="O19" s="121"/>
      <c r="P19" s="121"/>
      <c r="Q19" s="121"/>
    </row>
    <row r="20" spans="1:17" s="12" customFormat="1" ht="17.100000000000001" customHeight="1">
      <c r="A20" s="118"/>
      <c r="B20" s="120"/>
      <c r="C20" s="120"/>
      <c r="D20" s="120"/>
      <c r="E20" s="120"/>
      <c r="F20" s="120"/>
      <c r="G20" s="120"/>
      <c r="H20" s="120"/>
      <c r="I20" s="120"/>
      <c r="J20" s="121"/>
      <c r="K20" s="121"/>
      <c r="L20" s="121"/>
      <c r="M20" s="121"/>
      <c r="N20" s="121"/>
      <c r="O20" s="121"/>
      <c r="P20" s="121"/>
      <c r="Q20" s="121"/>
    </row>
    <row r="21" spans="1:17" s="12" customFormat="1" ht="17.100000000000001" customHeight="1">
      <c r="A21" s="118"/>
      <c r="B21" s="120"/>
      <c r="C21" s="120"/>
      <c r="D21" s="120"/>
      <c r="E21" s="120"/>
      <c r="F21" s="120"/>
      <c r="G21" s="120"/>
      <c r="H21" s="120"/>
      <c r="I21" s="120"/>
      <c r="J21" s="121"/>
      <c r="K21" s="121"/>
      <c r="L21" s="121"/>
      <c r="M21" s="121"/>
      <c r="N21" s="121"/>
      <c r="O21" s="121"/>
      <c r="P21" s="121"/>
      <c r="Q21" s="121"/>
    </row>
    <row r="22" spans="1:17" s="12" customFormat="1" ht="17.100000000000001" customHeight="1">
      <c r="A22" s="118"/>
      <c r="B22" s="120"/>
      <c r="C22" s="120"/>
      <c r="D22" s="120"/>
      <c r="E22" s="120"/>
      <c r="F22" s="120"/>
      <c r="G22" s="120"/>
      <c r="H22" s="120"/>
      <c r="I22" s="120"/>
      <c r="J22" s="121"/>
      <c r="K22" s="121"/>
      <c r="L22" s="121"/>
      <c r="M22" s="121"/>
      <c r="N22" s="121"/>
      <c r="O22" s="121"/>
      <c r="P22" s="121"/>
      <c r="Q22" s="121"/>
    </row>
    <row r="23" spans="1:17" s="12" customFormat="1" ht="17.100000000000001" customHeight="1">
      <c r="A23" s="118"/>
      <c r="B23" s="120"/>
      <c r="C23" s="120"/>
      <c r="D23" s="120"/>
      <c r="E23" s="120"/>
      <c r="F23" s="120"/>
      <c r="G23" s="120"/>
      <c r="H23" s="120"/>
      <c r="I23" s="120"/>
      <c r="J23" s="121"/>
      <c r="K23" s="121"/>
      <c r="L23" s="121"/>
      <c r="M23" s="121"/>
      <c r="N23" s="121"/>
      <c r="O23" s="121"/>
      <c r="P23" s="121"/>
      <c r="Q23" s="121"/>
    </row>
    <row r="24" spans="1:17" s="12" customFormat="1" ht="17.100000000000001" customHeight="1">
      <c r="A24" s="118"/>
      <c r="B24" s="120"/>
      <c r="C24" s="120"/>
      <c r="D24" s="120"/>
      <c r="E24" s="120"/>
      <c r="F24" s="120"/>
      <c r="G24" s="120"/>
      <c r="H24" s="120"/>
      <c r="I24" s="120"/>
      <c r="J24" s="121"/>
      <c r="K24" s="121"/>
      <c r="L24" s="121"/>
      <c r="M24" s="121"/>
      <c r="N24" s="121"/>
      <c r="O24" s="121"/>
      <c r="P24" s="121"/>
      <c r="Q24" s="121"/>
    </row>
    <row r="25" spans="1:17" s="12" customFormat="1" ht="17.100000000000001" customHeight="1">
      <c r="A25" s="118"/>
      <c r="B25" s="120"/>
      <c r="C25" s="120"/>
      <c r="D25" s="120"/>
      <c r="E25" s="120"/>
      <c r="F25" s="120"/>
      <c r="G25" s="120"/>
      <c r="H25" s="120"/>
      <c r="I25" s="120"/>
      <c r="J25" s="121"/>
      <c r="K25" s="121"/>
      <c r="L25" s="121"/>
      <c r="M25" s="121"/>
      <c r="N25" s="121"/>
      <c r="O25" s="121"/>
      <c r="P25" s="121"/>
      <c r="Q25" s="121"/>
    </row>
    <row r="26" spans="1:17" s="12" customFormat="1" ht="17.100000000000001" customHeight="1">
      <c r="A26" s="118"/>
      <c r="B26" s="120"/>
      <c r="C26" s="120"/>
      <c r="D26" s="120"/>
      <c r="E26" s="120"/>
      <c r="F26" s="120"/>
      <c r="G26" s="120"/>
      <c r="H26" s="120"/>
      <c r="I26" s="120"/>
      <c r="J26" s="121"/>
      <c r="K26" s="121"/>
      <c r="L26" s="121"/>
      <c r="M26" s="121"/>
      <c r="N26" s="121"/>
      <c r="O26" s="121"/>
      <c r="P26" s="121"/>
      <c r="Q26" s="121"/>
    </row>
    <row r="27" spans="1:17" s="12" customFormat="1" ht="17.100000000000001" customHeight="1">
      <c r="A27" s="118"/>
      <c r="B27" s="120"/>
      <c r="C27" s="120"/>
      <c r="D27" s="120"/>
      <c r="E27" s="120"/>
      <c r="F27" s="120"/>
      <c r="G27" s="120"/>
      <c r="H27" s="120"/>
      <c r="I27" s="120"/>
      <c r="J27" s="121"/>
      <c r="K27" s="121"/>
      <c r="L27" s="121"/>
      <c r="M27" s="121"/>
      <c r="N27" s="121"/>
      <c r="O27" s="121"/>
      <c r="P27" s="121"/>
      <c r="Q27" s="121"/>
    </row>
    <row r="28" spans="1:17" s="12" customFormat="1" ht="17.100000000000001" customHeight="1">
      <c r="A28" s="118"/>
      <c r="B28" s="120"/>
      <c r="C28" s="120"/>
      <c r="D28" s="120"/>
      <c r="E28" s="120"/>
      <c r="F28" s="120"/>
      <c r="G28" s="120"/>
      <c r="H28" s="120"/>
      <c r="I28" s="120"/>
      <c r="J28" s="121"/>
      <c r="K28" s="121"/>
      <c r="L28" s="121"/>
      <c r="M28" s="121"/>
      <c r="N28" s="121"/>
      <c r="O28" s="121"/>
      <c r="P28" s="121"/>
      <c r="Q28" s="121"/>
    </row>
    <row r="29" spans="1:17" s="12" customFormat="1" ht="17.100000000000001" customHeight="1">
      <c r="A29" s="118"/>
      <c r="B29" s="120"/>
      <c r="C29" s="120"/>
      <c r="D29" s="120"/>
      <c r="E29" s="120"/>
      <c r="F29" s="120"/>
      <c r="G29" s="120"/>
      <c r="H29" s="120"/>
      <c r="I29" s="120"/>
      <c r="J29" s="121"/>
      <c r="K29" s="121"/>
      <c r="L29" s="121"/>
      <c r="M29" s="121"/>
      <c r="N29" s="121"/>
      <c r="O29" s="121"/>
      <c r="P29" s="121"/>
      <c r="Q29" s="121"/>
    </row>
    <row r="30" spans="1:17" s="12" customFormat="1" ht="17.100000000000001" customHeight="1">
      <c r="A30" s="118"/>
      <c r="B30" s="120"/>
      <c r="C30" s="120"/>
      <c r="D30" s="120"/>
      <c r="E30" s="120"/>
      <c r="F30" s="120"/>
      <c r="G30" s="120"/>
      <c r="H30" s="120"/>
      <c r="I30" s="120"/>
      <c r="J30" s="121"/>
      <c r="K30" s="121"/>
      <c r="L30" s="121"/>
      <c r="M30" s="121"/>
      <c r="N30" s="121"/>
      <c r="O30" s="121"/>
      <c r="P30" s="121"/>
      <c r="Q30" s="121"/>
    </row>
    <row r="31" spans="1:17" s="12" customFormat="1" ht="17.100000000000001" customHeight="1">
      <c r="A31" s="118"/>
      <c r="B31" s="120"/>
      <c r="C31" s="120"/>
      <c r="D31" s="120"/>
      <c r="E31" s="120"/>
      <c r="F31" s="120"/>
      <c r="G31" s="120"/>
      <c r="H31" s="120"/>
      <c r="I31" s="120"/>
      <c r="J31" s="121"/>
      <c r="K31" s="121"/>
      <c r="L31" s="121"/>
      <c r="M31" s="121"/>
      <c r="N31" s="121"/>
      <c r="O31" s="121"/>
      <c r="P31" s="121"/>
      <c r="Q31" s="121"/>
    </row>
    <row r="32" spans="1:17" s="12" customFormat="1" ht="17.100000000000001" customHeight="1">
      <c r="A32" s="118"/>
      <c r="B32" s="120"/>
      <c r="C32" s="120"/>
      <c r="D32" s="120"/>
      <c r="E32" s="120"/>
      <c r="F32" s="120"/>
      <c r="G32" s="120"/>
      <c r="H32" s="120"/>
      <c r="I32" s="120"/>
      <c r="J32" s="121"/>
      <c r="K32" s="121"/>
      <c r="L32" s="121"/>
      <c r="M32" s="121"/>
      <c r="N32" s="121"/>
      <c r="O32" s="121"/>
      <c r="P32" s="121"/>
      <c r="Q32" s="121"/>
    </row>
    <row r="33" spans="1:26" s="12" customFormat="1" ht="17.100000000000001" customHeight="1">
      <c r="A33" s="118"/>
      <c r="B33" s="120"/>
      <c r="C33" s="120"/>
      <c r="D33" s="120"/>
      <c r="E33" s="120"/>
      <c r="F33" s="120"/>
      <c r="G33" s="120"/>
      <c r="H33" s="120"/>
      <c r="I33" s="120"/>
      <c r="J33" s="121"/>
      <c r="K33" s="121"/>
      <c r="L33" s="121"/>
      <c r="M33" s="121"/>
      <c r="N33" s="121"/>
      <c r="O33" s="121"/>
      <c r="P33" s="121"/>
      <c r="Q33" s="121"/>
    </row>
    <row r="34" spans="1:26" s="12" customFormat="1" ht="17.100000000000001" customHeight="1">
      <c r="A34" s="118"/>
      <c r="B34" s="120"/>
      <c r="C34" s="120"/>
      <c r="D34" s="120"/>
      <c r="E34" s="120"/>
      <c r="F34" s="120"/>
      <c r="G34" s="120"/>
      <c r="H34" s="120"/>
      <c r="I34" s="120"/>
      <c r="J34" s="121"/>
      <c r="K34" s="121"/>
      <c r="L34" s="121"/>
      <c r="M34" s="121"/>
      <c r="N34" s="121"/>
      <c r="O34" s="121"/>
      <c r="P34" s="121"/>
      <c r="Q34" s="121"/>
    </row>
    <row r="35" spans="1:26" s="12" customFormat="1" ht="17.100000000000001" customHeight="1">
      <c r="A35" s="118"/>
      <c r="B35" s="120"/>
      <c r="C35" s="120"/>
      <c r="D35" s="120"/>
      <c r="E35" s="120"/>
      <c r="F35" s="120"/>
      <c r="G35" s="120"/>
      <c r="H35" s="120"/>
      <c r="I35" s="120"/>
      <c r="J35" s="121"/>
      <c r="K35" s="121"/>
      <c r="L35" s="121"/>
      <c r="M35" s="121"/>
      <c r="N35" s="121"/>
      <c r="O35" s="121"/>
      <c r="P35" s="121"/>
      <c r="Q35" s="121"/>
    </row>
    <row r="36" spans="1:26" s="12" customFormat="1" ht="17.100000000000001" customHeight="1">
      <c r="A36" s="118"/>
      <c r="B36" s="120"/>
      <c r="C36" s="120"/>
      <c r="D36" s="120"/>
      <c r="E36" s="120"/>
      <c r="F36" s="120"/>
      <c r="G36" s="120"/>
      <c r="H36" s="120"/>
      <c r="I36" s="120"/>
      <c r="J36" s="121"/>
      <c r="K36" s="121"/>
      <c r="L36" s="121"/>
      <c r="M36" s="121"/>
      <c r="N36" s="121"/>
      <c r="O36" s="121"/>
      <c r="P36" s="121"/>
      <c r="Q36" s="121"/>
    </row>
    <row r="37" spans="1:26" s="12" customFormat="1" ht="17.100000000000001" customHeight="1">
      <c r="A37" s="118"/>
      <c r="B37" s="120"/>
      <c r="C37" s="120"/>
      <c r="D37" s="120"/>
      <c r="E37" s="120"/>
      <c r="F37" s="120"/>
      <c r="G37" s="120"/>
      <c r="H37" s="120"/>
      <c r="I37" s="120"/>
      <c r="J37" s="121"/>
      <c r="K37" s="121"/>
      <c r="L37" s="121"/>
      <c r="M37" s="121"/>
      <c r="N37" s="121"/>
      <c r="O37" s="121"/>
      <c r="P37" s="121"/>
      <c r="Q37" s="121"/>
    </row>
    <row r="38" spans="1:26" s="12" customFormat="1" ht="17.100000000000001" customHeight="1">
      <c r="A38" s="118"/>
      <c r="B38" s="120"/>
      <c r="C38" s="120"/>
      <c r="D38" s="120"/>
      <c r="E38" s="120"/>
      <c r="F38" s="120"/>
      <c r="G38" s="120"/>
      <c r="H38" s="120"/>
      <c r="I38" s="120"/>
      <c r="J38" s="121"/>
      <c r="K38" s="121"/>
      <c r="L38" s="121"/>
      <c r="M38" s="121"/>
      <c r="N38" s="121"/>
      <c r="O38" s="121"/>
      <c r="P38" s="121"/>
      <c r="Q38" s="121"/>
    </row>
    <row r="39" spans="1:26" s="12" customFormat="1" ht="17.100000000000001" customHeight="1">
      <c r="A39" s="118"/>
      <c r="B39" s="120"/>
      <c r="C39" s="120"/>
      <c r="D39" s="120"/>
      <c r="E39" s="120"/>
      <c r="F39" s="120"/>
      <c r="G39" s="120"/>
      <c r="H39" s="120"/>
      <c r="I39" s="120"/>
      <c r="J39" s="121"/>
      <c r="K39" s="121"/>
      <c r="L39" s="121"/>
      <c r="M39" s="121"/>
      <c r="N39" s="121"/>
      <c r="O39" s="121"/>
      <c r="P39" s="121"/>
      <c r="Q39" s="121"/>
    </row>
    <row r="40" spans="1:26" s="12" customFormat="1" ht="17.100000000000001" customHeight="1">
      <c r="A40" s="118"/>
      <c r="B40" s="120"/>
      <c r="C40" s="120"/>
      <c r="D40" s="120"/>
      <c r="E40" s="120"/>
      <c r="F40" s="120"/>
      <c r="G40" s="120"/>
      <c r="H40" s="120"/>
      <c r="I40" s="120"/>
      <c r="J40" s="121"/>
      <c r="K40" s="121"/>
      <c r="L40" s="121"/>
      <c r="M40" s="121"/>
      <c r="N40" s="121"/>
      <c r="O40" s="121"/>
      <c r="P40" s="121"/>
      <c r="Q40" s="121"/>
    </row>
    <row r="41" spans="1:26" s="12" customFormat="1" ht="17.100000000000001" customHeight="1">
      <c r="A41" s="118"/>
      <c r="B41" s="120"/>
      <c r="C41" s="120"/>
      <c r="D41" s="120"/>
      <c r="E41" s="120"/>
      <c r="F41" s="120"/>
      <c r="G41" s="120"/>
      <c r="H41" s="120"/>
      <c r="I41" s="120"/>
      <c r="J41" s="121"/>
      <c r="K41" s="121"/>
      <c r="L41" s="121"/>
      <c r="M41" s="121"/>
      <c r="N41" s="121"/>
      <c r="O41" s="121"/>
      <c r="P41" s="121"/>
      <c r="Q41" s="121"/>
    </row>
    <row r="42" spans="1:26" s="12" customFormat="1" ht="17.100000000000001" customHeight="1">
      <c r="A42" s="118"/>
      <c r="B42" s="120"/>
      <c r="C42" s="120"/>
      <c r="D42" s="120"/>
      <c r="E42" s="120"/>
      <c r="F42" s="120"/>
      <c r="G42" s="120"/>
      <c r="H42" s="120"/>
      <c r="I42" s="120"/>
      <c r="J42" s="121"/>
      <c r="K42" s="121"/>
      <c r="L42" s="121"/>
      <c r="M42" s="121"/>
      <c r="N42" s="121"/>
      <c r="O42" s="121"/>
      <c r="P42" s="121"/>
      <c r="Q42" s="121"/>
    </row>
    <row r="43" spans="1:26" s="12" customFormat="1" ht="17.100000000000001" customHeight="1">
      <c r="A43" s="118"/>
      <c r="B43" s="120"/>
      <c r="C43" s="120"/>
      <c r="D43" s="120"/>
      <c r="E43" s="120"/>
      <c r="F43" s="120"/>
      <c r="G43" s="120"/>
      <c r="H43" s="120"/>
      <c r="I43" s="120"/>
      <c r="J43" s="121"/>
      <c r="K43" s="121"/>
      <c r="L43" s="121"/>
      <c r="M43" s="121"/>
      <c r="N43" s="121"/>
      <c r="O43" s="121"/>
      <c r="P43" s="121"/>
      <c r="Q43" s="121"/>
    </row>
    <row r="44" spans="1:26" s="12" customFormat="1" ht="17.100000000000001" customHeight="1">
      <c r="A44" s="118"/>
      <c r="B44" s="23"/>
      <c r="C44" s="23"/>
      <c r="D44" s="55"/>
      <c r="E44" s="42"/>
      <c r="F44" s="23"/>
      <c r="G44" s="23"/>
      <c r="H44" s="99"/>
      <c r="I44" s="42"/>
      <c r="J44" s="24"/>
      <c r="K44" s="24"/>
      <c r="L44" s="24"/>
      <c r="M44" s="24"/>
      <c r="N44" s="24"/>
      <c r="O44" s="121"/>
      <c r="P44" s="121"/>
      <c r="Q44" s="24"/>
    </row>
    <row r="45" spans="1:26" s="12" customFormat="1" ht="17.100000000000001" customHeight="1"/>
    <row r="46" spans="1:26" s="12" customFormat="1" ht="17.100000000000001" customHeight="1">
      <c r="A46" s="17" t="s">
        <v>119</v>
      </c>
    </row>
    <row r="47" spans="1:26" s="19" customFormat="1" ht="18" customHeight="1">
      <c r="A47" s="256" t="s">
        <v>437</v>
      </c>
      <c r="B47" s="256" t="s">
        <v>438</v>
      </c>
      <c r="C47" s="256" t="s">
        <v>439</v>
      </c>
      <c r="D47" s="256" t="s">
        <v>440</v>
      </c>
      <c r="E47" s="256" t="s">
        <v>439</v>
      </c>
      <c r="F47" s="256" t="s">
        <v>543</v>
      </c>
      <c r="G47" s="256" t="s">
        <v>544</v>
      </c>
      <c r="H47" s="256" t="s">
        <v>441</v>
      </c>
      <c r="I47" s="256" t="s">
        <v>442</v>
      </c>
      <c r="J47" s="256" t="s">
        <v>461</v>
      </c>
      <c r="K47" s="256" t="s">
        <v>447</v>
      </c>
      <c r="L47" s="256" t="s">
        <v>443</v>
      </c>
      <c r="M47" s="256" t="s">
        <v>444</v>
      </c>
      <c r="N47" s="256" t="s">
        <v>435</v>
      </c>
      <c r="O47" s="256" t="s">
        <v>436</v>
      </c>
      <c r="P47" s="256" t="s">
        <v>448</v>
      </c>
      <c r="Q47" s="256" t="s">
        <v>445</v>
      </c>
      <c r="R47" s="256" t="s">
        <v>446</v>
      </c>
      <c r="S47" s="256" t="s">
        <v>446</v>
      </c>
      <c r="T47" s="256" t="s">
        <v>446</v>
      </c>
      <c r="U47" s="256" t="s">
        <v>446</v>
      </c>
      <c r="V47" s="12"/>
      <c r="W47" s="12"/>
      <c r="X47" s="12"/>
      <c r="Y47" s="12"/>
      <c r="Z47" s="12"/>
    </row>
    <row r="48" spans="1:26" ht="17.100000000000001" customHeight="1">
      <c r="A48" s="122"/>
      <c r="B48" s="122"/>
      <c r="C48" s="122"/>
      <c r="D48" s="122"/>
      <c r="E48" s="122"/>
      <c r="F48" s="122"/>
      <c r="G48" s="122"/>
      <c r="H48" s="122"/>
      <c r="I48" s="122"/>
      <c r="J48" s="122"/>
      <c r="K48" s="154"/>
      <c r="L48" s="122"/>
      <c r="M48" s="122"/>
      <c r="N48" s="122"/>
      <c r="O48" s="122"/>
      <c r="P48" s="122"/>
      <c r="Q48" s="122"/>
      <c r="R48" s="122"/>
      <c r="S48" s="154"/>
      <c r="T48" s="154"/>
      <c r="U48" s="154"/>
      <c r="V48" s="12"/>
      <c r="W48" s="12"/>
      <c r="X48" s="12"/>
      <c r="Y48" s="12"/>
      <c r="Z48" s="12"/>
    </row>
    <row r="49" spans="1:26" ht="17.100000000000001" customHeight="1">
      <c r="A49" s="122"/>
      <c r="B49" s="122"/>
      <c r="C49" s="122"/>
      <c r="D49" s="122"/>
      <c r="E49" s="122"/>
      <c r="F49" s="122"/>
      <c r="G49" s="122"/>
      <c r="H49" s="122"/>
      <c r="I49" s="122"/>
      <c r="J49" s="122"/>
      <c r="K49" s="154"/>
      <c r="L49" s="122"/>
      <c r="M49" s="122"/>
      <c r="N49" s="122"/>
      <c r="O49" s="122"/>
      <c r="P49" s="122"/>
      <c r="Q49" s="122"/>
      <c r="R49" s="122"/>
      <c r="S49" s="154"/>
      <c r="T49" s="154"/>
      <c r="U49" s="154"/>
      <c r="V49" s="12"/>
      <c r="W49" s="12"/>
      <c r="X49" s="12"/>
      <c r="Y49" s="12"/>
      <c r="Z49" s="12"/>
    </row>
    <row r="50" spans="1:26" ht="17.100000000000001" customHeight="1">
      <c r="A50" s="122"/>
      <c r="B50" s="122"/>
      <c r="C50" s="122"/>
      <c r="D50" s="122"/>
      <c r="E50" s="122"/>
      <c r="F50" s="122"/>
      <c r="G50" s="122"/>
      <c r="H50" s="122"/>
      <c r="I50" s="122"/>
      <c r="J50" s="122"/>
      <c r="K50" s="154"/>
      <c r="L50" s="122"/>
      <c r="M50" s="122"/>
      <c r="N50" s="122"/>
      <c r="O50" s="122"/>
      <c r="P50" s="122"/>
      <c r="Q50" s="122"/>
      <c r="R50" s="122"/>
      <c r="S50" s="154"/>
      <c r="T50" s="154"/>
      <c r="U50" s="154"/>
      <c r="V50" s="12"/>
      <c r="W50" s="12"/>
      <c r="X50" s="12"/>
      <c r="Y50" s="12"/>
      <c r="Z50" s="12"/>
    </row>
    <row r="51" spans="1:26" ht="17.100000000000001" customHeight="1">
      <c r="A51" s="122"/>
      <c r="B51" s="122"/>
      <c r="C51" s="122"/>
      <c r="D51" s="122"/>
      <c r="E51" s="122"/>
      <c r="F51" s="122"/>
      <c r="G51" s="122"/>
      <c r="H51" s="122"/>
      <c r="I51" s="122"/>
      <c r="J51" s="122"/>
      <c r="K51" s="154"/>
      <c r="L51" s="122"/>
      <c r="M51" s="122"/>
      <c r="N51" s="122"/>
      <c r="O51" s="122"/>
      <c r="P51" s="122"/>
      <c r="Q51" s="122"/>
      <c r="R51" s="122"/>
      <c r="S51" s="154"/>
      <c r="T51" s="154"/>
      <c r="U51" s="154"/>
      <c r="V51" s="12"/>
      <c r="W51" s="12"/>
      <c r="X51" s="12"/>
      <c r="Y51" s="12"/>
      <c r="Z51" s="12"/>
    </row>
    <row r="52" spans="1:26" ht="17.100000000000001" customHeight="1">
      <c r="A52" s="122"/>
      <c r="B52" s="122"/>
      <c r="C52" s="122"/>
      <c r="D52" s="122"/>
      <c r="E52" s="122"/>
      <c r="F52" s="122"/>
      <c r="G52" s="122"/>
      <c r="H52" s="122"/>
      <c r="I52" s="122"/>
      <c r="J52" s="122"/>
      <c r="K52" s="154"/>
      <c r="L52" s="122"/>
      <c r="M52" s="122"/>
      <c r="N52" s="122"/>
      <c r="O52" s="122"/>
      <c r="P52" s="122"/>
      <c r="Q52" s="122"/>
      <c r="R52" s="122"/>
      <c r="S52" s="154"/>
      <c r="T52" s="154"/>
      <c r="U52" s="154"/>
      <c r="V52" s="12"/>
      <c r="W52" s="12"/>
      <c r="X52" s="12"/>
      <c r="Y52" s="12"/>
      <c r="Z52" s="12"/>
    </row>
    <row r="53" spans="1:26" ht="17.100000000000001" customHeight="1">
      <c r="A53" s="122"/>
      <c r="B53" s="122"/>
      <c r="C53" s="122"/>
      <c r="D53" s="122"/>
      <c r="E53" s="122"/>
      <c r="F53" s="122"/>
      <c r="G53" s="122"/>
      <c r="H53" s="122"/>
      <c r="I53" s="122"/>
      <c r="J53" s="122"/>
      <c r="K53" s="154"/>
      <c r="L53" s="122"/>
      <c r="M53" s="122"/>
      <c r="N53" s="122"/>
      <c r="O53" s="122"/>
      <c r="P53" s="122"/>
      <c r="Q53" s="122"/>
      <c r="R53" s="122"/>
      <c r="S53" s="154"/>
      <c r="T53" s="154"/>
      <c r="U53" s="154"/>
      <c r="V53" s="12"/>
      <c r="W53" s="12"/>
      <c r="X53" s="12"/>
      <c r="Y53" s="12"/>
      <c r="Z53" s="12"/>
    </row>
    <row r="54" spans="1:26" ht="17.100000000000001" customHeight="1">
      <c r="A54" s="122"/>
      <c r="B54" s="122"/>
      <c r="C54" s="122"/>
      <c r="D54" s="122"/>
      <c r="E54" s="122"/>
      <c r="F54" s="122"/>
      <c r="G54" s="122"/>
      <c r="H54" s="122"/>
      <c r="I54" s="122"/>
      <c r="J54" s="122"/>
      <c r="K54" s="154"/>
      <c r="L54" s="122"/>
      <c r="M54" s="122"/>
      <c r="N54" s="122"/>
      <c r="O54" s="122"/>
      <c r="P54" s="122"/>
      <c r="Q54" s="122"/>
      <c r="R54" s="122"/>
      <c r="S54" s="154"/>
      <c r="T54" s="154"/>
      <c r="U54" s="154"/>
      <c r="V54" s="12"/>
      <c r="W54" s="12"/>
      <c r="X54" s="12"/>
      <c r="Y54" s="12"/>
      <c r="Z54" s="12"/>
    </row>
    <row r="55" spans="1:26" ht="17.100000000000001" customHeight="1">
      <c r="A55" s="122"/>
      <c r="B55" s="122"/>
      <c r="C55" s="122"/>
      <c r="D55" s="122"/>
      <c r="E55" s="122"/>
      <c r="F55" s="122"/>
      <c r="G55" s="122"/>
      <c r="H55" s="122"/>
      <c r="I55" s="122"/>
      <c r="J55" s="122"/>
      <c r="K55" s="154"/>
      <c r="L55" s="122"/>
      <c r="M55" s="122"/>
      <c r="N55" s="122"/>
      <c r="O55" s="122"/>
      <c r="P55" s="122"/>
      <c r="Q55" s="122"/>
      <c r="R55" s="122"/>
      <c r="S55" s="154"/>
      <c r="T55" s="154"/>
      <c r="U55" s="154"/>
      <c r="V55" s="12"/>
      <c r="W55" s="12"/>
      <c r="X55" s="12"/>
      <c r="Y55" s="12"/>
      <c r="Z55" s="12"/>
    </row>
    <row r="56" spans="1:26" ht="17.100000000000001" customHeight="1">
      <c r="A56" s="122"/>
      <c r="B56" s="122"/>
      <c r="C56" s="122"/>
      <c r="D56" s="122"/>
      <c r="E56" s="122"/>
      <c r="F56" s="122"/>
      <c r="G56" s="122"/>
      <c r="H56" s="122"/>
      <c r="I56" s="122"/>
      <c r="J56" s="122"/>
      <c r="K56" s="154"/>
      <c r="L56" s="122"/>
      <c r="M56" s="122"/>
      <c r="N56" s="122"/>
      <c r="O56" s="122"/>
      <c r="P56" s="122"/>
      <c r="Q56" s="122"/>
      <c r="R56" s="122"/>
      <c r="S56" s="154"/>
      <c r="T56" s="154"/>
      <c r="U56" s="154"/>
      <c r="V56" s="12"/>
      <c r="W56" s="12"/>
      <c r="X56" s="12"/>
      <c r="Y56" s="12"/>
      <c r="Z56" s="12"/>
    </row>
    <row r="57" spans="1:26" ht="17.100000000000001" customHeight="1">
      <c r="A57" s="122"/>
      <c r="B57" s="122"/>
      <c r="C57" s="122"/>
      <c r="D57" s="122"/>
      <c r="E57" s="122"/>
      <c r="F57" s="122"/>
      <c r="G57" s="122"/>
      <c r="H57" s="122"/>
      <c r="I57" s="122"/>
      <c r="J57" s="122"/>
      <c r="K57" s="154"/>
      <c r="L57" s="122"/>
      <c r="M57" s="122"/>
      <c r="N57" s="122"/>
      <c r="O57" s="122"/>
      <c r="P57" s="122"/>
      <c r="Q57" s="122"/>
      <c r="R57" s="122"/>
      <c r="S57" s="154"/>
      <c r="T57" s="154"/>
      <c r="U57" s="154"/>
      <c r="V57" s="12"/>
      <c r="W57" s="12"/>
      <c r="X57" s="12"/>
      <c r="Y57" s="12"/>
      <c r="Z57" s="12"/>
    </row>
    <row r="58" spans="1:26" ht="17.100000000000001" customHeight="1">
      <c r="A58" s="122"/>
      <c r="B58" s="122"/>
      <c r="C58" s="122"/>
      <c r="D58" s="122"/>
      <c r="E58" s="122"/>
      <c r="F58" s="122"/>
      <c r="G58" s="122"/>
      <c r="H58" s="122"/>
      <c r="I58" s="122"/>
      <c r="J58" s="122"/>
      <c r="K58" s="154"/>
      <c r="L58" s="122"/>
      <c r="M58" s="122"/>
      <c r="N58" s="122"/>
      <c r="O58" s="122"/>
      <c r="P58" s="122"/>
      <c r="Q58" s="122"/>
      <c r="R58" s="122"/>
      <c r="S58" s="154"/>
      <c r="T58" s="154"/>
      <c r="U58" s="154"/>
      <c r="V58" s="12"/>
      <c r="W58" s="12"/>
      <c r="X58" s="12"/>
      <c r="Y58" s="12"/>
      <c r="Z58" s="12"/>
    </row>
    <row r="59" spans="1:26" ht="17.100000000000001" customHeight="1">
      <c r="A59" s="122"/>
      <c r="B59" s="122"/>
      <c r="C59" s="122"/>
      <c r="D59" s="122"/>
      <c r="E59" s="122"/>
      <c r="F59" s="122"/>
      <c r="G59" s="122"/>
      <c r="H59" s="122"/>
      <c r="I59" s="122"/>
      <c r="J59" s="122"/>
      <c r="K59" s="122"/>
      <c r="L59" s="122"/>
      <c r="M59" s="122"/>
      <c r="N59" s="122"/>
      <c r="O59" s="122"/>
      <c r="P59" s="122"/>
      <c r="Q59" s="122"/>
      <c r="R59" s="122"/>
      <c r="S59" s="122"/>
      <c r="T59" s="122"/>
      <c r="U59" s="122"/>
      <c r="V59" s="12"/>
      <c r="W59" s="12"/>
      <c r="X59" s="12"/>
      <c r="Y59" s="12"/>
      <c r="Z59" s="12"/>
    </row>
    <row r="60" spans="1:26" ht="17.100000000000001" customHeight="1">
      <c r="A60" s="122"/>
      <c r="B60" s="122"/>
      <c r="C60" s="122"/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"/>
      <c r="W60" s="12"/>
      <c r="X60" s="12"/>
      <c r="Y60" s="12"/>
      <c r="Z60" s="12"/>
    </row>
    <row r="61" spans="1:26" ht="17.100000000000001" customHeight="1">
      <c r="A61" s="122"/>
      <c r="B61" s="122"/>
      <c r="C61" s="122"/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122"/>
      <c r="O61" s="122"/>
      <c r="P61" s="122"/>
      <c r="Q61" s="122"/>
      <c r="R61" s="122"/>
      <c r="S61" s="122"/>
      <c r="T61" s="122"/>
      <c r="U61" s="122"/>
      <c r="V61" s="12"/>
      <c r="W61" s="12"/>
      <c r="X61" s="12"/>
      <c r="Y61" s="12"/>
      <c r="Z61" s="12"/>
    </row>
    <row r="62" spans="1:26" ht="17.100000000000001" customHeight="1">
      <c r="A62" s="122"/>
      <c r="B62" s="122"/>
      <c r="C62" s="122"/>
      <c r="D62" s="122"/>
      <c r="E62" s="122"/>
      <c r="F62" s="122"/>
      <c r="G62" s="122"/>
      <c r="H62" s="122"/>
      <c r="I62" s="122"/>
      <c r="J62" s="122"/>
      <c r="K62" s="122"/>
      <c r="L62" s="122"/>
      <c r="M62" s="122"/>
      <c r="N62" s="122"/>
      <c r="O62" s="122"/>
      <c r="P62" s="122"/>
      <c r="Q62" s="122"/>
      <c r="R62" s="122"/>
      <c r="S62" s="122"/>
      <c r="T62" s="122"/>
      <c r="U62" s="122"/>
      <c r="V62" s="12"/>
      <c r="W62" s="12"/>
      <c r="X62" s="12"/>
      <c r="Y62" s="12"/>
      <c r="Z62" s="12"/>
    </row>
    <row r="63" spans="1:26" ht="17.100000000000001" customHeight="1">
      <c r="A63" s="122"/>
      <c r="B63" s="122"/>
      <c r="C63" s="122"/>
      <c r="D63" s="122"/>
      <c r="E63" s="122"/>
      <c r="F63" s="122"/>
      <c r="G63" s="122"/>
      <c r="H63" s="122"/>
      <c r="I63" s="122"/>
      <c r="J63" s="122"/>
      <c r="K63" s="122"/>
      <c r="L63" s="122"/>
      <c r="M63" s="122"/>
      <c r="N63" s="122"/>
      <c r="O63" s="122"/>
      <c r="P63" s="122"/>
      <c r="Q63" s="122"/>
      <c r="R63" s="122"/>
      <c r="S63" s="122"/>
      <c r="T63" s="122"/>
      <c r="U63" s="122"/>
      <c r="V63" s="12"/>
      <c r="W63" s="12"/>
      <c r="X63" s="12"/>
      <c r="Y63" s="12"/>
      <c r="Z63" s="12"/>
    </row>
    <row r="64" spans="1:26" ht="17.100000000000001" customHeight="1">
      <c r="A64" s="122"/>
      <c r="B64" s="122"/>
      <c r="C64" s="122"/>
      <c r="D64" s="122"/>
      <c r="E64" s="122"/>
      <c r="F64" s="122"/>
      <c r="G64" s="122"/>
      <c r="H64" s="122"/>
      <c r="I64" s="122"/>
      <c r="J64" s="122"/>
      <c r="K64" s="122"/>
      <c r="L64" s="122"/>
      <c r="M64" s="122"/>
      <c r="N64" s="122"/>
      <c r="O64" s="122"/>
      <c r="P64" s="122"/>
      <c r="Q64" s="122"/>
      <c r="R64" s="122"/>
      <c r="S64" s="122"/>
      <c r="T64" s="122"/>
      <c r="U64" s="122"/>
      <c r="V64" s="12"/>
      <c r="W64" s="12"/>
      <c r="X64" s="12"/>
      <c r="Y64" s="12"/>
      <c r="Z64" s="12"/>
    </row>
    <row r="65" spans="1:26" ht="17.100000000000001" customHeight="1">
      <c r="A65" s="122"/>
      <c r="B65" s="122"/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12"/>
      <c r="W65" s="12"/>
      <c r="X65" s="12"/>
      <c r="Y65" s="12"/>
      <c r="Z65" s="12"/>
    </row>
    <row r="66" spans="1:26" ht="17.100000000000001" customHeight="1">
      <c r="A66" s="122"/>
      <c r="B66" s="122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12"/>
      <c r="W66" s="12"/>
      <c r="X66" s="12"/>
      <c r="Y66" s="12"/>
      <c r="Z66" s="12"/>
    </row>
    <row r="67" spans="1:26" ht="17.100000000000001" customHeight="1">
      <c r="A67" s="122"/>
      <c r="B67" s="122"/>
      <c r="C67" s="122"/>
      <c r="D67" s="122"/>
      <c r="E67" s="122"/>
      <c r="F67" s="122"/>
      <c r="G67" s="122"/>
      <c r="H67" s="122"/>
      <c r="I67" s="122"/>
      <c r="J67" s="122"/>
      <c r="K67" s="122"/>
      <c r="L67" s="122"/>
      <c r="M67" s="122"/>
      <c r="N67" s="122"/>
      <c r="O67" s="122"/>
      <c r="P67" s="122"/>
      <c r="Q67" s="122"/>
      <c r="R67" s="122"/>
      <c r="S67" s="122"/>
      <c r="T67" s="122"/>
      <c r="U67" s="122"/>
      <c r="V67" s="12"/>
      <c r="W67" s="12"/>
      <c r="X67" s="12"/>
      <c r="Y67" s="12"/>
      <c r="Z67" s="12"/>
    </row>
    <row r="68" spans="1:26" ht="17.100000000000001" customHeight="1">
      <c r="A68" s="122"/>
      <c r="B68" s="122"/>
      <c r="C68" s="122"/>
      <c r="D68" s="122"/>
      <c r="E68" s="122"/>
      <c r="F68" s="122"/>
      <c r="G68" s="122"/>
      <c r="H68" s="122"/>
      <c r="I68" s="122"/>
      <c r="J68" s="122"/>
      <c r="K68" s="122"/>
      <c r="L68" s="122"/>
      <c r="M68" s="122"/>
      <c r="N68" s="122"/>
      <c r="O68" s="122"/>
      <c r="P68" s="122"/>
      <c r="Q68" s="122"/>
      <c r="R68" s="122"/>
      <c r="S68" s="122"/>
      <c r="T68" s="122"/>
      <c r="U68" s="122"/>
      <c r="V68" s="12"/>
      <c r="W68" s="12"/>
      <c r="X68" s="12"/>
      <c r="Y68" s="12"/>
      <c r="Z68" s="12"/>
    </row>
    <row r="69" spans="1:26" ht="17.100000000000001" customHeight="1">
      <c r="A69" s="122"/>
      <c r="B69" s="122"/>
      <c r="C69" s="122"/>
      <c r="D69" s="122"/>
      <c r="E69" s="122"/>
      <c r="F69" s="122"/>
      <c r="G69" s="122"/>
      <c r="H69" s="122"/>
      <c r="I69" s="122"/>
      <c r="J69" s="122"/>
      <c r="K69" s="122"/>
      <c r="L69" s="122"/>
      <c r="M69" s="122"/>
      <c r="N69" s="122"/>
      <c r="O69" s="122"/>
      <c r="P69" s="122"/>
      <c r="Q69" s="122"/>
      <c r="R69" s="122"/>
      <c r="S69" s="122"/>
      <c r="T69" s="122"/>
      <c r="U69" s="122"/>
      <c r="V69" s="12"/>
      <c r="W69" s="12"/>
      <c r="X69" s="12"/>
      <c r="Y69" s="12"/>
      <c r="Z69" s="12"/>
    </row>
    <row r="70" spans="1:26" ht="17.100000000000001" customHeight="1">
      <c r="A70" s="122"/>
      <c r="B70" s="122"/>
      <c r="C70" s="122"/>
      <c r="D70" s="122"/>
      <c r="E70" s="122"/>
      <c r="F70" s="122"/>
      <c r="G70" s="122"/>
      <c r="H70" s="122"/>
      <c r="I70" s="122"/>
      <c r="J70" s="122"/>
      <c r="K70" s="122"/>
      <c r="L70" s="122"/>
      <c r="M70" s="122"/>
      <c r="N70" s="122"/>
      <c r="O70" s="122"/>
      <c r="P70" s="122"/>
      <c r="Q70" s="122"/>
      <c r="R70" s="122"/>
      <c r="S70" s="122"/>
      <c r="T70" s="122"/>
      <c r="U70" s="122"/>
      <c r="V70" s="12"/>
      <c r="W70" s="12"/>
      <c r="X70" s="12"/>
      <c r="Y70" s="12"/>
      <c r="Z70" s="12"/>
    </row>
    <row r="71" spans="1:26" ht="17.100000000000001" customHeight="1">
      <c r="A71" s="122"/>
      <c r="B71" s="122"/>
      <c r="C71" s="122"/>
      <c r="D71" s="122"/>
      <c r="E71" s="122"/>
      <c r="F71" s="122"/>
      <c r="G71" s="122"/>
      <c r="H71" s="122"/>
      <c r="I71" s="122"/>
      <c r="J71" s="122"/>
      <c r="K71" s="122"/>
      <c r="L71" s="122"/>
      <c r="M71" s="122"/>
      <c r="N71" s="122"/>
      <c r="O71" s="122"/>
      <c r="P71" s="122"/>
      <c r="Q71" s="122"/>
      <c r="R71" s="122"/>
      <c r="S71" s="122"/>
      <c r="T71" s="122"/>
      <c r="U71" s="122"/>
      <c r="V71" s="12"/>
      <c r="W71" s="12"/>
      <c r="X71" s="12"/>
      <c r="Y71" s="12"/>
      <c r="Z71" s="12"/>
    </row>
    <row r="72" spans="1:26" ht="17.100000000000001" customHeight="1">
      <c r="A72" s="122"/>
      <c r="B72" s="122"/>
      <c r="C72" s="122"/>
      <c r="D72" s="122"/>
      <c r="E72" s="122"/>
      <c r="F72" s="122"/>
      <c r="G72" s="122"/>
      <c r="H72" s="122"/>
      <c r="I72" s="122"/>
      <c r="J72" s="122"/>
      <c r="K72" s="122"/>
      <c r="L72" s="122"/>
      <c r="M72" s="122"/>
      <c r="N72" s="122"/>
      <c r="O72" s="122"/>
      <c r="P72" s="122"/>
      <c r="Q72" s="122"/>
      <c r="R72" s="122"/>
      <c r="S72" s="122"/>
      <c r="T72" s="122"/>
      <c r="U72" s="122"/>
      <c r="V72" s="12"/>
      <c r="W72" s="12"/>
      <c r="X72" s="12"/>
      <c r="Y72" s="12"/>
      <c r="Z72" s="12"/>
    </row>
    <row r="73" spans="1:26" ht="17.100000000000001" customHeight="1">
      <c r="A73" s="122"/>
      <c r="B73" s="122"/>
      <c r="C73" s="122"/>
      <c r="D73" s="122"/>
      <c r="E73" s="122"/>
      <c r="F73" s="122"/>
      <c r="G73" s="122"/>
      <c r="H73" s="122"/>
      <c r="I73" s="122"/>
      <c r="J73" s="122"/>
      <c r="K73" s="122"/>
      <c r="L73" s="122"/>
      <c r="M73" s="122"/>
      <c r="N73" s="122"/>
      <c r="O73" s="122"/>
      <c r="P73" s="122"/>
      <c r="Q73" s="122"/>
      <c r="R73" s="122"/>
      <c r="S73" s="122"/>
      <c r="T73" s="122"/>
      <c r="U73" s="122"/>
      <c r="V73" s="12"/>
      <c r="W73" s="12"/>
      <c r="X73" s="12"/>
      <c r="Y73" s="12"/>
      <c r="Z73" s="12"/>
    </row>
    <row r="74" spans="1:26" ht="17.100000000000001" customHeight="1">
      <c r="A74" s="122"/>
      <c r="B74" s="122"/>
      <c r="C74" s="122"/>
      <c r="D74" s="122"/>
      <c r="E74" s="122"/>
      <c r="F74" s="122"/>
      <c r="G74" s="122"/>
      <c r="H74" s="122"/>
      <c r="I74" s="122"/>
      <c r="J74" s="122"/>
      <c r="K74" s="122"/>
      <c r="L74" s="122"/>
      <c r="M74" s="122"/>
      <c r="N74" s="122"/>
      <c r="O74" s="122"/>
      <c r="P74" s="122"/>
      <c r="Q74" s="122"/>
      <c r="R74" s="122"/>
      <c r="S74" s="122"/>
      <c r="T74" s="122"/>
      <c r="U74" s="122"/>
      <c r="V74" s="12"/>
      <c r="W74" s="12"/>
      <c r="X74" s="12"/>
      <c r="Y74" s="12"/>
      <c r="Z74" s="12"/>
    </row>
    <row r="75" spans="1:26" ht="17.100000000000001" customHeight="1">
      <c r="A75" s="122"/>
      <c r="B75" s="122"/>
      <c r="C75" s="122"/>
      <c r="D75" s="122"/>
      <c r="E75" s="122"/>
      <c r="F75" s="122"/>
      <c r="G75" s="122"/>
      <c r="H75" s="122"/>
      <c r="I75" s="122"/>
      <c r="J75" s="122"/>
      <c r="K75" s="122"/>
      <c r="L75" s="122"/>
      <c r="M75" s="122"/>
      <c r="N75" s="122"/>
      <c r="O75" s="122"/>
      <c r="P75" s="122"/>
      <c r="Q75" s="122"/>
      <c r="R75" s="122"/>
      <c r="S75" s="122"/>
      <c r="T75" s="122"/>
      <c r="U75" s="122"/>
      <c r="V75" s="12"/>
      <c r="W75" s="12"/>
      <c r="X75" s="12"/>
      <c r="Y75" s="12"/>
      <c r="Z75" s="12"/>
    </row>
    <row r="76" spans="1:26" ht="17.100000000000001" customHeight="1">
      <c r="A76" s="122"/>
      <c r="B76" s="122"/>
      <c r="C76" s="122"/>
      <c r="D76" s="122"/>
      <c r="E76" s="122"/>
      <c r="F76" s="122"/>
      <c r="G76" s="122"/>
      <c r="H76" s="122"/>
      <c r="I76" s="122"/>
      <c r="J76" s="122"/>
      <c r="K76" s="122"/>
      <c r="L76" s="122"/>
      <c r="M76" s="122"/>
      <c r="N76" s="122"/>
      <c r="O76" s="122"/>
      <c r="P76" s="122"/>
      <c r="Q76" s="122"/>
      <c r="R76" s="122"/>
      <c r="S76" s="122"/>
      <c r="T76" s="122"/>
      <c r="U76" s="122"/>
      <c r="V76" s="12"/>
      <c r="W76" s="12"/>
      <c r="X76" s="12"/>
      <c r="Y76" s="12"/>
      <c r="Z76" s="12"/>
    </row>
    <row r="77" spans="1:26" ht="17.100000000000001" customHeight="1">
      <c r="A77" s="122"/>
      <c r="B77" s="122"/>
      <c r="C77" s="122"/>
      <c r="D77" s="122"/>
      <c r="E77" s="122"/>
      <c r="F77" s="122"/>
      <c r="G77" s="122"/>
      <c r="H77" s="122"/>
      <c r="I77" s="122"/>
      <c r="J77" s="122"/>
      <c r="K77" s="122"/>
      <c r="L77" s="122"/>
      <c r="M77" s="122"/>
      <c r="N77" s="122"/>
      <c r="O77" s="122"/>
      <c r="P77" s="122"/>
      <c r="Q77" s="122"/>
      <c r="R77" s="122"/>
      <c r="S77" s="122"/>
      <c r="T77" s="122"/>
      <c r="U77" s="122"/>
      <c r="V77" s="12"/>
      <c r="W77" s="12"/>
      <c r="X77" s="12"/>
      <c r="Y77" s="12"/>
      <c r="Z77" s="12"/>
    </row>
    <row r="78" spans="1:26" ht="17.100000000000001" customHeight="1">
      <c r="A78" s="122"/>
      <c r="B78" s="122"/>
      <c r="C78" s="122"/>
      <c r="D78" s="122"/>
      <c r="E78" s="122"/>
      <c r="F78" s="122"/>
      <c r="G78" s="122"/>
      <c r="H78" s="122"/>
      <c r="I78" s="122"/>
      <c r="J78" s="122"/>
      <c r="K78" s="122"/>
      <c r="L78" s="122"/>
      <c r="M78" s="122"/>
      <c r="N78" s="122"/>
      <c r="O78" s="122"/>
      <c r="P78" s="122"/>
      <c r="Q78" s="122"/>
      <c r="R78" s="122"/>
      <c r="S78" s="122"/>
      <c r="T78" s="122"/>
      <c r="U78" s="122"/>
      <c r="V78" s="12"/>
      <c r="W78" s="12"/>
      <c r="X78" s="12"/>
      <c r="Y78" s="12"/>
      <c r="Z78" s="12"/>
    </row>
    <row r="79" spans="1:26" ht="17.100000000000001" customHeight="1">
      <c r="A79" s="122"/>
      <c r="B79" s="122"/>
      <c r="C79" s="122"/>
      <c r="D79" s="122"/>
      <c r="E79" s="122"/>
      <c r="F79" s="122"/>
      <c r="G79" s="122"/>
      <c r="H79" s="122"/>
      <c r="I79" s="122"/>
      <c r="J79" s="122"/>
      <c r="K79" s="122"/>
      <c r="L79" s="122"/>
      <c r="M79" s="122"/>
      <c r="N79" s="122"/>
      <c r="O79" s="122"/>
      <c r="P79" s="122"/>
      <c r="Q79" s="122"/>
      <c r="R79" s="122"/>
      <c r="S79" s="122"/>
      <c r="T79" s="122"/>
      <c r="U79" s="122"/>
      <c r="V79" s="12"/>
      <c r="W79" s="12"/>
      <c r="X79" s="12"/>
      <c r="Y79" s="12"/>
      <c r="Z79" s="12"/>
    </row>
    <row r="80" spans="1:26" ht="17.100000000000001" customHeight="1">
      <c r="A80" s="122"/>
      <c r="B80" s="122"/>
      <c r="C80" s="122"/>
      <c r="D80" s="122"/>
      <c r="E80" s="122"/>
      <c r="F80" s="122"/>
      <c r="G80" s="122"/>
      <c r="H80" s="122"/>
      <c r="I80" s="122"/>
      <c r="J80" s="122"/>
      <c r="K80" s="122"/>
      <c r="L80" s="122"/>
      <c r="M80" s="122"/>
      <c r="N80" s="122"/>
      <c r="O80" s="122"/>
      <c r="P80" s="122"/>
      <c r="Q80" s="122"/>
      <c r="R80" s="122"/>
      <c r="S80" s="122"/>
      <c r="T80" s="122"/>
      <c r="U80" s="122"/>
      <c r="V80" s="12"/>
      <c r="W80" s="12"/>
      <c r="X80" s="12"/>
      <c r="Y80" s="12"/>
      <c r="Z80" s="12"/>
    </row>
    <row r="81" spans="1:36" ht="17.100000000000001" customHeight="1">
      <c r="A81" s="122"/>
      <c r="B81" s="122"/>
      <c r="C81" s="122"/>
      <c r="D81" s="122"/>
      <c r="E81" s="122"/>
      <c r="F81" s="122"/>
      <c r="G81" s="122"/>
      <c r="H81" s="122"/>
      <c r="I81" s="122"/>
      <c r="J81" s="122"/>
      <c r="K81" s="122"/>
      <c r="L81" s="122"/>
      <c r="M81" s="122"/>
      <c r="N81" s="122"/>
      <c r="O81" s="122"/>
      <c r="P81" s="122"/>
      <c r="Q81" s="122"/>
      <c r="R81" s="122"/>
      <c r="S81" s="122"/>
      <c r="T81" s="122"/>
      <c r="U81" s="122"/>
      <c r="V81" s="12"/>
      <c r="W81" s="12"/>
      <c r="X81" s="12"/>
      <c r="Y81" s="12"/>
      <c r="Z81" s="12"/>
    </row>
    <row r="82" spans="1:36" ht="17.100000000000001" customHeight="1">
      <c r="A82" s="122"/>
      <c r="B82" s="122"/>
      <c r="C82" s="122"/>
      <c r="D82" s="122"/>
      <c r="E82" s="122"/>
      <c r="F82" s="122"/>
      <c r="G82" s="122"/>
      <c r="H82" s="122"/>
      <c r="I82" s="122"/>
      <c r="J82" s="122"/>
      <c r="K82" s="122"/>
      <c r="L82" s="122"/>
      <c r="M82" s="122"/>
      <c r="N82" s="122"/>
      <c r="O82" s="122"/>
      <c r="P82" s="122"/>
      <c r="Q82" s="122"/>
      <c r="R82" s="122"/>
      <c r="S82" s="122"/>
      <c r="T82" s="122"/>
      <c r="U82" s="122"/>
      <c r="V82" s="12"/>
      <c r="W82" s="12"/>
      <c r="X82" s="12"/>
      <c r="Y82" s="12"/>
      <c r="Z82" s="12"/>
    </row>
    <row r="83" spans="1:36" ht="17.100000000000001" customHeight="1">
      <c r="A83" s="122"/>
      <c r="B83" s="122"/>
      <c r="C83" s="122"/>
      <c r="D83" s="122"/>
      <c r="E83" s="122"/>
      <c r="F83" s="122"/>
      <c r="G83" s="122"/>
      <c r="H83" s="122"/>
      <c r="I83" s="122"/>
      <c r="J83" s="122"/>
      <c r="K83" s="122"/>
      <c r="L83" s="122"/>
      <c r="M83" s="122"/>
      <c r="N83" s="122"/>
      <c r="O83" s="122"/>
      <c r="P83" s="122"/>
      <c r="Q83" s="122"/>
      <c r="R83" s="122"/>
      <c r="S83" s="122"/>
      <c r="T83" s="122"/>
      <c r="U83" s="122"/>
      <c r="V83" s="12"/>
      <c r="W83" s="12"/>
      <c r="X83" s="12"/>
      <c r="Y83" s="12"/>
      <c r="Z83" s="12"/>
    </row>
    <row r="84" spans="1:36" ht="17.100000000000001" customHeight="1">
      <c r="A84" s="122"/>
      <c r="B84" s="122"/>
      <c r="C84" s="122"/>
      <c r="D84" s="122"/>
      <c r="E84" s="122"/>
      <c r="F84" s="122"/>
      <c r="G84" s="122"/>
      <c r="H84" s="122"/>
      <c r="I84" s="122"/>
      <c r="J84" s="122"/>
      <c r="K84" s="122"/>
      <c r="L84" s="122"/>
      <c r="M84" s="122"/>
      <c r="N84" s="122"/>
      <c r="O84" s="122"/>
      <c r="P84" s="122"/>
      <c r="Q84" s="122"/>
      <c r="R84" s="122"/>
      <c r="S84" s="122"/>
      <c r="T84" s="122"/>
      <c r="U84" s="122"/>
      <c r="V84" s="12"/>
      <c r="W84" s="12"/>
      <c r="X84" s="12"/>
      <c r="Y84" s="12"/>
      <c r="Z84" s="12"/>
    </row>
    <row r="85" spans="1:36" ht="17.100000000000001" customHeight="1">
      <c r="A85" s="122"/>
      <c r="B85" s="122"/>
      <c r="C85" s="122"/>
      <c r="D85" s="122"/>
      <c r="E85" s="122"/>
      <c r="F85" s="122"/>
      <c r="G85" s="122"/>
      <c r="H85" s="122"/>
      <c r="I85" s="122"/>
      <c r="J85" s="122"/>
      <c r="K85" s="122"/>
      <c r="L85" s="122"/>
      <c r="M85" s="122"/>
      <c r="N85" s="122"/>
      <c r="O85" s="122"/>
      <c r="P85" s="122"/>
      <c r="Q85" s="122"/>
      <c r="R85" s="122"/>
      <c r="S85" s="122"/>
      <c r="T85" s="122"/>
      <c r="U85" s="122"/>
      <c r="V85" s="12"/>
      <c r="W85" s="12"/>
      <c r="X85" s="12"/>
      <c r="Y85" s="12"/>
      <c r="Z85" s="12"/>
    </row>
    <row r="86" spans="1:36" ht="17.100000000000001" customHeight="1">
      <c r="A86" s="122"/>
      <c r="B86" s="122"/>
      <c r="C86" s="122"/>
      <c r="D86" s="122"/>
      <c r="E86" s="122"/>
      <c r="F86" s="122"/>
      <c r="G86" s="122"/>
      <c r="H86" s="122"/>
      <c r="I86" s="122"/>
      <c r="J86" s="122"/>
      <c r="K86" s="122"/>
      <c r="L86" s="122"/>
      <c r="M86" s="122"/>
      <c r="N86" s="122"/>
      <c r="O86" s="122"/>
      <c r="P86" s="122"/>
      <c r="Q86" s="122"/>
      <c r="R86" s="122"/>
      <c r="S86" s="122"/>
      <c r="T86" s="122"/>
      <c r="U86" s="122"/>
      <c r="V86" s="12"/>
      <c r="W86" s="12"/>
      <c r="X86" s="12"/>
      <c r="Y86" s="12"/>
      <c r="Z86" s="12"/>
    </row>
    <row r="87" spans="1:36" ht="17.100000000000001" customHeight="1">
      <c r="A87" s="122"/>
      <c r="B87" s="122"/>
      <c r="C87" s="122"/>
      <c r="D87" s="122"/>
      <c r="E87" s="122"/>
      <c r="F87" s="122"/>
      <c r="G87" s="122"/>
      <c r="H87" s="122"/>
      <c r="I87" s="122"/>
      <c r="J87" s="122"/>
      <c r="K87" s="122"/>
      <c r="L87" s="122"/>
      <c r="M87" s="122"/>
      <c r="N87" s="122"/>
      <c r="O87" s="122"/>
      <c r="P87" s="122"/>
      <c r="Q87" s="122"/>
      <c r="R87" s="122"/>
      <c r="S87" s="122"/>
      <c r="T87" s="122"/>
      <c r="U87" s="122"/>
      <c r="V87" s="12"/>
      <c r="W87" s="12"/>
      <c r="X87" s="12"/>
      <c r="Y87" s="12"/>
      <c r="Z87" s="12"/>
    </row>
    <row r="88" spans="1:36" ht="17.100000000000001" customHeight="1">
      <c r="A88" s="122"/>
      <c r="B88" s="122"/>
      <c r="C88" s="122"/>
      <c r="D88" s="122"/>
      <c r="E88" s="122"/>
      <c r="F88" s="122"/>
      <c r="G88" s="122"/>
      <c r="H88" s="122"/>
      <c r="I88" s="122"/>
      <c r="J88" s="122"/>
      <c r="K88" s="122"/>
      <c r="L88" s="122"/>
      <c r="M88" s="122"/>
      <c r="N88" s="122"/>
      <c r="O88" s="122"/>
      <c r="P88" s="122"/>
      <c r="Q88" s="122"/>
      <c r="R88" s="122"/>
      <c r="S88" s="122"/>
      <c r="T88" s="122"/>
      <c r="U88" s="122"/>
      <c r="V88" s="12"/>
      <c r="W88" s="12"/>
      <c r="X88" s="12"/>
      <c r="Y88" s="12"/>
      <c r="Z88" s="12"/>
    </row>
    <row r="89" spans="1:36" ht="17.100000000000001" customHeight="1">
      <c r="AE89" s="12"/>
      <c r="AF89" s="12"/>
      <c r="AG89" s="12"/>
      <c r="AH89" s="12"/>
      <c r="AI89" s="12"/>
      <c r="AJ89" s="12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44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4" width="3.77734375" style="37" customWidth="1"/>
    <col min="5" max="7" width="15.77734375" style="37" customWidth="1"/>
    <col min="8" max="11" width="3.77734375" style="37" customWidth="1"/>
    <col min="12" max="16384" width="10.77734375" style="37"/>
  </cols>
  <sheetData>
    <row r="1" spans="1:11" s="47" customFormat="1" ht="33" customHeight="1">
      <c r="A1" s="364" t="s">
        <v>34</v>
      </c>
      <c r="B1" s="364"/>
      <c r="C1" s="364"/>
      <c r="D1" s="364"/>
      <c r="E1" s="364"/>
      <c r="F1" s="364"/>
      <c r="G1" s="364"/>
      <c r="H1" s="364"/>
      <c r="I1" s="364"/>
      <c r="J1" s="364"/>
      <c r="K1" s="364"/>
    </row>
    <row r="2" spans="1:11" s="47" customFormat="1" ht="33" customHeight="1">
      <c r="A2" s="364"/>
      <c r="B2" s="364"/>
      <c r="C2" s="364"/>
      <c r="D2" s="364"/>
      <c r="E2" s="364"/>
      <c r="F2" s="364"/>
      <c r="G2" s="364"/>
      <c r="H2" s="364"/>
      <c r="I2" s="364"/>
      <c r="J2" s="364"/>
      <c r="K2" s="364"/>
    </row>
    <row r="3" spans="1:11" s="47" customFormat="1" ht="12.75" customHeight="1">
      <c r="A3" s="48" t="s">
        <v>104</v>
      </c>
      <c r="B3" s="48"/>
      <c r="C3" s="48"/>
      <c r="D3" s="22"/>
      <c r="E3" s="22"/>
      <c r="F3" s="22"/>
      <c r="G3" s="22"/>
      <c r="H3" s="22"/>
      <c r="I3" s="22"/>
      <c r="J3" s="22"/>
      <c r="K3" s="22"/>
    </row>
    <row r="4" spans="1:11" s="49" customFormat="1" ht="13.5" customHeight="1">
      <c r="A4" s="92" t="str">
        <f>" 교   정   번   호(Calibration No) : "&amp;기본정보!H3</f>
        <v xml:space="preserve"> 교   정   번   호(Calibration No) : </v>
      </c>
      <c r="B4" s="92"/>
      <c r="C4" s="92"/>
      <c r="D4" s="93"/>
      <c r="E4" s="93"/>
      <c r="F4" s="93"/>
      <c r="G4" s="102"/>
      <c r="H4" s="93"/>
      <c r="I4" s="103"/>
      <c r="J4" s="94"/>
      <c r="K4" s="102"/>
    </row>
    <row r="5" spans="1:11" s="36" customFormat="1" ht="15" customHeight="1"/>
    <row r="6" spans="1:11" ht="15" customHeight="1">
      <c r="E6" s="54" t="str">
        <f>"○ 품명 : "&amp;기본정보!C$5</f>
        <v xml:space="preserve">○ 품명 : </v>
      </c>
      <c r="F6" s="54"/>
    </row>
    <row r="7" spans="1:11" ht="15" customHeight="1">
      <c r="E7" s="54" t="str">
        <f>"○ 제작회사 : "&amp;기본정보!C$6</f>
        <v xml:space="preserve">○ 제작회사 : </v>
      </c>
      <c r="F7" s="54"/>
    </row>
    <row r="8" spans="1:11" ht="15" customHeight="1">
      <c r="E8" s="54" t="str">
        <f>"○ 형식 : "&amp;기본정보!C$7</f>
        <v xml:space="preserve">○ 형식 : </v>
      </c>
      <c r="F8" s="54"/>
    </row>
    <row r="9" spans="1:11" ht="15" customHeight="1">
      <c r="E9" s="54" t="str">
        <f>"○ 기기번호 : "&amp;기본정보!C$8</f>
        <v xml:space="preserve">○ 기기번호 : </v>
      </c>
      <c r="F9" s="54"/>
    </row>
    <row r="11" spans="1:11" ht="15" customHeight="1">
      <c r="E11" s="38" t="s">
        <v>105</v>
      </c>
      <c r="F11" s="38"/>
    </row>
    <row r="12" spans="1:11" ht="15" customHeight="1">
      <c r="E12" s="54" t="str">
        <f>"○ 교정범위 : ("&amp;Calcu!J3&amp;" ~ "&amp;Calcu!K3&amp;") mm"</f>
        <v>○ 교정범위 : (0 ~ 0) mm</v>
      </c>
      <c r="F12" s="54"/>
    </row>
    <row r="13" spans="1:11" ht="15" customHeight="1">
      <c r="A13" s="44"/>
      <c r="B13" s="44"/>
      <c r="C13" s="44"/>
      <c r="E13" s="54" t="str">
        <f ca="1">"○ 최소눈금 : "&amp;Calcu!M3&amp;" mm"</f>
        <v>○ 최소눈금 : 0 mm</v>
      </c>
      <c r="F13" s="54"/>
    </row>
    <row r="14" spans="1:11" ht="15" customHeight="1">
      <c r="A14" s="44"/>
      <c r="B14" s="44"/>
      <c r="C14" s="44"/>
    </row>
    <row r="15" spans="1:11" ht="15" customHeight="1">
      <c r="A15" s="44"/>
      <c r="B15" s="44"/>
      <c r="C15" s="44"/>
      <c r="E15" s="365" t="s">
        <v>398</v>
      </c>
      <c r="F15" s="368" t="s">
        <v>164</v>
      </c>
      <c r="G15" s="369"/>
    </row>
    <row r="16" spans="1:11" ht="15" customHeight="1">
      <c r="A16" s="44"/>
      <c r="B16" s="43"/>
      <c r="C16" s="43"/>
      <c r="E16" s="366"/>
      <c r="F16" s="260" t="s">
        <v>399</v>
      </c>
      <c r="G16" s="234" t="s">
        <v>400</v>
      </c>
    </row>
    <row r="17" spans="1:7" ht="15" customHeight="1">
      <c r="A17" s="44"/>
      <c r="B17" s="43"/>
      <c r="C17" s="43"/>
      <c r="E17" s="367"/>
      <c r="F17" s="259" t="s">
        <v>231</v>
      </c>
      <c r="G17" s="235" t="s">
        <v>231</v>
      </c>
    </row>
    <row r="18" spans="1:7" ht="15" customHeight="1">
      <c r="A18" s="44" t="str">
        <f>IF(Calcu!AJ9=TRUE,"","삭제")</f>
        <v>삭제</v>
      </c>
      <c r="B18" s="43"/>
      <c r="C18" s="43"/>
      <c r="E18" s="171" t="e">
        <f ca="1">Calcu!AK9</f>
        <v>#N/A</v>
      </c>
      <c r="F18" s="258" t="e">
        <f ca="1">Calcu!AL9</f>
        <v>#N/A</v>
      </c>
      <c r="G18" s="171" t="str">
        <f ca="1">Calcu!AM9</f>
        <v>-</v>
      </c>
    </row>
    <row r="19" spans="1:7" ht="15" customHeight="1">
      <c r="A19" s="44" t="str">
        <f>IF(Calcu!AJ10=TRUE,"","삭제")</f>
        <v>삭제</v>
      </c>
      <c r="B19" s="43"/>
      <c r="C19" s="43"/>
      <c r="E19" s="171" t="e">
        <f ca="1">Calcu!AK10</f>
        <v>#N/A</v>
      </c>
      <c r="F19" s="258" t="e">
        <f ca="1">Calcu!AL10</f>
        <v>#N/A</v>
      </c>
      <c r="G19" s="171" t="str">
        <f ca="1">Calcu!AM10</f>
        <v>-</v>
      </c>
    </row>
    <row r="20" spans="1:7" ht="15" customHeight="1">
      <c r="A20" s="44" t="str">
        <f>IF(Calcu!AJ11=TRUE,"","삭제")</f>
        <v>삭제</v>
      </c>
      <c r="B20" s="43"/>
      <c r="C20" s="43"/>
      <c r="E20" s="171" t="e">
        <f ca="1">Calcu!AK11</f>
        <v>#N/A</v>
      </c>
      <c r="F20" s="258" t="e">
        <f ca="1">Calcu!AL11</f>
        <v>#N/A</v>
      </c>
      <c r="G20" s="171" t="str">
        <f ca="1">Calcu!AM11</f>
        <v>-</v>
      </c>
    </row>
    <row r="21" spans="1:7" ht="15" customHeight="1">
      <c r="A21" s="44" t="str">
        <f>IF(Calcu!AJ12=TRUE,"","삭제")</f>
        <v>삭제</v>
      </c>
      <c r="B21" s="43"/>
      <c r="C21" s="43"/>
      <c r="E21" s="171" t="e">
        <f ca="1">Calcu!AK12</f>
        <v>#N/A</v>
      </c>
      <c r="F21" s="258" t="e">
        <f ca="1">Calcu!AL12</f>
        <v>#N/A</v>
      </c>
      <c r="G21" s="171" t="str">
        <f ca="1">Calcu!AM12</f>
        <v>-</v>
      </c>
    </row>
    <row r="22" spans="1:7" ht="15" customHeight="1">
      <c r="A22" s="44" t="str">
        <f>IF(Calcu!AJ13=TRUE,"","삭제")</f>
        <v>삭제</v>
      </c>
      <c r="B22" s="43"/>
      <c r="C22" s="43"/>
      <c r="E22" s="171" t="e">
        <f ca="1">Calcu!AK13</f>
        <v>#N/A</v>
      </c>
      <c r="F22" s="258" t="e">
        <f ca="1">Calcu!AL13</f>
        <v>#N/A</v>
      </c>
      <c r="G22" s="171" t="str">
        <f ca="1">Calcu!AM13</f>
        <v>-</v>
      </c>
    </row>
    <row r="23" spans="1:7" ht="15" customHeight="1">
      <c r="A23" s="44" t="str">
        <f>IF(Calcu!AJ14=TRUE,"","삭제")</f>
        <v>삭제</v>
      </c>
      <c r="B23" s="43"/>
      <c r="C23" s="43"/>
      <c r="E23" s="171" t="e">
        <f ca="1">Calcu!AK14</f>
        <v>#N/A</v>
      </c>
      <c r="F23" s="258" t="e">
        <f ca="1">Calcu!AL14</f>
        <v>#N/A</v>
      </c>
      <c r="G23" s="171" t="str">
        <f ca="1">Calcu!AM14</f>
        <v>-</v>
      </c>
    </row>
    <row r="24" spans="1:7" ht="15" customHeight="1">
      <c r="A24" s="44" t="str">
        <f>IF(Calcu!AJ15=TRUE,"","삭제")</f>
        <v>삭제</v>
      </c>
      <c r="B24" s="43"/>
      <c r="C24" s="43"/>
      <c r="E24" s="171" t="e">
        <f ca="1">Calcu!AK15</f>
        <v>#N/A</v>
      </c>
      <c r="F24" s="258" t="e">
        <f ca="1">Calcu!AL15</f>
        <v>#N/A</v>
      </c>
      <c r="G24" s="171" t="str">
        <f ca="1">Calcu!AM15</f>
        <v>-</v>
      </c>
    </row>
    <row r="25" spans="1:7" ht="15" customHeight="1">
      <c r="A25" s="44" t="str">
        <f>IF(Calcu!AJ16=TRUE,"","삭제")</f>
        <v>삭제</v>
      </c>
      <c r="B25" s="43"/>
      <c r="C25" s="43"/>
      <c r="E25" s="171" t="e">
        <f ca="1">Calcu!AK16</f>
        <v>#N/A</v>
      </c>
      <c r="F25" s="258" t="e">
        <f ca="1">Calcu!AL16</f>
        <v>#N/A</v>
      </c>
      <c r="G25" s="171" t="str">
        <f ca="1">Calcu!AM16</f>
        <v>-</v>
      </c>
    </row>
    <row r="26" spans="1:7" ht="15" customHeight="1">
      <c r="A26" s="44" t="str">
        <f>IF(Calcu!AJ17=TRUE,"","삭제")</f>
        <v>삭제</v>
      </c>
      <c r="B26" s="43"/>
      <c r="C26" s="43"/>
      <c r="E26" s="171" t="e">
        <f ca="1">Calcu!AK17</f>
        <v>#N/A</v>
      </c>
      <c r="F26" s="258" t="e">
        <f ca="1">Calcu!AL17</f>
        <v>#N/A</v>
      </c>
      <c r="G26" s="171" t="str">
        <f ca="1">Calcu!AM17</f>
        <v>-</v>
      </c>
    </row>
    <row r="27" spans="1:7" ht="15" customHeight="1">
      <c r="A27" s="44" t="str">
        <f>IF(Calcu!AJ18=TRUE,"","삭제")</f>
        <v>삭제</v>
      </c>
      <c r="B27" s="43"/>
      <c r="C27" s="43"/>
      <c r="E27" s="171" t="e">
        <f ca="1">Calcu!AK18</f>
        <v>#N/A</v>
      </c>
      <c r="F27" s="258" t="e">
        <f ca="1">Calcu!AL18</f>
        <v>#N/A</v>
      </c>
      <c r="G27" s="171" t="str">
        <f ca="1">Calcu!AM18</f>
        <v>-</v>
      </c>
    </row>
    <row r="28" spans="1:7" ht="15" customHeight="1">
      <c r="A28" s="44" t="str">
        <f>IF(Calcu!AJ19=TRUE,"","삭제")</f>
        <v>삭제</v>
      </c>
      <c r="B28" s="43"/>
      <c r="C28" s="43"/>
      <c r="E28" s="171" t="e">
        <f ca="1">Calcu!AK19</f>
        <v>#N/A</v>
      </c>
      <c r="F28" s="258" t="e">
        <f ca="1">Calcu!AL19</f>
        <v>#N/A</v>
      </c>
      <c r="G28" s="171" t="str">
        <f ca="1">Calcu!AM19</f>
        <v>-</v>
      </c>
    </row>
    <row r="29" spans="1:7" ht="15" customHeight="1">
      <c r="A29" s="44" t="str">
        <f>IF(Calcu!AJ20=TRUE,"","삭제")</f>
        <v>삭제</v>
      </c>
      <c r="B29" s="43"/>
      <c r="C29" s="43"/>
      <c r="E29" s="171" t="e">
        <f ca="1">Calcu!AK20</f>
        <v>#N/A</v>
      </c>
      <c r="F29" s="258" t="e">
        <f ca="1">Calcu!AL20</f>
        <v>#N/A</v>
      </c>
      <c r="G29" s="171" t="str">
        <f ca="1">Calcu!AM20</f>
        <v>-</v>
      </c>
    </row>
    <row r="30" spans="1:7" ht="15" customHeight="1">
      <c r="A30" s="44" t="str">
        <f>IF(Calcu!AJ21=TRUE,"","삭제")</f>
        <v>삭제</v>
      </c>
      <c r="B30" s="43"/>
      <c r="C30" s="43"/>
      <c r="E30" s="171" t="e">
        <f ca="1">Calcu!AK21</f>
        <v>#N/A</v>
      </c>
      <c r="F30" s="258" t="e">
        <f ca="1">Calcu!AL21</f>
        <v>#N/A</v>
      </c>
      <c r="G30" s="171" t="str">
        <f ca="1">Calcu!AM21</f>
        <v>-</v>
      </c>
    </row>
    <row r="31" spans="1:7" ht="15" customHeight="1">
      <c r="A31" s="44" t="str">
        <f>IF(Calcu!AJ22=TRUE,"","삭제")</f>
        <v>삭제</v>
      </c>
      <c r="B31" s="43"/>
      <c r="C31" s="43"/>
      <c r="E31" s="171" t="e">
        <f ca="1">Calcu!AK22</f>
        <v>#N/A</v>
      </c>
      <c r="F31" s="258" t="e">
        <f ca="1">Calcu!AL22</f>
        <v>#N/A</v>
      </c>
      <c r="G31" s="171" t="str">
        <f ca="1">Calcu!AM22</f>
        <v>-</v>
      </c>
    </row>
    <row r="32" spans="1:7" ht="15" customHeight="1">
      <c r="A32" s="44" t="str">
        <f>IF(Calcu!AJ23=TRUE,"","삭제")</f>
        <v>삭제</v>
      </c>
      <c r="B32" s="43"/>
      <c r="C32" s="43"/>
      <c r="E32" s="171" t="e">
        <f ca="1">Calcu!AK23</f>
        <v>#N/A</v>
      </c>
      <c r="F32" s="258" t="e">
        <f ca="1">Calcu!AL23</f>
        <v>#N/A</v>
      </c>
      <c r="G32" s="171" t="str">
        <f ca="1">Calcu!AM23</f>
        <v>-</v>
      </c>
    </row>
    <row r="33" spans="1:9" ht="15" customHeight="1">
      <c r="A33" s="44" t="str">
        <f>IF(Calcu!AJ24=TRUE,"","삭제")</f>
        <v>삭제</v>
      </c>
      <c r="B33" s="43"/>
      <c r="C33" s="43"/>
      <c r="E33" s="171" t="e">
        <f ca="1">Calcu!AK24</f>
        <v>#N/A</v>
      </c>
      <c r="F33" s="258" t="e">
        <f ca="1">Calcu!AL24</f>
        <v>#N/A</v>
      </c>
      <c r="G33" s="171" t="str">
        <f ca="1">Calcu!AM24</f>
        <v>-</v>
      </c>
    </row>
    <row r="34" spans="1:9" ht="15" customHeight="1">
      <c r="A34" s="44" t="str">
        <f>IF(Calcu!AJ25=TRUE,"","삭제")</f>
        <v>삭제</v>
      </c>
      <c r="B34" s="43"/>
      <c r="C34" s="43"/>
      <c r="E34" s="171" t="e">
        <f ca="1">Calcu!AK25</f>
        <v>#N/A</v>
      </c>
      <c r="F34" s="258" t="e">
        <f ca="1">Calcu!AL25</f>
        <v>#N/A</v>
      </c>
      <c r="G34" s="171" t="str">
        <f ca="1">Calcu!AM25</f>
        <v>-</v>
      </c>
    </row>
    <row r="35" spans="1:9" ht="15" customHeight="1">
      <c r="A35" s="44" t="str">
        <f>IF(Calcu!AJ26=TRUE,"","삭제")</f>
        <v>삭제</v>
      </c>
      <c r="B35" s="43"/>
      <c r="C35" s="43"/>
      <c r="E35" s="171" t="e">
        <f ca="1">Calcu!AK26</f>
        <v>#N/A</v>
      </c>
      <c r="F35" s="258" t="e">
        <f ca="1">Calcu!AL26</f>
        <v>#N/A</v>
      </c>
      <c r="G35" s="171" t="str">
        <f ca="1">Calcu!AM26</f>
        <v>-</v>
      </c>
    </row>
    <row r="36" spans="1:9" ht="15" customHeight="1">
      <c r="A36" s="44" t="str">
        <f>IF(Calcu!AJ27=TRUE,"","삭제")</f>
        <v>삭제</v>
      </c>
      <c r="B36" s="43"/>
      <c r="C36" s="43"/>
      <c r="E36" s="171" t="e">
        <f ca="1">Calcu!AK27</f>
        <v>#N/A</v>
      </c>
      <c r="F36" s="258" t="e">
        <f ca="1">Calcu!AL27</f>
        <v>#N/A</v>
      </c>
      <c r="G36" s="171" t="str">
        <f ca="1">Calcu!AM27</f>
        <v>-</v>
      </c>
    </row>
    <row r="37" spans="1:9" ht="15" customHeight="1">
      <c r="A37" s="44" t="str">
        <f>IF(Calcu!AJ28=TRUE,"","삭제")</f>
        <v>삭제</v>
      </c>
      <c r="B37" s="43"/>
      <c r="C37" s="43"/>
      <c r="E37" s="171" t="e">
        <f ca="1">Calcu!AK28</f>
        <v>#N/A</v>
      </c>
      <c r="F37" s="258" t="e">
        <f ca="1">Calcu!AL28</f>
        <v>#N/A</v>
      </c>
      <c r="G37" s="171" t="str">
        <f ca="1">Calcu!AM28</f>
        <v>-</v>
      </c>
    </row>
    <row r="38" spans="1:9" ht="15" customHeight="1">
      <c r="A38" s="44" t="str">
        <f>IF(Calcu!AJ29=TRUE,"","삭제")</f>
        <v>삭제</v>
      </c>
      <c r="B38" s="43"/>
      <c r="C38" s="43"/>
      <c r="E38" s="171" t="e">
        <f ca="1">Calcu!AK29</f>
        <v>#N/A</v>
      </c>
      <c r="F38" s="258" t="e">
        <f ca="1">Calcu!AL29</f>
        <v>#N/A</v>
      </c>
      <c r="G38" s="171" t="str">
        <f ca="1">Calcu!AM29</f>
        <v>-</v>
      </c>
    </row>
    <row r="39" spans="1:9" ht="15" customHeight="1">
      <c r="A39" s="44" t="str">
        <f>IF(Calcu!AJ30=TRUE,"","삭제")</f>
        <v>삭제</v>
      </c>
      <c r="B39" s="43"/>
      <c r="C39" s="43"/>
      <c r="E39" s="171" t="e">
        <f ca="1">Calcu!AK30</f>
        <v>#N/A</v>
      </c>
      <c r="F39" s="258" t="e">
        <f ca="1">Calcu!AL30</f>
        <v>#N/A</v>
      </c>
      <c r="G39" s="171" t="str">
        <f ca="1">Calcu!AM30</f>
        <v>-</v>
      </c>
    </row>
    <row r="40" spans="1:9" ht="15" customHeight="1">
      <c r="A40" s="44" t="str">
        <f>IF(Calcu!AJ31=TRUE,"","삭제")</f>
        <v>삭제</v>
      </c>
      <c r="B40" s="43"/>
      <c r="C40" s="43"/>
      <c r="E40" s="171" t="e">
        <f ca="1">Calcu!AK31</f>
        <v>#N/A</v>
      </c>
      <c r="F40" s="258" t="e">
        <f ca="1">Calcu!AL31</f>
        <v>#N/A</v>
      </c>
      <c r="G40" s="171" t="str">
        <f ca="1">Calcu!AM31</f>
        <v>-</v>
      </c>
    </row>
    <row r="41" spans="1:9" ht="15" customHeight="1">
      <c r="A41" s="44"/>
      <c r="E41" s="229"/>
      <c r="F41" s="229"/>
      <c r="G41" s="229"/>
      <c r="H41" s="51"/>
    </row>
    <row r="42" spans="1:9" ht="15" customHeight="1">
      <c r="A42" s="44"/>
      <c r="E42" s="38" t="e">
        <f ca="1">"● 측정불확도 : "&amp;Calcu!T66</f>
        <v>#N/A</v>
      </c>
      <c r="F42" s="38"/>
      <c r="G42" s="38"/>
    </row>
    <row r="43" spans="1:9" ht="15" customHeight="1">
      <c r="A43" s="44"/>
      <c r="E43" s="53" t="e">
        <f ca="1">IF(Calcu!E76="사다리꼴","(신뢰수준 95 %,","(신뢰수준 약 95 %,")</f>
        <v>#N/A</v>
      </c>
      <c r="F43" s="265" t="e">
        <f ca="1">Calcu!E77&amp;IF(Calcu!E76="사다리꼴",", 사다리꼴 확률분포)",")")</f>
        <v>#N/A</v>
      </c>
      <c r="I43" s="50"/>
    </row>
    <row r="44" spans="1:9" ht="15" customHeight="1">
      <c r="E44" s="75"/>
      <c r="F44" s="75"/>
      <c r="G44" s="75"/>
      <c r="H44" s="76"/>
    </row>
  </sheetData>
  <mergeCells count="3">
    <mergeCell ref="A1:K2"/>
    <mergeCell ref="E15:E17"/>
    <mergeCell ref="F15:G15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45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4" width="3.77734375" style="37" customWidth="1"/>
    <col min="5" max="7" width="15.77734375" style="37" customWidth="1"/>
    <col min="8" max="11" width="3.77734375" style="37" customWidth="1"/>
    <col min="12" max="16384" width="10.77734375" style="37"/>
  </cols>
  <sheetData>
    <row r="1" spans="1:11" s="82" customFormat="1" ht="33" customHeight="1">
      <c r="A1" s="370" t="s">
        <v>58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</row>
    <row r="2" spans="1:11" s="82" customFormat="1" ht="33" customHeight="1">
      <c r="A2" s="370"/>
      <c r="B2" s="370"/>
      <c r="C2" s="370"/>
      <c r="D2" s="370"/>
      <c r="E2" s="370"/>
      <c r="F2" s="370"/>
      <c r="G2" s="370"/>
      <c r="H2" s="370"/>
      <c r="I2" s="370"/>
      <c r="J2" s="370"/>
      <c r="K2" s="370"/>
    </row>
    <row r="3" spans="1:11" s="47" customFormat="1" ht="12.75" customHeight="1">
      <c r="A3" s="48" t="s">
        <v>57</v>
      </c>
      <c r="B3" s="48"/>
      <c r="C3" s="48"/>
      <c r="D3" s="48"/>
      <c r="E3" s="22"/>
      <c r="F3" s="22"/>
      <c r="G3" s="22"/>
      <c r="H3" s="22"/>
      <c r="I3" s="22"/>
      <c r="J3" s="22"/>
      <c r="K3" s="22"/>
    </row>
    <row r="4" spans="1:11" s="49" customFormat="1" ht="13.5" customHeight="1">
      <c r="A4" s="81" t="str">
        <f>" 교   정   번   호(Calibration No) : "&amp;기본정보!H3</f>
        <v xml:space="preserve"> 교   정   번   호(Calibration No) : </v>
      </c>
      <c r="B4" s="92"/>
      <c r="C4" s="92"/>
      <c r="D4" s="81"/>
      <c r="E4" s="80"/>
      <c r="F4" s="77"/>
      <c r="G4" s="80"/>
      <c r="H4" s="79"/>
      <c r="I4" s="78"/>
      <c r="J4" s="94"/>
      <c r="K4" s="77"/>
    </row>
    <row r="5" spans="1:11" s="36" customFormat="1" ht="15" customHeight="1"/>
    <row r="6" spans="1:11" ht="15" customHeight="1">
      <c r="E6" s="54" t="str">
        <f>"○ Description : "&amp;기본정보!C$5</f>
        <v xml:space="preserve">○ Description : </v>
      </c>
    </row>
    <row r="7" spans="1:11" ht="15" customHeight="1">
      <c r="E7" s="54" t="str">
        <f>"○ Manufacturer  : "&amp;기본정보!C$6</f>
        <v xml:space="preserve">○ Manufacturer  : </v>
      </c>
    </row>
    <row r="8" spans="1:11" ht="15" customHeight="1">
      <c r="E8" s="54" t="str">
        <f>"○ Model Name : "&amp;기본정보!C$7</f>
        <v xml:space="preserve">○ Model Name : </v>
      </c>
    </row>
    <row r="9" spans="1:11" ht="15" customHeight="1">
      <c r="E9" s="54" t="str">
        <f>"○ Serial Number : "&amp;기본정보!C$8</f>
        <v xml:space="preserve">○ Serial Number : </v>
      </c>
    </row>
    <row r="11" spans="1:11" ht="15" customHeight="1">
      <c r="E11" s="38" t="s">
        <v>103</v>
      </c>
    </row>
    <row r="12" spans="1:11" ht="15" customHeight="1">
      <c r="E12" s="54" t="str">
        <f>"○ Range : ("&amp;Calcu!J3&amp;" ~ "&amp;Calcu!K3&amp;") mm"</f>
        <v>○ Range : (0 ~ 0) mm</v>
      </c>
    </row>
    <row r="13" spans="1:11" ht="15" customHeight="1">
      <c r="A13" s="44"/>
      <c r="B13" s="44"/>
      <c r="C13" s="44"/>
      <c r="D13" s="44"/>
      <c r="E13" s="54" t="str">
        <f ca="1">"○ Resolution : "&amp;Calcu!M3&amp;" mm"</f>
        <v>○ Resolution : 0 mm</v>
      </c>
    </row>
    <row r="14" spans="1:11" ht="15" customHeight="1">
      <c r="A14" s="44"/>
      <c r="B14" s="44"/>
      <c r="C14" s="44"/>
      <c r="D14" s="44"/>
    </row>
    <row r="15" spans="1:11" ht="15" customHeight="1">
      <c r="A15" s="44"/>
      <c r="B15" s="44"/>
      <c r="C15" s="44"/>
      <c r="D15" s="43"/>
      <c r="E15" s="365" t="s">
        <v>460</v>
      </c>
      <c r="F15" s="368" t="s">
        <v>459</v>
      </c>
      <c r="G15" s="369"/>
    </row>
    <row r="16" spans="1:11" ht="15" customHeight="1">
      <c r="A16" s="44"/>
      <c r="B16" s="44"/>
      <c r="C16" s="44"/>
      <c r="D16" s="43"/>
      <c r="E16" s="366"/>
      <c r="F16" s="262" t="s">
        <v>408</v>
      </c>
      <c r="G16" s="262" t="s">
        <v>409</v>
      </c>
    </row>
    <row r="17" spans="1:7" ht="15" customHeight="1">
      <c r="A17" s="44"/>
      <c r="B17" s="44"/>
      <c r="C17" s="44"/>
      <c r="D17" s="43"/>
      <c r="E17" s="367"/>
      <c r="F17" s="261" t="s">
        <v>231</v>
      </c>
      <c r="G17" s="261" t="s">
        <v>231</v>
      </c>
    </row>
    <row r="18" spans="1:7" ht="15" customHeight="1">
      <c r="A18" s="44" t="str">
        <f>IF(Calcu!AJ9=TRUE,"","삭제")</f>
        <v>삭제</v>
      </c>
      <c r="B18" s="44"/>
      <c r="C18" s="44"/>
      <c r="D18" s="43"/>
      <c r="E18" s="171" t="e">
        <f ca="1">Calcu!AK9</f>
        <v>#N/A</v>
      </c>
      <c r="F18" s="171" t="e">
        <f ca="1">Calcu!AL9</f>
        <v>#N/A</v>
      </c>
      <c r="G18" s="171" t="str">
        <f ca="1">Calcu!AM9</f>
        <v>-</v>
      </c>
    </row>
    <row r="19" spans="1:7" ht="15" customHeight="1">
      <c r="A19" s="44" t="str">
        <f>IF(Calcu!AJ10=TRUE,"","삭제")</f>
        <v>삭제</v>
      </c>
      <c r="B19" s="44"/>
      <c r="C19" s="44"/>
      <c r="D19" s="43"/>
      <c r="E19" s="171" t="e">
        <f ca="1">Calcu!AK10</f>
        <v>#N/A</v>
      </c>
      <c r="F19" s="171" t="e">
        <f ca="1">Calcu!AL10</f>
        <v>#N/A</v>
      </c>
      <c r="G19" s="171" t="str">
        <f ca="1">Calcu!AM10</f>
        <v>-</v>
      </c>
    </row>
    <row r="20" spans="1:7" ht="15" customHeight="1">
      <c r="A20" s="44" t="str">
        <f>IF(Calcu!AJ11=TRUE,"","삭제")</f>
        <v>삭제</v>
      </c>
      <c r="B20" s="44"/>
      <c r="C20" s="44"/>
      <c r="D20" s="43"/>
      <c r="E20" s="171" t="e">
        <f ca="1">Calcu!AK11</f>
        <v>#N/A</v>
      </c>
      <c r="F20" s="171" t="e">
        <f ca="1">Calcu!AL11</f>
        <v>#N/A</v>
      </c>
      <c r="G20" s="171" t="str">
        <f ca="1">Calcu!AM11</f>
        <v>-</v>
      </c>
    </row>
    <row r="21" spans="1:7" ht="15" customHeight="1">
      <c r="A21" s="44" t="str">
        <f>IF(Calcu!AJ12=TRUE,"","삭제")</f>
        <v>삭제</v>
      </c>
      <c r="B21" s="44"/>
      <c r="C21" s="44"/>
      <c r="D21" s="43"/>
      <c r="E21" s="171" t="e">
        <f ca="1">Calcu!AK12</f>
        <v>#N/A</v>
      </c>
      <c r="F21" s="171" t="e">
        <f ca="1">Calcu!AL12</f>
        <v>#N/A</v>
      </c>
      <c r="G21" s="171" t="str">
        <f ca="1">Calcu!AM12</f>
        <v>-</v>
      </c>
    </row>
    <row r="22" spans="1:7" ht="15" customHeight="1">
      <c r="A22" s="44" t="str">
        <f>IF(Calcu!AJ13=TRUE,"","삭제")</f>
        <v>삭제</v>
      </c>
      <c r="B22" s="44"/>
      <c r="C22" s="44"/>
      <c r="D22" s="43"/>
      <c r="E22" s="171" t="e">
        <f ca="1">Calcu!AK13</f>
        <v>#N/A</v>
      </c>
      <c r="F22" s="171" t="e">
        <f ca="1">Calcu!AL13</f>
        <v>#N/A</v>
      </c>
      <c r="G22" s="171" t="str">
        <f ca="1">Calcu!AM13</f>
        <v>-</v>
      </c>
    </row>
    <row r="23" spans="1:7" ht="15" customHeight="1">
      <c r="A23" s="44" t="str">
        <f>IF(Calcu!AJ14=TRUE,"","삭제")</f>
        <v>삭제</v>
      </c>
      <c r="B23" s="44"/>
      <c r="C23" s="44"/>
      <c r="D23" s="43"/>
      <c r="E23" s="171" t="e">
        <f ca="1">Calcu!AK14</f>
        <v>#N/A</v>
      </c>
      <c r="F23" s="171" t="e">
        <f ca="1">Calcu!AL14</f>
        <v>#N/A</v>
      </c>
      <c r="G23" s="171" t="str">
        <f ca="1">Calcu!AM14</f>
        <v>-</v>
      </c>
    </row>
    <row r="24" spans="1:7" ht="15" customHeight="1">
      <c r="A24" s="44" t="str">
        <f>IF(Calcu!AJ15=TRUE,"","삭제")</f>
        <v>삭제</v>
      </c>
      <c r="B24" s="44"/>
      <c r="C24" s="44"/>
      <c r="D24" s="43"/>
      <c r="E24" s="171" t="e">
        <f ca="1">Calcu!AK15</f>
        <v>#N/A</v>
      </c>
      <c r="F24" s="171" t="e">
        <f ca="1">Calcu!AL15</f>
        <v>#N/A</v>
      </c>
      <c r="G24" s="171" t="str">
        <f ca="1">Calcu!AM15</f>
        <v>-</v>
      </c>
    </row>
    <row r="25" spans="1:7" ht="15" customHeight="1">
      <c r="A25" s="44" t="str">
        <f>IF(Calcu!AJ16=TRUE,"","삭제")</f>
        <v>삭제</v>
      </c>
      <c r="B25" s="44"/>
      <c r="C25" s="44"/>
      <c r="D25" s="43"/>
      <c r="E25" s="171" t="e">
        <f ca="1">Calcu!AK16</f>
        <v>#N/A</v>
      </c>
      <c r="F25" s="171" t="e">
        <f ca="1">Calcu!AL16</f>
        <v>#N/A</v>
      </c>
      <c r="G25" s="171" t="str">
        <f ca="1">Calcu!AM16</f>
        <v>-</v>
      </c>
    </row>
    <row r="26" spans="1:7" ht="15" customHeight="1">
      <c r="A26" s="44" t="str">
        <f>IF(Calcu!AJ17=TRUE,"","삭제")</f>
        <v>삭제</v>
      </c>
      <c r="B26" s="44"/>
      <c r="C26" s="44"/>
      <c r="D26" s="43"/>
      <c r="E26" s="171" t="e">
        <f ca="1">Calcu!AK17</f>
        <v>#N/A</v>
      </c>
      <c r="F26" s="171" t="e">
        <f ca="1">Calcu!AL17</f>
        <v>#N/A</v>
      </c>
      <c r="G26" s="171" t="str">
        <f ca="1">Calcu!AM17</f>
        <v>-</v>
      </c>
    </row>
    <row r="27" spans="1:7" ht="15" customHeight="1">
      <c r="A27" s="44" t="str">
        <f>IF(Calcu!AJ18=TRUE,"","삭제")</f>
        <v>삭제</v>
      </c>
      <c r="B27" s="44"/>
      <c r="C27" s="44"/>
      <c r="D27" s="43"/>
      <c r="E27" s="171" t="e">
        <f ca="1">Calcu!AK18</f>
        <v>#N/A</v>
      </c>
      <c r="F27" s="171" t="e">
        <f ca="1">Calcu!AL18</f>
        <v>#N/A</v>
      </c>
      <c r="G27" s="171" t="str">
        <f ca="1">Calcu!AM18</f>
        <v>-</v>
      </c>
    </row>
    <row r="28" spans="1:7" ht="15" customHeight="1">
      <c r="A28" s="44" t="str">
        <f>IF(Calcu!AJ19=TRUE,"","삭제")</f>
        <v>삭제</v>
      </c>
      <c r="B28" s="44"/>
      <c r="C28" s="44"/>
      <c r="D28" s="43"/>
      <c r="E28" s="171" t="e">
        <f ca="1">Calcu!AK19</f>
        <v>#N/A</v>
      </c>
      <c r="F28" s="171" t="e">
        <f ca="1">Calcu!AL19</f>
        <v>#N/A</v>
      </c>
      <c r="G28" s="171" t="str">
        <f ca="1">Calcu!AM19</f>
        <v>-</v>
      </c>
    </row>
    <row r="29" spans="1:7" ht="15" customHeight="1">
      <c r="A29" s="44" t="str">
        <f>IF(Calcu!AJ20=TRUE,"","삭제")</f>
        <v>삭제</v>
      </c>
      <c r="B29" s="44"/>
      <c r="C29" s="44"/>
      <c r="D29" s="43"/>
      <c r="E29" s="171" t="e">
        <f ca="1">Calcu!AK20</f>
        <v>#N/A</v>
      </c>
      <c r="F29" s="171" t="e">
        <f ca="1">Calcu!AL20</f>
        <v>#N/A</v>
      </c>
      <c r="G29" s="171" t="str">
        <f ca="1">Calcu!AM20</f>
        <v>-</v>
      </c>
    </row>
    <row r="30" spans="1:7" ht="15" customHeight="1">
      <c r="A30" s="44" t="str">
        <f>IF(Calcu!AJ21=TRUE,"","삭제")</f>
        <v>삭제</v>
      </c>
      <c r="B30" s="44"/>
      <c r="C30" s="44"/>
      <c r="D30" s="43"/>
      <c r="E30" s="171" t="e">
        <f ca="1">Calcu!AK21</f>
        <v>#N/A</v>
      </c>
      <c r="F30" s="171" t="e">
        <f ca="1">Calcu!AL21</f>
        <v>#N/A</v>
      </c>
      <c r="G30" s="171" t="str">
        <f ca="1">Calcu!AM21</f>
        <v>-</v>
      </c>
    </row>
    <row r="31" spans="1:7" ht="15" customHeight="1">
      <c r="A31" s="44" t="str">
        <f>IF(Calcu!AJ22=TRUE,"","삭제")</f>
        <v>삭제</v>
      </c>
      <c r="B31" s="44"/>
      <c r="C31" s="44"/>
      <c r="D31" s="43"/>
      <c r="E31" s="171" t="e">
        <f ca="1">Calcu!AK22</f>
        <v>#N/A</v>
      </c>
      <c r="F31" s="171" t="e">
        <f ca="1">Calcu!AL22</f>
        <v>#N/A</v>
      </c>
      <c r="G31" s="171" t="str">
        <f ca="1">Calcu!AM22</f>
        <v>-</v>
      </c>
    </row>
    <row r="32" spans="1:7" ht="15" customHeight="1">
      <c r="A32" s="44" t="str">
        <f>IF(Calcu!AJ23=TRUE,"","삭제")</f>
        <v>삭제</v>
      </c>
      <c r="B32" s="44"/>
      <c r="C32" s="44"/>
      <c r="D32" s="43"/>
      <c r="E32" s="171" t="e">
        <f ca="1">Calcu!AK23</f>
        <v>#N/A</v>
      </c>
      <c r="F32" s="171" t="e">
        <f ca="1">Calcu!AL23</f>
        <v>#N/A</v>
      </c>
      <c r="G32" s="171" t="str">
        <f ca="1">Calcu!AM23</f>
        <v>-</v>
      </c>
    </row>
    <row r="33" spans="1:10" ht="15" customHeight="1">
      <c r="A33" s="44" t="str">
        <f>IF(Calcu!AJ24=TRUE,"","삭제")</f>
        <v>삭제</v>
      </c>
      <c r="B33" s="44"/>
      <c r="C33" s="44"/>
      <c r="D33" s="43"/>
      <c r="E33" s="171" t="e">
        <f ca="1">Calcu!AK24</f>
        <v>#N/A</v>
      </c>
      <c r="F33" s="171" t="e">
        <f ca="1">Calcu!AL24</f>
        <v>#N/A</v>
      </c>
      <c r="G33" s="171" t="str">
        <f ca="1">Calcu!AM24</f>
        <v>-</v>
      </c>
    </row>
    <row r="34" spans="1:10" ht="15" customHeight="1">
      <c r="A34" s="44" t="str">
        <f>IF(Calcu!AJ25=TRUE,"","삭제")</f>
        <v>삭제</v>
      </c>
      <c r="B34" s="44"/>
      <c r="C34" s="44"/>
      <c r="D34" s="43"/>
      <c r="E34" s="171" t="e">
        <f ca="1">Calcu!AK25</f>
        <v>#N/A</v>
      </c>
      <c r="F34" s="171" t="e">
        <f ca="1">Calcu!AL25</f>
        <v>#N/A</v>
      </c>
      <c r="G34" s="171" t="str">
        <f ca="1">Calcu!AM25</f>
        <v>-</v>
      </c>
    </row>
    <row r="35" spans="1:10" ht="15" customHeight="1">
      <c r="A35" s="44" t="str">
        <f>IF(Calcu!AJ26=TRUE,"","삭제")</f>
        <v>삭제</v>
      </c>
      <c r="B35" s="44"/>
      <c r="C35" s="44"/>
      <c r="D35" s="43"/>
      <c r="E35" s="171" t="e">
        <f ca="1">Calcu!AK26</f>
        <v>#N/A</v>
      </c>
      <c r="F35" s="171" t="e">
        <f ca="1">Calcu!AL26</f>
        <v>#N/A</v>
      </c>
      <c r="G35" s="171" t="str">
        <f ca="1">Calcu!AM26</f>
        <v>-</v>
      </c>
    </row>
    <row r="36" spans="1:10" ht="15" customHeight="1">
      <c r="A36" s="44" t="str">
        <f>IF(Calcu!AJ27=TRUE,"","삭제")</f>
        <v>삭제</v>
      </c>
      <c r="B36" s="44"/>
      <c r="C36" s="44"/>
      <c r="D36" s="43"/>
      <c r="E36" s="171" t="e">
        <f ca="1">Calcu!AK27</f>
        <v>#N/A</v>
      </c>
      <c r="F36" s="171" t="e">
        <f ca="1">Calcu!AL27</f>
        <v>#N/A</v>
      </c>
      <c r="G36" s="171" t="str">
        <f ca="1">Calcu!AM27</f>
        <v>-</v>
      </c>
    </row>
    <row r="37" spans="1:10" ht="15" customHeight="1">
      <c r="A37" s="44" t="str">
        <f>IF(Calcu!AJ28=TRUE,"","삭제")</f>
        <v>삭제</v>
      </c>
      <c r="B37" s="44"/>
      <c r="C37" s="44"/>
      <c r="D37" s="43"/>
      <c r="E37" s="171" t="e">
        <f ca="1">Calcu!AK28</f>
        <v>#N/A</v>
      </c>
      <c r="F37" s="171" t="e">
        <f ca="1">Calcu!AL28</f>
        <v>#N/A</v>
      </c>
      <c r="G37" s="171" t="str">
        <f ca="1">Calcu!AM28</f>
        <v>-</v>
      </c>
    </row>
    <row r="38" spans="1:10" ht="15" customHeight="1">
      <c r="A38" s="44" t="str">
        <f>IF(Calcu!AJ29=TRUE,"","삭제")</f>
        <v>삭제</v>
      </c>
      <c r="B38" s="44"/>
      <c r="C38" s="44"/>
      <c r="D38" s="43"/>
      <c r="E38" s="171" t="e">
        <f ca="1">Calcu!AK29</f>
        <v>#N/A</v>
      </c>
      <c r="F38" s="171" t="e">
        <f ca="1">Calcu!AL29</f>
        <v>#N/A</v>
      </c>
      <c r="G38" s="171" t="str">
        <f ca="1">Calcu!AM29</f>
        <v>-</v>
      </c>
    </row>
    <row r="39" spans="1:10" ht="15" customHeight="1">
      <c r="A39" s="44" t="str">
        <f>IF(Calcu!AJ30=TRUE,"","삭제")</f>
        <v>삭제</v>
      </c>
      <c r="B39" s="44"/>
      <c r="C39" s="44"/>
      <c r="D39" s="43"/>
      <c r="E39" s="171" t="e">
        <f ca="1">Calcu!AK30</f>
        <v>#N/A</v>
      </c>
      <c r="F39" s="171" t="e">
        <f ca="1">Calcu!AL30</f>
        <v>#N/A</v>
      </c>
      <c r="G39" s="171" t="str">
        <f ca="1">Calcu!AM30</f>
        <v>-</v>
      </c>
    </row>
    <row r="40" spans="1:10" ht="15" customHeight="1">
      <c r="A40" s="44" t="str">
        <f>IF(Calcu!AJ31=TRUE,"","삭제")</f>
        <v>삭제</v>
      </c>
      <c r="B40" s="44"/>
      <c r="C40" s="44"/>
      <c r="D40" s="43"/>
      <c r="E40" s="171" t="e">
        <f ca="1">Calcu!AK31</f>
        <v>#N/A</v>
      </c>
      <c r="F40" s="171" t="e">
        <f ca="1">Calcu!AL31</f>
        <v>#N/A</v>
      </c>
      <c r="G40" s="171" t="str">
        <f ca="1">Calcu!AM31</f>
        <v>-</v>
      </c>
    </row>
    <row r="41" spans="1:10" ht="15" customHeight="1">
      <c r="A41" s="44"/>
      <c r="B41" s="44"/>
      <c r="C41" s="44"/>
      <c r="E41" s="104"/>
      <c r="F41" s="104"/>
      <c r="G41" s="51"/>
    </row>
    <row r="42" spans="1:10" ht="15" customHeight="1">
      <c r="A42" s="44"/>
      <c r="B42" s="44"/>
      <c r="C42" s="44"/>
      <c r="E42" s="38" t="e">
        <f ca="1">"● Measurement uncertainty : "&amp;Calcu!T66</f>
        <v>#N/A</v>
      </c>
      <c r="G42" s="38"/>
      <c r="J42" s="50"/>
    </row>
    <row r="43" spans="1:10" ht="15" customHeight="1">
      <c r="A43" s="44"/>
      <c r="B43" s="44"/>
      <c r="C43" s="44"/>
      <c r="F43" s="53" t="e">
        <f ca="1">IF(Calcu!E76="사다리꼴","(Confidence level 95 %,","(Confidence level about 95 %,")</f>
        <v>#N/A</v>
      </c>
      <c r="G43" s="265" t="e">
        <f ca="1">Calcu!E77&amp;")"</f>
        <v>#N/A</v>
      </c>
      <c r="H43" s="53"/>
      <c r="I43" s="50"/>
      <c r="J43" s="50"/>
    </row>
    <row r="44" spans="1:10" ht="15" customHeight="1">
      <c r="A44" s="44" t="e">
        <f ca="1">IF(Calcu!E76="사다리꼴","","삭제")</f>
        <v>#N/A</v>
      </c>
      <c r="B44" s="44"/>
      <c r="C44" s="44"/>
      <c r="E44" s="50" t="e">
        <f ca="1">IF(Calcu!E76="사다리꼴","※ Trapezoid probability distribution.","")</f>
        <v>#N/A</v>
      </c>
      <c r="F44" s="53"/>
      <c r="H44" s="53"/>
      <c r="I44" s="50"/>
      <c r="J44" s="50"/>
    </row>
    <row r="45" spans="1:10" ht="15" customHeight="1">
      <c r="E45" s="75"/>
      <c r="F45" s="75"/>
      <c r="G45" s="75"/>
      <c r="H45" s="76"/>
    </row>
  </sheetData>
  <mergeCells count="3">
    <mergeCell ref="A1:K2"/>
    <mergeCell ref="E15:E17"/>
    <mergeCell ref="F15:G15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Q60"/>
  <sheetViews>
    <sheetView showGridLines="0" showWhiteSpace="0" zoomScaleNormal="100" zoomScaleSheetLayoutView="100" workbookViewId="0">
      <selection sqref="A1:Q2"/>
    </sheetView>
  </sheetViews>
  <sheetFormatPr defaultColWidth="8.77734375" defaultRowHeight="15" customHeight="1"/>
  <cols>
    <col min="1" max="1" width="3.77734375" style="37" customWidth="1"/>
    <col min="2" max="5" width="1.77734375" style="37" hidden="1" customWidth="1"/>
    <col min="6" max="6" width="9.21875" style="37" customWidth="1"/>
    <col min="7" max="7" width="4.44140625" style="37" bestFit="1" customWidth="1"/>
    <col min="8" max="8" width="8.77734375" style="37"/>
    <col min="9" max="9" width="1.77734375" style="37" customWidth="1"/>
    <col min="10" max="10" width="7.5546875" style="37" bestFit="1" customWidth="1"/>
    <col min="11" max="11" width="9.109375" style="37" bestFit="1" customWidth="1"/>
    <col min="12" max="12" width="5.21875" style="37" bestFit="1" customWidth="1"/>
    <col min="13" max="13" width="7.5546875" style="37" bestFit="1" customWidth="1"/>
    <col min="14" max="14" width="9.109375" style="37" bestFit="1" customWidth="1"/>
    <col min="15" max="15" width="5.21875" style="37" bestFit="1" customWidth="1"/>
    <col min="16" max="16" width="1.77734375" style="37" customWidth="1"/>
    <col min="17" max="17" width="10.33203125" style="37" customWidth="1"/>
    <col min="18" max="16384" width="8.77734375" style="37"/>
  </cols>
  <sheetData>
    <row r="1" spans="1:17" s="47" customFormat="1" ht="33" customHeight="1">
      <c r="A1" s="364" t="s">
        <v>528</v>
      </c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4"/>
      <c r="P1" s="364"/>
      <c r="Q1" s="364"/>
    </row>
    <row r="2" spans="1:17" s="47" customFormat="1" ht="33" customHeight="1">
      <c r="A2" s="364"/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364"/>
      <c r="P2" s="364"/>
      <c r="Q2" s="364"/>
    </row>
    <row r="3" spans="1:17" s="47" customFormat="1" ht="12.75" customHeight="1">
      <c r="A3" s="48" t="s">
        <v>529</v>
      </c>
      <c r="B3" s="48"/>
      <c r="C3" s="48"/>
      <c r="D3" s="48"/>
      <c r="E3" s="48"/>
      <c r="F3" s="22"/>
      <c r="G3" s="22"/>
      <c r="H3" s="22"/>
      <c r="I3" s="22"/>
      <c r="J3" s="22"/>
      <c r="K3" s="22"/>
      <c r="L3" s="22"/>
      <c r="M3" s="22"/>
    </row>
    <row r="4" spans="1:17" s="49" customFormat="1" ht="13.5" customHeight="1">
      <c r="A4" s="293" t="str">
        <f>" 교   정   번   호(Calibration No) : "&amp;기본정보!H3</f>
        <v xml:space="preserve"> 교   정   번   호(Calibration No) : </v>
      </c>
      <c r="B4" s="293"/>
      <c r="C4" s="293"/>
      <c r="D4" s="293"/>
      <c r="E4" s="293"/>
      <c r="F4" s="294"/>
      <c r="G4" s="294"/>
      <c r="H4" s="294"/>
      <c r="I4" s="294"/>
      <c r="J4" s="294"/>
      <c r="K4" s="295"/>
      <c r="L4" s="296"/>
      <c r="M4" s="297"/>
      <c r="N4" s="297"/>
      <c r="O4" s="297"/>
      <c r="P4" s="297"/>
      <c r="Q4" s="297"/>
    </row>
    <row r="5" spans="1:17" s="36" customFormat="1" ht="15" customHeight="1"/>
    <row r="6" spans="1:17" ht="15" customHeight="1">
      <c r="F6" s="54" t="str">
        <f>"○ 품명 : "&amp;기본정보!C$5</f>
        <v xml:space="preserve">○ 품명 : </v>
      </c>
      <c r="G6" s="54"/>
    </row>
    <row r="7" spans="1:17" ht="15" customHeight="1">
      <c r="F7" s="54" t="str">
        <f>"○ 제작회사 : "&amp;기본정보!C$6</f>
        <v xml:space="preserve">○ 제작회사 : </v>
      </c>
      <c r="G7" s="54"/>
    </row>
    <row r="8" spans="1:17" ht="15" customHeight="1">
      <c r="F8" s="54" t="str">
        <f>"○ 형식 : "&amp;기본정보!C$7</f>
        <v xml:space="preserve">○ 형식 : </v>
      </c>
      <c r="G8" s="54"/>
    </row>
    <row r="9" spans="1:17" ht="15" customHeight="1">
      <c r="F9" s="54" t="str">
        <f>"○ 기기번호 : "&amp;기본정보!C$8</f>
        <v xml:space="preserve">○ 기기번호 : </v>
      </c>
      <c r="G9" s="54"/>
    </row>
    <row r="11" spans="1:17" ht="15" customHeight="1">
      <c r="F11" s="38" t="s">
        <v>105</v>
      </c>
      <c r="G11" s="38"/>
    </row>
    <row r="12" spans="1:17" ht="15" customHeight="1">
      <c r="F12" s="54" t="str">
        <f>"○ 교정범위 : ("&amp;Calcu!J3&amp;" ~ "&amp;Calcu!K3&amp;") mm"</f>
        <v>○ 교정범위 : (0 ~ 0) mm</v>
      </c>
      <c r="G12" s="54"/>
    </row>
    <row r="13" spans="1:17" ht="15" customHeight="1">
      <c r="A13" s="44"/>
      <c r="C13" s="44"/>
      <c r="F13" s="54" t="str">
        <f ca="1">"○ 최소눈금 : "&amp;Calcu!M3&amp;" mm"</f>
        <v>○ 최소눈금 : 0 mm</v>
      </c>
      <c r="G13" s="54"/>
    </row>
    <row r="14" spans="1:17" ht="15" customHeight="1">
      <c r="A14" s="44"/>
      <c r="B14" s="44"/>
      <c r="C14" s="44"/>
      <c r="D14" s="44"/>
      <c r="E14" s="44"/>
    </row>
    <row r="15" spans="1:17" s="298" customFormat="1" ht="15" customHeight="1">
      <c r="B15" s="376"/>
      <c r="C15" s="378"/>
      <c r="D15" s="378"/>
      <c r="E15" s="380"/>
      <c r="F15" s="382" t="s">
        <v>530</v>
      </c>
      <c r="G15" s="384" t="s">
        <v>531</v>
      </c>
      <c r="H15" s="386" t="s">
        <v>532</v>
      </c>
      <c r="I15" s="388"/>
      <c r="J15" s="389" t="s">
        <v>533</v>
      </c>
      <c r="K15" s="389"/>
      <c r="L15" s="389"/>
      <c r="M15" s="371" t="s">
        <v>534</v>
      </c>
      <c r="N15" s="371"/>
      <c r="O15" s="371"/>
      <c r="P15" s="372"/>
      <c r="Q15" s="374" t="s">
        <v>535</v>
      </c>
    </row>
    <row r="16" spans="1:17" s="299" customFormat="1" ht="22.5">
      <c r="B16" s="377"/>
      <c r="C16" s="379"/>
      <c r="D16" s="379"/>
      <c r="E16" s="381"/>
      <c r="F16" s="383"/>
      <c r="G16" s="385"/>
      <c r="H16" s="387"/>
      <c r="I16" s="379"/>
      <c r="J16" s="300" t="s">
        <v>539</v>
      </c>
      <c r="K16" s="301" t="s">
        <v>540</v>
      </c>
      <c r="L16" s="301" t="s">
        <v>541</v>
      </c>
      <c r="M16" s="300" t="s">
        <v>539</v>
      </c>
      <c r="N16" s="301" t="s">
        <v>540</v>
      </c>
      <c r="O16" s="301" t="s">
        <v>542</v>
      </c>
      <c r="P16" s="373"/>
      <c r="Q16" s="375"/>
    </row>
    <row r="17" spans="1:17" ht="15" customHeight="1">
      <c r="A17" s="44" t="str">
        <f>IF(Calcu!B9=TRUE,"","삭제")</f>
        <v>삭제</v>
      </c>
      <c r="B17" s="43"/>
      <c r="C17" s="43"/>
      <c r="D17" s="43"/>
      <c r="F17" s="51" t="e">
        <f ca="1">Calcu!AA9</f>
        <v>#N/A</v>
      </c>
      <c r="G17" s="51" t="s">
        <v>536</v>
      </c>
      <c r="H17" s="51" t="e">
        <f ca="1">Calcu!AD9</f>
        <v>#N/A</v>
      </c>
      <c r="J17" s="37" t="e">
        <f ca="1">Calcu!AB9</f>
        <v>#N/A</v>
      </c>
      <c r="K17" s="37" t="e">
        <f ca="1">Calcu!AC9</f>
        <v>#N/A</v>
      </c>
      <c r="L17" s="37" t="str">
        <f>LEFT(Calcu!AE9)</f>
        <v/>
      </c>
      <c r="M17" s="37" t="s">
        <v>537</v>
      </c>
      <c r="N17" s="37" t="s">
        <v>538</v>
      </c>
      <c r="O17" s="37" t="s">
        <v>538</v>
      </c>
      <c r="Q17" s="37" t="e">
        <f ca="1">Calcu!AF9</f>
        <v>#N/A</v>
      </c>
    </row>
    <row r="18" spans="1:17" ht="15" customHeight="1">
      <c r="A18" s="44" t="str">
        <f>IF(Calcu!B10=TRUE,"","삭제")</f>
        <v>삭제</v>
      </c>
      <c r="B18" s="43"/>
      <c r="C18" s="43"/>
      <c r="D18" s="43"/>
      <c r="F18" s="51" t="e">
        <f ca="1">Calcu!AA10</f>
        <v>#N/A</v>
      </c>
      <c r="G18" s="51" t="s">
        <v>536</v>
      </c>
      <c r="H18" s="51" t="e">
        <f ca="1">Calcu!AD10</f>
        <v>#N/A</v>
      </c>
      <c r="J18" s="37" t="e">
        <f ca="1">Calcu!AB10</f>
        <v>#N/A</v>
      </c>
      <c r="K18" s="37" t="e">
        <f ca="1">Calcu!AC10</f>
        <v>#N/A</v>
      </c>
      <c r="L18" s="37" t="str">
        <f>LEFT(Calcu!AE10)</f>
        <v/>
      </c>
      <c r="M18" s="37" t="s">
        <v>537</v>
      </c>
      <c r="N18" s="37" t="s">
        <v>538</v>
      </c>
      <c r="O18" s="37" t="s">
        <v>538</v>
      </c>
      <c r="Q18" s="37" t="e">
        <f ca="1">Calcu!AF10</f>
        <v>#N/A</v>
      </c>
    </row>
    <row r="19" spans="1:17" ht="15" customHeight="1">
      <c r="A19" s="44" t="str">
        <f>IF(Calcu!B11=TRUE,"","삭제")</f>
        <v>삭제</v>
      </c>
      <c r="B19" s="43"/>
      <c r="C19" s="43"/>
      <c r="D19" s="43"/>
      <c r="F19" s="51" t="e">
        <f ca="1">Calcu!AA11</f>
        <v>#N/A</v>
      </c>
      <c r="G19" s="51" t="s">
        <v>536</v>
      </c>
      <c r="H19" s="51" t="e">
        <f ca="1">Calcu!AD11</f>
        <v>#N/A</v>
      </c>
      <c r="J19" s="37" t="e">
        <f ca="1">Calcu!AB11</f>
        <v>#N/A</v>
      </c>
      <c r="K19" s="37" t="e">
        <f ca="1">Calcu!AC11</f>
        <v>#N/A</v>
      </c>
      <c r="L19" s="37" t="str">
        <f>LEFT(Calcu!AE11)</f>
        <v/>
      </c>
      <c r="M19" s="37" t="s">
        <v>537</v>
      </c>
      <c r="N19" s="37" t="s">
        <v>538</v>
      </c>
      <c r="O19" s="37" t="s">
        <v>538</v>
      </c>
      <c r="Q19" s="37" t="e">
        <f ca="1">Calcu!AF11</f>
        <v>#N/A</v>
      </c>
    </row>
    <row r="20" spans="1:17" ht="15" customHeight="1">
      <c r="A20" s="44" t="str">
        <f>IF(Calcu!B12=TRUE,"","삭제")</f>
        <v>삭제</v>
      </c>
      <c r="B20" s="43"/>
      <c r="C20" s="43"/>
      <c r="D20" s="43"/>
      <c r="F20" s="51" t="e">
        <f ca="1">Calcu!AA12</f>
        <v>#N/A</v>
      </c>
      <c r="G20" s="51" t="s">
        <v>536</v>
      </c>
      <c r="H20" s="51" t="e">
        <f ca="1">Calcu!AD12</f>
        <v>#N/A</v>
      </c>
      <c r="J20" s="37" t="e">
        <f ca="1">Calcu!AB12</f>
        <v>#N/A</v>
      </c>
      <c r="K20" s="37" t="e">
        <f ca="1">Calcu!AC12</f>
        <v>#N/A</v>
      </c>
      <c r="L20" s="37" t="str">
        <f>LEFT(Calcu!AE12)</f>
        <v/>
      </c>
      <c r="M20" s="37" t="s">
        <v>537</v>
      </c>
      <c r="N20" s="37" t="s">
        <v>538</v>
      </c>
      <c r="O20" s="37" t="s">
        <v>538</v>
      </c>
      <c r="Q20" s="37" t="e">
        <f ca="1">Calcu!AF12</f>
        <v>#N/A</v>
      </c>
    </row>
    <row r="21" spans="1:17" ht="15" customHeight="1">
      <c r="A21" s="44" t="str">
        <f>IF(Calcu!B13=TRUE,"","삭제")</f>
        <v>삭제</v>
      </c>
      <c r="B21" s="43"/>
      <c r="C21" s="43"/>
      <c r="D21" s="43"/>
      <c r="F21" s="51" t="e">
        <f ca="1">Calcu!AA13</f>
        <v>#N/A</v>
      </c>
      <c r="G21" s="51" t="s">
        <v>536</v>
      </c>
      <c r="H21" s="51" t="e">
        <f ca="1">Calcu!AD13</f>
        <v>#N/A</v>
      </c>
      <c r="J21" s="37" t="e">
        <f ca="1">Calcu!AB13</f>
        <v>#N/A</v>
      </c>
      <c r="K21" s="37" t="e">
        <f ca="1">Calcu!AC13</f>
        <v>#N/A</v>
      </c>
      <c r="L21" s="37" t="str">
        <f>LEFT(Calcu!AE13)</f>
        <v/>
      </c>
      <c r="M21" s="37" t="s">
        <v>537</v>
      </c>
      <c r="N21" s="37" t="s">
        <v>538</v>
      </c>
      <c r="O21" s="37" t="s">
        <v>538</v>
      </c>
      <c r="Q21" s="37" t="e">
        <f ca="1">Calcu!AF13</f>
        <v>#N/A</v>
      </c>
    </row>
    <row r="22" spans="1:17" ht="15" customHeight="1">
      <c r="A22" s="44" t="str">
        <f>IF(Calcu!B14=TRUE,"","삭제")</f>
        <v>삭제</v>
      </c>
      <c r="B22" s="43"/>
      <c r="C22" s="43"/>
      <c r="D22" s="43"/>
      <c r="F22" s="51" t="e">
        <f ca="1">Calcu!AA14</f>
        <v>#N/A</v>
      </c>
      <c r="G22" s="51" t="s">
        <v>536</v>
      </c>
      <c r="H22" s="51" t="e">
        <f ca="1">Calcu!AD14</f>
        <v>#N/A</v>
      </c>
      <c r="J22" s="37" t="e">
        <f ca="1">Calcu!AB14</f>
        <v>#N/A</v>
      </c>
      <c r="K22" s="37" t="e">
        <f ca="1">Calcu!AC14</f>
        <v>#N/A</v>
      </c>
      <c r="L22" s="37" t="str">
        <f>LEFT(Calcu!AE14)</f>
        <v/>
      </c>
      <c r="M22" s="37" t="s">
        <v>537</v>
      </c>
      <c r="N22" s="37" t="s">
        <v>538</v>
      </c>
      <c r="O22" s="37" t="s">
        <v>538</v>
      </c>
      <c r="Q22" s="37" t="e">
        <f ca="1">Calcu!AF14</f>
        <v>#N/A</v>
      </c>
    </row>
    <row r="23" spans="1:17" ht="15" customHeight="1">
      <c r="A23" s="44" t="str">
        <f>IF(Calcu!B15=TRUE,"","삭제")</f>
        <v>삭제</v>
      </c>
      <c r="B23" s="43"/>
      <c r="C23" s="43"/>
      <c r="D23" s="43"/>
      <c r="F23" s="51" t="e">
        <f ca="1">Calcu!AA15</f>
        <v>#N/A</v>
      </c>
      <c r="G23" s="51" t="s">
        <v>536</v>
      </c>
      <c r="H23" s="51" t="e">
        <f ca="1">Calcu!AD15</f>
        <v>#N/A</v>
      </c>
      <c r="J23" s="37" t="e">
        <f ca="1">Calcu!AB15</f>
        <v>#N/A</v>
      </c>
      <c r="K23" s="37" t="e">
        <f ca="1">Calcu!AC15</f>
        <v>#N/A</v>
      </c>
      <c r="L23" s="37" t="str">
        <f>LEFT(Calcu!AE15)</f>
        <v/>
      </c>
      <c r="M23" s="37" t="s">
        <v>537</v>
      </c>
      <c r="N23" s="37" t="s">
        <v>538</v>
      </c>
      <c r="O23" s="37" t="s">
        <v>538</v>
      </c>
      <c r="Q23" s="37" t="e">
        <f ca="1">Calcu!AF15</f>
        <v>#N/A</v>
      </c>
    </row>
    <row r="24" spans="1:17" ht="15" customHeight="1">
      <c r="A24" s="44" t="str">
        <f>IF(Calcu!B16=TRUE,"","삭제")</f>
        <v>삭제</v>
      </c>
      <c r="B24" s="43"/>
      <c r="C24" s="43"/>
      <c r="D24" s="43"/>
      <c r="F24" s="51" t="e">
        <f ca="1">Calcu!AA16</f>
        <v>#N/A</v>
      </c>
      <c r="G24" s="51" t="s">
        <v>536</v>
      </c>
      <c r="H24" s="51" t="e">
        <f ca="1">Calcu!AD16</f>
        <v>#N/A</v>
      </c>
      <c r="J24" s="37" t="e">
        <f ca="1">Calcu!AB16</f>
        <v>#N/A</v>
      </c>
      <c r="K24" s="37" t="e">
        <f ca="1">Calcu!AC16</f>
        <v>#N/A</v>
      </c>
      <c r="L24" s="37" t="str">
        <f>LEFT(Calcu!AE16)</f>
        <v/>
      </c>
      <c r="M24" s="37" t="s">
        <v>537</v>
      </c>
      <c r="N24" s="37" t="s">
        <v>538</v>
      </c>
      <c r="O24" s="37" t="s">
        <v>538</v>
      </c>
      <c r="Q24" s="37" t="e">
        <f ca="1">Calcu!AF16</f>
        <v>#N/A</v>
      </c>
    </row>
    <row r="25" spans="1:17" ht="15" customHeight="1">
      <c r="A25" s="44" t="str">
        <f>IF(Calcu!B17=TRUE,"","삭제")</f>
        <v>삭제</v>
      </c>
      <c r="B25" s="43"/>
      <c r="C25" s="43"/>
      <c r="D25" s="43"/>
      <c r="F25" s="51" t="e">
        <f ca="1">Calcu!AA17</f>
        <v>#N/A</v>
      </c>
      <c r="G25" s="51" t="s">
        <v>536</v>
      </c>
      <c r="H25" s="51" t="e">
        <f ca="1">Calcu!AD17</f>
        <v>#N/A</v>
      </c>
      <c r="J25" s="37" t="e">
        <f ca="1">Calcu!AB17</f>
        <v>#N/A</v>
      </c>
      <c r="K25" s="37" t="e">
        <f ca="1">Calcu!AC17</f>
        <v>#N/A</v>
      </c>
      <c r="L25" s="37" t="str">
        <f>LEFT(Calcu!AE17)</f>
        <v/>
      </c>
      <c r="M25" s="37" t="s">
        <v>537</v>
      </c>
      <c r="N25" s="37" t="s">
        <v>538</v>
      </c>
      <c r="O25" s="37" t="s">
        <v>538</v>
      </c>
      <c r="Q25" s="37" t="e">
        <f ca="1">Calcu!AF17</f>
        <v>#N/A</v>
      </c>
    </row>
    <row r="26" spans="1:17" ht="15" customHeight="1">
      <c r="A26" s="44" t="str">
        <f>IF(Calcu!B18=TRUE,"","삭제")</f>
        <v>삭제</v>
      </c>
      <c r="B26" s="43"/>
      <c r="C26" s="43"/>
      <c r="D26" s="43"/>
      <c r="F26" s="51" t="e">
        <f ca="1">Calcu!AA18</f>
        <v>#N/A</v>
      </c>
      <c r="G26" s="51" t="s">
        <v>536</v>
      </c>
      <c r="H26" s="51" t="e">
        <f ca="1">Calcu!AD18</f>
        <v>#N/A</v>
      </c>
      <c r="J26" s="37" t="e">
        <f ca="1">Calcu!AB18</f>
        <v>#N/A</v>
      </c>
      <c r="K26" s="37" t="e">
        <f ca="1">Calcu!AC18</f>
        <v>#N/A</v>
      </c>
      <c r="L26" s="37" t="str">
        <f>LEFT(Calcu!AE18)</f>
        <v/>
      </c>
      <c r="M26" s="37" t="s">
        <v>537</v>
      </c>
      <c r="N26" s="37" t="s">
        <v>538</v>
      </c>
      <c r="O26" s="37" t="s">
        <v>538</v>
      </c>
      <c r="Q26" s="37" t="e">
        <f ca="1">Calcu!AF18</f>
        <v>#N/A</v>
      </c>
    </row>
    <row r="27" spans="1:17" ht="15" customHeight="1">
      <c r="A27" s="44" t="str">
        <f>IF(Calcu!B19=TRUE,"","삭제")</f>
        <v>삭제</v>
      </c>
      <c r="B27" s="43"/>
      <c r="C27" s="43"/>
      <c r="D27" s="43"/>
      <c r="F27" s="51" t="e">
        <f ca="1">Calcu!AA19</f>
        <v>#N/A</v>
      </c>
      <c r="G27" s="51" t="s">
        <v>536</v>
      </c>
      <c r="H27" s="51" t="e">
        <f ca="1">Calcu!AD19</f>
        <v>#N/A</v>
      </c>
      <c r="J27" s="37" t="e">
        <f ca="1">Calcu!AB19</f>
        <v>#N/A</v>
      </c>
      <c r="K27" s="37" t="e">
        <f ca="1">Calcu!AC19</f>
        <v>#N/A</v>
      </c>
      <c r="L27" s="37" t="str">
        <f>LEFT(Calcu!AE19)</f>
        <v/>
      </c>
      <c r="M27" s="37" t="s">
        <v>537</v>
      </c>
      <c r="N27" s="37" t="s">
        <v>538</v>
      </c>
      <c r="O27" s="37" t="s">
        <v>538</v>
      </c>
      <c r="Q27" s="37" t="e">
        <f ca="1">Calcu!AF19</f>
        <v>#N/A</v>
      </c>
    </row>
    <row r="28" spans="1:17" ht="15" customHeight="1">
      <c r="A28" s="44" t="str">
        <f>IF(Calcu!B20=TRUE,"","삭제")</f>
        <v>삭제</v>
      </c>
      <c r="B28" s="43"/>
      <c r="C28" s="43"/>
      <c r="D28" s="43"/>
      <c r="F28" s="51" t="e">
        <f ca="1">Calcu!AA20</f>
        <v>#N/A</v>
      </c>
      <c r="G28" s="51" t="s">
        <v>536</v>
      </c>
      <c r="H28" s="51" t="e">
        <f ca="1">Calcu!AD20</f>
        <v>#N/A</v>
      </c>
      <c r="J28" s="37" t="e">
        <f ca="1">Calcu!AB20</f>
        <v>#N/A</v>
      </c>
      <c r="K28" s="37" t="e">
        <f ca="1">Calcu!AC20</f>
        <v>#N/A</v>
      </c>
      <c r="L28" s="37" t="str">
        <f>LEFT(Calcu!AE20)</f>
        <v/>
      </c>
      <c r="M28" s="37" t="s">
        <v>537</v>
      </c>
      <c r="N28" s="37" t="s">
        <v>538</v>
      </c>
      <c r="O28" s="37" t="s">
        <v>538</v>
      </c>
      <c r="Q28" s="37" t="e">
        <f ca="1">Calcu!AF20</f>
        <v>#N/A</v>
      </c>
    </row>
    <row r="29" spans="1:17" ht="15" customHeight="1">
      <c r="A29" s="44" t="str">
        <f>IF(Calcu!B21=TRUE,"","삭제")</f>
        <v>삭제</v>
      </c>
      <c r="B29" s="43"/>
      <c r="C29" s="43"/>
      <c r="D29" s="43"/>
      <c r="F29" s="51" t="e">
        <f ca="1">Calcu!AA21</f>
        <v>#N/A</v>
      </c>
      <c r="G29" s="51" t="s">
        <v>536</v>
      </c>
      <c r="H29" s="51" t="e">
        <f ca="1">Calcu!AD21</f>
        <v>#N/A</v>
      </c>
      <c r="J29" s="37" t="e">
        <f ca="1">Calcu!AB21</f>
        <v>#N/A</v>
      </c>
      <c r="K29" s="37" t="e">
        <f ca="1">Calcu!AC21</f>
        <v>#N/A</v>
      </c>
      <c r="L29" s="37" t="str">
        <f>LEFT(Calcu!AE21)</f>
        <v/>
      </c>
      <c r="M29" s="37" t="s">
        <v>537</v>
      </c>
      <c r="N29" s="37" t="s">
        <v>538</v>
      </c>
      <c r="O29" s="37" t="s">
        <v>538</v>
      </c>
      <c r="Q29" s="37" t="e">
        <f ca="1">Calcu!AF21</f>
        <v>#N/A</v>
      </c>
    </row>
    <row r="30" spans="1:17" ht="15" customHeight="1">
      <c r="A30" s="44" t="str">
        <f>IF(Calcu!B22=TRUE,"","삭제")</f>
        <v>삭제</v>
      </c>
      <c r="B30" s="43"/>
      <c r="C30" s="43"/>
      <c r="D30" s="43"/>
      <c r="F30" s="51" t="e">
        <f ca="1">Calcu!AA22</f>
        <v>#N/A</v>
      </c>
      <c r="G30" s="51" t="s">
        <v>536</v>
      </c>
      <c r="H30" s="51" t="e">
        <f ca="1">Calcu!AD22</f>
        <v>#N/A</v>
      </c>
      <c r="J30" s="37" t="e">
        <f ca="1">Calcu!AB22</f>
        <v>#N/A</v>
      </c>
      <c r="K30" s="37" t="e">
        <f ca="1">Calcu!AC22</f>
        <v>#N/A</v>
      </c>
      <c r="L30" s="37" t="str">
        <f>LEFT(Calcu!AE22)</f>
        <v/>
      </c>
      <c r="M30" s="37" t="s">
        <v>537</v>
      </c>
      <c r="N30" s="37" t="s">
        <v>538</v>
      </c>
      <c r="O30" s="37" t="s">
        <v>538</v>
      </c>
      <c r="Q30" s="37" t="e">
        <f ca="1">Calcu!AF22</f>
        <v>#N/A</v>
      </c>
    </row>
    <row r="31" spans="1:17" ht="15" customHeight="1">
      <c r="A31" s="44" t="str">
        <f>IF(Calcu!B23=TRUE,"","삭제")</f>
        <v>삭제</v>
      </c>
      <c r="B31" s="43"/>
      <c r="C31" s="43"/>
      <c r="D31" s="43"/>
      <c r="F31" s="51" t="e">
        <f ca="1">Calcu!AA23</f>
        <v>#N/A</v>
      </c>
      <c r="G31" s="51" t="s">
        <v>536</v>
      </c>
      <c r="H31" s="51" t="e">
        <f ca="1">Calcu!AD23</f>
        <v>#N/A</v>
      </c>
      <c r="J31" s="37" t="e">
        <f ca="1">Calcu!AB23</f>
        <v>#N/A</v>
      </c>
      <c r="K31" s="37" t="e">
        <f ca="1">Calcu!AC23</f>
        <v>#N/A</v>
      </c>
      <c r="L31" s="37" t="str">
        <f>LEFT(Calcu!AE23)</f>
        <v/>
      </c>
      <c r="M31" s="37" t="s">
        <v>537</v>
      </c>
      <c r="N31" s="37" t="s">
        <v>538</v>
      </c>
      <c r="O31" s="37" t="s">
        <v>538</v>
      </c>
      <c r="Q31" s="37" t="e">
        <f ca="1">Calcu!AF23</f>
        <v>#N/A</v>
      </c>
    </row>
    <row r="32" spans="1:17" ht="15" customHeight="1">
      <c r="A32" s="44" t="str">
        <f>IF(Calcu!B24=TRUE,"","삭제")</f>
        <v>삭제</v>
      </c>
      <c r="B32" s="43"/>
      <c r="C32" s="43"/>
      <c r="D32" s="43"/>
      <c r="F32" s="51" t="e">
        <f ca="1">Calcu!AA24</f>
        <v>#N/A</v>
      </c>
      <c r="G32" s="51" t="s">
        <v>536</v>
      </c>
      <c r="H32" s="51" t="e">
        <f ca="1">Calcu!AD24</f>
        <v>#N/A</v>
      </c>
      <c r="J32" s="37" t="e">
        <f ca="1">Calcu!AB24</f>
        <v>#N/A</v>
      </c>
      <c r="K32" s="37" t="e">
        <f ca="1">Calcu!AC24</f>
        <v>#N/A</v>
      </c>
      <c r="L32" s="37" t="str">
        <f>LEFT(Calcu!AE24)</f>
        <v/>
      </c>
      <c r="M32" s="37" t="s">
        <v>537</v>
      </c>
      <c r="N32" s="37" t="s">
        <v>538</v>
      </c>
      <c r="O32" s="37" t="s">
        <v>538</v>
      </c>
      <c r="Q32" s="37" t="e">
        <f ca="1">Calcu!AF24</f>
        <v>#N/A</v>
      </c>
    </row>
    <row r="33" spans="1:17" ht="15" customHeight="1">
      <c r="A33" s="44" t="str">
        <f>IF(Calcu!B25=TRUE,"","삭제")</f>
        <v>삭제</v>
      </c>
      <c r="B33" s="43"/>
      <c r="C33" s="43"/>
      <c r="D33" s="43"/>
      <c r="F33" s="51" t="e">
        <f ca="1">Calcu!AA25</f>
        <v>#N/A</v>
      </c>
      <c r="G33" s="51" t="s">
        <v>536</v>
      </c>
      <c r="H33" s="51" t="e">
        <f ca="1">Calcu!AD25</f>
        <v>#N/A</v>
      </c>
      <c r="J33" s="37" t="e">
        <f ca="1">Calcu!AB25</f>
        <v>#N/A</v>
      </c>
      <c r="K33" s="37" t="e">
        <f ca="1">Calcu!AC25</f>
        <v>#N/A</v>
      </c>
      <c r="L33" s="37" t="str">
        <f>LEFT(Calcu!AE25)</f>
        <v/>
      </c>
      <c r="M33" s="37" t="s">
        <v>537</v>
      </c>
      <c r="N33" s="37" t="s">
        <v>538</v>
      </c>
      <c r="O33" s="37" t="s">
        <v>538</v>
      </c>
      <c r="Q33" s="37" t="e">
        <f ca="1">Calcu!AF25</f>
        <v>#N/A</v>
      </c>
    </row>
    <row r="34" spans="1:17" ht="15" customHeight="1">
      <c r="A34" s="44" t="str">
        <f>IF(Calcu!B26=TRUE,"","삭제")</f>
        <v>삭제</v>
      </c>
      <c r="B34" s="43"/>
      <c r="C34" s="43"/>
      <c r="D34" s="43"/>
      <c r="F34" s="51" t="e">
        <f ca="1">Calcu!AA26</f>
        <v>#N/A</v>
      </c>
      <c r="G34" s="51" t="s">
        <v>536</v>
      </c>
      <c r="H34" s="51" t="e">
        <f ca="1">Calcu!AD26</f>
        <v>#N/A</v>
      </c>
      <c r="J34" s="37" t="e">
        <f ca="1">Calcu!AB26</f>
        <v>#N/A</v>
      </c>
      <c r="K34" s="37" t="e">
        <f ca="1">Calcu!AC26</f>
        <v>#N/A</v>
      </c>
      <c r="L34" s="37" t="str">
        <f>LEFT(Calcu!AE26)</f>
        <v/>
      </c>
      <c r="M34" s="37" t="s">
        <v>537</v>
      </c>
      <c r="N34" s="37" t="s">
        <v>538</v>
      </c>
      <c r="O34" s="37" t="s">
        <v>538</v>
      </c>
      <c r="Q34" s="37" t="e">
        <f ca="1">Calcu!AF26</f>
        <v>#N/A</v>
      </c>
    </row>
    <row r="35" spans="1:17" ht="15" customHeight="1">
      <c r="A35" s="44" t="str">
        <f>IF(Calcu!B27=TRUE,"","삭제")</f>
        <v>삭제</v>
      </c>
      <c r="B35" s="43"/>
      <c r="C35" s="43"/>
      <c r="D35" s="43"/>
      <c r="F35" s="51" t="e">
        <f ca="1">Calcu!AA27</f>
        <v>#N/A</v>
      </c>
      <c r="G35" s="51" t="s">
        <v>536</v>
      </c>
      <c r="H35" s="51" t="e">
        <f ca="1">Calcu!AD27</f>
        <v>#N/A</v>
      </c>
      <c r="J35" s="37" t="e">
        <f ca="1">Calcu!AB27</f>
        <v>#N/A</v>
      </c>
      <c r="K35" s="37" t="e">
        <f ca="1">Calcu!AC27</f>
        <v>#N/A</v>
      </c>
      <c r="L35" s="37" t="str">
        <f>LEFT(Calcu!AE27)</f>
        <v/>
      </c>
      <c r="M35" s="37" t="s">
        <v>537</v>
      </c>
      <c r="N35" s="37" t="s">
        <v>538</v>
      </c>
      <c r="O35" s="37" t="s">
        <v>538</v>
      </c>
      <c r="Q35" s="37" t="e">
        <f ca="1">Calcu!AF27</f>
        <v>#N/A</v>
      </c>
    </row>
    <row r="36" spans="1:17" ht="15" customHeight="1">
      <c r="A36" s="44" t="str">
        <f>IF(Calcu!B28=TRUE,"","삭제")</f>
        <v>삭제</v>
      </c>
      <c r="B36" s="43"/>
      <c r="C36" s="43"/>
      <c r="D36" s="43"/>
      <c r="F36" s="51" t="e">
        <f ca="1">Calcu!AA28</f>
        <v>#N/A</v>
      </c>
      <c r="G36" s="51" t="s">
        <v>536</v>
      </c>
      <c r="H36" s="51" t="e">
        <f ca="1">Calcu!AD28</f>
        <v>#N/A</v>
      </c>
      <c r="J36" s="37" t="e">
        <f ca="1">Calcu!AB28</f>
        <v>#N/A</v>
      </c>
      <c r="K36" s="37" t="e">
        <f ca="1">Calcu!AC28</f>
        <v>#N/A</v>
      </c>
      <c r="L36" s="37" t="str">
        <f>LEFT(Calcu!AE28)</f>
        <v/>
      </c>
      <c r="M36" s="37" t="s">
        <v>537</v>
      </c>
      <c r="N36" s="37" t="s">
        <v>538</v>
      </c>
      <c r="O36" s="37" t="s">
        <v>538</v>
      </c>
      <c r="Q36" s="37" t="e">
        <f ca="1">Calcu!AF28</f>
        <v>#N/A</v>
      </c>
    </row>
    <row r="37" spans="1:17" ht="15" customHeight="1">
      <c r="A37" s="44" t="str">
        <f>IF(Calcu!B29=TRUE,"","삭제")</f>
        <v>삭제</v>
      </c>
      <c r="B37" s="43"/>
      <c r="C37" s="43"/>
      <c r="D37" s="43"/>
      <c r="F37" s="51" t="e">
        <f ca="1">Calcu!AA29</f>
        <v>#N/A</v>
      </c>
      <c r="G37" s="51" t="s">
        <v>536</v>
      </c>
      <c r="H37" s="51" t="e">
        <f ca="1">Calcu!AD29</f>
        <v>#N/A</v>
      </c>
      <c r="J37" s="37" t="e">
        <f ca="1">Calcu!AB29</f>
        <v>#N/A</v>
      </c>
      <c r="K37" s="37" t="e">
        <f ca="1">Calcu!AC29</f>
        <v>#N/A</v>
      </c>
      <c r="L37" s="37" t="str">
        <f>LEFT(Calcu!AE29)</f>
        <v/>
      </c>
      <c r="M37" s="37" t="s">
        <v>537</v>
      </c>
      <c r="N37" s="37" t="s">
        <v>538</v>
      </c>
      <c r="O37" s="37" t="s">
        <v>538</v>
      </c>
      <c r="Q37" s="37" t="e">
        <f ca="1">Calcu!AF29</f>
        <v>#N/A</v>
      </c>
    </row>
    <row r="38" spans="1:17" ht="15" customHeight="1">
      <c r="A38" s="44" t="str">
        <f>IF(Calcu!B30=TRUE,"","삭제")</f>
        <v>삭제</v>
      </c>
      <c r="B38" s="43"/>
      <c r="C38" s="43"/>
      <c r="D38" s="43"/>
      <c r="F38" s="51" t="e">
        <f ca="1">Calcu!AA30</f>
        <v>#N/A</v>
      </c>
      <c r="G38" s="51" t="s">
        <v>536</v>
      </c>
      <c r="H38" s="51" t="e">
        <f ca="1">Calcu!AD30</f>
        <v>#N/A</v>
      </c>
      <c r="J38" s="37" t="e">
        <f ca="1">Calcu!AB30</f>
        <v>#N/A</v>
      </c>
      <c r="K38" s="37" t="e">
        <f ca="1">Calcu!AC30</f>
        <v>#N/A</v>
      </c>
      <c r="L38" s="37" t="str">
        <f>LEFT(Calcu!AE30)</f>
        <v/>
      </c>
      <c r="M38" s="37" t="s">
        <v>537</v>
      </c>
      <c r="N38" s="37" t="s">
        <v>538</v>
      </c>
      <c r="O38" s="37" t="s">
        <v>538</v>
      </c>
      <c r="Q38" s="37" t="e">
        <f ca="1">Calcu!AF30</f>
        <v>#N/A</v>
      </c>
    </row>
    <row r="39" spans="1:17" ht="15" customHeight="1">
      <c r="A39" s="44" t="str">
        <f>IF(Calcu!B31=TRUE,"","삭제")</f>
        <v>삭제</v>
      </c>
      <c r="B39" s="43"/>
      <c r="C39" s="43"/>
      <c r="D39" s="43"/>
      <c r="F39" s="51" t="e">
        <f ca="1">Calcu!AA31</f>
        <v>#N/A</v>
      </c>
      <c r="G39" s="51" t="s">
        <v>536</v>
      </c>
      <c r="H39" s="51" t="e">
        <f ca="1">Calcu!AD31</f>
        <v>#N/A</v>
      </c>
      <c r="J39" s="37" t="e">
        <f ca="1">Calcu!AB31</f>
        <v>#N/A</v>
      </c>
      <c r="K39" s="37" t="e">
        <f ca="1">Calcu!AC31</f>
        <v>#N/A</v>
      </c>
      <c r="L39" s="37" t="str">
        <f>LEFT(Calcu!AE31)</f>
        <v/>
      </c>
      <c r="M39" s="37" t="s">
        <v>537</v>
      </c>
      <c r="N39" s="37" t="s">
        <v>538</v>
      </c>
      <c r="O39" s="37" t="s">
        <v>538</v>
      </c>
      <c r="Q39" s="37" t="e">
        <f ca="1">Calcu!AF31</f>
        <v>#N/A</v>
      </c>
    </row>
    <row r="40" spans="1:17" ht="15" customHeight="1">
      <c r="A40" s="44" t="str">
        <f>IF(Calcu!B32=TRUE,"","삭제")</f>
        <v>삭제</v>
      </c>
      <c r="B40" s="43"/>
      <c r="C40" s="43"/>
      <c r="D40" s="43"/>
      <c r="F40" s="51" t="e">
        <f ca="1">Calcu!AA32</f>
        <v>#N/A</v>
      </c>
      <c r="G40" s="51" t="s">
        <v>536</v>
      </c>
      <c r="H40" s="51" t="e">
        <f ca="1">Calcu!AD32</f>
        <v>#N/A</v>
      </c>
      <c r="J40" s="37" t="e">
        <f ca="1">Calcu!AB32</f>
        <v>#N/A</v>
      </c>
      <c r="K40" s="37" t="e">
        <f ca="1">Calcu!AC32</f>
        <v>#N/A</v>
      </c>
      <c r="L40" s="37" t="str">
        <f>LEFT(Calcu!AE32)</f>
        <v/>
      </c>
      <c r="M40" s="37" t="s">
        <v>537</v>
      </c>
      <c r="N40" s="37" t="s">
        <v>538</v>
      </c>
      <c r="O40" s="37" t="s">
        <v>538</v>
      </c>
      <c r="Q40" s="37" t="e">
        <f ca="1">Calcu!AF32</f>
        <v>#N/A</v>
      </c>
    </row>
    <row r="41" spans="1:17" ht="15" customHeight="1">
      <c r="A41" s="44" t="str">
        <f>IF(Calcu!B33=TRUE,"","삭제")</f>
        <v>삭제</v>
      </c>
      <c r="B41" s="43"/>
      <c r="C41" s="43"/>
      <c r="D41" s="43"/>
      <c r="F41" s="51" t="e">
        <f ca="1">Calcu!AA33</f>
        <v>#N/A</v>
      </c>
      <c r="G41" s="51" t="s">
        <v>536</v>
      </c>
      <c r="H41" s="51" t="e">
        <f ca="1">Calcu!AD33</f>
        <v>#N/A</v>
      </c>
      <c r="J41" s="37" t="e">
        <f ca="1">Calcu!AB33</f>
        <v>#N/A</v>
      </c>
      <c r="K41" s="37" t="e">
        <f ca="1">Calcu!AC33</f>
        <v>#N/A</v>
      </c>
      <c r="L41" s="37" t="str">
        <f>LEFT(Calcu!AE33)</f>
        <v/>
      </c>
      <c r="M41" s="37" t="s">
        <v>537</v>
      </c>
      <c r="N41" s="37" t="s">
        <v>538</v>
      </c>
      <c r="O41" s="37" t="s">
        <v>538</v>
      </c>
      <c r="Q41" s="37" t="e">
        <f ca="1">Calcu!AF33</f>
        <v>#N/A</v>
      </c>
    </row>
    <row r="42" spans="1:17" ht="15" customHeight="1">
      <c r="A42" s="44" t="str">
        <f>IF(Calcu!B34=TRUE,"","삭제")</f>
        <v>삭제</v>
      </c>
      <c r="B42" s="43"/>
      <c r="C42" s="43"/>
      <c r="D42" s="43"/>
      <c r="F42" s="51" t="e">
        <f ca="1">Calcu!AA34</f>
        <v>#N/A</v>
      </c>
      <c r="G42" s="51" t="s">
        <v>536</v>
      </c>
      <c r="H42" s="51" t="e">
        <f ca="1">Calcu!AD34</f>
        <v>#N/A</v>
      </c>
      <c r="J42" s="37" t="e">
        <f ca="1">Calcu!AB34</f>
        <v>#N/A</v>
      </c>
      <c r="K42" s="37" t="e">
        <f ca="1">Calcu!AC34</f>
        <v>#N/A</v>
      </c>
      <c r="L42" s="37" t="str">
        <f>LEFT(Calcu!AE34)</f>
        <v/>
      </c>
      <c r="M42" s="37" t="s">
        <v>537</v>
      </c>
      <c r="N42" s="37" t="s">
        <v>538</v>
      </c>
      <c r="O42" s="37" t="s">
        <v>538</v>
      </c>
      <c r="Q42" s="37" t="e">
        <f ca="1">Calcu!AF34</f>
        <v>#N/A</v>
      </c>
    </row>
    <row r="43" spans="1:17" ht="15" customHeight="1">
      <c r="A43" s="44" t="str">
        <f>IF(Calcu!B35=TRUE,"","삭제")</f>
        <v>삭제</v>
      </c>
      <c r="B43" s="43"/>
      <c r="C43" s="43"/>
      <c r="D43" s="43"/>
      <c r="F43" s="51" t="e">
        <f ca="1">Calcu!AA35</f>
        <v>#N/A</v>
      </c>
      <c r="G43" s="51" t="s">
        <v>536</v>
      </c>
      <c r="H43" s="51" t="e">
        <f ca="1">Calcu!AD35</f>
        <v>#N/A</v>
      </c>
      <c r="J43" s="37" t="e">
        <f ca="1">Calcu!AB35</f>
        <v>#N/A</v>
      </c>
      <c r="K43" s="37" t="e">
        <f ca="1">Calcu!AC35</f>
        <v>#N/A</v>
      </c>
      <c r="L43" s="37" t="str">
        <f>LEFT(Calcu!AE35)</f>
        <v/>
      </c>
      <c r="M43" s="37" t="s">
        <v>537</v>
      </c>
      <c r="N43" s="37" t="s">
        <v>538</v>
      </c>
      <c r="O43" s="37" t="s">
        <v>538</v>
      </c>
      <c r="Q43" s="37" t="e">
        <f ca="1">Calcu!AF35</f>
        <v>#N/A</v>
      </c>
    </row>
    <row r="44" spans="1:17" ht="15" customHeight="1">
      <c r="A44" s="44" t="str">
        <f>IF(Calcu!B36=TRUE,"","삭제")</f>
        <v>삭제</v>
      </c>
      <c r="B44" s="43"/>
      <c r="C44" s="43"/>
      <c r="D44" s="43"/>
      <c r="F44" s="51" t="e">
        <f ca="1">Calcu!AA36</f>
        <v>#N/A</v>
      </c>
      <c r="G44" s="51" t="s">
        <v>536</v>
      </c>
      <c r="H44" s="51" t="e">
        <f ca="1">Calcu!AD36</f>
        <v>#N/A</v>
      </c>
      <c r="J44" s="37" t="e">
        <f ca="1">Calcu!AB36</f>
        <v>#N/A</v>
      </c>
      <c r="K44" s="37" t="e">
        <f ca="1">Calcu!AC36</f>
        <v>#N/A</v>
      </c>
      <c r="L44" s="37" t="str">
        <f>LEFT(Calcu!AE36)</f>
        <v/>
      </c>
      <c r="M44" s="37" t="s">
        <v>537</v>
      </c>
      <c r="N44" s="37" t="s">
        <v>538</v>
      </c>
      <c r="O44" s="37" t="s">
        <v>538</v>
      </c>
      <c r="Q44" s="37" t="e">
        <f ca="1">Calcu!AF36</f>
        <v>#N/A</v>
      </c>
    </row>
    <row r="45" spans="1:17" ht="15" customHeight="1">
      <c r="A45" s="44" t="str">
        <f>IF(Calcu!B37=TRUE,"","삭제")</f>
        <v>삭제</v>
      </c>
      <c r="B45" s="43"/>
      <c r="C45" s="43"/>
      <c r="D45" s="43"/>
      <c r="F45" s="51" t="e">
        <f ca="1">Calcu!AA37</f>
        <v>#N/A</v>
      </c>
      <c r="G45" s="51" t="s">
        <v>536</v>
      </c>
      <c r="H45" s="51" t="e">
        <f ca="1">Calcu!AD37</f>
        <v>#N/A</v>
      </c>
      <c r="J45" s="37" t="e">
        <f ca="1">Calcu!AB37</f>
        <v>#N/A</v>
      </c>
      <c r="K45" s="37" t="e">
        <f ca="1">Calcu!AC37</f>
        <v>#N/A</v>
      </c>
      <c r="L45" s="37" t="str">
        <f>LEFT(Calcu!AE37)</f>
        <v/>
      </c>
      <c r="M45" s="37" t="s">
        <v>537</v>
      </c>
      <c r="N45" s="37" t="s">
        <v>538</v>
      </c>
      <c r="O45" s="37" t="s">
        <v>538</v>
      </c>
      <c r="Q45" s="37" t="e">
        <f ca="1">Calcu!AF37</f>
        <v>#N/A</v>
      </c>
    </row>
    <row r="46" spans="1:17" ht="15" customHeight="1">
      <c r="A46" s="44" t="str">
        <f>IF(Calcu!B38=TRUE,"","삭제")</f>
        <v>삭제</v>
      </c>
      <c r="B46" s="43"/>
      <c r="C46" s="43"/>
      <c r="D46" s="43"/>
      <c r="F46" s="51" t="e">
        <f ca="1">Calcu!AA38</f>
        <v>#N/A</v>
      </c>
      <c r="G46" s="51" t="s">
        <v>536</v>
      </c>
      <c r="H46" s="51" t="e">
        <f ca="1">Calcu!AD38</f>
        <v>#N/A</v>
      </c>
      <c r="J46" s="37" t="e">
        <f ca="1">Calcu!AB38</f>
        <v>#N/A</v>
      </c>
      <c r="K46" s="37" t="e">
        <f ca="1">Calcu!AC38</f>
        <v>#N/A</v>
      </c>
      <c r="L46" s="37" t="str">
        <f>LEFT(Calcu!AE38)</f>
        <v/>
      </c>
      <c r="M46" s="37" t="s">
        <v>537</v>
      </c>
      <c r="N46" s="37" t="s">
        <v>538</v>
      </c>
      <c r="O46" s="37" t="s">
        <v>538</v>
      </c>
      <c r="Q46" s="37" t="e">
        <f ca="1">Calcu!AF38</f>
        <v>#N/A</v>
      </c>
    </row>
    <row r="47" spans="1:17" ht="15" customHeight="1">
      <c r="A47" s="44" t="str">
        <f>IF(Calcu!B39=TRUE,"","삭제")</f>
        <v>삭제</v>
      </c>
      <c r="B47" s="43"/>
      <c r="C47" s="43"/>
      <c r="D47" s="43"/>
      <c r="F47" s="51" t="e">
        <f ca="1">Calcu!AA39</f>
        <v>#N/A</v>
      </c>
      <c r="G47" s="51" t="s">
        <v>536</v>
      </c>
      <c r="H47" s="51" t="e">
        <f ca="1">Calcu!AD39</f>
        <v>#N/A</v>
      </c>
      <c r="J47" s="37" t="e">
        <f ca="1">Calcu!AB39</f>
        <v>#N/A</v>
      </c>
      <c r="K47" s="37" t="e">
        <f ca="1">Calcu!AC39</f>
        <v>#N/A</v>
      </c>
      <c r="L47" s="37" t="str">
        <f>LEFT(Calcu!AE39)</f>
        <v/>
      </c>
      <c r="M47" s="37" t="s">
        <v>537</v>
      </c>
      <c r="N47" s="37" t="s">
        <v>538</v>
      </c>
      <c r="O47" s="37" t="s">
        <v>538</v>
      </c>
      <c r="Q47" s="37" t="e">
        <f ca="1">Calcu!AF39</f>
        <v>#N/A</v>
      </c>
    </row>
    <row r="48" spans="1:17" ht="15" customHeight="1">
      <c r="A48" s="44" t="str">
        <f>IF(Calcu!B40=TRUE,"","삭제")</f>
        <v>삭제</v>
      </c>
      <c r="B48" s="43"/>
      <c r="C48" s="43"/>
      <c r="D48" s="43"/>
      <c r="F48" s="51" t="e">
        <f ca="1">Calcu!AA40</f>
        <v>#N/A</v>
      </c>
      <c r="G48" s="51" t="s">
        <v>536</v>
      </c>
      <c r="H48" s="51" t="e">
        <f ca="1">Calcu!AD40</f>
        <v>#N/A</v>
      </c>
      <c r="J48" s="37" t="e">
        <f ca="1">Calcu!AB40</f>
        <v>#N/A</v>
      </c>
      <c r="K48" s="37" t="e">
        <f ca="1">Calcu!AC40</f>
        <v>#N/A</v>
      </c>
      <c r="L48" s="37" t="str">
        <f>LEFT(Calcu!AE40)</f>
        <v/>
      </c>
      <c r="M48" s="37" t="s">
        <v>537</v>
      </c>
      <c r="N48" s="37" t="s">
        <v>538</v>
      </c>
      <c r="O48" s="37" t="s">
        <v>538</v>
      </c>
      <c r="Q48" s="37" t="e">
        <f ca="1">Calcu!AF40</f>
        <v>#N/A</v>
      </c>
    </row>
    <row r="49" spans="1:17" ht="15" customHeight="1">
      <c r="A49" s="44" t="str">
        <f>IF(Calcu!B41=TRUE,"","삭제")</f>
        <v>삭제</v>
      </c>
      <c r="B49" s="43"/>
      <c r="C49" s="43"/>
      <c r="D49" s="43"/>
      <c r="F49" s="51" t="e">
        <f ca="1">Calcu!AA41</f>
        <v>#N/A</v>
      </c>
      <c r="G49" s="51" t="s">
        <v>536</v>
      </c>
      <c r="H49" s="51" t="e">
        <f ca="1">Calcu!AD41</f>
        <v>#N/A</v>
      </c>
      <c r="J49" s="37" t="e">
        <f ca="1">Calcu!AB41</f>
        <v>#N/A</v>
      </c>
      <c r="K49" s="37" t="e">
        <f ca="1">Calcu!AC41</f>
        <v>#N/A</v>
      </c>
      <c r="L49" s="37" t="str">
        <f>LEFT(Calcu!AE41)</f>
        <v/>
      </c>
      <c r="M49" s="37" t="s">
        <v>537</v>
      </c>
      <c r="N49" s="37" t="s">
        <v>538</v>
      </c>
      <c r="O49" s="37" t="s">
        <v>538</v>
      </c>
      <c r="Q49" s="37" t="e">
        <f ca="1">Calcu!AF41</f>
        <v>#N/A</v>
      </c>
    </row>
    <row r="50" spans="1:17" ht="15" customHeight="1">
      <c r="A50" s="44" t="str">
        <f>IF(Calcu!B42=TRUE,"","삭제")</f>
        <v>삭제</v>
      </c>
      <c r="B50" s="43"/>
      <c r="C50" s="43"/>
      <c r="D50" s="43"/>
      <c r="F50" s="51" t="e">
        <f ca="1">Calcu!AA42</f>
        <v>#N/A</v>
      </c>
      <c r="G50" s="51" t="s">
        <v>536</v>
      </c>
      <c r="H50" s="51" t="e">
        <f ca="1">Calcu!AD42</f>
        <v>#N/A</v>
      </c>
      <c r="J50" s="37" t="e">
        <f ca="1">Calcu!AB42</f>
        <v>#N/A</v>
      </c>
      <c r="K50" s="37" t="e">
        <f ca="1">Calcu!AC42</f>
        <v>#N/A</v>
      </c>
      <c r="L50" s="37" t="str">
        <f>LEFT(Calcu!AE42)</f>
        <v/>
      </c>
      <c r="M50" s="37" t="s">
        <v>537</v>
      </c>
      <c r="N50" s="37" t="s">
        <v>538</v>
      </c>
      <c r="O50" s="37" t="s">
        <v>538</v>
      </c>
      <c r="Q50" s="37" t="e">
        <f ca="1">Calcu!AF42</f>
        <v>#N/A</v>
      </c>
    </row>
    <row r="51" spans="1:17" ht="15" customHeight="1">
      <c r="A51" s="44" t="str">
        <f>IF(Calcu!B43=TRUE,"","삭제")</f>
        <v>삭제</v>
      </c>
      <c r="B51" s="43"/>
      <c r="C51" s="43"/>
      <c r="D51" s="43"/>
      <c r="F51" s="51" t="e">
        <f ca="1">Calcu!AA43</f>
        <v>#N/A</v>
      </c>
      <c r="G51" s="51" t="s">
        <v>536</v>
      </c>
      <c r="H51" s="51" t="e">
        <f ca="1">Calcu!AD43</f>
        <v>#N/A</v>
      </c>
      <c r="J51" s="37" t="e">
        <f ca="1">Calcu!AB43</f>
        <v>#N/A</v>
      </c>
      <c r="K51" s="37" t="e">
        <f ca="1">Calcu!AC43</f>
        <v>#N/A</v>
      </c>
      <c r="L51" s="37" t="str">
        <f>LEFT(Calcu!AE43)</f>
        <v/>
      </c>
      <c r="M51" s="37" t="s">
        <v>537</v>
      </c>
      <c r="N51" s="37" t="s">
        <v>538</v>
      </c>
      <c r="O51" s="37" t="s">
        <v>538</v>
      </c>
      <c r="Q51" s="37" t="e">
        <f ca="1">Calcu!AF43</f>
        <v>#N/A</v>
      </c>
    </row>
    <row r="52" spans="1:17" ht="15" customHeight="1">
      <c r="A52" s="44" t="str">
        <f>IF(Calcu!B44=TRUE,"","삭제")</f>
        <v>삭제</v>
      </c>
      <c r="B52" s="43"/>
      <c r="C52" s="43"/>
      <c r="D52" s="43"/>
      <c r="F52" s="51" t="e">
        <f ca="1">Calcu!AA44</f>
        <v>#N/A</v>
      </c>
      <c r="G52" s="51" t="s">
        <v>536</v>
      </c>
      <c r="H52" s="51" t="e">
        <f ca="1">Calcu!AD44</f>
        <v>#N/A</v>
      </c>
      <c r="J52" s="37" t="e">
        <f ca="1">Calcu!AB44</f>
        <v>#N/A</v>
      </c>
      <c r="K52" s="37" t="e">
        <f ca="1">Calcu!AC44</f>
        <v>#N/A</v>
      </c>
      <c r="L52" s="37" t="str">
        <f>LEFT(Calcu!AE44)</f>
        <v/>
      </c>
      <c r="M52" s="37" t="s">
        <v>537</v>
      </c>
      <c r="N52" s="37" t="s">
        <v>538</v>
      </c>
      <c r="O52" s="37" t="s">
        <v>538</v>
      </c>
      <c r="Q52" s="37" t="e">
        <f ca="1">Calcu!AF44</f>
        <v>#N/A</v>
      </c>
    </row>
    <row r="53" spans="1:17" ht="15" customHeight="1">
      <c r="A53" s="44" t="str">
        <f>IF(Calcu!B45=TRUE,"","삭제")</f>
        <v>삭제</v>
      </c>
      <c r="B53" s="43"/>
      <c r="C53" s="43"/>
      <c r="D53" s="43"/>
      <c r="F53" s="51" t="e">
        <f ca="1">Calcu!AA45</f>
        <v>#N/A</v>
      </c>
      <c r="G53" s="51" t="s">
        <v>536</v>
      </c>
      <c r="H53" s="51" t="e">
        <f ca="1">Calcu!AD45</f>
        <v>#N/A</v>
      </c>
      <c r="J53" s="37" t="e">
        <f ca="1">Calcu!AB45</f>
        <v>#N/A</v>
      </c>
      <c r="K53" s="37" t="e">
        <f ca="1">Calcu!AC45</f>
        <v>#N/A</v>
      </c>
      <c r="L53" s="37" t="str">
        <f>LEFT(Calcu!AE45)</f>
        <v/>
      </c>
      <c r="M53" s="37" t="s">
        <v>537</v>
      </c>
      <c r="N53" s="37" t="s">
        <v>538</v>
      </c>
      <c r="O53" s="37" t="s">
        <v>538</v>
      </c>
      <c r="Q53" s="37" t="e">
        <f ca="1">Calcu!AF45</f>
        <v>#N/A</v>
      </c>
    </row>
    <row r="54" spans="1:17" ht="15" customHeight="1">
      <c r="A54" s="44" t="str">
        <f>IF(Calcu!B46=TRUE,"","삭제")</f>
        <v>삭제</v>
      </c>
      <c r="B54" s="43"/>
      <c r="C54" s="43"/>
      <c r="D54" s="43"/>
      <c r="F54" s="51" t="e">
        <f ca="1">Calcu!AA46</f>
        <v>#N/A</v>
      </c>
      <c r="G54" s="51" t="s">
        <v>536</v>
      </c>
      <c r="H54" s="51" t="e">
        <f ca="1">Calcu!AD46</f>
        <v>#N/A</v>
      </c>
      <c r="J54" s="37" t="e">
        <f ca="1">Calcu!AB46</f>
        <v>#N/A</v>
      </c>
      <c r="K54" s="37" t="e">
        <f ca="1">Calcu!AC46</f>
        <v>#N/A</v>
      </c>
      <c r="L54" s="37" t="str">
        <f>LEFT(Calcu!AE46)</f>
        <v/>
      </c>
      <c r="M54" s="37" t="s">
        <v>537</v>
      </c>
      <c r="N54" s="37" t="s">
        <v>538</v>
      </c>
      <c r="O54" s="37" t="s">
        <v>538</v>
      </c>
      <c r="Q54" s="37" t="e">
        <f ca="1">Calcu!AF46</f>
        <v>#N/A</v>
      </c>
    </row>
    <row r="55" spans="1:17" ht="15" customHeight="1">
      <c r="A55" s="44" t="str">
        <f>IF(Calcu!B47=TRUE,"","삭제")</f>
        <v>삭제</v>
      </c>
      <c r="B55" s="43"/>
      <c r="C55" s="43"/>
      <c r="D55" s="43"/>
      <c r="F55" s="51" t="e">
        <f ca="1">Calcu!AA47</f>
        <v>#N/A</v>
      </c>
      <c r="G55" s="51" t="s">
        <v>536</v>
      </c>
      <c r="H55" s="51" t="e">
        <f ca="1">Calcu!AD47</f>
        <v>#N/A</v>
      </c>
      <c r="J55" s="37" t="e">
        <f ca="1">Calcu!AB47</f>
        <v>#N/A</v>
      </c>
      <c r="K55" s="37" t="e">
        <f ca="1">Calcu!AC47</f>
        <v>#N/A</v>
      </c>
      <c r="L55" s="37" t="str">
        <f>LEFT(Calcu!AE47)</f>
        <v/>
      </c>
      <c r="M55" s="37" t="s">
        <v>537</v>
      </c>
      <c r="N55" s="37" t="s">
        <v>538</v>
      </c>
      <c r="O55" s="37" t="s">
        <v>538</v>
      </c>
      <c r="Q55" s="37" t="e">
        <f ca="1">Calcu!AF47</f>
        <v>#N/A</v>
      </c>
    </row>
    <row r="56" spans="1:17" ht="15" customHeight="1">
      <c r="A56" s="44" t="str">
        <f>IF(Calcu!B48=TRUE,"","삭제")</f>
        <v>삭제</v>
      </c>
      <c r="B56" s="43"/>
      <c r="C56" s="43"/>
      <c r="D56" s="43"/>
      <c r="F56" s="51" t="e">
        <f ca="1">Calcu!AA48</f>
        <v>#N/A</v>
      </c>
      <c r="G56" s="51" t="s">
        <v>536</v>
      </c>
      <c r="H56" s="51" t="e">
        <f ca="1">Calcu!AD48</f>
        <v>#N/A</v>
      </c>
      <c r="J56" s="37" t="e">
        <f ca="1">Calcu!AB48</f>
        <v>#N/A</v>
      </c>
      <c r="K56" s="37" t="e">
        <f ca="1">Calcu!AC48</f>
        <v>#N/A</v>
      </c>
      <c r="L56" s="37" t="str">
        <f>LEFT(Calcu!AE48)</f>
        <v/>
      </c>
      <c r="M56" s="37" t="s">
        <v>537</v>
      </c>
      <c r="N56" s="37" t="s">
        <v>538</v>
      </c>
      <c r="O56" s="37" t="s">
        <v>538</v>
      </c>
      <c r="Q56" s="37" t="e">
        <f ca="1">Calcu!AF48</f>
        <v>#N/A</v>
      </c>
    </row>
    <row r="57" spans="1:17" ht="15" customHeight="1">
      <c r="A57" s="44" t="str">
        <f>IF(Calcu!B49=TRUE,"","삭제")</f>
        <v>삭제</v>
      </c>
      <c r="B57" s="43"/>
      <c r="C57" s="43"/>
      <c r="D57" s="43"/>
      <c r="F57" s="51" t="e">
        <f ca="1">Calcu!AA49</f>
        <v>#N/A</v>
      </c>
      <c r="G57" s="51" t="s">
        <v>536</v>
      </c>
      <c r="H57" s="51" t="e">
        <f ca="1">Calcu!AD49</f>
        <v>#N/A</v>
      </c>
      <c r="J57" s="37" t="e">
        <f ca="1">Calcu!AB49</f>
        <v>#N/A</v>
      </c>
      <c r="K57" s="37" t="e">
        <f ca="1">Calcu!AC49</f>
        <v>#N/A</v>
      </c>
      <c r="L57" s="37" t="str">
        <f>LEFT(Calcu!AE49)</f>
        <v/>
      </c>
      <c r="M57" s="37" t="s">
        <v>537</v>
      </c>
      <c r="N57" s="37" t="s">
        <v>538</v>
      </c>
      <c r="O57" s="37" t="s">
        <v>538</v>
      </c>
      <c r="Q57" s="37" t="e">
        <f ca="1">Calcu!AF49</f>
        <v>#N/A</v>
      </c>
    </row>
    <row r="58" spans="1:17" ht="15" customHeight="1">
      <c r="A58" s="44"/>
      <c r="F58" s="51"/>
      <c r="G58" s="51"/>
      <c r="H58" s="51"/>
    </row>
    <row r="59" spans="1:17" ht="15" customHeight="1">
      <c r="A59" s="44"/>
      <c r="G59" s="53" t="e">
        <f ca="1">IF(Calcu!E76="사다리꼴","※ 신뢰수준 95 %,","※ 신뢰수준 약 95 %,")</f>
        <v>#N/A</v>
      </c>
      <c r="H59" s="265" t="e">
        <f ca="1">Calcu!E77&amp;IF(Calcu!E76="사다리꼴",", 사다리꼴 확률분포","")</f>
        <v>#N/A</v>
      </c>
      <c r="K59" s="50"/>
      <c r="Q59" s="53"/>
    </row>
    <row r="60" spans="1:17" ht="15" customHeight="1"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6"/>
    </row>
  </sheetData>
  <mergeCells count="13">
    <mergeCell ref="M15:O15"/>
    <mergeCell ref="P15:P16"/>
    <mergeCell ref="Q15:Q16"/>
    <mergeCell ref="A1:Q2"/>
    <mergeCell ref="B15:B16"/>
    <mergeCell ref="C15:C16"/>
    <mergeCell ref="D15:D16"/>
    <mergeCell ref="E15:E16"/>
    <mergeCell ref="F15:F16"/>
    <mergeCell ref="G15:G16"/>
    <mergeCell ref="H15:H16"/>
    <mergeCell ref="I15:I16"/>
    <mergeCell ref="J15:L15"/>
  </mergeCells>
  <phoneticPr fontId="4" type="noConversion"/>
  <printOptions horizontalCentered="1"/>
  <pageMargins left="0" right="0" top="0.35433070866141736" bottom="0.59055118110236227" header="0" footer="0"/>
  <pageSetup paperSize="9" fitToHeight="0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57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4" width="3.77734375" style="37" customWidth="1"/>
    <col min="5" max="9" width="9.77734375" style="37" customWidth="1"/>
    <col min="10" max="11" width="4.77734375" style="37" customWidth="1"/>
    <col min="12" max="12" width="4.77734375" style="95" customWidth="1"/>
    <col min="13" max="13" width="6.77734375" style="112" customWidth="1"/>
    <col min="14" max="16384" width="10.77734375" style="95"/>
  </cols>
  <sheetData>
    <row r="1" spans="1:13" s="82" customFormat="1" ht="33" customHeight="1">
      <c r="A1" s="391" t="s">
        <v>74</v>
      </c>
      <c r="B1" s="391"/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84"/>
    </row>
    <row r="2" spans="1:13" s="82" customFormat="1" ht="33" customHeight="1">
      <c r="A2" s="391"/>
      <c r="B2" s="391"/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84"/>
    </row>
    <row r="3" spans="1:13" s="82" customFormat="1" ht="12.75" customHeight="1">
      <c r="A3" s="48"/>
      <c r="B3" s="48"/>
      <c r="C3" s="48"/>
      <c r="D3" s="22"/>
      <c r="E3" s="22"/>
      <c r="F3" s="22"/>
      <c r="G3" s="22"/>
      <c r="H3" s="22"/>
      <c r="I3" s="22"/>
      <c r="J3" s="22"/>
      <c r="K3" s="22"/>
      <c r="L3" s="83"/>
      <c r="M3" s="111"/>
    </row>
    <row r="4" spans="1:13" s="84" customFormat="1" ht="13.5" customHeight="1">
      <c r="A4" s="92"/>
      <c r="B4" s="92"/>
      <c r="C4" s="92"/>
      <c r="D4" s="93"/>
      <c r="E4" s="93"/>
      <c r="F4" s="102"/>
      <c r="G4" s="93"/>
      <c r="H4" s="93"/>
      <c r="I4" s="103"/>
      <c r="J4" s="94"/>
      <c r="K4" s="102"/>
      <c r="L4" s="92"/>
      <c r="M4" s="36"/>
    </row>
    <row r="5" spans="1:13" s="85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</row>
    <row r="6" spans="1:13" s="87" customFormat="1" ht="15" customHeight="1">
      <c r="A6" s="43"/>
      <c r="D6" s="43"/>
      <c r="E6" s="38" t="s">
        <v>232</v>
      </c>
      <c r="F6" s="37"/>
      <c r="G6" s="52"/>
      <c r="H6" s="52"/>
      <c r="I6" s="52"/>
      <c r="J6" s="51"/>
      <c r="K6" s="37"/>
      <c r="L6" s="96"/>
    </row>
    <row r="7" spans="1:13" s="87" customFormat="1" ht="15" customHeight="1">
      <c r="A7" s="43"/>
      <c r="D7" s="43"/>
      <c r="E7" s="390" t="s">
        <v>410</v>
      </c>
      <c r="F7" s="170" t="s">
        <v>178</v>
      </c>
      <c r="G7" s="170" t="s">
        <v>112</v>
      </c>
      <c r="H7" s="226" t="s">
        <v>111</v>
      </c>
      <c r="I7" s="390" t="s">
        <v>113</v>
      </c>
      <c r="J7" s="51"/>
    </row>
    <row r="8" spans="1:13" s="87" customFormat="1" ht="15" customHeight="1">
      <c r="A8" s="43"/>
      <c r="D8" s="43"/>
      <c r="E8" s="367"/>
      <c r="F8" s="169" t="s">
        <v>233</v>
      </c>
      <c r="G8" s="169" t="s">
        <v>233</v>
      </c>
      <c r="H8" s="169" t="s">
        <v>231</v>
      </c>
      <c r="I8" s="367"/>
      <c r="J8" s="51"/>
    </row>
    <row r="9" spans="1:13" s="87" customFormat="1" ht="15" customHeight="1">
      <c r="A9" s="43" t="str">
        <f>IF(Calcu!AJ9=TRUE,"","삭제")</f>
        <v>삭제</v>
      </c>
      <c r="D9" s="43"/>
      <c r="E9" s="237" t="s">
        <v>411</v>
      </c>
      <c r="F9" s="170" t="e">
        <f ca="1">Calcu!AK9</f>
        <v>#N/A</v>
      </c>
      <c r="G9" s="170" t="e">
        <f ca="1">Calcu!AN9</f>
        <v>#N/A</v>
      </c>
      <c r="H9" s="170" t="e">
        <f ca="1">Calcu!AP9</f>
        <v>#N/A</v>
      </c>
      <c r="I9" s="172" t="str">
        <f>Calcu!AR9</f>
        <v/>
      </c>
      <c r="J9" s="51"/>
    </row>
    <row r="10" spans="1:13" s="87" customFormat="1" ht="15" customHeight="1">
      <c r="A10" s="43" t="str">
        <f>IF(Calcu!AJ10=TRUE,"","삭제")</f>
        <v>삭제</v>
      </c>
      <c r="D10" s="43"/>
      <c r="E10" s="244" t="s">
        <v>411</v>
      </c>
      <c r="F10" s="244" t="e">
        <f ca="1">Calcu!AK10</f>
        <v>#N/A</v>
      </c>
      <c r="G10" s="244" t="e">
        <f ca="1">Calcu!AN10</f>
        <v>#N/A</v>
      </c>
      <c r="H10" s="244" t="e">
        <f ca="1">Calcu!AP10</f>
        <v>#N/A</v>
      </c>
      <c r="I10" s="245" t="str">
        <f>Calcu!AR10</f>
        <v/>
      </c>
      <c r="J10" s="51"/>
    </row>
    <row r="11" spans="1:13" s="87" customFormat="1" ht="15" customHeight="1">
      <c r="A11" s="43" t="str">
        <f>IF(Calcu!AJ11=TRUE,"","삭제")</f>
        <v>삭제</v>
      </c>
      <c r="D11" s="43"/>
      <c r="E11" s="244" t="s">
        <v>411</v>
      </c>
      <c r="F11" s="244" t="e">
        <f ca="1">Calcu!AK11</f>
        <v>#N/A</v>
      </c>
      <c r="G11" s="244" t="e">
        <f ca="1">Calcu!AN11</f>
        <v>#N/A</v>
      </c>
      <c r="H11" s="244" t="e">
        <f ca="1">Calcu!AP11</f>
        <v>#N/A</v>
      </c>
      <c r="I11" s="245" t="str">
        <f>Calcu!AR11</f>
        <v/>
      </c>
      <c r="J11" s="51"/>
    </row>
    <row r="12" spans="1:13" s="87" customFormat="1" ht="15" customHeight="1">
      <c r="A12" s="43" t="str">
        <f>IF(Calcu!AJ12=TRUE,"","삭제")</f>
        <v>삭제</v>
      </c>
      <c r="D12" s="43"/>
      <c r="E12" s="244" t="s">
        <v>411</v>
      </c>
      <c r="F12" s="244" t="e">
        <f ca="1">Calcu!AK12</f>
        <v>#N/A</v>
      </c>
      <c r="G12" s="244" t="e">
        <f ca="1">Calcu!AN12</f>
        <v>#N/A</v>
      </c>
      <c r="H12" s="244" t="e">
        <f ca="1">Calcu!AP12</f>
        <v>#N/A</v>
      </c>
      <c r="I12" s="245" t="str">
        <f>Calcu!AR12</f>
        <v/>
      </c>
      <c r="J12" s="51"/>
    </row>
    <row r="13" spans="1:13" s="87" customFormat="1" ht="15" customHeight="1">
      <c r="A13" s="43" t="str">
        <f>IF(Calcu!AJ13=TRUE,"","삭제")</f>
        <v>삭제</v>
      </c>
      <c r="D13" s="43"/>
      <c r="E13" s="244" t="s">
        <v>411</v>
      </c>
      <c r="F13" s="244" t="e">
        <f ca="1">Calcu!AK13</f>
        <v>#N/A</v>
      </c>
      <c r="G13" s="244" t="e">
        <f ca="1">Calcu!AN13</f>
        <v>#N/A</v>
      </c>
      <c r="H13" s="244" t="e">
        <f ca="1">Calcu!AP13</f>
        <v>#N/A</v>
      </c>
      <c r="I13" s="245" t="str">
        <f>Calcu!AR13</f>
        <v/>
      </c>
      <c r="J13" s="51"/>
    </row>
    <row r="14" spans="1:13" s="87" customFormat="1" ht="15" customHeight="1">
      <c r="A14" s="43" t="str">
        <f>IF(Calcu!AJ14=TRUE,"","삭제")</f>
        <v>삭제</v>
      </c>
      <c r="D14" s="43"/>
      <c r="E14" s="244" t="s">
        <v>411</v>
      </c>
      <c r="F14" s="244" t="e">
        <f ca="1">Calcu!AK14</f>
        <v>#N/A</v>
      </c>
      <c r="G14" s="244" t="e">
        <f ca="1">Calcu!AN14</f>
        <v>#N/A</v>
      </c>
      <c r="H14" s="244" t="e">
        <f ca="1">Calcu!AP14</f>
        <v>#N/A</v>
      </c>
      <c r="I14" s="245" t="str">
        <f>Calcu!AR14</f>
        <v/>
      </c>
      <c r="J14" s="51"/>
    </row>
    <row r="15" spans="1:13" s="87" customFormat="1" ht="15" customHeight="1">
      <c r="A15" s="43" t="str">
        <f>IF(Calcu!AJ15=TRUE,"","삭제")</f>
        <v>삭제</v>
      </c>
      <c r="D15" s="43"/>
      <c r="E15" s="244" t="s">
        <v>411</v>
      </c>
      <c r="F15" s="244" t="e">
        <f ca="1">Calcu!AK15</f>
        <v>#N/A</v>
      </c>
      <c r="G15" s="244" t="e">
        <f ca="1">Calcu!AN15</f>
        <v>#N/A</v>
      </c>
      <c r="H15" s="244" t="e">
        <f ca="1">Calcu!AP15</f>
        <v>#N/A</v>
      </c>
      <c r="I15" s="245" t="str">
        <f>Calcu!AR15</f>
        <v/>
      </c>
      <c r="J15" s="51"/>
    </row>
    <row r="16" spans="1:13" s="87" customFormat="1" ht="15" customHeight="1">
      <c r="A16" s="43" t="str">
        <f>IF(Calcu!AJ16=TRUE,"","삭제")</f>
        <v>삭제</v>
      </c>
      <c r="D16" s="43"/>
      <c r="E16" s="244" t="s">
        <v>411</v>
      </c>
      <c r="F16" s="244" t="e">
        <f ca="1">Calcu!AK16</f>
        <v>#N/A</v>
      </c>
      <c r="G16" s="244" t="e">
        <f ca="1">Calcu!AN16</f>
        <v>#N/A</v>
      </c>
      <c r="H16" s="244" t="e">
        <f ca="1">Calcu!AP16</f>
        <v>#N/A</v>
      </c>
      <c r="I16" s="245" t="str">
        <f>Calcu!AR16</f>
        <v/>
      </c>
      <c r="J16" s="51"/>
    </row>
    <row r="17" spans="1:10" s="87" customFormat="1" ht="15" customHeight="1">
      <c r="A17" s="43" t="str">
        <f>IF(Calcu!AJ17=TRUE,"","삭제")</f>
        <v>삭제</v>
      </c>
      <c r="D17" s="43"/>
      <c r="E17" s="244" t="s">
        <v>411</v>
      </c>
      <c r="F17" s="244" t="e">
        <f ca="1">Calcu!AK17</f>
        <v>#N/A</v>
      </c>
      <c r="G17" s="244" t="e">
        <f ca="1">Calcu!AN17</f>
        <v>#N/A</v>
      </c>
      <c r="H17" s="244" t="e">
        <f ca="1">Calcu!AP17</f>
        <v>#N/A</v>
      </c>
      <c r="I17" s="245" t="str">
        <f>Calcu!AR17</f>
        <v/>
      </c>
      <c r="J17" s="51"/>
    </row>
    <row r="18" spans="1:10" s="87" customFormat="1" ht="15" customHeight="1">
      <c r="A18" s="43" t="str">
        <f>IF(Calcu!AJ18=TRUE,"","삭제")</f>
        <v>삭제</v>
      </c>
      <c r="D18" s="43"/>
      <c r="E18" s="244" t="s">
        <v>411</v>
      </c>
      <c r="F18" s="244" t="e">
        <f ca="1">Calcu!AK18</f>
        <v>#N/A</v>
      </c>
      <c r="G18" s="244" t="e">
        <f ca="1">Calcu!AN18</f>
        <v>#N/A</v>
      </c>
      <c r="H18" s="244" t="e">
        <f ca="1">Calcu!AP18</f>
        <v>#N/A</v>
      </c>
      <c r="I18" s="245" t="str">
        <f>Calcu!AR18</f>
        <v/>
      </c>
      <c r="J18" s="51"/>
    </row>
    <row r="19" spans="1:10" s="87" customFormat="1" ht="15" customHeight="1">
      <c r="A19" s="43" t="str">
        <f>IF(Calcu!AJ19=TRUE,"","삭제")</f>
        <v>삭제</v>
      </c>
      <c r="D19" s="43"/>
      <c r="E19" s="244" t="s">
        <v>411</v>
      </c>
      <c r="F19" s="244" t="e">
        <f ca="1">Calcu!AK19</f>
        <v>#N/A</v>
      </c>
      <c r="G19" s="244" t="e">
        <f ca="1">Calcu!AN19</f>
        <v>#N/A</v>
      </c>
      <c r="H19" s="244" t="e">
        <f ca="1">Calcu!AP19</f>
        <v>#N/A</v>
      </c>
      <c r="I19" s="245" t="str">
        <f>Calcu!AR19</f>
        <v/>
      </c>
      <c r="J19" s="51"/>
    </row>
    <row r="20" spans="1:10" s="87" customFormat="1" ht="15" customHeight="1">
      <c r="A20" s="43" t="str">
        <f>IF(Calcu!AJ20=TRUE,"","삭제")</f>
        <v>삭제</v>
      </c>
      <c r="D20" s="43"/>
      <c r="E20" s="244" t="s">
        <v>411</v>
      </c>
      <c r="F20" s="244" t="e">
        <f ca="1">Calcu!AK20</f>
        <v>#N/A</v>
      </c>
      <c r="G20" s="244" t="e">
        <f ca="1">Calcu!AN20</f>
        <v>#N/A</v>
      </c>
      <c r="H20" s="244" t="e">
        <f ca="1">Calcu!AP20</f>
        <v>#N/A</v>
      </c>
      <c r="I20" s="245" t="str">
        <f>Calcu!AR20</f>
        <v/>
      </c>
      <c r="J20" s="51"/>
    </row>
    <row r="21" spans="1:10" s="87" customFormat="1" ht="15" customHeight="1">
      <c r="A21" s="43" t="str">
        <f>IF(Calcu!AJ21=TRUE,"","삭제")</f>
        <v>삭제</v>
      </c>
      <c r="D21" s="43"/>
      <c r="E21" s="244" t="s">
        <v>411</v>
      </c>
      <c r="F21" s="244" t="e">
        <f ca="1">Calcu!AK21</f>
        <v>#N/A</v>
      </c>
      <c r="G21" s="244" t="e">
        <f ca="1">Calcu!AN21</f>
        <v>#N/A</v>
      </c>
      <c r="H21" s="244" t="e">
        <f ca="1">Calcu!AP21</f>
        <v>#N/A</v>
      </c>
      <c r="I21" s="245" t="str">
        <f>Calcu!AR21</f>
        <v/>
      </c>
      <c r="J21" s="51"/>
    </row>
    <row r="22" spans="1:10" s="87" customFormat="1" ht="15" customHeight="1">
      <c r="A22" s="43" t="str">
        <f>IF(Calcu!AJ22=TRUE,"","삭제")</f>
        <v>삭제</v>
      </c>
      <c r="D22" s="43"/>
      <c r="E22" s="244" t="s">
        <v>411</v>
      </c>
      <c r="F22" s="244" t="e">
        <f ca="1">Calcu!AK22</f>
        <v>#N/A</v>
      </c>
      <c r="G22" s="244" t="e">
        <f ca="1">Calcu!AN22</f>
        <v>#N/A</v>
      </c>
      <c r="H22" s="244" t="e">
        <f ca="1">Calcu!AP22</f>
        <v>#N/A</v>
      </c>
      <c r="I22" s="245" t="str">
        <f>Calcu!AR22</f>
        <v/>
      </c>
      <c r="J22" s="51"/>
    </row>
    <row r="23" spans="1:10" s="87" customFormat="1" ht="15" customHeight="1">
      <c r="A23" s="43" t="str">
        <f>IF(Calcu!AJ23=TRUE,"","삭제")</f>
        <v>삭제</v>
      </c>
      <c r="D23" s="43"/>
      <c r="E23" s="244" t="s">
        <v>411</v>
      </c>
      <c r="F23" s="244" t="e">
        <f ca="1">Calcu!AK23</f>
        <v>#N/A</v>
      </c>
      <c r="G23" s="244" t="e">
        <f ca="1">Calcu!AN23</f>
        <v>#N/A</v>
      </c>
      <c r="H23" s="244" t="e">
        <f ca="1">Calcu!AP23</f>
        <v>#N/A</v>
      </c>
      <c r="I23" s="245" t="str">
        <f>Calcu!AR23</f>
        <v/>
      </c>
      <c r="J23" s="51"/>
    </row>
    <row r="24" spans="1:10" s="87" customFormat="1" ht="15" customHeight="1">
      <c r="A24" s="43" t="str">
        <f>IF(Calcu!AJ24=TRUE,"","삭제")</f>
        <v>삭제</v>
      </c>
      <c r="D24" s="43"/>
      <c r="E24" s="244" t="s">
        <v>411</v>
      </c>
      <c r="F24" s="244" t="e">
        <f ca="1">Calcu!AK24</f>
        <v>#N/A</v>
      </c>
      <c r="G24" s="244" t="e">
        <f ca="1">Calcu!AN24</f>
        <v>#N/A</v>
      </c>
      <c r="H24" s="244" t="e">
        <f ca="1">Calcu!AP24</f>
        <v>#N/A</v>
      </c>
      <c r="I24" s="245" t="str">
        <f>Calcu!AR24</f>
        <v/>
      </c>
      <c r="J24" s="51"/>
    </row>
    <row r="25" spans="1:10" s="87" customFormat="1" ht="15" customHeight="1">
      <c r="A25" s="43" t="str">
        <f>IF(Calcu!AJ25=TRUE,"","삭제")</f>
        <v>삭제</v>
      </c>
      <c r="D25" s="43"/>
      <c r="E25" s="244" t="s">
        <v>411</v>
      </c>
      <c r="F25" s="244" t="e">
        <f ca="1">Calcu!AK25</f>
        <v>#N/A</v>
      </c>
      <c r="G25" s="244" t="e">
        <f ca="1">Calcu!AN25</f>
        <v>#N/A</v>
      </c>
      <c r="H25" s="244" t="e">
        <f ca="1">Calcu!AP25</f>
        <v>#N/A</v>
      </c>
      <c r="I25" s="245" t="str">
        <f>Calcu!AR25</f>
        <v/>
      </c>
      <c r="J25" s="51"/>
    </row>
    <row r="26" spans="1:10" s="87" customFormat="1" ht="15" customHeight="1">
      <c r="A26" s="43" t="str">
        <f>IF(Calcu!AJ26=TRUE,"","삭제")</f>
        <v>삭제</v>
      </c>
      <c r="D26" s="43"/>
      <c r="E26" s="244" t="s">
        <v>411</v>
      </c>
      <c r="F26" s="244" t="e">
        <f ca="1">Calcu!AK26</f>
        <v>#N/A</v>
      </c>
      <c r="G26" s="244" t="e">
        <f ca="1">Calcu!AN26</f>
        <v>#N/A</v>
      </c>
      <c r="H26" s="244" t="e">
        <f ca="1">Calcu!AP26</f>
        <v>#N/A</v>
      </c>
      <c r="I26" s="245" t="str">
        <f>Calcu!AR26</f>
        <v/>
      </c>
      <c r="J26" s="51"/>
    </row>
    <row r="27" spans="1:10" s="87" customFormat="1" ht="15" customHeight="1">
      <c r="A27" s="43" t="str">
        <f>IF(Calcu!AJ27=TRUE,"","삭제")</f>
        <v>삭제</v>
      </c>
      <c r="D27" s="43"/>
      <c r="E27" s="244" t="s">
        <v>411</v>
      </c>
      <c r="F27" s="244" t="e">
        <f ca="1">Calcu!AK27</f>
        <v>#N/A</v>
      </c>
      <c r="G27" s="244" t="e">
        <f ca="1">Calcu!AN27</f>
        <v>#N/A</v>
      </c>
      <c r="H27" s="244" t="e">
        <f ca="1">Calcu!AP27</f>
        <v>#N/A</v>
      </c>
      <c r="I27" s="245" t="str">
        <f>Calcu!AR27</f>
        <v/>
      </c>
      <c r="J27" s="51"/>
    </row>
    <row r="28" spans="1:10" s="87" customFormat="1" ht="15" customHeight="1">
      <c r="A28" s="43" t="str">
        <f>IF(Calcu!AJ28=TRUE,"","삭제")</f>
        <v>삭제</v>
      </c>
      <c r="D28" s="43"/>
      <c r="E28" s="244" t="s">
        <v>411</v>
      </c>
      <c r="F28" s="244" t="e">
        <f ca="1">Calcu!AK28</f>
        <v>#N/A</v>
      </c>
      <c r="G28" s="244" t="e">
        <f ca="1">Calcu!AN28</f>
        <v>#N/A</v>
      </c>
      <c r="H28" s="244" t="e">
        <f ca="1">Calcu!AP28</f>
        <v>#N/A</v>
      </c>
      <c r="I28" s="245" t="str">
        <f>Calcu!AR28</f>
        <v/>
      </c>
    </row>
    <row r="29" spans="1:10" s="87" customFormat="1" ht="15" customHeight="1">
      <c r="A29" s="43" t="str">
        <f>IF(Calcu!AJ29=TRUE,"","삭제")</f>
        <v>삭제</v>
      </c>
      <c r="D29" s="43"/>
      <c r="E29" s="244" t="s">
        <v>411</v>
      </c>
      <c r="F29" s="244" t="e">
        <f ca="1">Calcu!AK29</f>
        <v>#N/A</v>
      </c>
      <c r="G29" s="244" t="e">
        <f ca="1">Calcu!AN29</f>
        <v>#N/A</v>
      </c>
      <c r="H29" s="244" t="e">
        <f ca="1">Calcu!AP29</f>
        <v>#N/A</v>
      </c>
      <c r="I29" s="245" t="str">
        <f>Calcu!AR29</f>
        <v/>
      </c>
    </row>
    <row r="30" spans="1:10" s="87" customFormat="1" ht="15" customHeight="1">
      <c r="A30" s="43" t="str">
        <f>IF(Calcu!AJ30=TRUE,"","삭제")</f>
        <v>삭제</v>
      </c>
      <c r="D30" s="43"/>
      <c r="E30" s="244" t="s">
        <v>411</v>
      </c>
      <c r="F30" s="244" t="e">
        <f ca="1">Calcu!AK30</f>
        <v>#N/A</v>
      </c>
      <c r="G30" s="244" t="e">
        <f ca="1">Calcu!AN30</f>
        <v>#N/A</v>
      </c>
      <c r="H30" s="244" t="e">
        <f ca="1">Calcu!AP30</f>
        <v>#N/A</v>
      </c>
      <c r="I30" s="245" t="str">
        <f>Calcu!AR30</f>
        <v/>
      </c>
    </row>
    <row r="31" spans="1:10" s="87" customFormat="1" ht="15" customHeight="1">
      <c r="A31" s="43" t="str">
        <f>IF(Calcu!AJ31=TRUE,"","삭제")</f>
        <v>삭제</v>
      </c>
      <c r="D31" s="43"/>
      <c r="E31" s="244" t="s">
        <v>411</v>
      </c>
      <c r="F31" s="244" t="e">
        <f ca="1">Calcu!AK31</f>
        <v>#N/A</v>
      </c>
      <c r="G31" s="244" t="e">
        <f ca="1">Calcu!AN31</f>
        <v>#N/A</v>
      </c>
      <c r="H31" s="244" t="e">
        <f ca="1">Calcu!AP31</f>
        <v>#N/A</v>
      </c>
      <c r="I31" s="245" t="str">
        <f>Calcu!AR31</f>
        <v/>
      </c>
    </row>
    <row r="32" spans="1:10" s="87" customFormat="1" ht="15" customHeight="1">
      <c r="A32" s="43" t="str">
        <f>IF(Calcu!AJ9=TRUE,"","삭제")</f>
        <v>삭제</v>
      </c>
      <c r="D32" s="43"/>
      <c r="E32" s="244" t="s">
        <v>412</v>
      </c>
      <c r="F32" s="244" t="e">
        <f ca="1">Calcu!AK9</f>
        <v>#N/A</v>
      </c>
      <c r="G32" s="244" t="str">
        <f ca="1">Calcu!AO9</f>
        <v>-</v>
      </c>
      <c r="H32" s="244" t="str">
        <f ca="1">Calcu!AQ9</f>
        <v>-</v>
      </c>
      <c r="I32" s="245" t="str">
        <f ca="1">Calcu!AS9</f>
        <v>-</v>
      </c>
      <c r="J32" s="51"/>
    </row>
    <row r="33" spans="1:10" s="87" customFormat="1" ht="15" customHeight="1">
      <c r="A33" s="43" t="str">
        <f>IF(Calcu!AJ10=TRUE,"","삭제")</f>
        <v>삭제</v>
      </c>
      <c r="D33" s="43"/>
      <c r="E33" s="244" t="s">
        <v>412</v>
      </c>
      <c r="F33" s="244" t="e">
        <f ca="1">Calcu!AK10</f>
        <v>#N/A</v>
      </c>
      <c r="G33" s="244" t="str">
        <f ca="1">Calcu!AO10</f>
        <v>-</v>
      </c>
      <c r="H33" s="244" t="str">
        <f ca="1">Calcu!AQ10</f>
        <v>-</v>
      </c>
      <c r="I33" s="245" t="str">
        <f ca="1">Calcu!AS10</f>
        <v>-</v>
      </c>
      <c r="J33" s="51"/>
    </row>
    <row r="34" spans="1:10" s="87" customFormat="1" ht="15" customHeight="1">
      <c r="A34" s="43" t="str">
        <f>IF(Calcu!AJ11=TRUE,"","삭제")</f>
        <v>삭제</v>
      </c>
      <c r="D34" s="43"/>
      <c r="E34" s="244" t="s">
        <v>412</v>
      </c>
      <c r="F34" s="244" t="e">
        <f ca="1">Calcu!AK11</f>
        <v>#N/A</v>
      </c>
      <c r="G34" s="244" t="str">
        <f ca="1">Calcu!AO11</f>
        <v>-</v>
      </c>
      <c r="H34" s="244" t="str">
        <f ca="1">Calcu!AQ11</f>
        <v>-</v>
      </c>
      <c r="I34" s="245" t="str">
        <f ca="1">Calcu!AS11</f>
        <v>-</v>
      </c>
      <c r="J34" s="51"/>
    </row>
    <row r="35" spans="1:10" s="87" customFormat="1" ht="15" customHeight="1">
      <c r="A35" s="43" t="str">
        <f>IF(Calcu!AJ12=TRUE,"","삭제")</f>
        <v>삭제</v>
      </c>
      <c r="D35" s="43"/>
      <c r="E35" s="244" t="s">
        <v>412</v>
      </c>
      <c r="F35" s="244" t="e">
        <f ca="1">Calcu!AK12</f>
        <v>#N/A</v>
      </c>
      <c r="G35" s="244" t="str">
        <f ca="1">Calcu!AO12</f>
        <v>-</v>
      </c>
      <c r="H35" s="244" t="str">
        <f ca="1">Calcu!AQ12</f>
        <v>-</v>
      </c>
      <c r="I35" s="245" t="str">
        <f ca="1">Calcu!AS12</f>
        <v>-</v>
      </c>
      <c r="J35" s="51"/>
    </row>
    <row r="36" spans="1:10" s="87" customFormat="1" ht="15" customHeight="1">
      <c r="A36" s="43" t="str">
        <f>IF(Calcu!AJ13=TRUE,"","삭제")</f>
        <v>삭제</v>
      </c>
      <c r="D36" s="43"/>
      <c r="E36" s="244" t="s">
        <v>412</v>
      </c>
      <c r="F36" s="244" t="e">
        <f ca="1">Calcu!AK13</f>
        <v>#N/A</v>
      </c>
      <c r="G36" s="244" t="str">
        <f ca="1">Calcu!AO13</f>
        <v>-</v>
      </c>
      <c r="H36" s="244" t="str">
        <f ca="1">Calcu!AQ13</f>
        <v>-</v>
      </c>
      <c r="I36" s="245" t="str">
        <f ca="1">Calcu!AS13</f>
        <v>-</v>
      </c>
      <c r="J36" s="51"/>
    </row>
    <row r="37" spans="1:10" s="87" customFormat="1" ht="15" customHeight="1">
      <c r="A37" s="43" t="str">
        <f>IF(Calcu!AJ14=TRUE,"","삭제")</f>
        <v>삭제</v>
      </c>
      <c r="D37" s="43"/>
      <c r="E37" s="244" t="s">
        <v>412</v>
      </c>
      <c r="F37" s="244" t="e">
        <f ca="1">Calcu!AK14</f>
        <v>#N/A</v>
      </c>
      <c r="G37" s="244" t="str">
        <f ca="1">Calcu!AO14</f>
        <v>-</v>
      </c>
      <c r="H37" s="244" t="str">
        <f ca="1">Calcu!AQ14</f>
        <v>-</v>
      </c>
      <c r="I37" s="245" t="str">
        <f ca="1">Calcu!AS14</f>
        <v>-</v>
      </c>
      <c r="J37" s="51"/>
    </row>
    <row r="38" spans="1:10" s="87" customFormat="1" ht="15" customHeight="1">
      <c r="A38" s="43" t="str">
        <f>IF(Calcu!AJ15=TRUE,"","삭제")</f>
        <v>삭제</v>
      </c>
      <c r="D38" s="43"/>
      <c r="E38" s="244" t="s">
        <v>412</v>
      </c>
      <c r="F38" s="244" t="e">
        <f ca="1">Calcu!AK15</f>
        <v>#N/A</v>
      </c>
      <c r="G38" s="244" t="str">
        <f ca="1">Calcu!AO15</f>
        <v>-</v>
      </c>
      <c r="H38" s="244" t="str">
        <f ca="1">Calcu!AQ15</f>
        <v>-</v>
      </c>
      <c r="I38" s="245" t="str">
        <f ca="1">Calcu!AS15</f>
        <v>-</v>
      </c>
      <c r="J38" s="51"/>
    </row>
    <row r="39" spans="1:10" s="87" customFormat="1" ht="15" customHeight="1">
      <c r="A39" s="43" t="str">
        <f>IF(Calcu!AJ16=TRUE,"","삭제")</f>
        <v>삭제</v>
      </c>
      <c r="D39" s="43"/>
      <c r="E39" s="244" t="s">
        <v>412</v>
      </c>
      <c r="F39" s="244" t="e">
        <f ca="1">Calcu!AK16</f>
        <v>#N/A</v>
      </c>
      <c r="G39" s="244" t="str">
        <f ca="1">Calcu!AO16</f>
        <v>-</v>
      </c>
      <c r="H39" s="244" t="str">
        <f ca="1">Calcu!AQ16</f>
        <v>-</v>
      </c>
      <c r="I39" s="245" t="str">
        <f ca="1">Calcu!AS16</f>
        <v>-</v>
      </c>
      <c r="J39" s="51"/>
    </row>
    <row r="40" spans="1:10" s="87" customFormat="1" ht="15" customHeight="1">
      <c r="A40" s="43" t="str">
        <f>IF(Calcu!AJ17=TRUE,"","삭제")</f>
        <v>삭제</v>
      </c>
      <c r="D40" s="43"/>
      <c r="E40" s="244" t="s">
        <v>412</v>
      </c>
      <c r="F40" s="244" t="e">
        <f ca="1">Calcu!AK17</f>
        <v>#N/A</v>
      </c>
      <c r="G40" s="244" t="str">
        <f ca="1">Calcu!AO17</f>
        <v>-</v>
      </c>
      <c r="H40" s="244" t="str">
        <f ca="1">Calcu!AQ17</f>
        <v>-</v>
      </c>
      <c r="I40" s="245" t="str">
        <f ca="1">Calcu!AS17</f>
        <v>-</v>
      </c>
      <c r="J40" s="51"/>
    </row>
    <row r="41" spans="1:10" s="87" customFormat="1" ht="15" customHeight="1">
      <c r="A41" s="43" t="str">
        <f>IF(Calcu!AJ18=TRUE,"","삭제")</f>
        <v>삭제</v>
      </c>
      <c r="D41" s="43"/>
      <c r="E41" s="244" t="s">
        <v>412</v>
      </c>
      <c r="F41" s="244" t="e">
        <f ca="1">Calcu!AK18</f>
        <v>#N/A</v>
      </c>
      <c r="G41" s="244" t="str">
        <f ca="1">Calcu!AO18</f>
        <v>-</v>
      </c>
      <c r="H41" s="244" t="str">
        <f ca="1">Calcu!AQ18</f>
        <v>-</v>
      </c>
      <c r="I41" s="245" t="str">
        <f ca="1">Calcu!AS18</f>
        <v>-</v>
      </c>
      <c r="J41" s="51"/>
    </row>
    <row r="42" spans="1:10" s="87" customFormat="1" ht="15" customHeight="1">
      <c r="A42" s="43" t="str">
        <f>IF(Calcu!AJ19=TRUE,"","삭제")</f>
        <v>삭제</v>
      </c>
      <c r="D42" s="43"/>
      <c r="E42" s="244" t="s">
        <v>412</v>
      </c>
      <c r="F42" s="244" t="e">
        <f ca="1">Calcu!AK19</f>
        <v>#N/A</v>
      </c>
      <c r="G42" s="244" t="str">
        <f ca="1">Calcu!AO19</f>
        <v>-</v>
      </c>
      <c r="H42" s="244" t="str">
        <f ca="1">Calcu!AQ19</f>
        <v>-</v>
      </c>
      <c r="I42" s="245" t="str">
        <f ca="1">Calcu!AS19</f>
        <v>-</v>
      </c>
      <c r="J42" s="51"/>
    </row>
    <row r="43" spans="1:10" s="87" customFormat="1" ht="15" customHeight="1">
      <c r="A43" s="43" t="str">
        <f>IF(Calcu!AJ20=TRUE,"","삭제")</f>
        <v>삭제</v>
      </c>
      <c r="D43" s="43"/>
      <c r="E43" s="244" t="s">
        <v>412</v>
      </c>
      <c r="F43" s="244" t="e">
        <f ca="1">Calcu!AK20</f>
        <v>#N/A</v>
      </c>
      <c r="G43" s="244" t="str">
        <f ca="1">Calcu!AO20</f>
        <v>-</v>
      </c>
      <c r="H43" s="244" t="str">
        <f ca="1">Calcu!AQ20</f>
        <v>-</v>
      </c>
      <c r="I43" s="245" t="str">
        <f ca="1">Calcu!AS20</f>
        <v>-</v>
      </c>
      <c r="J43" s="51"/>
    </row>
    <row r="44" spans="1:10" s="87" customFormat="1" ht="15" customHeight="1">
      <c r="A44" s="43" t="str">
        <f>IF(Calcu!AJ21=TRUE,"","삭제")</f>
        <v>삭제</v>
      </c>
      <c r="D44" s="43"/>
      <c r="E44" s="244" t="s">
        <v>412</v>
      </c>
      <c r="F44" s="244" t="e">
        <f ca="1">Calcu!AK21</f>
        <v>#N/A</v>
      </c>
      <c r="G44" s="244" t="str">
        <f ca="1">Calcu!AO21</f>
        <v>-</v>
      </c>
      <c r="H44" s="244" t="str">
        <f ca="1">Calcu!AQ21</f>
        <v>-</v>
      </c>
      <c r="I44" s="245" t="str">
        <f ca="1">Calcu!AS21</f>
        <v>-</v>
      </c>
      <c r="J44" s="51"/>
    </row>
    <row r="45" spans="1:10" s="87" customFormat="1" ht="15" customHeight="1">
      <c r="A45" s="43" t="str">
        <f>IF(Calcu!AJ22=TRUE,"","삭제")</f>
        <v>삭제</v>
      </c>
      <c r="D45" s="43"/>
      <c r="E45" s="244" t="s">
        <v>412</v>
      </c>
      <c r="F45" s="244" t="e">
        <f ca="1">Calcu!AK22</f>
        <v>#N/A</v>
      </c>
      <c r="G45" s="244" t="str">
        <f ca="1">Calcu!AO22</f>
        <v>-</v>
      </c>
      <c r="H45" s="244" t="str">
        <f ca="1">Calcu!AQ22</f>
        <v>-</v>
      </c>
      <c r="I45" s="245" t="str">
        <f ca="1">Calcu!AS22</f>
        <v>-</v>
      </c>
      <c r="J45" s="51"/>
    </row>
    <row r="46" spans="1:10" s="87" customFormat="1" ht="15" customHeight="1">
      <c r="A46" s="43" t="str">
        <f>IF(Calcu!AJ23=TRUE,"","삭제")</f>
        <v>삭제</v>
      </c>
      <c r="D46" s="43"/>
      <c r="E46" s="244" t="s">
        <v>412</v>
      </c>
      <c r="F46" s="244" t="e">
        <f ca="1">Calcu!AK23</f>
        <v>#N/A</v>
      </c>
      <c r="G46" s="244" t="str">
        <f ca="1">Calcu!AO23</f>
        <v>-</v>
      </c>
      <c r="H46" s="244" t="str">
        <f ca="1">Calcu!AQ23</f>
        <v>-</v>
      </c>
      <c r="I46" s="245" t="str">
        <f ca="1">Calcu!AS23</f>
        <v>-</v>
      </c>
      <c r="J46" s="51"/>
    </row>
    <row r="47" spans="1:10" s="87" customFormat="1" ht="15" customHeight="1">
      <c r="A47" s="43" t="str">
        <f>IF(Calcu!AJ24=TRUE,"","삭제")</f>
        <v>삭제</v>
      </c>
      <c r="D47" s="43"/>
      <c r="E47" s="244" t="s">
        <v>412</v>
      </c>
      <c r="F47" s="244" t="e">
        <f ca="1">Calcu!AK24</f>
        <v>#N/A</v>
      </c>
      <c r="G47" s="244" t="str">
        <f ca="1">Calcu!AO24</f>
        <v>-</v>
      </c>
      <c r="H47" s="244" t="str">
        <f ca="1">Calcu!AQ24</f>
        <v>-</v>
      </c>
      <c r="I47" s="245" t="str">
        <f ca="1">Calcu!AS24</f>
        <v>-</v>
      </c>
      <c r="J47" s="51"/>
    </row>
    <row r="48" spans="1:10" s="87" customFormat="1" ht="15" customHeight="1">
      <c r="A48" s="43" t="str">
        <f>IF(Calcu!AJ25=TRUE,"","삭제")</f>
        <v>삭제</v>
      </c>
      <c r="D48" s="43"/>
      <c r="E48" s="244" t="s">
        <v>412</v>
      </c>
      <c r="F48" s="244" t="e">
        <f ca="1">Calcu!AK25</f>
        <v>#N/A</v>
      </c>
      <c r="G48" s="244" t="str">
        <f ca="1">Calcu!AO25</f>
        <v>-</v>
      </c>
      <c r="H48" s="244" t="str">
        <f ca="1">Calcu!AQ25</f>
        <v>-</v>
      </c>
      <c r="I48" s="245" t="str">
        <f ca="1">Calcu!AS25</f>
        <v>-</v>
      </c>
      <c r="J48" s="51"/>
    </row>
    <row r="49" spans="1:13" s="87" customFormat="1" ht="15" customHeight="1">
      <c r="A49" s="43" t="str">
        <f>IF(Calcu!AJ26=TRUE,"","삭제")</f>
        <v>삭제</v>
      </c>
      <c r="D49" s="43"/>
      <c r="E49" s="244" t="s">
        <v>412</v>
      </c>
      <c r="F49" s="244" t="e">
        <f ca="1">Calcu!AK26</f>
        <v>#N/A</v>
      </c>
      <c r="G49" s="244" t="str">
        <f ca="1">Calcu!AO26</f>
        <v>-</v>
      </c>
      <c r="H49" s="244" t="str">
        <f ca="1">Calcu!AQ26</f>
        <v>-</v>
      </c>
      <c r="I49" s="245" t="str">
        <f ca="1">Calcu!AS26</f>
        <v>-</v>
      </c>
      <c r="J49" s="51"/>
    </row>
    <row r="50" spans="1:13" s="87" customFormat="1" ht="15" customHeight="1">
      <c r="A50" s="43" t="str">
        <f>IF(Calcu!AJ27=TRUE,"","삭제")</f>
        <v>삭제</v>
      </c>
      <c r="D50" s="43"/>
      <c r="E50" s="244" t="s">
        <v>412</v>
      </c>
      <c r="F50" s="244" t="e">
        <f ca="1">Calcu!AK27</f>
        <v>#N/A</v>
      </c>
      <c r="G50" s="244" t="str">
        <f ca="1">Calcu!AO27</f>
        <v>-</v>
      </c>
      <c r="H50" s="244" t="str">
        <f ca="1">Calcu!AQ27</f>
        <v>-</v>
      </c>
      <c r="I50" s="245" t="str">
        <f ca="1">Calcu!AS27</f>
        <v>-</v>
      </c>
      <c r="J50" s="51"/>
    </row>
    <row r="51" spans="1:13" s="87" customFormat="1" ht="15" customHeight="1">
      <c r="A51" s="43" t="str">
        <f>IF(Calcu!AJ28=TRUE,"","삭제")</f>
        <v>삭제</v>
      </c>
      <c r="D51" s="43"/>
      <c r="E51" s="244" t="s">
        <v>412</v>
      </c>
      <c r="F51" s="244" t="e">
        <f ca="1">Calcu!AK28</f>
        <v>#N/A</v>
      </c>
      <c r="G51" s="244" t="str">
        <f ca="1">Calcu!AO28</f>
        <v>-</v>
      </c>
      <c r="H51" s="244" t="str">
        <f ca="1">Calcu!AQ28</f>
        <v>-</v>
      </c>
      <c r="I51" s="245" t="str">
        <f ca="1">Calcu!AS28</f>
        <v>-</v>
      </c>
    </row>
    <row r="52" spans="1:13" s="87" customFormat="1" ht="15" customHeight="1">
      <c r="A52" s="43" t="str">
        <f>IF(Calcu!AJ29=TRUE,"","삭제")</f>
        <v>삭제</v>
      </c>
      <c r="D52" s="43"/>
      <c r="E52" s="244" t="s">
        <v>412</v>
      </c>
      <c r="F52" s="244" t="e">
        <f ca="1">Calcu!AK29</f>
        <v>#N/A</v>
      </c>
      <c r="G52" s="244" t="str">
        <f ca="1">Calcu!AO29</f>
        <v>-</v>
      </c>
      <c r="H52" s="244" t="str">
        <f ca="1">Calcu!AQ29</f>
        <v>-</v>
      </c>
      <c r="I52" s="245" t="str">
        <f ca="1">Calcu!AS29</f>
        <v>-</v>
      </c>
    </row>
    <row r="53" spans="1:13" s="87" customFormat="1" ht="15" customHeight="1">
      <c r="A53" s="43" t="str">
        <f>IF(Calcu!AJ30=TRUE,"","삭제")</f>
        <v>삭제</v>
      </c>
      <c r="D53" s="43"/>
      <c r="E53" s="244" t="s">
        <v>412</v>
      </c>
      <c r="F53" s="244" t="e">
        <f ca="1">Calcu!AK30</f>
        <v>#N/A</v>
      </c>
      <c r="G53" s="244" t="str">
        <f ca="1">Calcu!AO30</f>
        <v>-</v>
      </c>
      <c r="H53" s="244" t="str">
        <f ca="1">Calcu!AQ30</f>
        <v>-</v>
      </c>
      <c r="I53" s="245" t="str">
        <f ca="1">Calcu!AS30</f>
        <v>-</v>
      </c>
    </row>
    <row r="54" spans="1:13" s="87" customFormat="1" ht="15" customHeight="1">
      <c r="A54" s="43" t="str">
        <f>IF(Calcu!AJ31=TRUE,"","삭제")</f>
        <v>삭제</v>
      </c>
      <c r="D54" s="43"/>
      <c r="E54" s="244" t="s">
        <v>412</v>
      </c>
      <c r="F54" s="244" t="e">
        <f ca="1">Calcu!AK31</f>
        <v>#N/A</v>
      </c>
      <c r="G54" s="244" t="str">
        <f ca="1">Calcu!AO31</f>
        <v>-</v>
      </c>
      <c r="H54" s="244" t="str">
        <f ca="1">Calcu!AQ31</f>
        <v>-</v>
      </c>
      <c r="I54" s="245" t="str">
        <f ca="1">Calcu!AS31</f>
        <v>-</v>
      </c>
    </row>
    <row r="55" spans="1:13" ht="15" customHeight="1">
      <c r="B55" s="95"/>
      <c r="C55" s="95"/>
      <c r="D55" s="75"/>
      <c r="E55" s="113"/>
      <c r="F55" s="113"/>
      <c r="G55" s="113"/>
      <c r="H55" s="113"/>
      <c r="I55" s="113"/>
      <c r="J55" s="75"/>
      <c r="K55" s="112"/>
      <c r="M55" s="95"/>
    </row>
    <row r="56" spans="1:13" ht="15" customHeight="1">
      <c r="J56" s="95"/>
      <c r="K56" s="112"/>
      <c r="M56" s="95"/>
    </row>
    <row r="57" spans="1:13" ht="15" customHeight="1">
      <c r="J57" s="95"/>
      <c r="K57" s="112"/>
      <c r="M57" s="95"/>
    </row>
  </sheetData>
  <mergeCells count="3">
    <mergeCell ref="I7:I8"/>
    <mergeCell ref="A1:L2"/>
    <mergeCell ref="E7:E8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showGridLines="0" showWhiteSpace="0" zoomScaleSheetLayoutView="100" workbookViewId="0">
      <selection sqref="A1:L2"/>
    </sheetView>
  </sheetViews>
  <sheetFormatPr defaultColWidth="10.77734375" defaultRowHeight="15" customHeight="1"/>
  <cols>
    <col min="1" max="2" width="5" style="37" customWidth="1"/>
    <col min="3" max="10" width="7.5546875" style="37" customWidth="1"/>
    <col min="11" max="11" width="5" style="37" customWidth="1"/>
    <col min="12" max="12" width="5" style="95" customWidth="1"/>
    <col min="13" max="16384" width="10.77734375" style="87"/>
  </cols>
  <sheetData>
    <row r="1" spans="1:12" s="82" customFormat="1" ht="33" customHeight="1">
      <c r="A1" s="391" t="s">
        <v>59</v>
      </c>
      <c r="B1" s="391"/>
      <c r="C1" s="391"/>
      <c r="D1" s="391"/>
      <c r="E1" s="391"/>
      <c r="F1" s="391"/>
      <c r="G1" s="391"/>
      <c r="H1" s="391"/>
      <c r="I1" s="391"/>
      <c r="J1" s="391"/>
      <c r="K1" s="391"/>
      <c r="L1" s="391"/>
    </row>
    <row r="2" spans="1:12" s="82" customFormat="1" ht="33" customHeight="1">
      <c r="A2" s="391"/>
      <c r="B2" s="391"/>
      <c r="C2" s="391"/>
      <c r="D2" s="391"/>
      <c r="E2" s="391"/>
      <c r="F2" s="391"/>
      <c r="G2" s="391"/>
      <c r="H2" s="391"/>
      <c r="I2" s="391"/>
      <c r="J2" s="391"/>
      <c r="K2" s="391"/>
      <c r="L2" s="391"/>
    </row>
    <row r="3" spans="1:12" s="82" customFormat="1" ht="12.75" customHeight="1">
      <c r="A3" s="48"/>
      <c r="B3" s="48"/>
      <c r="C3" s="22"/>
      <c r="D3" s="22"/>
      <c r="E3" s="22"/>
      <c r="F3" s="22"/>
      <c r="G3" s="22"/>
      <c r="H3" s="22"/>
      <c r="I3" s="22"/>
      <c r="J3" s="22"/>
      <c r="K3" s="22"/>
      <c r="L3" s="83"/>
    </row>
    <row r="4" spans="1:12" s="84" customFormat="1" ht="13.5" customHeight="1">
      <c r="A4" s="92"/>
      <c r="B4" s="92"/>
      <c r="C4" s="93"/>
      <c r="D4" s="93"/>
      <c r="E4" s="102"/>
      <c r="F4" s="93"/>
      <c r="G4" s="93"/>
      <c r="H4" s="103"/>
      <c r="I4" s="94"/>
      <c r="J4" s="102"/>
      <c r="K4" s="102"/>
      <c r="L4" s="92"/>
    </row>
    <row r="5" spans="1:12" s="86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85"/>
    </row>
    <row r="6" spans="1:12" s="37" customFormat="1" ht="15" customHeight="1">
      <c r="C6" s="54" t="str">
        <f>"○ 품명 : "&amp;기본정보!C$5</f>
        <v xml:space="preserve">○ 품명 : </v>
      </c>
      <c r="L6" s="95"/>
    </row>
    <row r="7" spans="1:12" s="37" customFormat="1" ht="15" customHeight="1">
      <c r="C7" s="54" t="str">
        <f>"○ 제작회사 : "&amp;기본정보!C$6</f>
        <v xml:space="preserve">○ 제작회사 : </v>
      </c>
      <c r="L7" s="95"/>
    </row>
    <row r="8" spans="1:12" s="37" customFormat="1" ht="15" customHeight="1">
      <c r="C8" s="54" t="str">
        <f>"○ 형식 : "&amp;기본정보!C$7</f>
        <v xml:space="preserve">○ 형식 : </v>
      </c>
      <c r="L8" s="95"/>
    </row>
    <row r="9" spans="1:12" s="37" customFormat="1" ht="15" customHeight="1">
      <c r="C9" s="54" t="str">
        <f>"○ 기기번호 : "&amp;기본정보!C$8</f>
        <v xml:space="preserve">○ 기기번호 : </v>
      </c>
      <c r="L9" s="95"/>
    </row>
    <row r="10" spans="1:12" s="37" customFormat="1" ht="15" customHeight="1">
      <c r="L10" s="95"/>
    </row>
    <row r="11" spans="1:12" ht="15" customHeight="1">
      <c r="B11" s="75"/>
      <c r="C11" s="113"/>
      <c r="D11" s="113"/>
      <c r="E11" s="113"/>
      <c r="F11" s="113"/>
      <c r="G11" s="113"/>
      <c r="H11" s="114"/>
      <c r="I11" s="114"/>
      <c r="J11" s="113"/>
      <c r="K11" s="75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55"/>
  <sheetViews>
    <sheetView showGridLines="0" zoomScaleNormal="100" workbookViewId="0"/>
  </sheetViews>
  <sheetFormatPr defaultColWidth="8.88671875" defaultRowHeight="13.5" customHeight="1"/>
  <cols>
    <col min="1" max="1" width="3.77734375" style="30" customWidth="1"/>
    <col min="2" max="2" width="8.77734375" style="30" customWidth="1"/>
    <col min="3" max="4" width="8.77734375" style="31" customWidth="1"/>
    <col min="5" max="5" width="8.77734375" style="26" customWidth="1"/>
    <col min="6" max="8" width="8.77734375" style="27" customWidth="1"/>
    <col min="9" max="9" width="10.44140625" style="27" customWidth="1"/>
    <col min="10" max="10" width="3.77734375" style="45" customWidth="1"/>
    <col min="11" max="12" width="10.44140625" style="45" customWidth="1"/>
    <col min="13" max="16" width="8.88671875" style="45" customWidth="1"/>
    <col min="17" max="19" width="8.88671875" style="45"/>
    <col min="20" max="16384" width="8.88671875" style="29"/>
  </cols>
  <sheetData>
    <row r="1" spans="1:30" s="68" customFormat="1" ht="25.5">
      <c r="A1" s="64" t="s">
        <v>61</v>
      </c>
      <c r="B1" s="31"/>
      <c r="C1" s="31"/>
      <c r="D1" s="31"/>
      <c r="E1" s="65"/>
      <c r="F1" s="27"/>
      <c r="G1" s="27"/>
      <c r="H1" s="27"/>
      <c r="I1" s="27"/>
      <c r="J1" s="27"/>
      <c r="K1" s="66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</row>
    <row r="2" spans="1:30" s="28" customFormat="1" ht="15" customHeight="1">
      <c r="A2" s="25"/>
      <c r="B2" s="25"/>
      <c r="C2" s="25"/>
      <c r="D2" s="25"/>
      <c r="E2" s="25"/>
      <c r="F2" s="25"/>
      <c r="G2" s="25"/>
      <c r="H2" s="25"/>
      <c r="I2" s="25"/>
    </row>
    <row r="3" spans="1:30" s="28" customFormat="1" ht="15" customHeight="1">
      <c r="A3" s="46"/>
      <c r="B3" s="105" t="s">
        <v>2</v>
      </c>
      <c r="C3" s="106">
        <f>기본정보!C3</f>
        <v>0</v>
      </c>
      <c r="D3" s="105" t="s">
        <v>106</v>
      </c>
      <c r="E3" s="399">
        <f>기본정보!H3</f>
        <v>0</v>
      </c>
      <c r="F3" s="400"/>
      <c r="G3" s="105" t="s">
        <v>110</v>
      </c>
      <c r="H3" s="108">
        <f>기본정보!H8</f>
        <v>0</v>
      </c>
      <c r="I3" s="25"/>
    </row>
    <row r="4" spans="1:30" s="28" customFormat="1" ht="15" customHeight="1">
      <c r="A4" s="46"/>
      <c r="B4" s="105" t="s">
        <v>32</v>
      </c>
      <c r="C4" s="107">
        <f>기본정보!C8</f>
        <v>0</v>
      </c>
      <c r="D4" s="105" t="s">
        <v>107</v>
      </c>
      <c r="E4" s="397">
        <f>기본정보!H4</f>
        <v>0</v>
      </c>
      <c r="F4" s="398"/>
      <c r="G4" s="105" t="s">
        <v>14</v>
      </c>
      <c r="H4" s="108">
        <f>기본정보!H9</f>
        <v>0</v>
      </c>
      <c r="I4" s="25"/>
    </row>
    <row r="5" spans="1:30" s="28" customFormat="1" ht="15" customHeight="1">
      <c r="A5" s="46"/>
      <c r="D5" s="25"/>
      <c r="E5" s="25"/>
      <c r="F5" s="25"/>
      <c r="G5" s="25"/>
      <c r="H5" s="25"/>
      <c r="I5" s="25"/>
    </row>
    <row r="6" spans="1:30" s="28" customFormat="1" ht="15" customHeight="1">
      <c r="A6" s="46"/>
      <c r="B6" s="46" t="s">
        <v>108</v>
      </c>
      <c r="D6" s="25"/>
      <c r="E6" s="25"/>
      <c r="F6" s="25"/>
      <c r="G6" s="25"/>
      <c r="H6" s="25"/>
      <c r="I6" s="25"/>
    </row>
    <row r="7" spans="1:30" s="28" customFormat="1" ht="15" customHeight="1">
      <c r="A7" s="46"/>
      <c r="B7" s="105" t="s">
        <v>131</v>
      </c>
      <c r="C7" s="105" t="s">
        <v>62</v>
      </c>
      <c r="D7" s="105" t="s">
        <v>60</v>
      </c>
      <c r="E7" s="25"/>
      <c r="F7" s="25"/>
      <c r="G7" s="25"/>
      <c r="H7" s="25"/>
      <c r="I7" s="25"/>
    </row>
    <row r="8" spans="1:30" s="28" customFormat="1" ht="15" customHeight="1">
      <c r="A8" s="46"/>
      <c r="B8" s="106">
        <f>Calcu!E3</f>
        <v>0</v>
      </c>
      <c r="C8" s="106">
        <f>Calcu!F3</f>
        <v>0</v>
      </c>
      <c r="D8" s="106">
        <f>Calcu!H3</f>
        <v>0</v>
      </c>
      <c r="E8" s="25"/>
      <c r="F8" s="25"/>
      <c r="G8" s="25"/>
      <c r="H8" s="25"/>
      <c r="I8" s="25"/>
    </row>
    <row r="9" spans="1:30" s="28" customFormat="1" ht="15" customHeight="1">
      <c r="A9" s="46"/>
      <c r="B9" s="25"/>
      <c r="C9" s="25"/>
      <c r="D9" s="25"/>
      <c r="E9" s="25"/>
      <c r="F9" s="25"/>
      <c r="G9" s="25"/>
      <c r="H9" s="25"/>
      <c r="I9" s="25"/>
    </row>
    <row r="10" spans="1:30" s="28" customFormat="1" ht="15" customHeight="1">
      <c r="A10" s="46"/>
      <c r="B10" s="109" t="s">
        <v>109</v>
      </c>
      <c r="C10" s="25"/>
      <c r="D10" s="25"/>
      <c r="E10" s="25"/>
      <c r="F10" s="25"/>
      <c r="G10" s="25"/>
      <c r="H10" s="25"/>
      <c r="I10" s="25"/>
    </row>
    <row r="11" spans="1:30" ht="13.5" customHeight="1">
      <c r="A11" s="29"/>
      <c r="B11" s="110" t="s">
        <v>228</v>
      </c>
      <c r="F11" s="25"/>
      <c r="G11" s="25"/>
      <c r="H11" s="25"/>
      <c r="I11" s="25"/>
      <c r="J11" s="28"/>
      <c r="K11" s="28"/>
      <c r="L11" s="28"/>
      <c r="M11" s="28"/>
    </row>
    <row r="12" spans="1:30" ht="13.5" customHeight="1">
      <c r="B12" s="392" t="s">
        <v>385</v>
      </c>
      <c r="C12" s="394" t="s">
        <v>401</v>
      </c>
      <c r="D12" s="395"/>
      <c r="E12" s="395"/>
      <c r="F12" s="395"/>
      <c r="G12" s="396"/>
      <c r="H12" s="25"/>
      <c r="I12" s="25"/>
      <c r="J12" s="28"/>
      <c r="K12" s="28"/>
      <c r="L12" s="28"/>
      <c r="M12" s="28"/>
    </row>
    <row r="13" spans="1:30" ht="13.5" customHeight="1">
      <c r="B13" s="393"/>
      <c r="C13" s="105" t="s">
        <v>102</v>
      </c>
      <c r="D13" s="105" t="s">
        <v>77</v>
      </c>
      <c r="E13" s="105" t="s">
        <v>78</v>
      </c>
      <c r="F13" s="105" t="s">
        <v>229</v>
      </c>
      <c r="G13" s="105" t="s">
        <v>230</v>
      </c>
      <c r="H13" s="25"/>
      <c r="I13" s="25"/>
      <c r="J13" s="28"/>
      <c r="K13" s="28"/>
      <c r="L13" s="28"/>
      <c r="M13" s="28"/>
    </row>
    <row r="14" spans="1:30" ht="13.5" customHeight="1">
      <c r="B14" s="105">
        <f>D8</f>
        <v>0</v>
      </c>
      <c r="C14" s="105">
        <f t="shared" ref="C14:G14" si="0">B14</f>
        <v>0</v>
      </c>
      <c r="D14" s="105">
        <f t="shared" si="0"/>
        <v>0</v>
      </c>
      <c r="E14" s="105">
        <f t="shared" si="0"/>
        <v>0</v>
      </c>
      <c r="F14" s="105">
        <f t="shared" si="0"/>
        <v>0</v>
      </c>
      <c r="G14" s="105">
        <f t="shared" si="0"/>
        <v>0</v>
      </c>
      <c r="H14" s="25"/>
      <c r="I14" s="25"/>
      <c r="J14" s="28"/>
      <c r="K14" s="28"/>
      <c r="L14" s="28"/>
      <c r="M14" s="28"/>
    </row>
    <row r="15" spans="1:30" ht="13.5" customHeight="1">
      <c r="B15" s="106" t="str">
        <f>Calcu!C9</f>
        <v/>
      </c>
      <c r="C15" s="106" t="str">
        <f>IF(Calcu!$B9=FALSE,"",TEXT(Calcu!E9,Calcu!$Q$66))</f>
        <v/>
      </c>
      <c r="D15" s="106" t="str">
        <f>IF(Calcu!$B9=FALSE,"",TEXT(Calcu!F9,Calcu!$Q$66))</f>
        <v/>
      </c>
      <c r="E15" s="106" t="str">
        <f>IF(Calcu!$B9=FALSE,"",TEXT(Calcu!G9,Calcu!$Q$66))</f>
        <v/>
      </c>
      <c r="F15" s="106" t="str">
        <f>IF(Calcu!$B9=FALSE,"",TEXT(Calcu!H9,Calcu!$Q$66))</f>
        <v/>
      </c>
      <c r="G15" s="106" t="str">
        <f>IF(Calcu!$B9=FALSE,"",TEXT(Calcu!I9,Calcu!$Q$66))</f>
        <v/>
      </c>
      <c r="H15" s="25"/>
      <c r="I15" s="25"/>
      <c r="J15" s="28"/>
      <c r="K15" s="28"/>
      <c r="L15" s="28"/>
      <c r="M15" s="28"/>
    </row>
    <row r="16" spans="1:30" ht="13.5" customHeight="1">
      <c r="B16" s="106" t="str">
        <f>Calcu!C10</f>
        <v/>
      </c>
      <c r="C16" s="106" t="str">
        <f>IF(Calcu!$B10=FALSE,"",TEXT(Calcu!E10,Calcu!$Q$66))</f>
        <v/>
      </c>
      <c r="D16" s="106" t="str">
        <f>IF(Calcu!$B10=FALSE,"",TEXT(Calcu!F10,Calcu!$Q$66))</f>
        <v/>
      </c>
      <c r="E16" s="106" t="str">
        <f>IF(Calcu!$B10=FALSE,"",TEXT(Calcu!G10,Calcu!$Q$66))</f>
        <v/>
      </c>
      <c r="F16" s="106" t="str">
        <f>IF(Calcu!$B10=FALSE,"",TEXT(Calcu!H10,Calcu!$Q$66))</f>
        <v/>
      </c>
      <c r="G16" s="106" t="str">
        <f>IF(Calcu!$B10=FALSE,"",TEXT(Calcu!I10,Calcu!$Q$66))</f>
        <v/>
      </c>
      <c r="H16" s="25"/>
      <c r="I16" s="25"/>
      <c r="J16" s="28"/>
      <c r="K16" s="28"/>
      <c r="L16" s="28"/>
      <c r="M16" s="28"/>
    </row>
    <row r="17" spans="2:13" ht="13.5" customHeight="1">
      <c r="B17" s="106" t="str">
        <f>Calcu!C11</f>
        <v/>
      </c>
      <c r="C17" s="106" t="str">
        <f>IF(Calcu!$B11=FALSE,"",TEXT(Calcu!E11,Calcu!$Q$66))</f>
        <v/>
      </c>
      <c r="D17" s="106" t="str">
        <f>IF(Calcu!$B11=FALSE,"",TEXT(Calcu!F11,Calcu!$Q$66))</f>
        <v/>
      </c>
      <c r="E17" s="106" t="str">
        <f>IF(Calcu!$B11=FALSE,"",TEXT(Calcu!G11,Calcu!$Q$66))</f>
        <v/>
      </c>
      <c r="F17" s="106" t="str">
        <f>IF(Calcu!$B11=FALSE,"",TEXT(Calcu!H11,Calcu!$Q$66))</f>
        <v/>
      </c>
      <c r="G17" s="106" t="str">
        <f>IF(Calcu!$B11=FALSE,"",TEXT(Calcu!I11,Calcu!$Q$66))</f>
        <v/>
      </c>
      <c r="H17" s="25"/>
      <c r="I17" s="25"/>
      <c r="J17" s="28"/>
      <c r="K17" s="28"/>
      <c r="L17" s="28"/>
      <c r="M17" s="28"/>
    </row>
    <row r="18" spans="2:13" ht="13.5" customHeight="1">
      <c r="B18" s="106" t="str">
        <f>Calcu!C12</f>
        <v/>
      </c>
      <c r="C18" s="106" t="str">
        <f>IF(Calcu!$B12=FALSE,"",TEXT(Calcu!E12,Calcu!$Q$66))</f>
        <v/>
      </c>
      <c r="D18" s="106" t="str">
        <f>IF(Calcu!$B12=FALSE,"",TEXT(Calcu!F12,Calcu!$Q$66))</f>
        <v/>
      </c>
      <c r="E18" s="106" t="str">
        <f>IF(Calcu!$B12=FALSE,"",TEXT(Calcu!G12,Calcu!$Q$66))</f>
        <v/>
      </c>
      <c r="F18" s="106" t="str">
        <f>IF(Calcu!$B12=FALSE,"",TEXT(Calcu!H12,Calcu!$Q$66))</f>
        <v/>
      </c>
      <c r="G18" s="106" t="str">
        <f>IF(Calcu!$B12=FALSE,"",TEXT(Calcu!I12,Calcu!$Q$66))</f>
        <v/>
      </c>
      <c r="H18" s="25"/>
      <c r="I18" s="25"/>
      <c r="J18" s="28"/>
      <c r="K18" s="28"/>
      <c r="L18" s="28"/>
      <c r="M18" s="28"/>
    </row>
    <row r="19" spans="2:13" ht="13.5" customHeight="1">
      <c r="B19" s="106" t="str">
        <f>Calcu!C13</f>
        <v/>
      </c>
      <c r="C19" s="106" t="str">
        <f>IF(Calcu!$B13=FALSE,"",TEXT(Calcu!E13,Calcu!$Q$66))</f>
        <v/>
      </c>
      <c r="D19" s="106" t="str">
        <f>IF(Calcu!$B13=FALSE,"",TEXT(Calcu!F13,Calcu!$Q$66))</f>
        <v/>
      </c>
      <c r="E19" s="106" t="str">
        <f>IF(Calcu!$B13=FALSE,"",TEXT(Calcu!G13,Calcu!$Q$66))</f>
        <v/>
      </c>
      <c r="F19" s="106" t="str">
        <f>IF(Calcu!$B13=FALSE,"",TEXT(Calcu!H13,Calcu!$Q$66))</f>
        <v/>
      </c>
      <c r="G19" s="106" t="str">
        <f>IF(Calcu!$B13=FALSE,"",TEXT(Calcu!I13,Calcu!$Q$66))</f>
        <v/>
      </c>
      <c r="H19" s="25"/>
      <c r="I19" s="25"/>
      <c r="J19" s="28"/>
      <c r="K19" s="28"/>
      <c r="L19" s="28"/>
      <c r="M19" s="28"/>
    </row>
    <row r="20" spans="2:13" ht="13.5" customHeight="1">
      <c r="B20" s="106" t="str">
        <f>Calcu!C14</f>
        <v/>
      </c>
      <c r="C20" s="106" t="str">
        <f>IF(Calcu!$B14=FALSE,"",TEXT(Calcu!E14,Calcu!$Q$66))</f>
        <v/>
      </c>
      <c r="D20" s="106" t="str">
        <f>IF(Calcu!$B14=FALSE,"",TEXT(Calcu!F14,Calcu!$Q$66))</f>
        <v/>
      </c>
      <c r="E20" s="106" t="str">
        <f>IF(Calcu!$B14=FALSE,"",TEXT(Calcu!G14,Calcu!$Q$66))</f>
        <v/>
      </c>
      <c r="F20" s="106" t="str">
        <f>IF(Calcu!$B14=FALSE,"",TEXT(Calcu!H14,Calcu!$Q$66))</f>
        <v/>
      </c>
      <c r="G20" s="106" t="str">
        <f>IF(Calcu!$B14=FALSE,"",TEXT(Calcu!I14,Calcu!$Q$66))</f>
        <v/>
      </c>
      <c r="H20" s="25"/>
      <c r="I20" s="25"/>
      <c r="J20" s="28"/>
      <c r="K20" s="28"/>
      <c r="L20" s="28"/>
      <c r="M20" s="28"/>
    </row>
    <row r="21" spans="2:13" ht="13.5" customHeight="1">
      <c r="B21" s="106" t="str">
        <f>Calcu!C15</f>
        <v/>
      </c>
      <c r="C21" s="106" t="str">
        <f>IF(Calcu!$B15=FALSE,"",TEXT(Calcu!E15,Calcu!$Q$66))</f>
        <v/>
      </c>
      <c r="D21" s="106" t="str">
        <f>IF(Calcu!$B15=FALSE,"",TEXT(Calcu!F15,Calcu!$Q$66))</f>
        <v/>
      </c>
      <c r="E21" s="106" t="str">
        <f>IF(Calcu!$B15=FALSE,"",TEXT(Calcu!G15,Calcu!$Q$66))</f>
        <v/>
      </c>
      <c r="F21" s="106" t="str">
        <f>IF(Calcu!$B15=FALSE,"",TEXT(Calcu!H15,Calcu!$Q$66))</f>
        <v/>
      </c>
      <c r="G21" s="106" t="str">
        <f>IF(Calcu!$B15=FALSE,"",TEXT(Calcu!I15,Calcu!$Q$66))</f>
        <v/>
      </c>
    </row>
    <row r="22" spans="2:13" ht="13.5" customHeight="1">
      <c r="B22" s="106" t="str">
        <f>Calcu!C16</f>
        <v/>
      </c>
      <c r="C22" s="106" t="str">
        <f>IF(Calcu!$B16=FALSE,"",TEXT(Calcu!E16,Calcu!$Q$66))</f>
        <v/>
      </c>
      <c r="D22" s="106" t="str">
        <f>IF(Calcu!$B16=FALSE,"",TEXT(Calcu!F16,Calcu!$Q$66))</f>
        <v/>
      </c>
      <c r="E22" s="106" t="str">
        <f>IF(Calcu!$B16=FALSE,"",TEXT(Calcu!G16,Calcu!$Q$66))</f>
        <v/>
      </c>
      <c r="F22" s="106" t="str">
        <f>IF(Calcu!$B16=FALSE,"",TEXT(Calcu!H16,Calcu!$Q$66))</f>
        <v/>
      </c>
      <c r="G22" s="106" t="str">
        <f>IF(Calcu!$B16=FALSE,"",TEXT(Calcu!I16,Calcu!$Q$66))</f>
        <v/>
      </c>
    </row>
    <row r="23" spans="2:13" ht="13.5" customHeight="1">
      <c r="B23" s="106" t="str">
        <f>Calcu!C17</f>
        <v/>
      </c>
      <c r="C23" s="106" t="str">
        <f>IF(Calcu!$B17=FALSE,"",TEXT(Calcu!E17,Calcu!$Q$66))</f>
        <v/>
      </c>
      <c r="D23" s="106" t="str">
        <f>IF(Calcu!$B17=FALSE,"",TEXT(Calcu!F17,Calcu!$Q$66))</f>
        <v/>
      </c>
      <c r="E23" s="106" t="str">
        <f>IF(Calcu!$B17=FALSE,"",TEXT(Calcu!G17,Calcu!$Q$66))</f>
        <v/>
      </c>
      <c r="F23" s="106" t="str">
        <f>IF(Calcu!$B17=FALSE,"",TEXT(Calcu!H17,Calcu!$Q$66))</f>
        <v/>
      </c>
      <c r="G23" s="106" t="str">
        <f>IF(Calcu!$B17=FALSE,"",TEXT(Calcu!I17,Calcu!$Q$66))</f>
        <v/>
      </c>
    </row>
    <row r="24" spans="2:13" ht="13.5" customHeight="1">
      <c r="B24" s="106" t="str">
        <f>Calcu!C18</f>
        <v/>
      </c>
      <c r="C24" s="106" t="str">
        <f>IF(Calcu!$B18=FALSE,"",TEXT(Calcu!E18,Calcu!$Q$66))</f>
        <v/>
      </c>
      <c r="D24" s="106" t="str">
        <f>IF(Calcu!$B18=FALSE,"",TEXT(Calcu!F18,Calcu!$Q$66))</f>
        <v/>
      </c>
      <c r="E24" s="106" t="str">
        <f>IF(Calcu!$B18=FALSE,"",TEXT(Calcu!G18,Calcu!$Q$66))</f>
        <v/>
      </c>
      <c r="F24" s="106" t="str">
        <f>IF(Calcu!$B18=FALSE,"",TEXT(Calcu!H18,Calcu!$Q$66))</f>
        <v/>
      </c>
      <c r="G24" s="106" t="str">
        <f>IF(Calcu!$B18=FALSE,"",TEXT(Calcu!I18,Calcu!$Q$66))</f>
        <v/>
      </c>
    </row>
    <row r="25" spans="2:13" ht="13.5" customHeight="1">
      <c r="B25" s="106" t="str">
        <f>Calcu!C19</f>
        <v/>
      </c>
      <c r="C25" s="106" t="str">
        <f>IF(Calcu!$B19=FALSE,"",TEXT(Calcu!E19,Calcu!$Q$66))</f>
        <v/>
      </c>
      <c r="D25" s="106" t="str">
        <f>IF(Calcu!$B19=FALSE,"",TEXT(Calcu!F19,Calcu!$Q$66))</f>
        <v/>
      </c>
      <c r="E25" s="106" t="str">
        <f>IF(Calcu!$B19=FALSE,"",TEXT(Calcu!G19,Calcu!$Q$66))</f>
        <v/>
      </c>
      <c r="F25" s="106" t="str">
        <f>IF(Calcu!$B19=FALSE,"",TEXT(Calcu!H19,Calcu!$Q$66))</f>
        <v/>
      </c>
      <c r="G25" s="106" t="str">
        <f>IF(Calcu!$B19=FALSE,"",TEXT(Calcu!I19,Calcu!$Q$66))</f>
        <v/>
      </c>
    </row>
    <row r="26" spans="2:13" ht="13.5" customHeight="1">
      <c r="B26" s="106" t="str">
        <f>Calcu!C20</f>
        <v/>
      </c>
      <c r="C26" s="106" t="str">
        <f>IF(Calcu!$B20=FALSE,"",TEXT(Calcu!E20,Calcu!$Q$66))</f>
        <v/>
      </c>
      <c r="D26" s="106" t="str">
        <f>IF(Calcu!$B20=FALSE,"",TEXT(Calcu!F20,Calcu!$Q$66))</f>
        <v/>
      </c>
      <c r="E26" s="106" t="str">
        <f>IF(Calcu!$B20=FALSE,"",TEXT(Calcu!G20,Calcu!$Q$66))</f>
        <v/>
      </c>
      <c r="F26" s="106" t="str">
        <f>IF(Calcu!$B20=FALSE,"",TEXT(Calcu!H20,Calcu!$Q$66))</f>
        <v/>
      </c>
      <c r="G26" s="106" t="str">
        <f>IF(Calcu!$B20=FALSE,"",TEXT(Calcu!I20,Calcu!$Q$66))</f>
        <v/>
      </c>
    </row>
    <row r="27" spans="2:13" ht="13.5" customHeight="1">
      <c r="B27" s="106" t="str">
        <f>Calcu!C21</f>
        <v/>
      </c>
      <c r="C27" s="106" t="str">
        <f>IF(Calcu!$B21=FALSE,"",TEXT(Calcu!E21,Calcu!$Q$66))</f>
        <v/>
      </c>
      <c r="D27" s="106" t="str">
        <f>IF(Calcu!$B21=FALSE,"",TEXT(Calcu!F21,Calcu!$Q$66))</f>
        <v/>
      </c>
      <c r="E27" s="106" t="str">
        <f>IF(Calcu!$B21=FALSE,"",TEXT(Calcu!G21,Calcu!$Q$66))</f>
        <v/>
      </c>
      <c r="F27" s="106" t="str">
        <f>IF(Calcu!$B21=FALSE,"",TEXT(Calcu!H21,Calcu!$Q$66))</f>
        <v/>
      </c>
      <c r="G27" s="106" t="str">
        <f>IF(Calcu!$B21=FALSE,"",TEXT(Calcu!I21,Calcu!$Q$66))</f>
        <v/>
      </c>
    </row>
    <row r="28" spans="2:13" ht="13.5" customHeight="1">
      <c r="B28" s="106" t="str">
        <f>Calcu!C22</f>
        <v/>
      </c>
      <c r="C28" s="106" t="str">
        <f>IF(Calcu!$B22=FALSE,"",TEXT(Calcu!E22,Calcu!$Q$66))</f>
        <v/>
      </c>
      <c r="D28" s="106" t="str">
        <f>IF(Calcu!$B22=FALSE,"",TEXT(Calcu!F22,Calcu!$Q$66))</f>
        <v/>
      </c>
      <c r="E28" s="106" t="str">
        <f>IF(Calcu!$B22=FALSE,"",TEXT(Calcu!G22,Calcu!$Q$66))</f>
        <v/>
      </c>
      <c r="F28" s="106" t="str">
        <f>IF(Calcu!$B22=FALSE,"",TEXT(Calcu!H22,Calcu!$Q$66))</f>
        <v/>
      </c>
      <c r="G28" s="106" t="str">
        <f>IF(Calcu!$B22=FALSE,"",TEXT(Calcu!I22,Calcu!$Q$66))</f>
        <v/>
      </c>
    </row>
    <row r="29" spans="2:13" ht="13.5" customHeight="1">
      <c r="B29" s="106" t="str">
        <f>Calcu!C23</f>
        <v/>
      </c>
      <c r="C29" s="106" t="str">
        <f>IF(Calcu!$B23=FALSE,"",TEXT(Calcu!E23,Calcu!$Q$66))</f>
        <v/>
      </c>
      <c r="D29" s="106" t="str">
        <f>IF(Calcu!$B23=FALSE,"",TEXT(Calcu!F23,Calcu!$Q$66))</f>
        <v/>
      </c>
      <c r="E29" s="106" t="str">
        <f>IF(Calcu!$B23=FALSE,"",TEXT(Calcu!G23,Calcu!$Q$66))</f>
        <v/>
      </c>
      <c r="F29" s="106" t="str">
        <f>IF(Calcu!$B23=FALSE,"",TEXT(Calcu!H23,Calcu!$Q$66))</f>
        <v/>
      </c>
      <c r="G29" s="106" t="str">
        <f>IF(Calcu!$B23=FALSE,"",TEXT(Calcu!I23,Calcu!$Q$66))</f>
        <v/>
      </c>
    </row>
    <row r="30" spans="2:13" ht="13.5" customHeight="1">
      <c r="B30" s="106" t="str">
        <f>Calcu!C24</f>
        <v/>
      </c>
      <c r="C30" s="106" t="str">
        <f>IF(Calcu!$B24=FALSE,"",TEXT(Calcu!E24,Calcu!$Q$66))</f>
        <v/>
      </c>
      <c r="D30" s="106" t="str">
        <f>IF(Calcu!$B24=FALSE,"",TEXT(Calcu!F24,Calcu!$Q$66))</f>
        <v/>
      </c>
      <c r="E30" s="106" t="str">
        <f>IF(Calcu!$B24=FALSE,"",TEXT(Calcu!G24,Calcu!$Q$66))</f>
        <v/>
      </c>
      <c r="F30" s="106" t="str">
        <f>IF(Calcu!$B24=FALSE,"",TEXT(Calcu!H24,Calcu!$Q$66))</f>
        <v/>
      </c>
      <c r="G30" s="106" t="str">
        <f>IF(Calcu!$B24=FALSE,"",TEXT(Calcu!I24,Calcu!$Q$66))</f>
        <v/>
      </c>
    </row>
    <row r="31" spans="2:13" ht="13.5" customHeight="1">
      <c r="B31" s="106" t="str">
        <f>Calcu!C25</f>
        <v/>
      </c>
      <c r="C31" s="106" t="str">
        <f>IF(Calcu!$B25=FALSE,"",TEXT(Calcu!E25,Calcu!$Q$66))</f>
        <v/>
      </c>
      <c r="D31" s="106" t="str">
        <f>IF(Calcu!$B25=FALSE,"",TEXT(Calcu!F25,Calcu!$Q$66))</f>
        <v/>
      </c>
      <c r="E31" s="106" t="str">
        <f>IF(Calcu!$B25=FALSE,"",TEXT(Calcu!G25,Calcu!$Q$66))</f>
        <v/>
      </c>
      <c r="F31" s="106" t="str">
        <f>IF(Calcu!$B25=FALSE,"",TEXT(Calcu!H25,Calcu!$Q$66))</f>
        <v/>
      </c>
      <c r="G31" s="106" t="str">
        <f>IF(Calcu!$B25=FALSE,"",TEXT(Calcu!I25,Calcu!$Q$66))</f>
        <v/>
      </c>
    </row>
    <row r="32" spans="2:13" ht="13.5" customHeight="1">
      <c r="B32" s="106" t="str">
        <f>Calcu!C26</f>
        <v/>
      </c>
      <c r="C32" s="106" t="str">
        <f>IF(Calcu!$B26=FALSE,"",TEXT(Calcu!E26,Calcu!$Q$66))</f>
        <v/>
      </c>
      <c r="D32" s="106" t="str">
        <f>IF(Calcu!$B26=FALSE,"",TEXT(Calcu!F26,Calcu!$Q$66))</f>
        <v/>
      </c>
      <c r="E32" s="106" t="str">
        <f>IF(Calcu!$B26=FALSE,"",TEXT(Calcu!G26,Calcu!$Q$66))</f>
        <v/>
      </c>
      <c r="F32" s="106" t="str">
        <f>IF(Calcu!$B26=FALSE,"",TEXT(Calcu!H26,Calcu!$Q$66))</f>
        <v/>
      </c>
      <c r="G32" s="106" t="str">
        <f>IF(Calcu!$B26=FALSE,"",TEXT(Calcu!I26,Calcu!$Q$66))</f>
        <v/>
      </c>
    </row>
    <row r="33" spans="2:7" ht="13.5" customHeight="1">
      <c r="B33" s="106" t="str">
        <f>Calcu!C27</f>
        <v/>
      </c>
      <c r="C33" s="106" t="str">
        <f>IF(Calcu!$B27=FALSE,"",TEXT(Calcu!E27,Calcu!$Q$66))</f>
        <v/>
      </c>
      <c r="D33" s="106" t="str">
        <f>IF(Calcu!$B27=FALSE,"",TEXT(Calcu!F27,Calcu!$Q$66))</f>
        <v/>
      </c>
      <c r="E33" s="106" t="str">
        <f>IF(Calcu!$B27=FALSE,"",TEXT(Calcu!G27,Calcu!$Q$66))</f>
        <v/>
      </c>
      <c r="F33" s="106" t="str">
        <f>IF(Calcu!$B27=FALSE,"",TEXT(Calcu!H27,Calcu!$Q$66))</f>
        <v/>
      </c>
      <c r="G33" s="106" t="str">
        <f>IF(Calcu!$B27=FALSE,"",TEXT(Calcu!I27,Calcu!$Q$66))</f>
        <v/>
      </c>
    </row>
    <row r="34" spans="2:7" ht="13.5" customHeight="1">
      <c r="B34" s="106" t="str">
        <f>Calcu!C28</f>
        <v/>
      </c>
      <c r="C34" s="106" t="str">
        <f>IF(Calcu!$B28=FALSE,"",TEXT(Calcu!E28,Calcu!$Q$66))</f>
        <v/>
      </c>
      <c r="D34" s="106" t="str">
        <f>IF(Calcu!$B28=FALSE,"",TEXT(Calcu!F28,Calcu!$Q$66))</f>
        <v/>
      </c>
      <c r="E34" s="106" t="str">
        <f>IF(Calcu!$B28=FALSE,"",TEXT(Calcu!G28,Calcu!$Q$66))</f>
        <v/>
      </c>
      <c r="F34" s="106" t="str">
        <f>IF(Calcu!$B28=FALSE,"",TEXT(Calcu!H28,Calcu!$Q$66))</f>
        <v/>
      </c>
      <c r="G34" s="106" t="str">
        <f>IF(Calcu!$B28=FALSE,"",TEXT(Calcu!I28,Calcu!$Q$66))</f>
        <v/>
      </c>
    </row>
    <row r="35" spans="2:7" ht="13.5" customHeight="1">
      <c r="B35" s="106" t="str">
        <f>Calcu!C29</f>
        <v/>
      </c>
      <c r="C35" s="106" t="str">
        <f>IF(Calcu!$B29=FALSE,"",TEXT(Calcu!E29,Calcu!$Q$66))</f>
        <v/>
      </c>
      <c r="D35" s="106" t="str">
        <f>IF(Calcu!$B29=FALSE,"",TEXT(Calcu!F29,Calcu!$Q$66))</f>
        <v/>
      </c>
      <c r="E35" s="106" t="str">
        <f>IF(Calcu!$B29=FALSE,"",TEXT(Calcu!G29,Calcu!$Q$66))</f>
        <v/>
      </c>
      <c r="F35" s="106" t="str">
        <f>IF(Calcu!$B29=FALSE,"",TEXT(Calcu!H29,Calcu!$Q$66))</f>
        <v/>
      </c>
      <c r="G35" s="106" t="str">
        <f>IF(Calcu!$B29=FALSE,"",TEXT(Calcu!I29,Calcu!$Q$66))</f>
        <v/>
      </c>
    </row>
    <row r="36" spans="2:7" ht="13.5" customHeight="1">
      <c r="B36" s="106" t="str">
        <f>Calcu!C30</f>
        <v/>
      </c>
      <c r="C36" s="106" t="str">
        <f>IF(Calcu!$B30=FALSE,"",TEXT(Calcu!E30,Calcu!$Q$66))</f>
        <v/>
      </c>
      <c r="D36" s="106" t="str">
        <f>IF(Calcu!$B30=FALSE,"",TEXT(Calcu!F30,Calcu!$Q$66))</f>
        <v/>
      </c>
      <c r="E36" s="106" t="str">
        <f>IF(Calcu!$B30=FALSE,"",TEXT(Calcu!G30,Calcu!$Q$66))</f>
        <v/>
      </c>
      <c r="F36" s="106" t="str">
        <f>IF(Calcu!$B30=FALSE,"",TEXT(Calcu!H30,Calcu!$Q$66))</f>
        <v/>
      </c>
      <c r="G36" s="106" t="str">
        <f>IF(Calcu!$B30=FALSE,"",TEXT(Calcu!I30,Calcu!$Q$66))</f>
        <v/>
      </c>
    </row>
    <row r="37" spans="2:7" ht="13.5" customHeight="1">
      <c r="B37" s="106" t="str">
        <f>Calcu!C31</f>
        <v/>
      </c>
      <c r="C37" s="106" t="str">
        <f>IF(Calcu!$B31=FALSE,"",TEXT(Calcu!E31,Calcu!$Q$66))</f>
        <v/>
      </c>
      <c r="D37" s="106" t="str">
        <f>IF(Calcu!$B31=FALSE,"",TEXT(Calcu!F31,Calcu!$Q$66))</f>
        <v/>
      </c>
      <c r="E37" s="106" t="str">
        <f>IF(Calcu!$B31=FALSE,"",TEXT(Calcu!G31,Calcu!$Q$66))</f>
        <v/>
      </c>
      <c r="F37" s="106" t="str">
        <f>IF(Calcu!$B31=FALSE,"",TEXT(Calcu!H31,Calcu!$Q$66))</f>
        <v/>
      </c>
      <c r="G37" s="106" t="str">
        <f>IF(Calcu!$B31=FALSE,"",TEXT(Calcu!I31,Calcu!$Q$66))</f>
        <v/>
      </c>
    </row>
    <row r="38" spans="2:7" ht="13.5" customHeight="1">
      <c r="B38" s="106" t="str">
        <f>Calcu!C32</f>
        <v/>
      </c>
      <c r="C38" s="106" t="str">
        <f>IF(Calcu!$B32=FALSE,"",TEXT(Calcu!E32,Calcu!$Q$66))</f>
        <v/>
      </c>
      <c r="D38" s="106" t="str">
        <f>IF(Calcu!$B32=FALSE,"",TEXT(Calcu!F32,Calcu!$Q$66))</f>
        <v/>
      </c>
      <c r="E38" s="106" t="str">
        <f>IF(Calcu!$B32=FALSE,"",TEXT(Calcu!G32,Calcu!$Q$66))</f>
        <v/>
      </c>
      <c r="F38" s="106" t="str">
        <f>IF(Calcu!$B32=FALSE,"",TEXT(Calcu!H32,Calcu!$Q$66))</f>
        <v/>
      </c>
      <c r="G38" s="106" t="str">
        <f>IF(Calcu!$B32=FALSE,"",TEXT(Calcu!I32,Calcu!$Q$66))</f>
        <v/>
      </c>
    </row>
    <row r="39" spans="2:7" ht="13.5" customHeight="1">
      <c r="B39" s="106" t="str">
        <f>Calcu!C33</f>
        <v/>
      </c>
      <c r="C39" s="106" t="str">
        <f>IF(Calcu!$B33=FALSE,"",TEXT(Calcu!E33,Calcu!$Q$66))</f>
        <v/>
      </c>
      <c r="D39" s="106" t="str">
        <f>IF(Calcu!$B33=FALSE,"",TEXT(Calcu!F33,Calcu!$Q$66))</f>
        <v/>
      </c>
      <c r="E39" s="106" t="str">
        <f>IF(Calcu!$B33=FALSE,"",TEXT(Calcu!G33,Calcu!$Q$66))</f>
        <v/>
      </c>
      <c r="F39" s="106" t="str">
        <f>IF(Calcu!$B33=FALSE,"",TEXT(Calcu!H33,Calcu!$Q$66))</f>
        <v/>
      </c>
      <c r="G39" s="106" t="str">
        <f>IF(Calcu!$B33=FALSE,"",TEXT(Calcu!I33,Calcu!$Q$66))</f>
        <v/>
      </c>
    </row>
    <row r="40" spans="2:7" ht="13.5" customHeight="1">
      <c r="B40" s="106" t="str">
        <f>Calcu!C34</f>
        <v/>
      </c>
      <c r="C40" s="106" t="str">
        <f>IF(Calcu!$B34=FALSE,"",TEXT(Calcu!E34,Calcu!$Q$66))</f>
        <v/>
      </c>
      <c r="D40" s="106" t="str">
        <f>IF(Calcu!$B34=FALSE,"",TEXT(Calcu!F34,Calcu!$Q$66))</f>
        <v/>
      </c>
      <c r="E40" s="106" t="str">
        <f>IF(Calcu!$B34=FALSE,"",TEXT(Calcu!G34,Calcu!$Q$66))</f>
        <v/>
      </c>
      <c r="F40" s="106" t="str">
        <f>IF(Calcu!$B34=FALSE,"",TEXT(Calcu!H34,Calcu!$Q$66))</f>
        <v/>
      </c>
      <c r="G40" s="106" t="str">
        <f>IF(Calcu!$B34=FALSE,"",TEXT(Calcu!I34,Calcu!$Q$66))</f>
        <v/>
      </c>
    </row>
    <row r="41" spans="2:7" ht="13.5" customHeight="1">
      <c r="B41" s="106" t="str">
        <f>Calcu!C35</f>
        <v/>
      </c>
      <c r="C41" s="106" t="str">
        <f>IF(Calcu!$B35=FALSE,"",TEXT(Calcu!E35,Calcu!$Q$66))</f>
        <v/>
      </c>
      <c r="D41" s="106" t="str">
        <f>IF(Calcu!$B35=FALSE,"",TEXT(Calcu!F35,Calcu!$Q$66))</f>
        <v/>
      </c>
      <c r="E41" s="106" t="str">
        <f>IF(Calcu!$B35=FALSE,"",TEXT(Calcu!G35,Calcu!$Q$66))</f>
        <v/>
      </c>
      <c r="F41" s="106" t="str">
        <f>IF(Calcu!$B35=FALSE,"",TEXT(Calcu!H35,Calcu!$Q$66))</f>
        <v/>
      </c>
      <c r="G41" s="106" t="str">
        <f>IF(Calcu!$B35=FALSE,"",TEXT(Calcu!I35,Calcu!$Q$66))</f>
        <v/>
      </c>
    </row>
    <row r="42" spans="2:7" ht="13.5" customHeight="1">
      <c r="B42" s="106" t="str">
        <f>Calcu!C36</f>
        <v/>
      </c>
      <c r="C42" s="106" t="str">
        <f>IF(Calcu!$B36=FALSE,"",TEXT(Calcu!E36,Calcu!$Q$66))</f>
        <v/>
      </c>
      <c r="D42" s="106" t="str">
        <f>IF(Calcu!$B36=FALSE,"",TEXT(Calcu!F36,Calcu!$Q$66))</f>
        <v/>
      </c>
      <c r="E42" s="106" t="str">
        <f>IF(Calcu!$B36=FALSE,"",TEXT(Calcu!G36,Calcu!$Q$66))</f>
        <v/>
      </c>
      <c r="F42" s="106" t="str">
        <f>IF(Calcu!$B36=FALSE,"",TEXT(Calcu!H36,Calcu!$Q$66))</f>
        <v/>
      </c>
      <c r="G42" s="106" t="str">
        <f>IF(Calcu!$B36=FALSE,"",TEXT(Calcu!I36,Calcu!$Q$66))</f>
        <v/>
      </c>
    </row>
    <row r="43" spans="2:7" ht="13.5" customHeight="1">
      <c r="B43" s="106" t="str">
        <f>Calcu!C37</f>
        <v/>
      </c>
      <c r="C43" s="106" t="str">
        <f>IF(Calcu!$B37=FALSE,"",TEXT(Calcu!E37,Calcu!$Q$66))</f>
        <v/>
      </c>
      <c r="D43" s="106" t="str">
        <f>IF(Calcu!$B37=FALSE,"",TEXT(Calcu!F37,Calcu!$Q$66))</f>
        <v/>
      </c>
      <c r="E43" s="106" t="str">
        <f>IF(Calcu!$B37=FALSE,"",TEXT(Calcu!G37,Calcu!$Q$66))</f>
        <v/>
      </c>
      <c r="F43" s="106" t="str">
        <f>IF(Calcu!$B37=FALSE,"",TEXT(Calcu!H37,Calcu!$Q$66))</f>
        <v/>
      </c>
      <c r="G43" s="106" t="str">
        <f>IF(Calcu!$B37=FALSE,"",TEXT(Calcu!I37,Calcu!$Q$66))</f>
        <v/>
      </c>
    </row>
    <row r="44" spans="2:7" ht="13.5" customHeight="1">
      <c r="B44" s="106" t="str">
        <f>Calcu!C38</f>
        <v/>
      </c>
      <c r="C44" s="106" t="str">
        <f>IF(Calcu!$B38=FALSE,"",TEXT(Calcu!E38,Calcu!$Q$66))</f>
        <v/>
      </c>
      <c r="D44" s="106" t="str">
        <f>IF(Calcu!$B38=FALSE,"",TEXT(Calcu!F38,Calcu!$Q$66))</f>
        <v/>
      </c>
      <c r="E44" s="106" t="str">
        <f>IF(Calcu!$B38=FALSE,"",TEXT(Calcu!G38,Calcu!$Q$66))</f>
        <v/>
      </c>
      <c r="F44" s="106" t="str">
        <f>IF(Calcu!$B38=FALSE,"",TEXT(Calcu!H38,Calcu!$Q$66))</f>
        <v/>
      </c>
      <c r="G44" s="106" t="str">
        <f>IF(Calcu!$B38=FALSE,"",TEXT(Calcu!I38,Calcu!$Q$66))</f>
        <v/>
      </c>
    </row>
    <row r="45" spans="2:7" ht="13.5" customHeight="1">
      <c r="B45" s="106" t="str">
        <f>Calcu!C39</f>
        <v/>
      </c>
      <c r="C45" s="106" t="str">
        <f>IF(Calcu!$B39=FALSE,"",TEXT(Calcu!E39,Calcu!$Q$66))</f>
        <v/>
      </c>
      <c r="D45" s="106" t="str">
        <f>IF(Calcu!$B39=FALSE,"",TEXT(Calcu!F39,Calcu!$Q$66))</f>
        <v/>
      </c>
      <c r="E45" s="106" t="str">
        <f>IF(Calcu!$B39=FALSE,"",TEXT(Calcu!G39,Calcu!$Q$66))</f>
        <v/>
      </c>
      <c r="F45" s="106" t="str">
        <f>IF(Calcu!$B39=FALSE,"",TEXT(Calcu!H39,Calcu!$Q$66))</f>
        <v/>
      </c>
      <c r="G45" s="106" t="str">
        <f>IF(Calcu!$B39=FALSE,"",TEXT(Calcu!I39,Calcu!$Q$66))</f>
        <v/>
      </c>
    </row>
    <row r="46" spans="2:7" ht="13.5" customHeight="1">
      <c r="B46" s="106" t="str">
        <f>Calcu!C40</f>
        <v/>
      </c>
      <c r="C46" s="106" t="str">
        <f>IF(Calcu!$B40=FALSE,"",TEXT(Calcu!E40,Calcu!$Q$66))</f>
        <v/>
      </c>
      <c r="D46" s="106" t="str">
        <f>IF(Calcu!$B40=FALSE,"",TEXT(Calcu!F40,Calcu!$Q$66))</f>
        <v/>
      </c>
      <c r="E46" s="106" t="str">
        <f>IF(Calcu!$B40=FALSE,"",TEXT(Calcu!G40,Calcu!$Q$66))</f>
        <v/>
      </c>
      <c r="F46" s="106" t="str">
        <f>IF(Calcu!$B40=FALSE,"",TEXT(Calcu!H40,Calcu!$Q$66))</f>
        <v/>
      </c>
      <c r="G46" s="106" t="str">
        <f>IF(Calcu!$B40=FALSE,"",TEXT(Calcu!I40,Calcu!$Q$66))</f>
        <v/>
      </c>
    </row>
    <row r="47" spans="2:7" ht="13.5" customHeight="1">
      <c r="B47" s="106" t="str">
        <f>Calcu!C41</f>
        <v/>
      </c>
      <c r="C47" s="106" t="str">
        <f>IF(Calcu!$B41=FALSE,"",TEXT(Calcu!E41,Calcu!$Q$66))</f>
        <v/>
      </c>
      <c r="D47" s="106" t="str">
        <f>IF(Calcu!$B41=FALSE,"",TEXT(Calcu!F41,Calcu!$Q$66))</f>
        <v/>
      </c>
      <c r="E47" s="106" t="str">
        <f>IF(Calcu!$B41=FALSE,"",TEXT(Calcu!G41,Calcu!$Q$66))</f>
        <v/>
      </c>
      <c r="F47" s="106" t="str">
        <f>IF(Calcu!$B41=FALSE,"",TEXT(Calcu!H41,Calcu!$Q$66))</f>
        <v/>
      </c>
      <c r="G47" s="106" t="str">
        <f>IF(Calcu!$B41=FALSE,"",TEXT(Calcu!I41,Calcu!$Q$66))</f>
        <v/>
      </c>
    </row>
    <row r="48" spans="2:7" ht="13.5" customHeight="1">
      <c r="B48" s="106" t="str">
        <f>Calcu!C42</f>
        <v/>
      </c>
      <c r="C48" s="106" t="str">
        <f>IF(Calcu!$B42=FALSE,"",TEXT(Calcu!E42,Calcu!$Q$66))</f>
        <v/>
      </c>
      <c r="D48" s="106" t="str">
        <f>IF(Calcu!$B42=FALSE,"",TEXT(Calcu!F42,Calcu!$Q$66))</f>
        <v/>
      </c>
      <c r="E48" s="106" t="str">
        <f>IF(Calcu!$B42=FALSE,"",TEXT(Calcu!G42,Calcu!$Q$66))</f>
        <v/>
      </c>
      <c r="F48" s="106" t="str">
        <f>IF(Calcu!$B42=FALSE,"",TEXT(Calcu!H42,Calcu!$Q$66))</f>
        <v/>
      </c>
      <c r="G48" s="106" t="str">
        <f>IF(Calcu!$B42=FALSE,"",TEXT(Calcu!I42,Calcu!$Q$66))</f>
        <v/>
      </c>
    </row>
    <row r="49" spans="2:7" ht="13.5" customHeight="1">
      <c r="B49" s="106" t="str">
        <f>Calcu!C43</f>
        <v/>
      </c>
      <c r="C49" s="106" t="str">
        <f>IF(Calcu!$B43=FALSE,"",TEXT(Calcu!E43,Calcu!$Q$66))</f>
        <v/>
      </c>
      <c r="D49" s="106" t="str">
        <f>IF(Calcu!$B43=FALSE,"",TEXT(Calcu!F43,Calcu!$Q$66))</f>
        <v/>
      </c>
      <c r="E49" s="106" t="str">
        <f>IF(Calcu!$B43=FALSE,"",TEXT(Calcu!G43,Calcu!$Q$66))</f>
        <v/>
      </c>
      <c r="F49" s="106" t="str">
        <f>IF(Calcu!$B43=FALSE,"",TEXT(Calcu!H43,Calcu!$Q$66))</f>
        <v/>
      </c>
      <c r="G49" s="106" t="str">
        <f>IF(Calcu!$B43=FALSE,"",TEXT(Calcu!I43,Calcu!$Q$66))</f>
        <v/>
      </c>
    </row>
    <row r="50" spans="2:7" ht="13.5" customHeight="1">
      <c r="B50" s="106" t="str">
        <f>Calcu!C44</f>
        <v/>
      </c>
      <c r="C50" s="106" t="str">
        <f>IF(Calcu!$B44=FALSE,"",TEXT(Calcu!E44,Calcu!$Q$66))</f>
        <v/>
      </c>
      <c r="D50" s="106" t="str">
        <f>IF(Calcu!$B44=FALSE,"",TEXT(Calcu!F44,Calcu!$Q$66))</f>
        <v/>
      </c>
      <c r="E50" s="106" t="str">
        <f>IF(Calcu!$B44=FALSE,"",TEXT(Calcu!G44,Calcu!$Q$66))</f>
        <v/>
      </c>
      <c r="F50" s="106" t="str">
        <f>IF(Calcu!$B44=FALSE,"",TEXT(Calcu!H44,Calcu!$Q$66))</f>
        <v/>
      </c>
      <c r="G50" s="106" t="str">
        <f>IF(Calcu!$B44=FALSE,"",TEXT(Calcu!I44,Calcu!$Q$66))</f>
        <v/>
      </c>
    </row>
    <row r="51" spans="2:7" ht="13.5" customHeight="1">
      <c r="B51" s="106" t="str">
        <f>Calcu!C45</f>
        <v/>
      </c>
      <c r="C51" s="106" t="str">
        <f>IF(Calcu!$B45=FALSE,"",TEXT(Calcu!E45,Calcu!$Q$66))</f>
        <v/>
      </c>
      <c r="D51" s="106" t="str">
        <f>IF(Calcu!$B45=FALSE,"",TEXT(Calcu!F45,Calcu!$Q$66))</f>
        <v/>
      </c>
      <c r="E51" s="106" t="str">
        <f>IF(Calcu!$B45=FALSE,"",TEXT(Calcu!G45,Calcu!$Q$66))</f>
        <v/>
      </c>
      <c r="F51" s="106" t="str">
        <f>IF(Calcu!$B45=FALSE,"",TEXT(Calcu!H45,Calcu!$Q$66))</f>
        <v/>
      </c>
      <c r="G51" s="106" t="str">
        <f>IF(Calcu!$B45=FALSE,"",TEXT(Calcu!I45,Calcu!$Q$66))</f>
        <v/>
      </c>
    </row>
    <row r="52" spans="2:7" ht="13.5" customHeight="1">
      <c r="B52" s="106" t="str">
        <f>Calcu!C46</f>
        <v/>
      </c>
      <c r="C52" s="106" t="str">
        <f>IF(Calcu!$B46=FALSE,"",TEXT(Calcu!E46,Calcu!$Q$66))</f>
        <v/>
      </c>
      <c r="D52" s="106" t="str">
        <f>IF(Calcu!$B46=FALSE,"",TEXT(Calcu!F46,Calcu!$Q$66))</f>
        <v/>
      </c>
      <c r="E52" s="106" t="str">
        <f>IF(Calcu!$B46=FALSE,"",TEXT(Calcu!G46,Calcu!$Q$66))</f>
        <v/>
      </c>
      <c r="F52" s="106" t="str">
        <f>IF(Calcu!$B46=FALSE,"",TEXT(Calcu!H46,Calcu!$Q$66))</f>
        <v/>
      </c>
      <c r="G52" s="106" t="str">
        <f>IF(Calcu!$B46=FALSE,"",TEXT(Calcu!I46,Calcu!$Q$66))</f>
        <v/>
      </c>
    </row>
    <row r="53" spans="2:7" ht="13.5" customHeight="1">
      <c r="B53" s="106" t="str">
        <f>Calcu!C47</f>
        <v/>
      </c>
      <c r="C53" s="106" t="str">
        <f>IF(Calcu!$B47=FALSE,"",TEXT(Calcu!E47,Calcu!$Q$66))</f>
        <v/>
      </c>
      <c r="D53" s="106" t="str">
        <f>IF(Calcu!$B47=FALSE,"",TEXT(Calcu!F47,Calcu!$Q$66))</f>
        <v/>
      </c>
      <c r="E53" s="106" t="str">
        <f>IF(Calcu!$B47=FALSE,"",TEXT(Calcu!G47,Calcu!$Q$66))</f>
        <v/>
      </c>
      <c r="F53" s="106" t="str">
        <f>IF(Calcu!$B47=FALSE,"",TEXT(Calcu!H47,Calcu!$Q$66))</f>
        <v/>
      </c>
      <c r="G53" s="106" t="str">
        <f>IF(Calcu!$B47=FALSE,"",TEXT(Calcu!I47,Calcu!$Q$66))</f>
        <v/>
      </c>
    </row>
    <row r="54" spans="2:7" ht="13.5" customHeight="1">
      <c r="B54" s="106" t="str">
        <f>Calcu!C48</f>
        <v/>
      </c>
      <c r="C54" s="106" t="str">
        <f>IF(Calcu!$B48=FALSE,"",TEXT(Calcu!E48,Calcu!$Q$66))</f>
        <v/>
      </c>
      <c r="D54" s="106" t="str">
        <f>IF(Calcu!$B48=FALSE,"",TEXT(Calcu!F48,Calcu!$Q$66))</f>
        <v/>
      </c>
      <c r="E54" s="106" t="str">
        <f>IF(Calcu!$B48=FALSE,"",TEXT(Calcu!G48,Calcu!$Q$66))</f>
        <v/>
      </c>
      <c r="F54" s="106" t="str">
        <f>IF(Calcu!$B48=FALSE,"",TEXT(Calcu!H48,Calcu!$Q$66))</f>
        <v/>
      </c>
      <c r="G54" s="106" t="str">
        <f>IF(Calcu!$B48=FALSE,"",TEXT(Calcu!I48,Calcu!$Q$66))</f>
        <v/>
      </c>
    </row>
    <row r="55" spans="2:7" ht="13.5" customHeight="1">
      <c r="B55" s="106" t="str">
        <f>Calcu!C49</f>
        <v/>
      </c>
      <c r="C55" s="106" t="str">
        <f>IF(Calcu!$B49=FALSE,"",TEXT(Calcu!E49,Calcu!$Q$66))</f>
        <v/>
      </c>
      <c r="D55" s="106" t="str">
        <f>IF(Calcu!$B49=FALSE,"",TEXT(Calcu!F49,Calcu!$Q$66))</f>
        <v/>
      </c>
      <c r="E55" s="106" t="str">
        <f>IF(Calcu!$B49=FALSE,"",TEXT(Calcu!G49,Calcu!$Q$66))</f>
        <v/>
      </c>
      <c r="F55" s="106" t="str">
        <f>IF(Calcu!$B49=FALSE,"",TEXT(Calcu!H49,Calcu!$Q$66))</f>
        <v/>
      </c>
      <c r="G55" s="106" t="str">
        <f>IF(Calcu!$B49=FALSE,"",TEXT(Calcu!I49,Calcu!$Q$66))</f>
        <v/>
      </c>
    </row>
  </sheetData>
  <sortState ref="T5:U14">
    <sortCondition descending="1" ref="T5"/>
  </sortState>
  <mergeCells count="4">
    <mergeCell ref="B12:B13"/>
    <mergeCell ref="C12:G12"/>
    <mergeCell ref="E4:F4"/>
    <mergeCell ref="E3:F3"/>
  </mergeCells>
  <phoneticPr fontId="4" type="noConversion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>&amp;L&amp;"Tahoma,보통"&amp;9F-02P-02-001 (Rev.01)&amp;C&amp;9&amp;P of &amp;N&amp;R&amp;"돋움,굵게"&amp;9(주)에이치시티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E235"/>
  <sheetViews>
    <sheetView showGridLines="0" zoomScaleNormal="100" zoomScaleSheetLayoutView="100" workbookViewId="0"/>
  </sheetViews>
  <sheetFormatPr defaultColWidth="1.77734375" defaultRowHeight="18.75" customHeight="1"/>
  <cols>
    <col min="1" max="11" width="1.77734375" style="56"/>
    <col min="12" max="12" width="1.77734375" style="56" customWidth="1"/>
    <col min="13" max="26" width="1.77734375" style="56"/>
    <col min="27" max="27" width="1.77734375" style="56" customWidth="1"/>
    <col min="28" max="28" width="1.77734375" style="56"/>
    <col min="29" max="29" width="1.77734375" style="56" customWidth="1"/>
    <col min="30" max="16384" width="1.77734375" style="56"/>
  </cols>
  <sheetData>
    <row r="1" spans="1:44" s="70" customFormat="1" ht="31.5">
      <c r="A1" s="69" t="s">
        <v>79</v>
      </c>
    </row>
    <row r="2" spans="1:44" s="70" customFormat="1" ht="18.75" customHeight="1"/>
    <row r="3" spans="1:44" s="70" customFormat="1" ht="18.75" customHeight="1">
      <c r="A3" s="71" t="s">
        <v>234</v>
      </c>
    </row>
    <row r="4" spans="1:44" s="70" customFormat="1" ht="18.75" customHeight="1">
      <c r="B4" s="422" t="s">
        <v>235</v>
      </c>
      <c r="C4" s="422"/>
      <c r="D4" s="422"/>
      <c r="E4" s="422"/>
      <c r="F4" s="422"/>
      <c r="G4" s="422"/>
      <c r="H4" s="423" t="s">
        <v>80</v>
      </c>
      <c r="I4" s="423"/>
      <c r="J4" s="423"/>
      <c r="K4" s="423"/>
      <c r="L4" s="423"/>
      <c r="M4" s="423"/>
    </row>
    <row r="5" spans="1:44" s="70" customFormat="1" ht="18.75" customHeight="1">
      <c r="B5" s="424">
        <f>Calcu!H3</f>
        <v>0</v>
      </c>
      <c r="C5" s="424"/>
      <c r="D5" s="424"/>
      <c r="E5" s="424"/>
      <c r="F5" s="424"/>
      <c r="G5" s="424"/>
      <c r="H5" s="425">
        <f>Calcu!I3</f>
        <v>1</v>
      </c>
      <c r="I5" s="425"/>
      <c r="J5" s="425"/>
      <c r="K5" s="425"/>
      <c r="L5" s="425"/>
      <c r="M5" s="425"/>
    </row>
    <row r="6" spans="1:44" s="70" customFormat="1" ht="18.75" customHeight="1"/>
    <row r="7" spans="1:44" ht="18.75" customHeight="1">
      <c r="A7" s="58" t="s">
        <v>236</v>
      </c>
      <c r="B7" s="173"/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</row>
    <row r="8" spans="1:44" ht="18.75" customHeight="1">
      <c r="A8" s="58"/>
      <c r="B8" s="453" t="s">
        <v>386</v>
      </c>
      <c r="C8" s="454"/>
      <c r="D8" s="454"/>
      <c r="E8" s="454"/>
      <c r="F8" s="455"/>
      <c r="G8" s="416" t="s">
        <v>401</v>
      </c>
      <c r="H8" s="417"/>
      <c r="I8" s="417"/>
      <c r="J8" s="417"/>
      <c r="K8" s="417"/>
      <c r="L8" s="417"/>
      <c r="M8" s="417"/>
      <c r="N8" s="417"/>
      <c r="O8" s="417"/>
      <c r="P8" s="417"/>
      <c r="Q8" s="417"/>
      <c r="R8" s="417"/>
      <c r="S8" s="417"/>
      <c r="T8" s="417"/>
      <c r="U8" s="417"/>
      <c r="V8" s="417"/>
      <c r="W8" s="417"/>
      <c r="X8" s="417"/>
      <c r="Y8" s="417"/>
      <c r="Z8" s="417"/>
      <c r="AA8" s="417"/>
      <c r="AB8" s="417"/>
      <c r="AC8" s="417"/>
      <c r="AD8" s="417"/>
      <c r="AE8" s="418"/>
      <c r="AF8" s="453" t="s">
        <v>237</v>
      </c>
      <c r="AG8" s="454"/>
      <c r="AH8" s="454"/>
      <c r="AI8" s="454"/>
      <c r="AJ8" s="455"/>
      <c r="AK8" s="453" t="s">
        <v>81</v>
      </c>
      <c r="AL8" s="454"/>
      <c r="AM8" s="454"/>
      <c r="AN8" s="454"/>
      <c r="AO8" s="455"/>
    </row>
    <row r="9" spans="1:44" ht="18.75" customHeight="1">
      <c r="A9" s="58"/>
      <c r="B9" s="456"/>
      <c r="C9" s="457"/>
      <c r="D9" s="457"/>
      <c r="E9" s="457"/>
      <c r="F9" s="458"/>
      <c r="G9" s="416" t="s">
        <v>238</v>
      </c>
      <c r="H9" s="417"/>
      <c r="I9" s="417"/>
      <c r="J9" s="417"/>
      <c r="K9" s="418"/>
      <c r="L9" s="416" t="s">
        <v>239</v>
      </c>
      <c r="M9" s="417"/>
      <c r="N9" s="417"/>
      <c r="O9" s="417"/>
      <c r="P9" s="418"/>
      <c r="Q9" s="416" t="s">
        <v>240</v>
      </c>
      <c r="R9" s="417"/>
      <c r="S9" s="417"/>
      <c r="T9" s="417"/>
      <c r="U9" s="418"/>
      <c r="V9" s="416" t="s">
        <v>241</v>
      </c>
      <c r="W9" s="417"/>
      <c r="X9" s="417"/>
      <c r="Y9" s="417"/>
      <c r="Z9" s="418"/>
      <c r="AA9" s="416" t="s">
        <v>242</v>
      </c>
      <c r="AB9" s="417"/>
      <c r="AC9" s="417"/>
      <c r="AD9" s="417"/>
      <c r="AE9" s="418"/>
      <c r="AF9" s="456"/>
      <c r="AG9" s="457"/>
      <c r="AH9" s="457"/>
      <c r="AI9" s="457"/>
      <c r="AJ9" s="458"/>
      <c r="AK9" s="456"/>
      <c r="AL9" s="457"/>
      <c r="AM9" s="457"/>
      <c r="AN9" s="457"/>
      <c r="AO9" s="458"/>
    </row>
    <row r="10" spans="1:44" ht="18.75" customHeight="1">
      <c r="A10" s="58"/>
      <c r="B10" s="416" t="s">
        <v>243</v>
      </c>
      <c r="C10" s="417"/>
      <c r="D10" s="417"/>
      <c r="E10" s="417"/>
      <c r="F10" s="418"/>
      <c r="G10" s="416" t="str">
        <f>B10</f>
        <v>mm</v>
      </c>
      <c r="H10" s="417"/>
      <c r="I10" s="417"/>
      <c r="J10" s="417"/>
      <c r="K10" s="418"/>
      <c r="L10" s="416" t="str">
        <f>G10</f>
        <v>mm</v>
      </c>
      <c r="M10" s="417"/>
      <c r="N10" s="417"/>
      <c r="O10" s="417"/>
      <c r="P10" s="418"/>
      <c r="Q10" s="416" t="str">
        <f>L10</f>
        <v>mm</v>
      </c>
      <c r="R10" s="417"/>
      <c r="S10" s="417"/>
      <c r="T10" s="417"/>
      <c r="U10" s="418"/>
      <c r="V10" s="416" t="str">
        <f>Q10</f>
        <v>mm</v>
      </c>
      <c r="W10" s="417"/>
      <c r="X10" s="417"/>
      <c r="Y10" s="417"/>
      <c r="Z10" s="418"/>
      <c r="AA10" s="416" t="str">
        <f>V10</f>
        <v>mm</v>
      </c>
      <c r="AB10" s="417"/>
      <c r="AC10" s="417"/>
      <c r="AD10" s="417"/>
      <c r="AE10" s="418"/>
      <c r="AF10" s="416" t="s">
        <v>244</v>
      </c>
      <c r="AG10" s="417"/>
      <c r="AH10" s="417"/>
      <c r="AI10" s="417"/>
      <c r="AJ10" s="418"/>
      <c r="AK10" s="416" t="s">
        <v>200</v>
      </c>
      <c r="AL10" s="417"/>
      <c r="AM10" s="417"/>
      <c r="AN10" s="417"/>
      <c r="AO10" s="418"/>
    </row>
    <row r="11" spans="1:44" ht="18.75" customHeight="1">
      <c r="A11" s="58"/>
      <c r="B11" s="409" t="str">
        <f>Calcu!T9</f>
        <v/>
      </c>
      <c r="C11" s="410"/>
      <c r="D11" s="410"/>
      <c r="E11" s="410"/>
      <c r="F11" s="411"/>
      <c r="G11" s="409" t="str">
        <f>IF(Calcu!B9=TRUE,Calcu!E9*$H$5,"")</f>
        <v/>
      </c>
      <c r="H11" s="410"/>
      <c r="I11" s="410"/>
      <c r="J11" s="410"/>
      <c r="K11" s="411"/>
      <c r="L11" s="409" t="str">
        <f>IF(Calcu!B9=TRUE,Calcu!F9*H$5,"")</f>
        <v/>
      </c>
      <c r="M11" s="410"/>
      <c r="N11" s="410"/>
      <c r="O11" s="410"/>
      <c r="P11" s="411"/>
      <c r="Q11" s="409" t="str">
        <f>IF(Calcu!B9=TRUE,Calcu!G9*H$5,"")</f>
        <v/>
      </c>
      <c r="R11" s="410"/>
      <c r="S11" s="410"/>
      <c r="T11" s="410"/>
      <c r="U11" s="411"/>
      <c r="V11" s="409" t="str">
        <f>IF(Calcu!B9=TRUE,Calcu!H9*H$5,"")</f>
        <v/>
      </c>
      <c r="W11" s="410"/>
      <c r="X11" s="410"/>
      <c r="Y11" s="410"/>
      <c r="Z11" s="411"/>
      <c r="AA11" s="409" t="str">
        <f>IF(Calcu!B9=TRUE,Calcu!I9*H$5,"")</f>
        <v/>
      </c>
      <c r="AB11" s="410"/>
      <c r="AC11" s="410"/>
      <c r="AD11" s="410"/>
      <c r="AE11" s="411"/>
      <c r="AF11" s="409" t="str">
        <f>Calcu!M9</f>
        <v/>
      </c>
      <c r="AG11" s="410"/>
      <c r="AH11" s="410"/>
      <c r="AI11" s="410"/>
      <c r="AJ11" s="411"/>
      <c r="AK11" s="409" t="str">
        <f>Calcu!K9</f>
        <v/>
      </c>
      <c r="AL11" s="410"/>
      <c r="AM11" s="410"/>
      <c r="AN11" s="410"/>
      <c r="AO11" s="411"/>
    </row>
    <row r="12" spans="1:44" ht="18.75" customHeight="1">
      <c r="A12" s="58"/>
      <c r="B12" s="409" t="str">
        <f>Calcu!T10</f>
        <v/>
      </c>
      <c r="C12" s="410"/>
      <c r="D12" s="410"/>
      <c r="E12" s="410"/>
      <c r="F12" s="411"/>
      <c r="G12" s="409" t="str">
        <f>IF(Calcu!B10=TRUE,Calcu!E10*$H$5,"")</f>
        <v/>
      </c>
      <c r="H12" s="410"/>
      <c r="I12" s="410"/>
      <c r="J12" s="410"/>
      <c r="K12" s="411"/>
      <c r="L12" s="409" t="str">
        <f>IF(Calcu!B10=TRUE,Calcu!F10*H$5,"")</f>
        <v/>
      </c>
      <c r="M12" s="410"/>
      <c r="N12" s="410"/>
      <c r="O12" s="410"/>
      <c r="P12" s="411"/>
      <c r="Q12" s="409" t="str">
        <f>IF(Calcu!B10=TRUE,Calcu!G10*H$5,"")</f>
        <v/>
      </c>
      <c r="R12" s="410"/>
      <c r="S12" s="410"/>
      <c r="T12" s="410"/>
      <c r="U12" s="411"/>
      <c r="V12" s="409" t="str">
        <f>IF(Calcu!B10=TRUE,Calcu!H10*H$5,"")</f>
        <v/>
      </c>
      <c r="W12" s="410"/>
      <c r="X12" s="410"/>
      <c r="Y12" s="410"/>
      <c r="Z12" s="411"/>
      <c r="AA12" s="409" t="str">
        <f>IF(Calcu!B10=TRUE,Calcu!I10*H$5,"")</f>
        <v/>
      </c>
      <c r="AB12" s="410"/>
      <c r="AC12" s="410"/>
      <c r="AD12" s="410"/>
      <c r="AE12" s="411"/>
      <c r="AF12" s="409" t="str">
        <f>Calcu!M10</f>
        <v/>
      </c>
      <c r="AG12" s="410"/>
      <c r="AH12" s="410"/>
      <c r="AI12" s="410"/>
      <c r="AJ12" s="411"/>
      <c r="AK12" s="409" t="str">
        <f>Calcu!K10</f>
        <v/>
      </c>
      <c r="AL12" s="410"/>
      <c r="AM12" s="410"/>
      <c r="AN12" s="410"/>
      <c r="AO12" s="411"/>
    </row>
    <row r="13" spans="1:44" ht="18.75" customHeight="1">
      <c r="A13" s="58"/>
      <c r="B13" s="409" t="str">
        <f>Calcu!T11</f>
        <v/>
      </c>
      <c r="C13" s="410"/>
      <c r="D13" s="410"/>
      <c r="E13" s="410"/>
      <c r="F13" s="411"/>
      <c r="G13" s="409" t="str">
        <f>IF(Calcu!B11=TRUE,Calcu!E11*$H$5,"")</f>
        <v/>
      </c>
      <c r="H13" s="410"/>
      <c r="I13" s="410"/>
      <c r="J13" s="410"/>
      <c r="K13" s="411"/>
      <c r="L13" s="409" t="str">
        <f>IF(Calcu!B11=TRUE,Calcu!F11*H$5,"")</f>
        <v/>
      </c>
      <c r="M13" s="410"/>
      <c r="N13" s="410"/>
      <c r="O13" s="410"/>
      <c r="P13" s="411"/>
      <c r="Q13" s="409" t="str">
        <f>IF(Calcu!B11=TRUE,Calcu!G11*H$5,"")</f>
        <v/>
      </c>
      <c r="R13" s="410"/>
      <c r="S13" s="410"/>
      <c r="T13" s="410"/>
      <c r="U13" s="411"/>
      <c r="V13" s="409" t="str">
        <f>IF(Calcu!B11=TRUE,Calcu!H11*H$5,"")</f>
        <v/>
      </c>
      <c r="W13" s="410"/>
      <c r="X13" s="410"/>
      <c r="Y13" s="410"/>
      <c r="Z13" s="411"/>
      <c r="AA13" s="409" t="str">
        <f>IF(Calcu!B11=TRUE,Calcu!I11*H$5,"")</f>
        <v/>
      </c>
      <c r="AB13" s="410"/>
      <c r="AC13" s="410"/>
      <c r="AD13" s="410"/>
      <c r="AE13" s="411"/>
      <c r="AF13" s="409" t="str">
        <f>Calcu!M11</f>
        <v/>
      </c>
      <c r="AG13" s="410"/>
      <c r="AH13" s="410"/>
      <c r="AI13" s="410"/>
      <c r="AJ13" s="411"/>
      <c r="AK13" s="409" t="str">
        <f>Calcu!K11</f>
        <v/>
      </c>
      <c r="AL13" s="410"/>
      <c r="AM13" s="410"/>
      <c r="AN13" s="410"/>
      <c r="AO13" s="411"/>
    </row>
    <row r="14" spans="1:44" ht="18.75" customHeight="1">
      <c r="A14" s="58"/>
      <c r="B14" s="409" t="str">
        <f>Calcu!T12</f>
        <v/>
      </c>
      <c r="C14" s="410"/>
      <c r="D14" s="410"/>
      <c r="E14" s="410"/>
      <c r="F14" s="411"/>
      <c r="G14" s="409" t="str">
        <f>IF(Calcu!B12=TRUE,Calcu!E12*$H$5,"")</f>
        <v/>
      </c>
      <c r="H14" s="410"/>
      <c r="I14" s="410"/>
      <c r="J14" s="410"/>
      <c r="K14" s="411"/>
      <c r="L14" s="409" t="str">
        <f>IF(Calcu!B12=TRUE,Calcu!F12*H$5,"")</f>
        <v/>
      </c>
      <c r="M14" s="410"/>
      <c r="N14" s="410"/>
      <c r="O14" s="410"/>
      <c r="P14" s="411"/>
      <c r="Q14" s="409" t="str">
        <f>IF(Calcu!B12=TRUE,Calcu!G12*H$5,"")</f>
        <v/>
      </c>
      <c r="R14" s="410"/>
      <c r="S14" s="410"/>
      <c r="T14" s="410"/>
      <c r="U14" s="411"/>
      <c r="V14" s="409" t="str">
        <f>IF(Calcu!B12=TRUE,Calcu!H12*H$5,"")</f>
        <v/>
      </c>
      <c r="W14" s="410"/>
      <c r="X14" s="410"/>
      <c r="Y14" s="410"/>
      <c r="Z14" s="411"/>
      <c r="AA14" s="409" t="str">
        <f>IF(Calcu!B12=TRUE,Calcu!I12*H$5,"")</f>
        <v/>
      </c>
      <c r="AB14" s="410"/>
      <c r="AC14" s="410"/>
      <c r="AD14" s="410"/>
      <c r="AE14" s="411"/>
      <c r="AF14" s="409" t="str">
        <f>Calcu!M12</f>
        <v/>
      </c>
      <c r="AG14" s="410"/>
      <c r="AH14" s="410"/>
      <c r="AI14" s="410"/>
      <c r="AJ14" s="411"/>
      <c r="AK14" s="409" t="str">
        <f>Calcu!K12</f>
        <v/>
      </c>
      <c r="AL14" s="410"/>
      <c r="AM14" s="410"/>
      <c r="AN14" s="410"/>
      <c r="AO14" s="411"/>
    </row>
    <row r="15" spans="1:44" ht="18.75" customHeight="1">
      <c r="A15" s="58"/>
      <c r="B15" s="409" t="str">
        <f>Calcu!T13</f>
        <v/>
      </c>
      <c r="C15" s="410"/>
      <c r="D15" s="410"/>
      <c r="E15" s="410"/>
      <c r="F15" s="411"/>
      <c r="G15" s="409" t="str">
        <f>IF(Calcu!B13=TRUE,Calcu!E13*$H$5,"")</f>
        <v/>
      </c>
      <c r="H15" s="410"/>
      <c r="I15" s="410"/>
      <c r="J15" s="410"/>
      <c r="K15" s="411"/>
      <c r="L15" s="409" t="str">
        <f>IF(Calcu!B13=TRUE,Calcu!F13*H$5,"")</f>
        <v/>
      </c>
      <c r="M15" s="410"/>
      <c r="N15" s="410"/>
      <c r="O15" s="410"/>
      <c r="P15" s="411"/>
      <c r="Q15" s="409" t="str">
        <f>IF(Calcu!B13=TRUE,Calcu!G13*H$5,"")</f>
        <v/>
      </c>
      <c r="R15" s="410"/>
      <c r="S15" s="410"/>
      <c r="T15" s="410"/>
      <c r="U15" s="411"/>
      <c r="V15" s="409" t="str">
        <f>IF(Calcu!B13=TRUE,Calcu!H13*H$5,"")</f>
        <v/>
      </c>
      <c r="W15" s="410"/>
      <c r="X15" s="410"/>
      <c r="Y15" s="410"/>
      <c r="Z15" s="411"/>
      <c r="AA15" s="409" t="str">
        <f>IF(Calcu!B13=TRUE,Calcu!I13*H$5,"")</f>
        <v/>
      </c>
      <c r="AB15" s="410"/>
      <c r="AC15" s="410"/>
      <c r="AD15" s="410"/>
      <c r="AE15" s="411"/>
      <c r="AF15" s="409" t="str">
        <f>Calcu!M13</f>
        <v/>
      </c>
      <c r="AG15" s="410"/>
      <c r="AH15" s="410"/>
      <c r="AI15" s="410"/>
      <c r="AJ15" s="411"/>
      <c r="AK15" s="409" t="str">
        <f>Calcu!K13</f>
        <v/>
      </c>
      <c r="AL15" s="410"/>
      <c r="AM15" s="410"/>
      <c r="AN15" s="410"/>
      <c r="AO15" s="411"/>
    </row>
    <row r="16" spans="1:44" ht="18.75" customHeight="1">
      <c r="A16" s="58"/>
      <c r="B16" s="409" t="str">
        <f>Calcu!T14</f>
        <v/>
      </c>
      <c r="C16" s="410"/>
      <c r="D16" s="410"/>
      <c r="E16" s="410"/>
      <c r="F16" s="411"/>
      <c r="G16" s="409" t="str">
        <f>IF(Calcu!B14=TRUE,Calcu!E14*$H$5,"")</f>
        <v/>
      </c>
      <c r="H16" s="410"/>
      <c r="I16" s="410"/>
      <c r="J16" s="410"/>
      <c r="K16" s="411"/>
      <c r="L16" s="409" t="str">
        <f>IF(Calcu!B14=TRUE,Calcu!F14*H$5,"")</f>
        <v/>
      </c>
      <c r="M16" s="410"/>
      <c r="N16" s="410"/>
      <c r="O16" s="410"/>
      <c r="P16" s="411"/>
      <c r="Q16" s="409" t="str">
        <f>IF(Calcu!B14=TRUE,Calcu!G14*H$5,"")</f>
        <v/>
      </c>
      <c r="R16" s="410"/>
      <c r="S16" s="410"/>
      <c r="T16" s="410"/>
      <c r="U16" s="411"/>
      <c r="V16" s="409" t="str">
        <f>IF(Calcu!B14=TRUE,Calcu!H14*H$5,"")</f>
        <v/>
      </c>
      <c r="W16" s="410"/>
      <c r="X16" s="410"/>
      <c r="Y16" s="410"/>
      <c r="Z16" s="411"/>
      <c r="AA16" s="409" t="str">
        <f>IF(Calcu!B14=TRUE,Calcu!I14*H$5,"")</f>
        <v/>
      </c>
      <c r="AB16" s="410"/>
      <c r="AC16" s="410"/>
      <c r="AD16" s="410"/>
      <c r="AE16" s="411"/>
      <c r="AF16" s="409" t="str">
        <f>Calcu!M14</f>
        <v/>
      </c>
      <c r="AG16" s="410"/>
      <c r="AH16" s="410"/>
      <c r="AI16" s="410"/>
      <c r="AJ16" s="411"/>
      <c r="AK16" s="409" t="str">
        <f>Calcu!K14</f>
        <v/>
      </c>
      <c r="AL16" s="410"/>
      <c r="AM16" s="410"/>
      <c r="AN16" s="410"/>
      <c r="AO16" s="411"/>
    </row>
    <row r="17" spans="1:41" ht="18.75" customHeight="1">
      <c r="A17" s="58"/>
      <c r="B17" s="409" t="str">
        <f>Calcu!T15</f>
        <v/>
      </c>
      <c r="C17" s="410"/>
      <c r="D17" s="410"/>
      <c r="E17" s="410"/>
      <c r="F17" s="411"/>
      <c r="G17" s="409" t="str">
        <f>IF(Calcu!B15=TRUE,Calcu!E15*$H$5,"")</f>
        <v/>
      </c>
      <c r="H17" s="410"/>
      <c r="I17" s="410"/>
      <c r="J17" s="410"/>
      <c r="K17" s="411"/>
      <c r="L17" s="409" t="str">
        <f>IF(Calcu!B15=TRUE,Calcu!F15*H$5,"")</f>
        <v/>
      </c>
      <c r="M17" s="410"/>
      <c r="N17" s="410"/>
      <c r="O17" s="410"/>
      <c r="P17" s="411"/>
      <c r="Q17" s="409" t="str">
        <f>IF(Calcu!B15=TRUE,Calcu!G15*H$5,"")</f>
        <v/>
      </c>
      <c r="R17" s="410"/>
      <c r="S17" s="410"/>
      <c r="T17" s="410"/>
      <c r="U17" s="411"/>
      <c r="V17" s="409" t="str">
        <f>IF(Calcu!B15=TRUE,Calcu!H15*H$5,"")</f>
        <v/>
      </c>
      <c r="W17" s="410"/>
      <c r="X17" s="410"/>
      <c r="Y17" s="410"/>
      <c r="Z17" s="411"/>
      <c r="AA17" s="409" t="str">
        <f>IF(Calcu!B15=TRUE,Calcu!I15*H$5,"")</f>
        <v/>
      </c>
      <c r="AB17" s="410"/>
      <c r="AC17" s="410"/>
      <c r="AD17" s="410"/>
      <c r="AE17" s="411"/>
      <c r="AF17" s="409" t="str">
        <f>Calcu!M15</f>
        <v/>
      </c>
      <c r="AG17" s="410"/>
      <c r="AH17" s="410"/>
      <c r="AI17" s="410"/>
      <c r="AJ17" s="411"/>
      <c r="AK17" s="409" t="str">
        <f>Calcu!K15</f>
        <v/>
      </c>
      <c r="AL17" s="410"/>
      <c r="AM17" s="410"/>
      <c r="AN17" s="410"/>
      <c r="AO17" s="411"/>
    </row>
    <row r="18" spans="1:41" ht="18.75" customHeight="1">
      <c r="A18" s="58"/>
      <c r="B18" s="409" t="str">
        <f>Calcu!T16</f>
        <v/>
      </c>
      <c r="C18" s="410"/>
      <c r="D18" s="410"/>
      <c r="E18" s="410"/>
      <c r="F18" s="411"/>
      <c r="G18" s="409" t="str">
        <f>IF(Calcu!B16=TRUE,Calcu!E16*$H$5,"")</f>
        <v/>
      </c>
      <c r="H18" s="410"/>
      <c r="I18" s="410"/>
      <c r="J18" s="410"/>
      <c r="K18" s="411"/>
      <c r="L18" s="409" t="str">
        <f>IF(Calcu!B16=TRUE,Calcu!F16*H$5,"")</f>
        <v/>
      </c>
      <c r="M18" s="410"/>
      <c r="N18" s="410"/>
      <c r="O18" s="410"/>
      <c r="P18" s="411"/>
      <c r="Q18" s="409" t="str">
        <f>IF(Calcu!B16=TRUE,Calcu!G16*H$5,"")</f>
        <v/>
      </c>
      <c r="R18" s="410"/>
      <c r="S18" s="410"/>
      <c r="T18" s="410"/>
      <c r="U18" s="411"/>
      <c r="V18" s="409" t="str">
        <f>IF(Calcu!B16=TRUE,Calcu!H16*H$5,"")</f>
        <v/>
      </c>
      <c r="W18" s="410"/>
      <c r="X18" s="410"/>
      <c r="Y18" s="410"/>
      <c r="Z18" s="411"/>
      <c r="AA18" s="409" t="str">
        <f>IF(Calcu!B16=TRUE,Calcu!I16*H$5,"")</f>
        <v/>
      </c>
      <c r="AB18" s="410"/>
      <c r="AC18" s="410"/>
      <c r="AD18" s="410"/>
      <c r="AE18" s="411"/>
      <c r="AF18" s="409" t="str">
        <f>Calcu!M16</f>
        <v/>
      </c>
      <c r="AG18" s="410"/>
      <c r="AH18" s="410"/>
      <c r="AI18" s="410"/>
      <c r="AJ18" s="411"/>
      <c r="AK18" s="409" t="str">
        <f>Calcu!K16</f>
        <v/>
      </c>
      <c r="AL18" s="410"/>
      <c r="AM18" s="410"/>
      <c r="AN18" s="410"/>
      <c r="AO18" s="411"/>
    </row>
    <row r="19" spans="1:41" ht="18.75" customHeight="1">
      <c r="A19" s="58"/>
      <c r="B19" s="409" t="str">
        <f>Calcu!T17</f>
        <v/>
      </c>
      <c r="C19" s="410"/>
      <c r="D19" s="410"/>
      <c r="E19" s="410"/>
      <c r="F19" s="411"/>
      <c r="G19" s="409" t="str">
        <f>IF(Calcu!B17=TRUE,Calcu!E17*$H$5,"")</f>
        <v/>
      </c>
      <c r="H19" s="410"/>
      <c r="I19" s="410"/>
      <c r="J19" s="410"/>
      <c r="K19" s="411"/>
      <c r="L19" s="409" t="str">
        <f>IF(Calcu!B17=TRUE,Calcu!F17*H$5,"")</f>
        <v/>
      </c>
      <c r="M19" s="410"/>
      <c r="N19" s="410"/>
      <c r="O19" s="410"/>
      <c r="P19" s="411"/>
      <c r="Q19" s="409" t="str">
        <f>IF(Calcu!B17=TRUE,Calcu!G17*H$5,"")</f>
        <v/>
      </c>
      <c r="R19" s="410"/>
      <c r="S19" s="410"/>
      <c r="T19" s="410"/>
      <c r="U19" s="411"/>
      <c r="V19" s="409" t="str">
        <f>IF(Calcu!B17=TRUE,Calcu!H17*H$5,"")</f>
        <v/>
      </c>
      <c r="W19" s="410"/>
      <c r="X19" s="410"/>
      <c r="Y19" s="410"/>
      <c r="Z19" s="411"/>
      <c r="AA19" s="409" t="str">
        <f>IF(Calcu!B17=TRUE,Calcu!I17*H$5,"")</f>
        <v/>
      </c>
      <c r="AB19" s="410"/>
      <c r="AC19" s="410"/>
      <c r="AD19" s="410"/>
      <c r="AE19" s="411"/>
      <c r="AF19" s="409" t="str">
        <f>Calcu!M17</f>
        <v/>
      </c>
      <c r="AG19" s="410"/>
      <c r="AH19" s="410"/>
      <c r="AI19" s="410"/>
      <c r="AJ19" s="411"/>
      <c r="AK19" s="409" t="str">
        <f>Calcu!K17</f>
        <v/>
      </c>
      <c r="AL19" s="410"/>
      <c r="AM19" s="410"/>
      <c r="AN19" s="410"/>
      <c r="AO19" s="411"/>
    </row>
    <row r="20" spans="1:41" ht="18.75" customHeight="1">
      <c r="A20" s="58"/>
      <c r="B20" s="409" t="str">
        <f>Calcu!T18</f>
        <v/>
      </c>
      <c r="C20" s="410"/>
      <c r="D20" s="410"/>
      <c r="E20" s="410"/>
      <c r="F20" s="411"/>
      <c r="G20" s="409" t="str">
        <f>IF(Calcu!B18=TRUE,Calcu!E18*$H$5,"")</f>
        <v/>
      </c>
      <c r="H20" s="410"/>
      <c r="I20" s="410"/>
      <c r="J20" s="410"/>
      <c r="K20" s="411"/>
      <c r="L20" s="409" t="str">
        <f>IF(Calcu!B18=TRUE,Calcu!F18*H$5,"")</f>
        <v/>
      </c>
      <c r="M20" s="410"/>
      <c r="N20" s="410"/>
      <c r="O20" s="410"/>
      <c r="P20" s="411"/>
      <c r="Q20" s="409" t="str">
        <f>IF(Calcu!B18=TRUE,Calcu!G18*H$5,"")</f>
        <v/>
      </c>
      <c r="R20" s="410"/>
      <c r="S20" s="410"/>
      <c r="T20" s="410"/>
      <c r="U20" s="411"/>
      <c r="V20" s="409" t="str">
        <f>IF(Calcu!B18=TRUE,Calcu!H18*H$5,"")</f>
        <v/>
      </c>
      <c r="W20" s="410"/>
      <c r="X20" s="410"/>
      <c r="Y20" s="410"/>
      <c r="Z20" s="411"/>
      <c r="AA20" s="409" t="str">
        <f>IF(Calcu!B18=TRUE,Calcu!I18*H$5,"")</f>
        <v/>
      </c>
      <c r="AB20" s="410"/>
      <c r="AC20" s="410"/>
      <c r="AD20" s="410"/>
      <c r="AE20" s="411"/>
      <c r="AF20" s="409" t="str">
        <f>Calcu!M18</f>
        <v/>
      </c>
      <c r="AG20" s="410"/>
      <c r="AH20" s="410"/>
      <c r="AI20" s="410"/>
      <c r="AJ20" s="411"/>
      <c r="AK20" s="409" t="str">
        <f>Calcu!K18</f>
        <v/>
      </c>
      <c r="AL20" s="410"/>
      <c r="AM20" s="410"/>
      <c r="AN20" s="410"/>
      <c r="AO20" s="411"/>
    </row>
    <row r="21" spans="1:41" ht="18.75" customHeight="1">
      <c r="A21" s="58"/>
      <c r="B21" s="409" t="str">
        <f>Calcu!T19</f>
        <v/>
      </c>
      <c r="C21" s="410"/>
      <c r="D21" s="410"/>
      <c r="E21" s="410"/>
      <c r="F21" s="411"/>
      <c r="G21" s="409" t="str">
        <f>IF(Calcu!B19=TRUE,Calcu!E19*$H$5,"")</f>
        <v/>
      </c>
      <c r="H21" s="410"/>
      <c r="I21" s="410"/>
      <c r="J21" s="410"/>
      <c r="K21" s="411"/>
      <c r="L21" s="409" t="str">
        <f>IF(Calcu!B19=TRUE,Calcu!F19*H$5,"")</f>
        <v/>
      </c>
      <c r="M21" s="410"/>
      <c r="N21" s="410"/>
      <c r="O21" s="410"/>
      <c r="P21" s="411"/>
      <c r="Q21" s="409" t="str">
        <f>IF(Calcu!B19=TRUE,Calcu!G19*H$5,"")</f>
        <v/>
      </c>
      <c r="R21" s="410"/>
      <c r="S21" s="410"/>
      <c r="T21" s="410"/>
      <c r="U21" s="411"/>
      <c r="V21" s="409" t="str">
        <f>IF(Calcu!B19=TRUE,Calcu!H19*H$5,"")</f>
        <v/>
      </c>
      <c r="W21" s="410"/>
      <c r="X21" s="410"/>
      <c r="Y21" s="410"/>
      <c r="Z21" s="411"/>
      <c r="AA21" s="409" t="str">
        <f>IF(Calcu!B19=TRUE,Calcu!I19*H$5,"")</f>
        <v/>
      </c>
      <c r="AB21" s="410"/>
      <c r="AC21" s="410"/>
      <c r="AD21" s="410"/>
      <c r="AE21" s="411"/>
      <c r="AF21" s="409" t="str">
        <f>Calcu!M19</f>
        <v/>
      </c>
      <c r="AG21" s="410"/>
      <c r="AH21" s="410"/>
      <c r="AI21" s="410"/>
      <c r="AJ21" s="411"/>
      <c r="AK21" s="409" t="str">
        <f>Calcu!K19</f>
        <v/>
      </c>
      <c r="AL21" s="410"/>
      <c r="AM21" s="410"/>
      <c r="AN21" s="410"/>
      <c r="AO21" s="411"/>
    </row>
    <row r="22" spans="1:41" ht="18.75" customHeight="1">
      <c r="A22" s="58"/>
      <c r="B22" s="409" t="str">
        <f>Calcu!T20</f>
        <v/>
      </c>
      <c r="C22" s="410"/>
      <c r="D22" s="410"/>
      <c r="E22" s="410"/>
      <c r="F22" s="411"/>
      <c r="G22" s="409" t="str">
        <f>IF(Calcu!B20=TRUE,Calcu!E20*$H$5,"")</f>
        <v/>
      </c>
      <c r="H22" s="410"/>
      <c r="I22" s="410"/>
      <c r="J22" s="410"/>
      <c r="K22" s="411"/>
      <c r="L22" s="409" t="str">
        <f>IF(Calcu!B20=TRUE,Calcu!F20*H$5,"")</f>
        <v/>
      </c>
      <c r="M22" s="410"/>
      <c r="N22" s="410"/>
      <c r="O22" s="410"/>
      <c r="P22" s="411"/>
      <c r="Q22" s="409" t="str">
        <f>IF(Calcu!B20=TRUE,Calcu!G20*H$5,"")</f>
        <v/>
      </c>
      <c r="R22" s="410"/>
      <c r="S22" s="410"/>
      <c r="T22" s="410"/>
      <c r="U22" s="411"/>
      <c r="V22" s="409" t="str">
        <f>IF(Calcu!B20=TRUE,Calcu!H20*H$5,"")</f>
        <v/>
      </c>
      <c r="W22" s="410"/>
      <c r="X22" s="410"/>
      <c r="Y22" s="410"/>
      <c r="Z22" s="411"/>
      <c r="AA22" s="409" t="str">
        <f>IF(Calcu!B20=TRUE,Calcu!I20*H$5,"")</f>
        <v/>
      </c>
      <c r="AB22" s="410"/>
      <c r="AC22" s="410"/>
      <c r="AD22" s="410"/>
      <c r="AE22" s="411"/>
      <c r="AF22" s="409" t="str">
        <f>Calcu!M20</f>
        <v/>
      </c>
      <c r="AG22" s="410"/>
      <c r="AH22" s="410"/>
      <c r="AI22" s="410"/>
      <c r="AJ22" s="411"/>
      <c r="AK22" s="409" t="str">
        <f>Calcu!K20</f>
        <v/>
      </c>
      <c r="AL22" s="410"/>
      <c r="AM22" s="410"/>
      <c r="AN22" s="410"/>
      <c r="AO22" s="411"/>
    </row>
    <row r="23" spans="1:41" ht="18.75" customHeight="1">
      <c r="A23" s="58"/>
      <c r="B23" s="409" t="str">
        <f>Calcu!T21</f>
        <v/>
      </c>
      <c r="C23" s="410"/>
      <c r="D23" s="410"/>
      <c r="E23" s="410"/>
      <c r="F23" s="411"/>
      <c r="G23" s="409" t="str">
        <f>IF(Calcu!B21=TRUE,Calcu!E21*$H$5,"")</f>
        <v/>
      </c>
      <c r="H23" s="410"/>
      <c r="I23" s="410"/>
      <c r="J23" s="410"/>
      <c r="K23" s="411"/>
      <c r="L23" s="409" t="str">
        <f>IF(Calcu!B21=TRUE,Calcu!F21*H$5,"")</f>
        <v/>
      </c>
      <c r="M23" s="410"/>
      <c r="N23" s="410"/>
      <c r="O23" s="410"/>
      <c r="P23" s="411"/>
      <c r="Q23" s="409" t="str">
        <f>IF(Calcu!B21=TRUE,Calcu!G21*H$5,"")</f>
        <v/>
      </c>
      <c r="R23" s="410"/>
      <c r="S23" s="410"/>
      <c r="T23" s="410"/>
      <c r="U23" s="411"/>
      <c r="V23" s="409" t="str">
        <f>IF(Calcu!B21=TRUE,Calcu!H21*H$5,"")</f>
        <v/>
      </c>
      <c r="W23" s="410"/>
      <c r="X23" s="410"/>
      <c r="Y23" s="410"/>
      <c r="Z23" s="411"/>
      <c r="AA23" s="409" t="str">
        <f>IF(Calcu!B21=TRUE,Calcu!I21*H$5,"")</f>
        <v/>
      </c>
      <c r="AB23" s="410"/>
      <c r="AC23" s="410"/>
      <c r="AD23" s="410"/>
      <c r="AE23" s="411"/>
      <c r="AF23" s="409" t="str">
        <f>Calcu!M21</f>
        <v/>
      </c>
      <c r="AG23" s="410"/>
      <c r="AH23" s="410"/>
      <c r="AI23" s="410"/>
      <c r="AJ23" s="411"/>
      <c r="AK23" s="409" t="str">
        <f>Calcu!K21</f>
        <v/>
      </c>
      <c r="AL23" s="410"/>
      <c r="AM23" s="410"/>
      <c r="AN23" s="410"/>
      <c r="AO23" s="411"/>
    </row>
    <row r="24" spans="1:41" ht="18.75" customHeight="1">
      <c r="A24" s="58"/>
      <c r="B24" s="409" t="str">
        <f>Calcu!T22</f>
        <v/>
      </c>
      <c r="C24" s="410"/>
      <c r="D24" s="410"/>
      <c r="E24" s="410"/>
      <c r="F24" s="411"/>
      <c r="G24" s="409" t="str">
        <f>IF(Calcu!B22=TRUE,Calcu!E22*$H$5,"")</f>
        <v/>
      </c>
      <c r="H24" s="410"/>
      <c r="I24" s="410"/>
      <c r="J24" s="410"/>
      <c r="K24" s="411"/>
      <c r="L24" s="409" t="str">
        <f>IF(Calcu!B22=TRUE,Calcu!F22*H$5,"")</f>
        <v/>
      </c>
      <c r="M24" s="410"/>
      <c r="N24" s="410"/>
      <c r="O24" s="410"/>
      <c r="P24" s="411"/>
      <c r="Q24" s="409" t="str">
        <f>IF(Calcu!B22=TRUE,Calcu!G22*H$5,"")</f>
        <v/>
      </c>
      <c r="R24" s="410"/>
      <c r="S24" s="410"/>
      <c r="T24" s="410"/>
      <c r="U24" s="411"/>
      <c r="V24" s="409" t="str">
        <f>IF(Calcu!B22=TRUE,Calcu!H22*H$5,"")</f>
        <v/>
      </c>
      <c r="W24" s="410"/>
      <c r="X24" s="410"/>
      <c r="Y24" s="410"/>
      <c r="Z24" s="411"/>
      <c r="AA24" s="409" t="str">
        <f>IF(Calcu!B22=TRUE,Calcu!I22*H$5,"")</f>
        <v/>
      </c>
      <c r="AB24" s="410"/>
      <c r="AC24" s="410"/>
      <c r="AD24" s="410"/>
      <c r="AE24" s="411"/>
      <c r="AF24" s="409" t="str">
        <f>Calcu!M22</f>
        <v/>
      </c>
      <c r="AG24" s="410"/>
      <c r="AH24" s="410"/>
      <c r="AI24" s="410"/>
      <c r="AJ24" s="411"/>
      <c r="AK24" s="409" t="str">
        <f>Calcu!K22</f>
        <v/>
      </c>
      <c r="AL24" s="410"/>
      <c r="AM24" s="410"/>
      <c r="AN24" s="410"/>
      <c r="AO24" s="411"/>
    </row>
    <row r="25" spans="1:41" ht="18.75" customHeight="1">
      <c r="A25" s="58"/>
      <c r="B25" s="409" t="str">
        <f>Calcu!T23</f>
        <v/>
      </c>
      <c r="C25" s="410"/>
      <c r="D25" s="410"/>
      <c r="E25" s="410"/>
      <c r="F25" s="411"/>
      <c r="G25" s="409" t="str">
        <f>IF(Calcu!B23=TRUE,Calcu!E23*$H$5,"")</f>
        <v/>
      </c>
      <c r="H25" s="410"/>
      <c r="I25" s="410"/>
      <c r="J25" s="410"/>
      <c r="K25" s="411"/>
      <c r="L25" s="409" t="str">
        <f>IF(Calcu!B23=TRUE,Calcu!F23*H$5,"")</f>
        <v/>
      </c>
      <c r="M25" s="410"/>
      <c r="N25" s="410"/>
      <c r="O25" s="410"/>
      <c r="P25" s="411"/>
      <c r="Q25" s="409" t="str">
        <f>IF(Calcu!B23=TRUE,Calcu!G23*H$5,"")</f>
        <v/>
      </c>
      <c r="R25" s="410"/>
      <c r="S25" s="410"/>
      <c r="T25" s="410"/>
      <c r="U25" s="411"/>
      <c r="V25" s="409" t="str">
        <f>IF(Calcu!B23=TRUE,Calcu!H23*H$5,"")</f>
        <v/>
      </c>
      <c r="W25" s="410"/>
      <c r="X25" s="410"/>
      <c r="Y25" s="410"/>
      <c r="Z25" s="411"/>
      <c r="AA25" s="409" t="str">
        <f>IF(Calcu!B23=TRUE,Calcu!I23*H$5,"")</f>
        <v/>
      </c>
      <c r="AB25" s="410"/>
      <c r="AC25" s="410"/>
      <c r="AD25" s="410"/>
      <c r="AE25" s="411"/>
      <c r="AF25" s="409" t="str">
        <f>Calcu!M23</f>
        <v/>
      </c>
      <c r="AG25" s="410"/>
      <c r="AH25" s="410"/>
      <c r="AI25" s="410"/>
      <c r="AJ25" s="411"/>
      <c r="AK25" s="409" t="str">
        <f>Calcu!K23</f>
        <v/>
      </c>
      <c r="AL25" s="410"/>
      <c r="AM25" s="410"/>
      <c r="AN25" s="410"/>
      <c r="AO25" s="411"/>
    </row>
    <row r="26" spans="1:41" ht="18.75" customHeight="1">
      <c r="A26" s="58"/>
      <c r="B26" s="409" t="str">
        <f>Calcu!T24</f>
        <v/>
      </c>
      <c r="C26" s="410"/>
      <c r="D26" s="410"/>
      <c r="E26" s="410"/>
      <c r="F26" s="411"/>
      <c r="G26" s="409" t="str">
        <f>IF(Calcu!B24=TRUE,Calcu!E24*$H$5,"")</f>
        <v/>
      </c>
      <c r="H26" s="410"/>
      <c r="I26" s="410"/>
      <c r="J26" s="410"/>
      <c r="K26" s="411"/>
      <c r="L26" s="409" t="str">
        <f>IF(Calcu!B24=TRUE,Calcu!F24*H$5,"")</f>
        <v/>
      </c>
      <c r="M26" s="410"/>
      <c r="N26" s="410"/>
      <c r="O26" s="410"/>
      <c r="P26" s="411"/>
      <c r="Q26" s="409" t="str">
        <f>IF(Calcu!B24=TRUE,Calcu!G24*H$5,"")</f>
        <v/>
      </c>
      <c r="R26" s="410"/>
      <c r="S26" s="410"/>
      <c r="T26" s="410"/>
      <c r="U26" s="411"/>
      <c r="V26" s="409" t="str">
        <f>IF(Calcu!B24=TRUE,Calcu!H24*H$5,"")</f>
        <v/>
      </c>
      <c r="W26" s="410"/>
      <c r="X26" s="410"/>
      <c r="Y26" s="410"/>
      <c r="Z26" s="411"/>
      <c r="AA26" s="409" t="str">
        <f>IF(Calcu!B24=TRUE,Calcu!I24*H$5,"")</f>
        <v/>
      </c>
      <c r="AB26" s="410"/>
      <c r="AC26" s="410"/>
      <c r="AD26" s="410"/>
      <c r="AE26" s="411"/>
      <c r="AF26" s="409" t="str">
        <f>Calcu!M24</f>
        <v/>
      </c>
      <c r="AG26" s="410"/>
      <c r="AH26" s="410"/>
      <c r="AI26" s="410"/>
      <c r="AJ26" s="411"/>
      <c r="AK26" s="409" t="str">
        <f>Calcu!K24</f>
        <v/>
      </c>
      <c r="AL26" s="410"/>
      <c r="AM26" s="410"/>
      <c r="AN26" s="410"/>
      <c r="AO26" s="411"/>
    </row>
    <row r="27" spans="1:41" ht="18.75" customHeight="1">
      <c r="A27" s="58"/>
      <c r="B27" s="409" t="str">
        <f>Calcu!T25</f>
        <v/>
      </c>
      <c r="C27" s="410"/>
      <c r="D27" s="410"/>
      <c r="E27" s="410"/>
      <c r="F27" s="411"/>
      <c r="G27" s="409" t="str">
        <f>IF(Calcu!B25=TRUE,Calcu!E25*$H$5,"")</f>
        <v/>
      </c>
      <c r="H27" s="410"/>
      <c r="I27" s="410"/>
      <c r="J27" s="410"/>
      <c r="K27" s="411"/>
      <c r="L27" s="409" t="str">
        <f>IF(Calcu!B25=TRUE,Calcu!F25*H$5,"")</f>
        <v/>
      </c>
      <c r="M27" s="410"/>
      <c r="N27" s="410"/>
      <c r="O27" s="410"/>
      <c r="P27" s="411"/>
      <c r="Q27" s="409" t="str">
        <f>IF(Calcu!B25=TRUE,Calcu!G25*H$5,"")</f>
        <v/>
      </c>
      <c r="R27" s="410"/>
      <c r="S27" s="410"/>
      <c r="T27" s="410"/>
      <c r="U27" s="411"/>
      <c r="V27" s="409" t="str">
        <f>IF(Calcu!B25=TRUE,Calcu!H25*H$5,"")</f>
        <v/>
      </c>
      <c r="W27" s="410"/>
      <c r="X27" s="410"/>
      <c r="Y27" s="410"/>
      <c r="Z27" s="411"/>
      <c r="AA27" s="409" t="str">
        <f>IF(Calcu!B25=TRUE,Calcu!I25*H$5,"")</f>
        <v/>
      </c>
      <c r="AB27" s="410"/>
      <c r="AC27" s="410"/>
      <c r="AD27" s="410"/>
      <c r="AE27" s="411"/>
      <c r="AF27" s="409" t="str">
        <f>Calcu!M25</f>
        <v/>
      </c>
      <c r="AG27" s="410"/>
      <c r="AH27" s="410"/>
      <c r="AI27" s="410"/>
      <c r="AJ27" s="411"/>
      <c r="AK27" s="409" t="str">
        <f>Calcu!K25</f>
        <v/>
      </c>
      <c r="AL27" s="410"/>
      <c r="AM27" s="410"/>
      <c r="AN27" s="410"/>
      <c r="AO27" s="411"/>
    </row>
    <row r="28" spans="1:41" ht="18.75" customHeight="1">
      <c r="A28" s="58"/>
      <c r="B28" s="409" t="str">
        <f>Calcu!T26</f>
        <v/>
      </c>
      <c r="C28" s="410"/>
      <c r="D28" s="410"/>
      <c r="E28" s="410"/>
      <c r="F28" s="411"/>
      <c r="G28" s="409" t="str">
        <f>IF(Calcu!B26=TRUE,Calcu!E26*$H$5,"")</f>
        <v/>
      </c>
      <c r="H28" s="410"/>
      <c r="I28" s="410"/>
      <c r="J28" s="410"/>
      <c r="K28" s="411"/>
      <c r="L28" s="409" t="str">
        <f>IF(Calcu!B26=TRUE,Calcu!F26*H$5,"")</f>
        <v/>
      </c>
      <c r="M28" s="410"/>
      <c r="N28" s="410"/>
      <c r="O28" s="410"/>
      <c r="P28" s="411"/>
      <c r="Q28" s="409" t="str">
        <f>IF(Calcu!B26=TRUE,Calcu!G26*H$5,"")</f>
        <v/>
      </c>
      <c r="R28" s="410"/>
      <c r="S28" s="410"/>
      <c r="T28" s="410"/>
      <c r="U28" s="411"/>
      <c r="V28" s="409" t="str">
        <f>IF(Calcu!B26=TRUE,Calcu!H26*H$5,"")</f>
        <v/>
      </c>
      <c r="W28" s="410"/>
      <c r="X28" s="410"/>
      <c r="Y28" s="410"/>
      <c r="Z28" s="411"/>
      <c r="AA28" s="409" t="str">
        <f>IF(Calcu!B26=TRUE,Calcu!I26*H$5,"")</f>
        <v/>
      </c>
      <c r="AB28" s="410"/>
      <c r="AC28" s="410"/>
      <c r="AD28" s="410"/>
      <c r="AE28" s="411"/>
      <c r="AF28" s="409" t="str">
        <f>Calcu!M26</f>
        <v/>
      </c>
      <c r="AG28" s="410"/>
      <c r="AH28" s="410"/>
      <c r="AI28" s="410"/>
      <c r="AJ28" s="411"/>
      <c r="AK28" s="409" t="str">
        <f>Calcu!K26</f>
        <v/>
      </c>
      <c r="AL28" s="410"/>
      <c r="AM28" s="410"/>
      <c r="AN28" s="410"/>
      <c r="AO28" s="411"/>
    </row>
    <row r="29" spans="1:41" ht="18.75" customHeight="1">
      <c r="A29" s="58"/>
      <c r="B29" s="409" t="str">
        <f>Calcu!T27</f>
        <v/>
      </c>
      <c r="C29" s="410"/>
      <c r="D29" s="410"/>
      <c r="E29" s="410"/>
      <c r="F29" s="411"/>
      <c r="G29" s="409" t="str">
        <f>IF(Calcu!B27=TRUE,Calcu!E27*$H$5,"")</f>
        <v/>
      </c>
      <c r="H29" s="410"/>
      <c r="I29" s="410"/>
      <c r="J29" s="410"/>
      <c r="K29" s="411"/>
      <c r="L29" s="409" t="str">
        <f>IF(Calcu!B27=TRUE,Calcu!F27*H$5,"")</f>
        <v/>
      </c>
      <c r="M29" s="410"/>
      <c r="N29" s="410"/>
      <c r="O29" s="410"/>
      <c r="P29" s="411"/>
      <c r="Q29" s="409" t="str">
        <f>IF(Calcu!B27=TRUE,Calcu!G27*H$5,"")</f>
        <v/>
      </c>
      <c r="R29" s="410"/>
      <c r="S29" s="410"/>
      <c r="T29" s="410"/>
      <c r="U29" s="411"/>
      <c r="V29" s="409" t="str">
        <f>IF(Calcu!B27=TRUE,Calcu!H27*H$5,"")</f>
        <v/>
      </c>
      <c r="W29" s="410"/>
      <c r="X29" s="410"/>
      <c r="Y29" s="410"/>
      <c r="Z29" s="411"/>
      <c r="AA29" s="409" t="str">
        <f>IF(Calcu!B27=TRUE,Calcu!I27*H$5,"")</f>
        <v/>
      </c>
      <c r="AB29" s="410"/>
      <c r="AC29" s="410"/>
      <c r="AD29" s="410"/>
      <c r="AE29" s="411"/>
      <c r="AF29" s="409" t="str">
        <f>Calcu!M27</f>
        <v/>
      </c>
      <c r="AG29" s="410"/>
      <c r="AH29" s="410"/>
      <c r="AI29" s="410"/>
      <c r="AJ29" s="411"/>
      <c r="AK29" s="409" t="str">
        <f>Calcu!K27</f>
        <v/>
      </c>
      <c r="AL29" s="410"/>
      <c r="AM29" s="410"/>
      <c r="AN29" s="410"/>
      <c r="AO29" s="411"/>
    </row>
    <row r="30" spans="1:41" ht="18.75" customHeight="1">
      <c r="A30" s="58"/>
      <c r="B30" s="409" t="str">
        <f>Calcu!T28</f>
        <v/>
      </c>
      <c r="C30" s="410"/>
      <c r="D30" s="410"/>
      <c r="E30" s="410"/>
      <c r="F30" s="411"/>
      <c r="G30" s="409" t="str">
        <f>IF(Calcu!B28=TRUE,Calcu!E28*$H$5,"")</f>
        <v/>
      </c>
      <c r="H30" s="410"/>
      <c r="I30" s="410"/>
      <c r="J30" s="410"/>
      <c r="K30" s="411"/>
      <c r="L30" s="409" t="str">
        <f>IF(Calcu!B28=TRUE,Calcu!F28*H$5,"")</f>
        <v/>
      </c>
      <c r="M30" s="410"/>
      <c r="N30" s="410"/>
      <c r="O30" s="410"/>
      <c r="P30" s="411"/>
      <c r="Q30" s="409" t="str">
        <f>IF(Calcu!B28=TRUE,Calcu!G28*H$5,"")</f>
        <v/>
      </c>
      <c r="R30" s="410"/>
      <c r="S30" s="410"/>
      <c r="T30" s="410"/>
      <c r="U30" s="411"/>
      <c r="V30" s="409" t="str">
        <f>IF(Calcu!B28=TRUE,Calcu!H28*H$5,"")</f>
        <v/>
      </c>
      <c r="W30" s="410"/>
      <c r="X30" s="410"/>
      <c r="Y30" s="410"/>
      <c r="Z30" s="411"/>
      <c r="AA30" s="409" t="str">
        <f>IF(Calcu!B28=TRUE,Calcu!I28*H$5,"")</f>
        <v/>
      </c>
      <c r="AB30" s="410"/>
      <c r="AC30" s="410"/>
      <c r="AD30" s="410"/>
      <c r="AE30" s="411"/>
      <c r="AF30" s="409" t="str">
        <f>Calcu!M28</f>
        <v/>
      </c>
      <c r="AG30" s="410"/>
      <c r="AH30" s="410"/>
      <c r="AI30" s="410"/>
      <c r="AJ30" s="411"/>
      <c r="AK30" s="409" t="str">
        <f>Calcu!K28</f>
        <v/>
      </c>
      <c r="AL30" s="410"/>
      <c r="AM30" s="410"/>
      <c r="AN30" s="410"/>
      <c r="AO30" s="411"/>
    </row>
    <row r="31" spans="1:41" ht="18.75" customHeight="1">
      <c r="A31" s="58"/>
      <c r="B31" s="409" t="str">
        <f>Calcu!T29</f>
        <v/>
      </c>
      <c r="C31" s="410"/>
      <c r="D31" s="410"/>
      <c r="E31" s="410"/>
      <c r="F31" s="411"/>
      <c r="G31" s="409" t="str">
        <f>IF(Calcu!B29=TRUE,Calcu!E29*$H$5,"")</f>
        <v/>
      </c>
      <c r="H31" s="410"/>
      <c r="I31" s="410"/>
      <c r="J31" s="410"/>
      <c r="K31" s="411"/>
      <c r="L31" s="409" t="str">
        <f>IF(Calcu!B29=TRUE,Calcu!F29*H$5,"")</f>
        <v/>
      </c>
      <c r="M31" s="410"/>
      <c r="N31" s="410"/>
      <c r="O31" s="410"/>
      <c r="P31" s="411"/>
      <c r="Q31" s="409" t="str">
        <f>IF(Calcu!B29=TRUE,Calcu!G29*H$5,"")</f>
        <v/>
      </c>
      <c r="R31" s="410"/>
      <c r="S31" s="410"/>
      <c r="T31" s="410"/>
      <c r="U31" s="411"/>
      <c r="V31" s="409" t="str">
        <f>IF(Calcu!B29=TRUE,Calcu!H29*H$5,"")</f>
        <v/>
      </c>
      <c r="W31" s="410"/>
      <c r="X31" s="410"/>
      <c r="Y31" s="410"/>
      <c r="Z31" s="411"/>
      <c r="AA31" s="409" t="str">
        <f>IF(Calcu!B29=TRUE,Calcu!I29*H$5,"")</f>
        <v/>
      </c>
      <c r="AB31" s="410"/>
      <c r="AC31" s="410"/>
      <c r="AD31" s="410"/>
      <c r="AE31" s="411"/>
      <c r="AF31" s="409" t="str">
        <f>Calcu!M29</f>
        <v/>
      </c>
      <c r="AG31" s="410"/>
      <c r="AH31" s="410"/>
      <c r="AI31" s="410"/>
      <c r="AJ31" s="411"/>
      <c r="AK31" s="409" t="str">
        <f>Calcu!K29</f>
        <v/>
      </c>
      <c r="AL31" s="410"/>
      <c r="AM31" s="410"/>
      <c r="AN31" s="410"/>
      <c r="AO31" s="411"/>
    </row>
    <row r="32" spans="1:41" ht="18.75" customHeight="1">
      <c r="A32" s="58"/>
      <c r="B32" s="409" t="str">
        <f>Calcu!T30</f>
        <v/>
      </c>
      <c r="C32" s="410"/>
      <c r="D32" s="410"/>
      <c r="E32" s="410"/>
      <c r="F32" s="411"/>
      <c r="G32" s="409" t="str">
        <f>IF(Calcu!B30=TRUE,Calcu!E30*$H$5,"")</f>
        <v/>
      </c>
      <c r="H32" s="410"/>
      <c r="I32" s="410"/>
      <c r="J32" s="410"/>
      <c r="K32" s="411"/>
      <c r="L32" s="409" t="str">
        <f>IF(Calcu!B30=TRUE,Calcu!F30*H$5,"")</f>
        <v/>
      </c>
      <c r="M32" s="410"/>
      <c r="N32" s="410"/>
      <c r="O32" s="410"/>
      <c r="P32" s="411"/>
      <c r="Q32" s="409" t="str">
        <f>IF(Calcu!B30=TRUE,Calcu!G30*H$5,"")</f>
        <v/>
      </c>
      <c r="R32" s="410"/>
      <c r="S32" s="410"/>
      <c r="T32" s="410"/>
      <c r="U32" s="411"/>
      <c r="V32" s="409" t="str">
        <f>IF(Calcu!B30=TRUE,Calcu!H30*H$5,"")</f>
        <v/>
      </c>
      <c r="W32" s="410"/>
      <c r="X32" s="410"/>
      <c r="Y32" s="410"/>
      <c r="Z32" s="411"/>
      <c r="AA32" s="409" t="str">
        <f>IF(Calcu!B30=TRUE,Calcu!I30*H$5,"")</f>
        <v/>
      </c>
      <c r="AB32" s="410"/>
      <c r="AC32" s="410"/>
      <c r="AD32" s="410"/>
      <c r="AE32" s="411"/>
      <c r="AF32" s="409" t="str">
        <f>Calcu!M30</f>
        <v/>
      </c>
      <c r="AG32" s="410"/>
      <c r="AH32" s="410"/>
      <c r="AI32" s="410"/>
      <c r="AJ32" s="411"/>
      <c r="AK32" s="409" t="str">
        <f>Calcu!K30</f>
        <v/>
      </c>
      <c r="AL32" s="410"/>
      <c r="AM32" s="410"/>
      <c r="AN32" s="410"/>
      <c r="AO32" s="411"/>
    </row>
    <row r="33" spans="1:41" ht="18.75" customHeight="1">
      <c r="A33" s="58"/>
      <c r="B33" s="409" t="str">
        <f>Calcu!T31</f>
        <v/>
      </c>
      <c r="C33" s="410"/>
      <c r="D33" s="410"/>
      <c r="E33" s="410"/>
      <c r="F33" s="411"/>
      <c r="G33" s="409" t="str">
        <f>IF(Calcu!B31=TRUE,Calcu!E31*$H$5,"")</f>
        <v/>
      </c>
      <c r="H33" s="410"/>
      <c r="I33" s="410"/>
      <c r="J33" s="410"/>
      <c r="K33" s="411"/>
      <c r="L33" s="409" t="str">
        <f>IF(Calcu!B31=TRUE,Calcu!F31*H$5,"")</f>
        <v/>
      </c>
      <c r="M33" s="410"/>
      <c r="N33" s="410"/>
      <c r="O33" s="410"/>
      <c r="P33" s="411"/>
      <c r="Q33" s="409" t="str">
        <f>IF(Calcu!B31=TRUE,Calcu!G31*H$5,"")</f>
        <v/>
      </c>
      <c r="R33" s="410"/>
      <c r="S33" s="410"/>
      <c r="T33" s="410"/>
      <c r="U33" s="411"/>
      <c r="V33" s="409" t="str">
        <f>IF(Calcu!B31=TRUE,Calcu!H31*H$5,"")</f>
        <v/>
      </c>
      <c r="W33" s="410"/>
      <c r="X33" s="410"/>
      <c r="Y33" s="410"/>
      <c r="Z33" s="411"/>
      <c r="AA33" s="409" t="str">
        <f>IF(Calcu!B31=TRUE,Calcu!I31*H$5,"")</f>
        <v/>
      </c>
      <c r="AB33" s="410"/>
      <c r="AC33" s="410"/>
      <c r="AD33" s="410"/>
      <c r="AE33" s="411"/>
      <c r="AF33" s="409" t="str">
        <f>Calcu!M31</f>
        <v/>
      </c>
      <c r="AG33" s="410"/>
      <c r="AH33" s="410"/>
      <c r="AI33" s="410"/>
      <c r="AJ33" s="411"/>
      <c r="AK33" s="409" t="str">
        <f>Calcu!K31</f>
        <v/>
      </c>
      <c r="AL33" s="410"/>
      <c r="AM33" s="410"/>
      <c r="AN33" s="410"/>
      <c r="AO33" s="411"/>
    </row>
    <row r="34" spans="1:41" ht="18.75" customHeight="1">
      <c r="A34" s="58"/>
      <c r="B34" s="409" t="str">
        <f>Calcu!T32</f>
        <v/>
      </c>
      <c r="C34" s="410"/>
      <c r="D34" s="410"/>
      <c r="E34" s="410"/>
      <c r="F34" s="411"/>
      <c r="G34" s="409" t="str">
        <f>IF(Calcu!B32=TRUE,Calcu!E32*$H$5,"")</f>
        <v/>
      </c>
      <c r="H34" s="410"/>
      <c r="I34" s="410"/>
      <c r="J34" s="410"/>
      <c r="K34" s="411"/>
      <c r="L34" s="409" t="str">
        <f>IF(Calcu!B32=TRUE,Calcu!F32*H$5,"")</f>
        <v/>
      </c>
      <c r="M34" s="410"/>
      <c r="N34" s="410"/>
      <c r="O34" s="410"/>
      <c r="P34" s="411"/>
      <c r="Q34" s="409" t="str">
        <f>IF(Calcu!B32=TRUE,Calcu!G32*H$5,"")</f>
        <v/>
      </c>
      <c r="R34" s="410"/>
      <c r="S34" s="410"/>
      <c r="T34" s="410"/>
      <c r="U34" s="411"/>
      <c r="V34" s="409" t="str">
        <f>IF(Calcu!B32=TRUE,Calcu!H32*H$5,"")</f>
        <v/>
      </c>
      <c r="W34" s="410"/>
      <c r="X34" s="410"/>
      <c r="Y34" s="410"/>
      <c r="Z34" s="411"/>
      <c r="AA34" s="409" t="str">
        <f>IF(Calcu!B32=TRUE,Calcu!I32*H$5,"")</f>
        <v/>
      </c>
      <c r="AB34" s="410"/>
      <c r="AC34" s="410"/>
      <c r="AD34" s="410"/>
      <c r="AE34" s="411"/>
      <c r="AF34" s="409" t="str">
        <f>Calcu!M32</f>
        <v/>
      </c>
      <c r="AG34" s="410"/>
      <c r="AH34" s="410"/>
      <c r="AI34" s="410"/>
      <c r="AJ34" s="411"/>
      <c r="AK34" s="409" t="str">
        <f>Calcu!K32</f>
        <v/>
      </c>
      <c r="AL34" s="410"/>
      <c r="AM34" s="410"/>
      <c r="AN34" s="410"/>
      <c r="AO34" s="411"/>
    </row>
    <row r="35" spans="1:41" ht="18.75" customHeight="1">
      <c r="A35" s="58"/>
      <c r="B35" s="409" t="str">
        <f>Calcu!T33</f>
        <v/>
      </c>
      <c r="C35" s="410"/>
      <c r="D35" s="410"/>
      <c r="E35" s="410"/>
      <c r="F35" s="411"/>
      <c r="G35" s="409" t="str">
        <f>IF(Calcu!B33=TRUE,Calcu!E33*$H$5,"")</f>
        <v/>
      </c>
      <c r="H35" s="410"/>
      <c r="I35" s="410"/>
      <c r="J35" s="410"/>
      <c r="K35" s="411"/>
      <c r="L35" s="409" t="str">
        <f>IF(Calcu!B33=TRUE,Calcu!F33*H$5,"")</f>
        <v/>
      </c>
      <c r="M35" s="410"/>
      <c r="N35" s="410"/>
      <c r="O35" s="410"/>
      <c r="P35" s="411"/>
      <c r="Q35" s="409" t="str">
        <f>IF(Calcu!B33=TRUE,Calcu!G33*H$5,"")</f>
        <v/>
      </c>
      <c r="R35" s="410"/>
      <c r="S35" s="410"/>
      <c r="T35" s="410"/>
      <c r="U35" s="411"/>
      <c r="V35" s="409" t="str">
        <f>IF(Calcu!B33=TRUE,Calcu!H33*H$5,"")</f>
        <v/>
      </c>
      <c r="W35" s="410"/>
      <c r="X35" s="410"/>
      <c r="Y35" s="410"/>
      <c r="Z35" s="411"/>
      <c r="AA35" s="409" t="str">
        <f>IF(Calcu!B33=TRUE,Calcu!I33*H$5,"")</f>
        <v/>
      </c>
      <c r="AB35" s="410"/>
      <c r="AC35" s="410"/>
      <c r="AD35" s="410"/>
      <c r="AE35" s="411"/>
      <c r="AF35" s="409" t="str">
        <f>Calcu!M33</f>
        <v/>
      </c>
      <c r="AG35" s="410"/>
      <c r="AH35" s="410"/>
      <c r="AI35" s="410"/>
      <c r="AJ35" s="411"/>
      <c r="AK35" s="409" t="str">
        <f>Calcu!K33</f>
        <v/>
      </c>
      <c r="AL35" s="410"/>
      <c r="AM35" s="410"/>
      <c r="AN35" s="410"/>
      <c r="AO35" s="411"/>
    </row>
    <row r="36" spans="1:41" ht="18.75" customHeight="1">
      <c r="A36" s="58"/>
      <c r="B36" s="409" t="str">
        <f>Calcu!T34</f>
        <v/>
      </c>
      <c r="C36" s="410"/>
      <c r="D36" s="410"/>
      <c r="E36" s="410"/>
      <c r="F36" s="411"/>
      <c r="G36" s="409" t="str">
        <f>IF(Calcu!B34=TRUE,Calcu!E34*$H$5,"")</f>
        <v/>
      </c>
      <c r="H36" s="410"/>
      <c r="I36" s="410"/>
      <c r="J36" s="410"/>
      <c r="K36" s="411"/>
      <c r="L36" s="409" t="str">
        <f>IF(Calcu!B34=TRUE,Calcu!F34*H$5,"")</f>
        <v/>
      </c>
      <c r="M36" s="410"/>
      <c r="N36" s="410"/>
      <c r="O36" s="410"/>
      <c r="P36" s="411"/>
      <c r="Q36" s="409" t="str">
        <f>IF(Calcu!B34=TRUE,Calcu!G34*H$5,"")</f>
        <v/>
      </c>
      <c r="R36" s="410"/>
      <c r="S36" s="410"/>
      <c r="T36" s="410"/>
      <c r="U36" s="411"/>
      <c r="V36" s="409" t="str">
        <f>IF(Calcu!B34=TRUE,Calcu!H34*H$5,"")</f>
        <v/>
      </c>
      <c r="W36" s="410"/>
      <c r="X36" s="410"/>
      <c r="Y36" s="410"/>
      <c r="Z36" s="411"/>
      <c r="AA36" s="409" t="str">
        <f>IF(Calcu!B34=TRUE,Calcu!I34*H$5,"")</f>
        <v/>
      </c>
      <c r="AB36" s="410"/>
      <c r="AC36" s="410"/>
      <c r="AD36" s="410"/>
      <c r="AE36" s="411"/>
      <c r="AF36" s="409" t="str">
        <f>Calcu!M34</f>
        <v/>
      </c>
      <c r="AG36" s="410"/>
      <c r="AH36" s="410"/>
      <c r="AI36" s="410"/>
      <c r="AJ36" s="411"/>
      <c r="AK36" s="409" t="str">
        <f>Calcu!K34</f>
        <v/>
      </c>
      <c r="AL36" s="410"/>
      <c r="AM36" s="410"/>
      <c r="AN36" s="410"/>
      <c r="AO36" s="411"/>
    </row>
    <row r="37" spans="1:41" ht="18.75" customHeight="1">
      <c r="A37" s="58"/>
      <c r="B37" s="409" t="str">
        <f>Calcu!T35</f>
        <v/>
      </c>
      <c r="C37" s="410"/>
      <c r="D37" s="410"/>
      <c r="E37" s="410"/>
      <c r="F37" s="411"/>
      <c r="G37" s="409" t="str">
        <f>IF(Calcu!B35=TRUE,Calcu!E35*$H$5,"")</f>
        <v/>
      </c>
      <c r="H37" s="410"/>
      <c r="I37" s="410"/>
      <c r="J37" s="410"/>
      <c r="K37" s="411"/>
      <c r="L37" s="409" t="str">
        <f>IF(Calcu!B35=TRUE,Calcu!F35*H$5,"")</f>
        <v/>
      </c>
      <c r="M37" s="410"/>
      <c r="N37" s="410"/>
      <c r="O37" s="410"/>
      <c r="P37" s="411"/>
      <c r="Q37" s="409" t="str">
        <f>IF(Calcu!B35=TRUE,Calcu!G35*H$5,"")</f>
        <v/>
      </c>
      <c r="R37" s="410"/>
      <c r="S37" s="410"/>
      <c r="T37" s="410"/>
      <c r="U37" s="411"/>
      <c r="V37" s="409" t="str">
        <f>IF(Calcu!B35=TRUE,Calcu!H35*H$5,"")</f>
        <v/>
      </c>
      <c r="W37" s="410"/>
      <c r="X37" s="410"/>
      <c r="Y37" s="410"/>
      <c r="Z37" s="411"/>
      <c r="AA37" s="409" t="str">
        <f>IF(Calcu!B35=TRUE,Calcu!I35*H$5,"")</f>
        <v/>
      </c>
      <c r="AB37" s="410"/>
      <c r="AC37" s="410"/>
      <c r="AD37" s="410"/>
      <c r="AE37" s="411"/>
      <c r="AF37" s="409" t="str">
        <f>Calcu!M35</f>
        <v/>
      </c>
      <c r="AG37" s="410"/>
      <c r="AH37" s="410"/>
      <c r="AI37" s="410"/>
      <c r="AJ37" s="411"/>
      <c r="AK37" s="409" t="str">
        <f>Calcu!K35</f>
        <v/>
      </c>
      <c r="AL37" s="410"/>
      <c r="AM37" s="410"/>
      <c r="AN37" s="410"/>
      <c r="AO37" s="411"/>
    </row>
    <row r="38" spans="1:41" ht="18.75" customHeight="1">
      <c r="A38" s="58"/>
      <c r="B38" s="409" t="str">
        <f>Calcu!T36</f>
        <v/>
      </c>
      <c r="C38" s="410"/>
      <c r="D38" s="410"/>
      <c r="E38" s="410"/>
      <c r="F38" s="411"/>
      <c r="G38" s="409" t="str">
        <f>IF(Calcu!B36=TRUE,Calcu!E36*$H$5,"")</f>
        <v/>
      </c>
      <c r="H38" s="410"/>
      <c r="I38" s="410"/>
      <c r="J38" s="410"/>
      <c r="K38" s="411"/>
      <c r="L38" s="409" t="str">
        <f>IF(Calcu!B36=TRUE,Calcu!F36*H$5,"")</f>
        <v/>
      </c>
      <c r="M38" s="410"/>
      <c r="N38" s="410"/>
      <c r="O38" s="410"/>
      <c r="P38" s="411"/>
      <c r="Q38" s="409" t="str">
        <f>IF(Calcu!B36=TRUE,Calcu!G36*H$5,"")</f>
        <v/>
      </c>
      <c r="R38" s="410"/>
      <c r="S38" s="410"/>
      <c r="T38" s="410"/>
      <c r="U38" s="411"/>
      <c r="V38" s="409" t="str">
        <f>IF(Calcu!B36=TRUE,Calcu!H36*H$5,"")</f>
        <v/>
      </c>
      <c r="W38" s="410"/>
      <c r="X38" s="410"/>
      <c r="Y38" s="410"/>
      <c r="Z38" s="411"/>
      <c r="AA38" s="409" t="str">
        <f>IF(Calcu!B36=TRUE,Calcu!I36*H$5,"")</f>
        <v/>
      </c>
      <c r="AB38" s="410"/>
      <c r="AC38" s="410"/>
      <c r="AD38" s="410"/>
      <c r="AE38" s="411"/>
      <c r="AF38" s="409" t="str">
        <f>Calcu!M36</f>
        <v/>
      </c>
      <c r="AG38" s="410"/>
      <c r="AH38" s="410"/>
      <c r="AI38" s="410"/>
      <c r="AJ38" s="411"/>
      <c r="AK38" s="409" t="str">
        <f>Calcu!K36</f>
        <v/>
      </c>
      <c r="AL38" s="410"/>
      <c r="AM38" s="410"/>
      <c r="AN38" s="410"/>
      <c r="AO38" s="411"/>
    </row>
    <row r="39" spans="1:41" ht="18.75" customHeight="1">
      <c r="A39" s="58"/>
      <c r="B39" s="409" t="str">
        <f>Calcu!T37</f>
        <v/>
      </c>
      <c r="C39" s="410"/>
      <c r="D39" s="410"/>
      <c r="E39" s="410"/>
      <c r="F39" s="411"/>
      <c r="G39" s="409" t="str">
        <f>IF(Calcu!B37=TRUE,Calcu!E37*$H$5,"")</f>
        <v/>
      </c>
      <c r="H39" s="410"/>
      <c r="I39" s="410"/>
      <c r="J39" s="410"/>
      <c r="K39" s="411"/>
      <c r="L39" s="409" t="str">
        <f>IF(Calcu!B37=TRUE,Calcu!F37*H$5,"")</f>
        <v/>
      </c>
      <c r="M39" s="410"/>
      <c r="N39" s="410"/>
      <c r="O39" s="410"/>
      <c r="P39" s="411"/>
      <c r="Q39" s="409" t="str">
        <f>IF(Calcu!B37=TRUE,Calcu!G37*H$5,"")</f>
        <v/>
      </c>
      <c r="R39" s="410"/>
      <c r="S39" s="410"/>
      <c r="T39" s="410"/>
      <c r="U39" s="411"/>
      <c r="V39" s="409" t="str">
        <f>IF(Calcu!B37=TRUE,Calcu!H37*H$5,"")</f>
        <v/>
      </c>
      <c r="W39" s="410"/>
      <c r="X39" s="410"/>
      <c r="Y39" s="410"/>
      <c r="Z39" s="411"/>
      <c r="AA39" s="409" t="str">
        <f>IF(Calcu!B37=TRUE,Calcu!I37*H$5,"")</f>
        <v/>
      </c>
      <c r="AB39" s="410"/>
      <c r="AC39" s="410"/>
      <c r="AD39" s="410"/>
      <c r="AE39" s="411"/>
      <c r="AF39" s="409" t="str">
        <f>Calcu!M37</f>
        <v/>
      </c>
      <c r="AG39" s="410"/>
      <c r="AH39" s="410"/>
      <c r="AI39" s="410"/>
      <c r="AJ39" s="411"/>
      <c r="AK39" s="409" t="str">
        <f>Calcu!K37</f>
        <v/>
      </c>
      <c r="AL39" s="410"/>
      <c r="AM39" s="410"/>
      <c r="AN39" s="410"/>
      <c r="AO39" s="411"/>
    </row>
    <row r="40" spans="1:41" ht="18.75" customHeight="1">
      <c r="A40" s="58"/>
      <c r="B40" s="409" t="str">
        <f>Calcu!T38</f>
        <v/>
      </c>
      <c r="C40" s="410"/>
      <c r="D40" s="410"/>
      <c r="E40" s="410"/>
      <c r="F40" s="411"/>
      <c r="G40" s="409" t="str">
        <f>IF(Calcu!B38=TRUE,Calcu!E38*$H$5,"")</f>
        <v/>
      </c>
      <c r="H40" s="410"/>
      <c r="I40" s="410"/>
      <c r="J40" s="410"/>
      <c r="K40" s="411"/>
      <c r="L40" s="409" t="str">
        <f>IF(Calcu!B38=TRUE,Calcu!F38*H$5,"")</f>
        <v/>
      </c>
      <c r="M40" s="410"/>
      <c r="N40" s="410"/>
      <c r="O40" s="410"/>
      <c r="P40" s="411"/>
      <c r="Q40" s="409" t="str">
        <f>IF(Calcu!B38=TRUE,Calcu!G38*H$5,"")</f>
        <v/>
      </c>
      <c r="R40" s="410"/>
      <c r="S40" s="410"/>
      <c r="T40" s="410"/>
      <c r="U40" s="411"/>
      <c r="V40" s="409" t="str">
        <f>IF(Calcu!B38=TRUE,Calcu!H38*H$5,"")</f>
        <v/>
      </c>
      <c r="W40" s="410"/>
      <c r="X40" s="410"/>
      <c r="Y40" s="410"/>
      <c r="Z40" s="411"/>
      <c r="AA40" s="409" t="str">
        <f>IF(Calcu!B38=TRUE,Calcu!I38*H$5,"")</f>
        <v/>
      </c>
      <c r="AB40" s="410"/>
      <c r="AC40" s="410"/>
      <c r="AD40" s="410"/>
      <c r="AE40" s="411"/>
      <c r="AF40" s="409" t="str">
        <f>Calcu!M38</f>
        <v/>
      </c>
      <c r="AG40" s="410"/>
      <c r="AH40" s="410"/>
      <c r="AI40" s="410"/>
      <c r="AJ40" s="411"/>
      <c r="AK40" s="409" t="str">
        <f>Calcu!K38</f>
        <v/>
      </c>
      <c r="AL40" s="410"/>
      <c r="AM40" s="410"/>
      <c r="AN40" s="410"/>
      <c r="AO40" s="411"/>
    </row>
    <row r="41" spans="1:41" ht="18.75" customHeight="1">
      <c r="A41" s="58"/>
      <c r="B41" s="409" t="str">
        <f>Calcu!T39</f>
        <v/>
      </c>
      <c r="C41" s="410"/>
      <c r="D41" s="410"/>
      <c r="E41" s="410"/>
      <c r="F41" s="411"/>
      <c r="G41" s="409" t="str">
        <f>IF(Calcu!B39=TRUE,Calcu!E39*$H$5,"")</f>
        <v/>
      </c>
      <c r="H41" s="410"/>
      <c r="I41" s="410"/>
      <c r="J41" s="410"/>
      <c r="K41" s="411"/>
      <c r="L41" s="409" t="str">
        <f>IF(Calcu!B39=TRUE,Calcu!F39*H$5,"")</f>
        <v/>
      </c>
      <c r="M41" s="410"/>
      <c r="N41" s="410"/>
      <c r="O41" s="410"/>
      <c r="P41" s="411"/>
      <c r="Q41" s="409" t="str">
        <f>IF(Calcu!B39=TRUE,Calcu!G39*H$5,"")</f>
        <v/>
      </c>
      <c r="R41" s="410"/>
      <c r="S41" s="410"/>
      <c r="T41" s="410"/>
      <c r="U41" s="411"/>
      <c r="V41" s="409" t="str">
        <f>IF(Calcu!B39=TRUE,Calcu!H39*H$5,"")</f>
        <v/>
      </c>
      <c r="W41" s="410"/>
      <c r="X41" s="410"/>
      <c r="Y41" s="410"/>
      <c r="Z41" s="411"/>
      <c r="AA41" s="409" t="str">
        <f>IF(Calcu!B39=TRUE,Calcu!I39*H$5,"")</f>
        <v/>
      </c>
      <c r="AB41" s="410"/>
      <c r="AC41" s="410"/>
      <c r="AD41" s="410"/>
      <c r="AE41" s="411"/>
      <c r="AF41" s="409" t="str">
        <f>Calcu!M39</f>
        <v/>
      </c>
      <c r="AG41" s="410"/>
      <c r="AH41" s="410"/>
      <c r="AI41" s="410"/>
      <c r="AJ41" s="411"/>
      <c r="AK41" s="409" t="str">
        <f>Calcu!K39</f>
        <v/>
      </c>
      <c r="AL41" s="410"/>
      <c r="AM41" s="410"/>
      <c r="AN41" s="410"/>
      <c r="AO41" s="411"/>
    </row>
    <row r="42" spans="1:41" ht="18.75" customHeight="1">
      <c r="A42" s="58"/>
      <c r="B42" s="409" t="str">
        <f>Calcu!T40</f>
        <v/>
      </c>
      <c r="C42" s="410"/>
      <c r="D42" s="410"/>
      <c r="E42" s="410"/>
      <c r="F42" s="411"/>
      <c r="G42" s="409" t="str">
        <f>IF(Calcu!B40=TRUE,Calcu!E40*$H$5,"")</f>
        <v/>
      </c>
      <c r="H42" s="410"/>
      <c r="I42" s="410"/>
      <c r="J42" s="410"/>
      <c r="K42" s="411"/>
      <c r="L42" s="409" t="str">
        <f>IF(Calcu!B40=TRUE,Calcu!F40*H$5,"")</f>
        <v/>
      </c>
      <c r="M42" s="410"/>
      <c r="N42" s="410"/>
      <c r="O42" s="410"/>
      <c r="P42" s="411"/>
      <c r="Q42" s="409" t="str">
        <f>IF(Calcu!B40=TRUE,Calcu!G40*H$5,"")</f>
        <v/>
      </c>
      <c r="R42" s="410"/>
      <c r="S42" s="410"/>
      <c r="T42" s="410"/>
      <c r="U42" s="411"/>
      <c r="V42" s="409" t="str">
        <f>IF(Calcu!B40=TRUE,Calcu!H40*H$5,"")</f>
        <v/>
      </c>
      <c r="W42" s="410"/>
      <c r="X42" s="410"/>
      <c r="Y42" s="410"/>
      <c r="Z42" s="411"/>
      <c r="AA42" s="409" t="str">
        <f>IF(Calcu!B40=TRUE,Calcu!I40*H$5,"")</f>
        <v/>
      </c>
      <c r="AB42" s="410"/>
      <c r="AC42" s="410"/>
      <c r="AD42" s="410"/>
      <c r="AE42" s="411"/>
      <c r="AF42" s="409" t="str">
        <f>Calcu!M40</f>
        <v/>
      </c>
      <c r="AG42" s="410"/>
      <c r="AH42" s="410"/>
      <c r="AI42" s="410"/>
      <c r="AJ42" s="411"/>
      <c r="AK42" s="409" t="str">
        <f>Calcu!K40</f>
        <v/>
      </c>
      <c r="AL42" s="410"/>
      <c r="AM42" s="410"/>
      <c r="AN42" s="410"/>
      <c r="AO42" s="411"/>
    </row>
    <row r="43" spans="1:41" ht="18.75" customHeight="1">
      <c r="A43" s="58"/>
      <c r="B43" s="409" t="str">
        <f>Calcu!T41</f>
        <v/>
      </c>
      <c r="C43" s="410"/>
      <c r="D43" s="410"/>
      <c r="E43" s="410"/>
      <c r="F43" s="411"/>
      <c r="G43" s="409" t="str">
        <f>IF(Calcu!B41=TRUE,Calcu!E41*$H$5,"")</f>
        <v/>
      </c>
      <c r="H43" s="410"/>
      <c r="I43" s="410"/>
      <c r="J43" s="410"/>
      <c r="K43" s="411"/>
      <c r="L43" s="409" t="str">
        <f>IF(Calcu!B41=TRUE,Calcu!F41*H$5,"")</f>
        <v/>
      </c>
      <c r="M43" s="410"/>
      <c r="N43" s="410"/>
      <c r="O43" s="410"/>
      <c r="P43" s="411"/>
      <c r="Q43" s="409" t="str">
        <f>IF(Calcu!B41=TRUE,Calcu!G41*H$5,"")</f>
        <v/>
      </c>
      <c r="R43" s="410"/>
      <c r="S43" s="410"/>
      <c r="T43" s="410"/>
      <c r="U43" s="411"/>
      <c r="V43" s="409" t="str">
        <f>IF(Calcu!B41=TRUE,Calcu!H41*H$5,"")</f>
        <v/>
      </c>
      <c r="W43" s="410"/>
      <c r="X43" s="410"/>
      <c r="Y43" s="410"/>
      <c r="Z43" s="411"/>
      <c r="AA43" s="409" t="str">
        <f>IF(Calcu!B41=TRUE,Calcu!I41*H$5,"")</f>
        <v/>
      </c>
      <c r="AB43" s="410"/>
      <c r="AC43" s="410"/>
      <c r="AD43" s="410"/>
      <c r="AE43" s="411"/>
      <c r="AF43" s="409" t="str">
        <f>Calcu!M41</f>
        <v/>
      </c>
      <c r="AG43" s="410"/>
      <c r="AH43" s="410"/>
      <c r="AI43" s="410"/>
      <c r="AJ43" s="411"/>
      <c r="AK43" s="409" t="str">
        <f>Calcu!K41</f>
        <v/>
      </c>
      <c r="AL43" s="410"/>
      <c r="AM43" s="410"/>
      <c r="AN43" s="410"/>
      <c r="AO43" s="411"/>
    </row>
    <row r="44" spans="1:41" ht="18.75" customHeight="1">
      <c r="A44" s="58"/>
      <c r="B44" s="409" t="str">
        <f>Calcu!T42</f>
        <v/>
      </c>
      <c r="C44" s="410"/>
      <c r="D44" s="410"/>
      <c r="E44" s="410"/>
      <c r="F44" s="411"/>
      <c r="G44" s="409" t="str">
        <f>IF(Calcu!B42=TRUE,Calcu!E42*$H$5,"")</f>
        <v/>
      </c>
      <c r="H44" s="410"/>
      <c r="I44" s="410"/>
      <c r="J44" s="410"/>
      <c r="K44" s="411"/>
      <c r="L44" s="409" t="str">
        <f>IF(Calcu!B42=TRUE,Calcu!F42*H$5,"")</f>
        <v/>
      </c>
      <c r="M44" s="410"/>
      <c r="N44" s="410"/>
      <c r="O44" s="410"/>
      <c r="P44" s="411"/>
      <c r="Q44" s="409" t="str">
        <f>IF(Calcu!B42=TRUE,Calcu!G42*H$5,"")</f>
        <v/>
      </c>
      <c r="R44" s="410"/>
      <c r="S44" s="410"/>
      <c r="T44" s="410"/>
      <c r="U44" s="411"/>
      <c r="V44" s="409" t="str">
        <f>IF(Calcu!B42=TRUE,Calcu!H42*H$5,"")</f>
        <v/>
      </c>
      <c r="W44" s="410"/>
      <c r="X44" s="410"/>
      <c r="Y44" s="410"/>
      <c r="Z44" s="411"/>
      <c r="AA44" s="409" t="str">
        <f>IF(Calcu!B42=TRUE,Calcu!I42*H$5,"")</f>
        <v/>
      </c>
      <c r="AB44" s="410"/>
      <c r="AC44" s="410"/>
      <c r="AD44" s="410"/>
      <c r="AE44" s="411"/>
      <c r="AF44" s="409" t="str">
        <f>Calcu!M42</f>
        <v/>
      </c>
      <c r="AG44" s="410"/>
      <c r="AH44" s="410"/>
      <c r="AI44" s="410"/>
      <c r="AJ44" s="411"/>
      <c r="AK44" s="409" t="str">
        <f>Calcu!K42</f>
        <v/>
      </c>
      <c r="AL44" s="410"/>
      <c r="AM44" s="410"/>
      <c r="AN44" s="410"/>
      <c r="AO44" s="411"/>
    </row>
    <row r="45" spans="1:41" ht="18.75" customHeight="1">
      <c r="A45" s="58"/>
      <c r="B45" s="409" t="str">
        <f>Calcu!T43</f>
        <v/>
      </c>
      <c r="C45" s="410"/>
      <c r="D45" s="410"/>
      <c r="E45" s="410"/>
      <c r="F45" s="411"/>
      <c r="G45" s="409" t="str">
        <f>IF(Calcu!B43=TRUE,Calcu!E43*$H$5,"")</f>
        <v/>
      </c>
      <c r="H45" s="410"/>
      <c r="I45" s="410"/>
      <c r="J45" s="410"/>
      <c r="K45" s="411"/>
      <c r="L45" s="409" t="str">
        <f>IF(Calcu!B43=TRUE,Calcu!F43*H$5,"")</f>
        <v/>
      </c>
      <c r="M45" s="410"/>
      <c r="N45" s="410"/>
      <c r="O45" s="410"/>
      <c r="P45" s="411"/>
      <c r="Q45" s="409" t="str">
        <f>IF(Calcu!B43=TRUE,Calcu!G43*H$5,"")</f>
        <v/>
      </c>
      <c r="R45" s="410"/>
      <c r="S45" s="410"/>
      <c r="T45" s="410"/>
      <c r="U45" s="411"/>
      <c r="V45" s="409" t="str">
        <f>IF(Calcu!B43=TRUE,Calcu!H43*H$5,"")</f>
        <v/>
      </c>
      <c r="W45" s="410"/>
      <c r="X45" s="410"/>
      <c r="Y45" s="410"/>
      <c r="Z45" s="411"/>
      <c r="AA45" s="409" t="str">
        <f>IF(Calcu!B43=TRUE,Calcu!I43*H$5,"")</f>
        <v/>
      </c>
      <c r="AB45" s="410"/>
      <c r="AC45" s="410"/>
      <c r="AD45" s="410"/>
      <c r="AE45" s="411"/>
      <c r="AF45" s="409" t="str">
        <f>Calcu!M43</f>
        <v/>
      </c>
      <c r="AG45" s="410"/>
      <c r="AH45" s="410"/>
      <c r="AI45" s="410"/>
      <c r="AJ45" s="411"/>
      <c r="AK45" s="409" t="str">
        <f>Calcu!K43</f>
        <v/>
      </c>
      <c r="AL45" s="410"/>
      <c r="AM45" s="410"/>
      <c r="AN45" s="410"/>
      <c r="AO45" s="411"/>
    </row>
    <row r="46" spans="1:41" ht="18.75" customHeight="1">
      <c r="A46" s="58"/>
      <c r="B46" s="409" t="str">
        <f>Calcu!T44</f>
        <v/>
      </c>
      <c r="C46" s="410"/>
      <c r="D46" s="410"/>
      <c r="E46" s="410"/>
      <c r="F46" s="411"/>
      <c r="G46" s="409" t="str">
        <f>IF(Calcu!B44=TRUE,Calcu!E44*$H$5,"")</f>
        <v/>
      </c>
      <c r="H46" s="410"/>
      <c r="I46" s="410"/>
      <c r="J46" s="410"/>
      <c r="K46" s="411"/>
      <c r="L46" s="409" t="str">
        <f>IF(Calcu!B44=TRUE,Calcu!F44*H$5,"")</f>
        <v/>
      </c>
      <c r="M46" s="410"/>
      <c r="N46" s="410"/>
      <c r="O46" s="410"/>
      <c r="P46" s="411"/>
      <c r="Q46" s="409" t="str">
        <f>IF(Calcu!B44=TRUE,Calcu!G44*H$5,"")</f>
        <v/>
      </c>
      <c r="R46" s="410"/>
      <c r="S46" s="410"/>
      <c r="T46" s="410"/>
      <c r="U46" s="411"/>
      <c r="V46" s="409" t="str">
        <f>IF(Calcu!B44=TRUE,Calcu!H44*H$5,"")</f>
        <v/>
      </c>
      <c r="W46" s="410"/>
      <c r="X46" s="410"/>
      <c r="Y46" s="410"/>
      <c r="Z46" s="411"/>
      <c r="AA46" s="409" t="str">
        <f>IF(Calcu!B44=TRUE,Calcu!I44*H$5,"")</f>
        <v/>
      </c>
      <c r="AB46" s="410"/>
      <c r="AC46" s="410"/>
      <c r="AD46" s="410"/>
      <c r="AE46" s="411"/>
      <c r="AF46" s="409" t="str">
        <f>Calcu!M44</f>
        <v/>
      </c>
      <c r="AG46" s="410"/>
      <c r="AH46" s="410"/>
      <c r="AI46" s="410"/>
      <c r="AJ46" s="411"/>
      <c r="AK46" s="409" t="str">
        <f>Calcu!K44</f>
        <v/>
      </c>
      <c r="AL46" s="410"/>
      <c r="AM46" s="410"/>
      <c r="AN46" s="410"/>
      <c r="AO46" s="411"/>
    </row>
    <row r="47" spans="1:41" ht="18.75" customHeight="1">
      <c r="A47" s="58"/>
      <c r="B47" s="409" t="str">
        <f>Calcu!T45</f>
        <v/>
      </c>
      <c r="C47" s="410"/>
      <c r="D47" s="410"/>
      <c r="E47" s="410"/>
      <c r="F47" s="411"/>
      <c r="G47" s="409" t="str">
        <f>IF(Calcu!B45=TRUE,Calcu!E45*$H$5,"")</f>
        <v/>
      </c>
      <c r="H47" s="410"/>
      <c r="I47" s="410"/>
      <c r="J47" s="410"/>
      <c r="K47" s="411"/>
      <c r="L47" s="409" t="str">
        <f>IF(Calcu!B45=TRUE,Calcu!F45*H$5,"")</f>
        <v/>
      </c>
      <c r="M47" s="410"/>
      <c r="N47" s="410"/>
      <c r="O47" s="410"/>
      <c r="P47" s="411"/>
      <c r="Q47" s="409" t="str">
        <f>IF(Calcu!B45=TRUE,Calcu!G45*H$5,"")</f>
        <v/>
      </c>
      <c r="R47" s="410"/>
      <c r="S47" s="410"/>
      <c r="T47" s="410"/>
      <c r="U47" s="411"/>
      <c r="V47" s="409" t="str">
        <f>IF(Calcu!B45=TRUE,Calcu!H45*H$5,"")</f>
        <v/>
      </c>
      <c r="W47" s="410"/>
      <c r="X47" s="410"/>
      <c r="Y47" s="410"/>
      <c r="Z47" s="411"/>
      <c r="AA47" s="409" t="str">
        <f>IF(Calcu!B45=TRUE,Calcu!I45*H$5,"")</f>
        <v/>
      </c>
      <c r="AB47" s="410"/>
      <c r="AC47" s="410"/>
      <c r="AD47" s="410"/>
      <c r="AE47" s="411"/>
      <c r="AF47" s="409" t="str">
        <f>Calcu!M45</f>
        <v/>
      </c>
      <c r="AG47" s="410"/>
      <c r="AH47" s="410"/>
      <c r="AI47" s="410"/>
      <c r="AJ47" s="411"/>
      <c r="AK47" s="409" t="str">
        <f>Calcu!K45</f>
        <v/>
      </c>
      <c r="AL47" s="410"/>
      <c r="AM47" s="410"/>
      <c r="AN47" s="410"/>
      <c r="AO47" s="411"/>
    </row>
    <row r="48" spans="1:41" ht="18.75" customHeight="1">
      <c r="A48" s="58"/>
      <c r="B48" s="409" t="str">
        <f>Calcu!T46</f>
        <v/>
      </c>
      <c r="C48" s="410"/>
      <c r="D48" s="410"/>
      <c r="E48" s="410"/>
      <c r="F48" s="411"/>
      <c r="G48" s="409" t="str">
        <f>IF(Calcu!B46=TRUE,Calcu!E46*$H$5,"")</f>
        <v/>
      </c>
      <c r="H48" s="410"/>
      <c r="I48" s="410"/>
      <c r="J48" s="410"/>
      <c r="K48" s="411"/>
      <c r="L48" s="409" t="str">
        <f>IF(Calcu!B46=TRUE,Calcu!F46*H$5,"")</f>
        <v/>
      </c>
      <c r="M48" s="410"/>
      <c r="N48" s="410"/>
      <c r="O48" s="410"/>
      <c r="P48" s="411"/>
      <c r="Q48" s="409" t="str">
        <f>IF(Calcu!B46=TRUE,Calcu!G46*H$5,"")</f>
        <v/>
      </c>
      <c r="R48" s="410"/>
      <c r="S48" s="410"/>
      <c r="T48" s="410"/>
      <c r="U48" s="411"/>
      <c r="V48" s="409" t="str">
        <f>IF(Calcu!B46=TRUE,Calcu!H46*H$5,"")</f>
        <v/>
      </c>
      <c r="W48" s="410"/>
      <c r="X48" s="410"/>
      <c r="Y48" s="410"/>
      <c r="Z48" s="411"/>
      <c r="AA48" s="409" t="str">
        <f>IF(Calcu!B46=TRUE,Calcu!I46*H$5,"")</f>
        <v/>
      </c>
      <c r="AB48" s="410"/>
      <c r="AC48" s="410"/>
      <c r="AD48" s="410"/>
      <c r="AE48" s="411"/>
      <c r="AF48" s="409" t="str">
        <f>Calcu!M46</f>
        <v/>
      </c>
      <c r="AG48" s="410"/>
      <c r="AH48" s="410"/>
      <c r="AI48" s="410"/>
      <c r="AJ48" s="411"/>
      <c r="AK48" s="409" t="str">
        <f>Calcu!K46</f>
        <v/>
      </c>
      <c r="AL48" s="410"/>
      <c r="AM48" s="410"/>
      <c r="AN48" s="410"/>
      <c r="AO48" s="411"/>
    </row>
    <row r="49" spans="1:54" ht="18.75" customHeight="1">
      <c r="A49" s="58"/>
      <c r="B49" s="409" t="str">
        <f>Calcu!T47</f>
        <v/>
      </c>
      <c r="C49" s="410"/>
      <c r="D49" s="410"/>
      <c r="E49" s="410"/>
      <c r="F49" s="411"/>
      <c r="G49" s="409" t="str">
        <f>IF(Calcu!B47=TRUE,Calcu!E47*$H$5,"")</f>
        <v/>
      </c>
      <c r="H49" s="410"/>
      <c r="I49" s="410"/>
      <c r="J49" s="410"/>
      <c r="K49" s="411"/>
      <c r="L49" s="409" t="str">
        <f>IF(Calcu!B47=TRUE,Calcu!F47*H$5,"")</f>
        <v/>
      </c>
      <c r="M49" s="410"/>
      <c r="N49" s="410"/>
      <c r="O49" s="410"/>
      <c r="P49" s="411"/>
      <c r="Q49" s="409" t="str">
        <f>IF(Calcu!B47=TRUE,Calcu!G47*H$5,"")</f>
        <v/>
      </c>
      <c r="R49" s="410"/>
      <c r="S49" s="410"/>
      <c r="T49" s="410"/>
      <c r="U49" s="411"/>
      <c r="V49" s="409" t="str">
        <f>IF(Calcu!B47=TRUE,Calcu!H47*H$5,"")</f>
        <v/>
      </c>
      <c r="W49" s="410"/>
      <c r="X49" s="410"/>
      <c r="Y49" s="410"/>
      <c r="Z49" s="411"/>
      <c r="AA49" s="409" t="str">
        <f>IF(Calcu!B47=TRUE,Calcu!I47*H$5,"")</f>
        <v/>
      </c>
      <c r="AB49" s="410"/>
      <c r="AC49" s="410"/>
      <c r="AD49" s="410"/>
      <c r="AE49" s="411"/>
      <c r="AF49" s="409" t="str">
        <f>Calcu!M47</f>
        <v/>
      </c>
      <c r="AG49" s="410"/>
      <c r="AH49" s="410"/>
      <c r="AI49" s="410"/>
      <c r="AJ49" s="411"/>
      <c r="AK49" s="409" t="str">
        <f>Calcu!K47</f>
        <v/>
      </c>
      <c r="AL49" s="410"/>
      <c r="AM49" s="410"/>
      <c r="AN49" s="410"/>
      <c r="AO49" s="411"/>
    </row>
    <row r="50" spans="1:54" ht="18.75" customHeight="1">
      <c r="A50" s="58"/>
      <c r="B50" s="409" t="str">
        <f>Calcu!T48</f>
        <v/>
      </c>
      <c r="C50" s="410"/>
      <c r="D50" s="410"/>
      <c r="E50" s="410"/>
      <c r="F50" s="411"/>
      <c r="G50" s="409" t="str">
        <f>IF(Calcu!B48=TRUE,Calcu!E48*$H$5,"")</f>
        <v/>
      </c>
      <c r="H50" s="410"/>
      <c r="I50" s="410"/>
      <c r="J50" s="410"/>
      <c r="K50" s="411"/>
      <c r="L50" s="409" t="str">
        <f>IF(Calcu!B48=TRUE,Calcu!F48*H$5,"")</f>
        <v/>
      </c>
      <c r="M50" s="410"/>
      <c r="N50" s="410"/>
      <c r="O50" s="410"/>
      <c r="P50" s="411"/>
      <c r="Q50" s="409" t="str">
        <f>IF(Calcu!B48=TRUE,Calcu!G48*H$5,"")</f>
        <v/>
      </c>
      <c r="R50" s="410"/>
      <c r="S50" s="410"/>
      <c r="T50" s="410"/>
      <c r="U50" s="411"/>
      <c r="V50" s="409" t="str">
        <f>IF(Calcu!B48=TRUE,Calcu!H48*H$5,"")</f>
        <v/>
      </c>
      <c r="W50" s="410"/>
      <c r="X50" s="410"/>
      <c r="Y50" s="410"/>
      <c r="Z50" s="411"/>
      <c r="AA50" s="409" t="str">
        <f>IF(Calcu!B48=TRUE,Calcu!I48*H$5,"")</f>
        <v/>
      </c>
      <c r="AB50" s="410"/>
      <c r="AC50" s="410"/>
      <c r="AD50" s="410"/>
      <c r="AE50" s="411"/>
      <c r="AF50" s="409" t="str">
        <f>Calcu!M48</f>
        <v/>
      </c>
      <c r="AG50" s="410"/>
      <c r="AH50" s="410"/>
      <c r="AI50" s="410"/>
      <c r="AJ50" s="411"/>
      <c r="AK50" s="409" t="str">
        <f>Calcu!K48</f>
        <v/>
      </c>
      <c r="AL50" s="410"/>
      <c r="AM50" s="410"/>
      <c r="AN50" s="410"/>
      <c r="AO50" s="411"/>
    </row>
    <row r="51" spans="1:54" ht="18.75" customHeight="1">
      <c r="A51" s="58"/>
      <c r="B51" s="409" t="str">
        <f>Calcu!T49</f>
        <v/>
      </c>
      <c r="C51" s="410"/>
      <c r="D51" s="410"/>
      <c r="E51" s="410"/>
      <c r="F51" s="411"/>
      <c r="G51" s="409" t="str">
        <f>IF(Calcu!B49=TRUE,Calcu!E49*$H$5,"")</f>
        <v/>
      </c>
      <c r="H51" s="410"/>
      <c r="I51" s="410"/>
      <c r="J51" s="410"/>
      <c r="K51" s="411"/>
      <c r="L51" s="409" t="str">
        <f>IF(Calcu!B49=TRUE,Calcu!F49*H$5,"")</f>
        <v/>
      </c>
      <c r="M51" s="410"/>
      <c r="N51" s="410"/>
      <c r="O51" s="410"/>
      <c r="P51" s="411"/>
      <c r="Q51" s="409" t="str">
        <f>IF(Calcu!B49=TRUE,Calcu!G49*H$5,"")</f>
        <v/>
      </c>
      <c r="R51" s="410"/>
      <c r="S51" s="410"/>
      <c r="T51" s="410"/>
      <c r="U51" s="411"/>
      <c r="V51" s="409" t="str">
        <f>IF(Calcu!B49=TRUE,Calcu!H49*H$5,"")</f>
        <v/>
      </c>
      <c r="W51" s="410"/>
      <c r="X51" s="410"/>
      <c r="Y51" s="410"/>
      <c r="Z51" s="411"/>
      <c r="AA51" s="409" t="str">
        <f>IF(Calcu!B49=TRUE,Calcu!I49*H$5,"")</f>
        <v/>
      </c>
      <c r="AB51" s="410"/>
      <c r="AC51" s="410"/>
      <c r="AD51" s="410"/>
      <c r="AE51" s="411"/>
      <c r="AF51" s="409" t="str">
        <f>Calcu!M49</f>
        <v/>
      </c>
      <c r="AG51" s="410"/>
      <c r="AH51" s="410"/>
      <c r="AI51" s="410"/>
      <c r="AJ51" s="411"/>
      <c r="AK51" s="409" t="str">
        <f>Calcu!K49</f>
        <v/>
      </c>
      <c r="AL51" s="410"/>
      <c r="AM51" s="410"/>
      <c r="AN51" s="410"/>
      <c r="AO51" s="411"/>
    </row>
    <row r="52" spans="1:54" ht="18.75" customHeight="1">
      <c r="A52" s="58"/>
      <c r="B52" s="173"/>
      <c r="C52" s="173"/>
      <c r="D52" s="173"/>
      <c r="E52" s="173"/>
      <c r="F52" s="173"/>
      <c r="G52" s="173"/>
      <c r="H52" s="173"/>
      <c r="I52" s="173"/>
      <c r="J52" s="173"/>
      <c r="K52" s="173"/>
      <c r="L52" s="173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3"/>
      <c r="AT52" s="173"/>
    </row>
    <row r="53" spans="1:54" ht="18.75" customHeight="1">
      <c r="A53" s="58" t="s">
        <v>245</v>
      </c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</row>
    <row r="54" spans="1:54" ht="18.75" customHeight="1">
      <c r="A54" s="72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</row>
    <row r="55" spans="1:54" ht="18.75" customHeight="1">
      <c r="A55" s="72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</row>
    <row r="56" spans="1:54" ht="18.75" customHeight="1">
      <c r="A56" s="72"/>
      <c r="B56" s="57"/>
      <c r="C56" s="459" t="s">
        <v>364</v>
      </c>
      <c r="D56" s="459"/>
      <c r="E56" s="459"/>
      <c r="F56" s="173" t="s">
        <v>246</v>
      </c>
      <c r="G56" s="57" t="s">
        <v>413</v>
      </c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W56" s="60"/>
      <c r="X56" s="60"/>
      <c r="Y56" s="60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</row>
    <row r="57" spans="1:54" ht="18.75" customHeight="1">
      <c r="A57" s="72"/>
      <c r="B57" s="57"/>
      <c r="C57" s="459" t="s">
        <v>248</v>
      </c>
      <c r="D57" s="459"/>
      <c r="E57" s="459"/>
      <c r="F57" s="173" t="s">
        <v>246</v>
      </c>
      <c r="G57" s="57" t="s">
        <v>249</v>
      </c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</row>
    <row r="58" spans="1:54" ht="18.75" customHeight="1">
      <c r="A58" s="72"/>
      <c r="B58" s="57"/>
      <c r="C58" s="459" t="s">
        <v>247</v>
      </c>
      <c r="D58" s="459"/>
      <c r="E58" s="459"/>
      <c r="F58" s="173" t="s">
        <v>246</v>
      </c>
      <c r="G58" s="57" t="s">
        <v>414</v>
      </c>
      <c r="H58" s="57"/>
      <c r="I58" s="57"/>
      <c r="J58" s="57"/>
      <c r="K58" s="57"/>
      <c r="L58" s="57"/>
      <c r="M58" s="57"/>
      <c r="N58" s="57"/>
      <c r="O58" s="57"/>
      <c r="P58" s="57"/>
      <c r="Q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</row>
    <row r="59" spans="1:54" ht="18.75" customHeight="1">
      <c r="A59" s="72"/>
      <c r="B59" s="57"/>
      <c r="C59" s="459" t="s">
        <v>250</v>
      </c>
      <c r="D59" s="459"/>
      <c r="E59" s="459"/>
      <c r="F59" s="173" t="s">
        <v>246</v>
      </c>
      <c r="G59" s="57" t="s">
        <v>251</v>
      </c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</row>
    <row r="60" spans="1:54" ht="18.75" customHeight="1">
      <c r="A60" s="72"/>
      <c r="B60" s="57"/>
      <c r="C60" s="459"/>
      <c r="D60" s="459"/>
      <c r="E60" s="459"/>
      <c r="F60" s="173" t="s">
        <v>246</v>
      </c>
      <c r="G60" s="57" t="s">
        <v>419</v>
      </c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</row>
    <row r="61" spans="1:54" ht="18.75" customHeight="1">
      <c r="A61" s="72"/>
      <c r="B61" s="57"/>
      <c r="C61" s="459" t="s">
        <v>252</v>
      </c>
      <c r="D61" s="459"/>
      <c r="E61" s="459"/>
      <c r="F61" s="173" t="s">
        <v>246</v>
      </c>
      <c r="G61" s="57" t="s">
        <v>415</v>
      </c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</row>
    <row r="62" spans="1:54" ht="18.75" customHeight="1">
      <c r="A62" s="72"/>
      <c r="B62" s="57"/>
      <c r="C62" s="459" t="s">
        <v>253</v>
      </c>
      <c r="D62" s="459"/>
      <c r="E62" s="459"/>
      <c r="F62" s="173" t="s">
        <v>246</v>
      </c>
      <c r="G62" s="57" t="s">
        <v>416</v>
      </c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</row>
    <row r="63" spans="1:54" ht="18.75" customHeight="1">
      <c r="A63" s="72"/>
      <c r="B63" s="57"/>
      <c r="C63" s="459" t="s">
        <v>254</v>
      </c>
      <c r="D63" s="459"/>
      <c r="E63" s="459"/>
      <c r="F63" s="173" t="s">
        <v>246</v>
      </c>
      <c r="G63" s="57" t="s">
        <v>417</v>
      </c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</row>
    <row r="64" spans="1:54" ht="18.75" customHeight="1">
      <c r="A64" s="72"/>
      <c r="B64" s="57"/>
      <c r="C64" s="459" t="s">
        <v>571</v>
      </c>
      <c r="D64" s="459"/>
      <c r="E64" s="459"/>
      <c r="F64" s="173" t="s">
        <v>246</v>
      </c>
      <c r="G64" s="57" t="s">
        <v>418</v>
      </c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</row>
    <row r="65" spans="1:69" ht="18.75" customHeight="1">
      <c r="A65" s="72"/>
      <c r="B65" s="57"/>
      <c r="C65" s="459" t="s">
        <v>463</v>
      </c>
      <c r="D65" s="459"/>
      <c r="E65" s="459"/>
      <c r="F65" s="218" t="s">
        <v>246</v>
      </c>
      <c r="G65" s="57" t="s">
        <v>420</v>
      </c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</row>
    <row r="66" spans="1:69" ht="18.75" customHeight="1">
      <c r="A66" s="72"/>
      <c r="B66" s="57"/>
      <c r="C66" s="459"/>
      <c r="D66" s="459"/>
      <c r="E66" s="459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D66" s="59"/>
      <c r="BE66" s="59"/>
      <c r="BF66" s="59"/>
      <c r="BG66" s="59"/>
      <c r="BH66" s="59"/>
      <c r="BI66" s="59"/>
      <c r="BJ66" s="59"/>
      <c r="BK66" s="59"/>
      <c r="BL66" s="59"/>
      <c r="BM66" s="59"/>
      <c r="BN66" s="59"/>
      <c r="BO66" s="59"/>
      <c r="BP66" s="59"/>
      <c r="BQ66" s="59"/>
    </row>
    <row r="67" spans="1:69" ht="18.75" customHeight="1">
      <c r="A67" s="58" t="s">
        <v>255</v>
      </c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</row>
    <row r="68" spans="1:69" ht="18.75" customHeight="1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</row>
    <row r="69" spans="1:69" ht="18.75" customHeight="1">
      <c r="A69" s="57"/>
      <c r="B69" s="57"/>
      <c r="C69" s="57" t="s">
        <v>256</v>
      </c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</row>
    <row r="70" spans="1:69" ht="18.75" customHeight="1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</row>
    <row r="71" spans="1:69" ht="18.75" customHeight="1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</row>
    <row r="72" spans="1:69" ht="18.75" customHeight="1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</row>
    <row r="73" spans="1:69" ht="18.75" customHeight="1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</row>
    <row r="74" spans="1:69" ht="18.75" customHeight="1">
      <c r="A74" s="61" t="s">
        <v>257</v>
      </c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</row>
    <row r="75" spans="1:69" ht="18.75" customHeight="1">
      <c r="A75" s="57"/>
      <c r="B75" s="443"/>
      <c r="C75" s="445"/>
      <c r="D75" s="429"/>
      <c r="E75" s="430"/>
      <c r="F75" s="430"/>
      <c r="G75" s="431"/>
      <c r="H75" s="428">
        <v>1</v>
      </c>
      <c r="I75" s="428"/>
      <c r="J75" s="428"/>
      <c r="K75" s="428"/>
      <c r="L75" s="428"/>
      <c r="M75" s="428"/>
      <c r="N75" s="428"/>
      <c r="O75" s="428">
        <v>2</v>
      </c>
      <c r="P75" s="428"/>
      <c r="Q75" s="428"/>
      <c r="R75" s="428"/>
      <c r="S75" s="428"/>
      <c r="T75" s="428"/>
      <c r="U75" s="428"/>
      <c r="V75" s="428">
        <v>3</v>
      </c>
      <c r="W75" s="428"/>
      <c r="X75" s="428"/>
      <c r="Y75" s="428"/>
      <c r="Z75" s="428"/>
      <c r="AA75" s="429">
        <v>4</v>
      </c>
      <c r="AB75" s="430"/>
      <c r="AC75" s="430"/>
      <c r="AD75" s="430"/>
      <c r="AE75" s="430"/>
      <c r="AF75" s="430"/>
      <c r="AG75" s="431"/>
      <c r="AH75" s="428">
        <v>5</v>
      </c>
      <c r="AI75" s="428"/>
      <c r="AJ75" s="428"/>
      <c r="AK75" s="428"/>
      <c r="AL75" s="428"/>
      <c r="AM75" s="428"/>
      <c r="AN75" s="428"/>
      <c r="AO75" s="428"/>
      <c r="AP75" s="428">
        <v>6</v>
      </c>
      <c r="AQ75" s="428"/>
      <c r="AR75" s="428"/>
      <c r="AS75" s="428"/>
      <c r="AT75" s="57"/>
    </row>
    <row r="76" spans="1:69" ht="18.75" customHeight="1">
      <c r="A76" s="57"/>
      <c r="B76" s="460"/>
      <c r="C76" s="461"/>
      <c r="D76" s="443" t="s">
        <v>258</v>
      </c>
      <c r="E76" s="444"/>
      <c r="F76" s="444"/>
      <c r="G76" s="445"/>
      <c r="H76" s="426" t="s">
        <v>259</v>
      </c>
      <c r="I76" s="426"/>
      <c r="J76" s="426"/>
      <c r="K76" s="426"/>
      <c r="L76" s="426"/>
      <c r="M76" s="426"/>
      <c r="N76" s="426"/>
      <c r="O76" s="426" t="s">
        <v>260</v>
      </c>
      <c r="P76" s="426"/>
      <c r="Q76" s="426"/>
      <c r="R76" s="426"/>
      <c r="S76" s="426"/>
      <c r="T76" s="426"/>
      <c r="U76" s="426"/>
      <c r="V76" s="426" t="s">
        <v>261</v>
      </c>
      <c r="W76" s="426"/>
      <c r="X76" s="426"/>
      <c r="Y76" s="426"/>
      <c r="Z76" s="426"/>
      <c r="AA76" s="443" t="s">
        <v>262</v>
      </c>
      <c r="AB76" s="444"/>
      <c r="AC76" s="444"/>
      <c r="AD76" s="444"/>
      <c r="AE76" s="444"/>
      <c r="AF76" s="444"/>
      <c r="AG76" s="445"/>
      <c r="AH76" s="426" t="s">
        <v>263</v>
      </c>
      <c r="AI76" s="426"/>
      <c r="AJ76" s="426"/>
      <c r="AK76" s="426"/>
      <c r="AL76" s="426"/>
      <c r="AM76" s="426"/>
      <c r="AN76" s="426"/>
      <c r="AO76" s="426"/>
      <c r="AP76" s="426" t="s">
        <v>264</v>
      </c>
      <c r="AQ76" s="426"/>
      <c r="AR76" s="426"/>
      <c r="AS76" s="426"/>
      <c r="AT76" s="57"/>
    </row>
    <row r="77" spans="1:69" ht="18.75" customHeight="1">
      <c r="A77" s="57"/>
      <c r="B77" s="462"/>
      <c r="C77" s="463"/>
      <c r="D77" s="464" t="s">
        <v>265</v>
      </c>
      <c r="E77" s="465"/>
      <c r="F77" s="465"/>
      <c r="G77" s="466"/>
      <c r="H77" s="427" t="s">
        <v>390</v>
      </c>
      <c r="I77" s="427"/>
      <c r="J77" s="427"/>
      <c r="K77" s="427"/>
      <c r="L77" s="427"/>
      <c r="M77" s="427"/>
      <c r="N77" s="427"/>
      <c r="O77" s="427" t="s">
        <v>391</v>
      </c>
      <c r="P77" s="427"/>
      <c r="Q77" s="427"/>
      <c r="R77" s="427"/>
      <c r="S77" s="427"/>
      <c r="T77" s="427"/>
      <c r="U77" s="427"/>
      <c r="V77" s="427"/>
      <c r="W77" s="427"/>
      <c r="X77" s="427"/>
      <c r="Y77" s="427"/>
      <c r="Z77" s="427"/>
      <c r="AA77" s="436" t="s">
        <v>389</v>
      </c>
      <c r="AB77" s="437"/>
      <c r="AC77" s="437"/>
      <c r="AD77" s="437"/>
      <c r="AE77" s="437"/>
      <c r="AF77" s="437"/>
      <c r="AG77" s="438"/>
      <c r="AH77" s="427" t="s">
        <v>392</v>
      </c>
      <c r="AI77" s="427"/>
      <c r="AJ77" s="427"/>
      <c r="AK77" s="427"/>
      <c r="AL77" s="427"/>
      <c r="AM77" s="427"/>
      <c r="AN77" s="427"/>
      <c r="AO77" s="427"/>
      <c r="AP77" s="427"/>
      <c r="AQ77" s="427"/>
      <c r="AR77" s="427"/>
      <c r="AS77" s="427"/>
      <c r="AT77" s="57"/>
    </row>
    <row r="78" spans="1:69" ht="18.75" customHeight="1">
      <c r="A78" s="57"/>
      <c r="B78" s="428" t="s">
        <v>179</v>
      </c>
      <c r="C78" s="428"/>
      <c r="D78" s="448" t="s">
        <v>266</v>
      </c>
      <c r="E78" s="449"/>
      <c r="F78" s="449"/>
      <c r="G78" s="450"/>
      <c r="H78" s="446" t="e">
        <f ca="1">Calcu!E54</f>
        <v>#N/A</v>
      </c>
      <c r="I78" s="447"/>
      <c r="J78" s="447"/>
      <c r="K78" s="447"/>
      <c r="L78" s="447"/>
      <c r="M78" s="420" t="str">
        <f>Calcu!F54</f>
        <v>mm</v>
      </c>
      <c r="N78" s="421"/>
      <c r="O78" s="439" t="e">
        <f ca="1">Calcu!J54</f>
        <v>#N/A</v>
      </c>
      <c r="P78" s="440"/>
      <c r="Q78" s="440"/>
      <c r="R78" s="440"/>
      <c r="S78" s="441" t="str">
        <f>Calcu!K54</f>
        <v>μm</v>
      </c>
      <c r="T78" s="420"/>
      <c r="U78" s="421"/>
      <c r="V78" s="428" t="str">
        <f>Calcu!L54</f>
        <v>정규</v>
      </c>
      <c r="W78" s="428"/>
      <c r="X78" s="428"/>
      <c r="Y78" s="428"/>
      <c r="Z78" s="428"/>
      <c r="AA78" s="429">
        <f>Calcu!O54</f>
        <v>1</v>
      </c>
      <c r="AB78" s="430"/>
      <c r="AC78" s="430"/>
      <c r="AD78" s="430"/>
      <c r="AE78" s="430"/>
      <c r="AF78" s="430"/>
      <c r="AG78" s="431"/>
      <c r="AH78" s="439" t="e">
        <f ca="1">Calcu!Q54</f>
        <v>#N/A</v>
      </c>
      <c r="AI78" s="440"/>
      <c r="AJ78" s="440"/>
      <c r="AK78" s="440"/>
      <c r="AL78" s="440"/>
      <c r="AM78" s="441" t="str">
        <f>Calcu!R54</f>
        <v>μm</v>
      </c>
      <c r="AN78" s="441"/>
      <c r="AO78" s="442"/>
      <c r="AP78" s="428" t="str">
        <f>Calcu!S54</f>
        <v>∞</v>
      </c>
      <c r="AQ78" s="428"/>
      <c r="AR78" s="428"/>
      <c r="AS78" s="428"/>
      <c r="AT78" s="57"/>
    </row>
    <row r="79" spans="1:69" ht="18.75" customHeight="1">
      <c r="A79" s="57"/>
      <c r="B79" s="428" t="s">
        <v>365</v>
      </c>
      <c r="C79" s="428"/>
      <c r="D79" s="448" t="s">
        <v>247</v>
      </c>
      <c r="E79" s="449"/>
      <c r="F79" s="449"/>
      <c r="G79" s="450"/>
      <c r="H79" s="446" t="e">
        <f ca="1">Calcu!E55</f>
        <v>#N/A</v>
      </c>
      <c r="I79" s="447"/>
      <c r="J79" s="447"/>
      <c r="K79" s="447"/>
      <c r="L79" s="447"/>
      <c r="M79" s="420" t="str">
        <f>Calcu!F55</f>
        <v>mm</v>
      </c>
      <c r="N79" s="421"/>
      <c r="O79" s="439">
        <f>Calcu!J55</f>
        <v>0</v>
      </c>
      <c r="P79" s="440"/>
      <c r="Q79" s="440"/>
      <c r="R79" s="440"/>
      <c r="S79" s="441" t="str">
        <f>Calcu!K55</f>
        <v>μm</v>
      </c>
      <c r="T79" s="420"/>
      <c r="U79" s="421"/>
      <c r="V79" s="428" t="str">
        <f>Calcu!L55</f>
        <v>직사각형</v>
      </c>
      <c r="W79" s="428"/>
      <c r="X79" s="428"/>
      <c r="Y79" s="428"/>
      <c r="Z79" s="428"/>
      <c r="AA79" s="429">
        <f>Calcu!O55</f>
        <v>-1</v>
      </c>
      <c r="AB79" s="430"/>
      <c r="AC79" s="430"/>
      <c r="AD79" s="430"/>
      <c r="AE79" s="430"/>
      <c r="AF79" s="430"/>
      <c r="AG79" s="431"/>
      <c r="AH79" s="439">
        <f>Calcu!Q55</f>
        <v>0</v>
      </c>
      <c r="AI79" s="440"/>
      <c r="AJ79" s="440"/>
      <c r="AK79" s="440"/>
      <c r="AL79" s="440"/>
      <c r="AM79" s="441" t="str">
        <f>Calcu!R55</f>
        <v>μm</v>
      </c>
      <c r="AN79" s="441"/>
      <c r="AO79" s="442"/>
      <c r="AP79" s="428" t="str">
        <f>Calcu!S55</f>
        <v>∞</v>
      </c>
      <c r="AQ79" s="428"/>
      <c r="AR79" s="428"/>
      <c r="AS79" s="428"/>
      <c r="AT79" s="57"/>
    </row>
    <row r="80" spans="1:69" ht="18.75" customHeight="1">
      <c r="A80" s="57"/>
      <c r="B80" s="428" t="s">
        <v>267</v>
      </c>
      <c r="C80" s="428"/>
      <c r="D80" s="448"/>
      <c r="E80" s="449"/>
      <c r="F80" s="449"/>
      <c r="G80" s="450"/>
      <c r="H80" s="446" t="e">
        <f ca="1">Calcu!E56</f>
        <v>#N/A</v>
      </c>
      <c r="I80" s="447"/>
      <c r="J80" s="447"/>
      <c r="K80" s="447"/>
      <c r="L80" s="447"/>
      <c r="M80" s="420" t="str">
        <f>Calcu!F56</f>
        <v>/℃</v>
      </c>
      <c r="N80" s="421"/>
      <c r="O80" s="467">
        <f>Calcu!J56</f>
        <v>4.0824829046386305E-7</v>
      </c>
      <c r="P80" s="420"/>
      <c r="Q80" s="420"/>
      <c r="R80" s="420"/>
      <c r="S80" s="441" t="str">
        <f>Calcu!K56</f>
        <v>/℃</v>
      </c>
      <c r="T80" s="420"/>
      <c r="U80" s="421"/>
      <c r="V80" s="428" t="str">
        <f>Calcu!L56</f>
        <v>삼각형</v>
      </c>
      <c r="W80" s="428"/>
      <c r="X80" s="428"/>
      <c r="Y80" s="428"/>
      <c r="Z80" s="428"/>
      <c r="AA80" s="432">
        <f>Calcu!O56</f>
        <v>0</v>
      </c>
      <c r="AB80" s="433"/>
      <c r="AC80" s="433"/>
      <c r="AD80" s="433"/>
      <c r="AE80" s="434" t="str">
        <f>Calcu!P56</f>
        <v>℃·μm</v>
      </c>
      <c r="AF80" s="434"/>
      <c r="AG80" s="435"/>
      <c r="AH80" s="439">
        <f>Calcu!Q56</f>
        <v>0</v>
      </c>
      <c r="AI80" s="440"/>
      <c r="AJ80" s="440"/>
      <c r="AK80" s="440"/>
      <c r="AL80" s="440"/>
      <c r="AM80" s="441" t="str">
        <f>Calcu!R56</f>
        <v>μm</v>
      </c>
      <c r="AN80" s="441"/>
      <c r="AO80" s="442"/>
      <c r="AP80" s="428">
        <f>Calcu!S56</f>
        <v>100</v>
      </c>
      <c r="AQ80" s="428"/>
      <c r="AR80" s="428"/>
      <c r="AS80" s="428"/>
      <c r="AT80" s="57"/>
    </row>
    <row r="81" spans="1:46" ht="18.75" customHeight="1">
      <c r="A81" s="57"/>
      <c r="B81" s="428" t="s">
        <v>83</v>
      </c>
      <c r="C81" s="428"/>
      <c r="D81" s="448" t="s">
        <v>269</v>
      </c>
      <c r="E81" s="449"/>
      <c r="F81" s="449"/>
      <c r="G81" s="450"/>
      <c r="H81" s="446" t="str">
        <f>Calcu!E57</f>
        <v/>
      </c>
      <c r="I81" s="447"/>
      <c r="J81" s="447"/>
      <c r="K81" s="447"/>
      <c r="L81" s="447"/>
      <c r="M81" s="420" t="str">
        <f>Calcu!F57</f>
        <v>℃</v>
      </c>
      <c r="N81" s="421"/>
      <c r="O81" s="439">
        <f>Calcu!J57</f>
        <v>0.28867513459481292</v>
      </c>
      <c r="P81" s="440"/>
      <c r="Q81" s="440"/>
      <c r="R81" s="440"/>
      <c r="S81" s="441" t="str">
        <f>Calcu!K57</f>
        <v>℃</v>
      </c>
      <c r="T81" s="420"/>
      <c r="U81" s="421"/>
      <c r="V81" s="428" t="str">
        <f>Calcu!L57</f>
        <v>직사각형</v>
      </c>
      <c r="W81" s="428"/>
      <c r="X81" s="428"/>
      <c r="Y81" s="428"/>
      <c r="Z81" s="428"/>
      <c r="AA81" s="432" t="e">
        <f ca="1">Calcu!O57</f>
        <v>#N/A</v>
      </c>
      <c r="AB81" s="433"/>
      <c r="AC81" s="433"/>
      <c r="AD81" s="433"/>
      <c r="AE81" s="434" t="str">
        <f>Calcu!P57</f>
        <v>/℃·μm</v>
      </c>
      <c r="AF81" s="434"/>
      <c r="AG81" s="435"/>
      <c r="AH81" s="439" t="e">
        <f ca="1">Calcu!Q57</f>
        <v>#N/A</v>
      </c>
      <c r="AI81" s="440"/>
      <c r="AJ81" s="440"/>
      <c r="AK81" s="440"/>
      <c r="AL81" s="440"/>
      <c r="AM81" s="441" t="str">
        <f>Calcu!R57</f>
        <v>μm</v>
      </c>
      <c r="AN81" s="441"/>
      <c r="AO81" s="442"/>
      <c r="AP81" s="428">
        <f>Calcu!S57</f>
        <v>12</v>
      </c>
      <c r="AQ81" s="428"/>
      <c r="AR81" s="428"/>
      <c r="AS81" s="428"/>
      <c r="AT81" s="57"/>
    </row>
    <row r="82" spans="1:46" ht="18.75" customHeight="1">
      <c r="A82" s="57"/>
      <c r="B82" s="428" t="s">
        <v>192</v>
      </c>
      <c r="C82" s="428"/>
      <c r="D82" s="448" t="s">
        <v>268</v>
      </c>
      <c r="E82" s="449"/>
      <c r="F82" s="449"/>
      <c r="G82" s="450"/>
      <c r="H82" s="446" t="e">
        <f ca="1">Calcu!E58</f>
        <v>#N/A</v>
      </c>
      <c r="I82" s="447"/>
      <c r="J82" s="447"/>
      <c r="K82" s="447"/>
      <c r="L82" s="447"/>
      <c r="M82" s="420" t="str">
        <f>Calcu!F58</f>
        <v>/℃</v>
      </c>
      <c r="N82" s="421"/>
      <c r="O82" s="467">
        <f>Calcu!J58</f>
        <v>8.1649658092772609E-7</v>
      </c>
      <c r="P82" s="420"/>
      <c r="Q82" s="420"/>
      <c r="R82" s="420"/>
      <c r="S82" s="441" t="str">
        <f>Calcu!K58</f>
        <v>/℃</v>
      </c>
      <c r="T82" s="420"/>
      <c r="U82" s="421"/>
      <c r="V82" s="428" t="str">
        <f>Calcu!L58</f>
        <v>삼각형</v>
      </c>
      <c r="W82" s="428"/>
      <c r="X82" s="428"/>
      <c r="Y82" s="428"/>
      <c r="Z82" s="428"/>
      <c r="AA82" s="432">
        <f>Calcu!O58</f>
        <v>0</v>
      </c>
      <c r="AB82" s="433"/>
      <c r="AC82" s="433"/>
      <c r="AD82" s="433"/>
      <c r="AE82" s="434" t="str">
        <f>Calcu!P58</f>
        <v>℃·μm</v>
      </c>
      <c r="AF82" s="434"/>
      <c r="AG82" s="435"/>
      <c r="AH82" s="439">
        <f>Calcu!Q58</f>
        <v>0</v>
      </c>
      <c r="AI82" s="440"/>
      <c r="AJ82" s="440"/>
      <c r="AK82" s="440"/>
      <c r="AL82" s="440"/>
      <c r="AM82" s="441" t="str">
        <f>Calcu!R58</f>
        <v>μm</v>
      </c>
      <c r="AN82" s="441"/>
      <c r="AO82" s="442"/>
      <c r="AP82" s="428">
        <f>Calcu!S58</f>
        <v>100</v>
      </c>
      <c r="AQ82" s="428"/>
      <c r="AR82" s="428"/>
      <c r="AS82" s="428"/>
      <c r="AT82" s="57"/>
    </row>
    <row r="83" spans="1:46" ht="18.75" customHeight="1">
      <c r="A83" s="57"/>
      <c r="B83" s="428" t="s">
        <v>270</v>
      </c>
      <c r="C83" s="428"/>
      <c r="D83" s="448" t="s">
        <v>271</v>
      </c>
      <c r="E83" s="449"/>
      <c r="F83" s="449"/>
      <c r="G83" s="450"/>
      <c r="H83" s="446">
        <f>Calcu!E59</f>
        <v>0.1</v>
      </c>
      <c r="I83" s="447"/>
      <c r="J83" s="447"/>
      <c r="K83" s="447"/>
      <c r="L83" s="447"/>
      <c r="M83" s="420" t="str">
        <f>Calcu!F59</f>
        <v>℃</v>
      </c>
      <c r="N83" s="421"/>
      <c r="O83" s="439">
        <f>Calcu!J59</f>
        <v>0.57735026918962584</v>
      </c>
      <c r="P83" s="440"/>
      <c r="Q83" s="440"/>
      <c r="R83" s="440"/>
      <c r="S83" s="441" t="str">
        <f>Calcu!K59</f>
        <v>℃</v>
      </c>
      <c r="T83" s="420"/>
      <c r="U83" s="421"/>
      <c r="V83" s="428" t="str">
        <f>Calcu!L59</f>
        <v>직사각형</v>
      </c>
      <c r="W83" s="428"/>
      <c r="X83" s="428"/>
      <c r="Y83" s="428"/>
      <c r="Z83" s="428"/>
      <c r="AA83" s="432" t="e">
        <f ca="1">Calcu!O59</f>
        <v>#N/A</v>
      </c>
      <c r="AB83" s="433"/>
      <c r="AC83" s="433"/>
      <c r="AD83" s="433"/>
      <c r="AE83" s="434" t="str">
        <f>Calcu!P59</f>
        <v>/℃·μm</v>
      </c>
      <c r="AF83" s="434"/>
      <c r="AG83" s="435"/>
      <c r="AH83" s="439" t="e">
        <f ca="1">Calcu!Q59</f>
        <v>#N/A</v>
      </c>
      <c r="AI83" s="440"/>
      <c r="AJ83" s="440"/>
      <c r="AK83" s="440"/>
      <c r="AL83" s="440"/>
      <c r="AM83" s="441" t="str">
        <f>Calcu!R59</f>
        <v>μm</v>
      </c>
      <c r="AN83" s="441"/>
      <c r="AO83" s="442"/>
      <c r="AP83" s="428">
        <f>Calcu!S59</f>
        <v>12</v>
      </c>
      <c r="AQ83" s="428"/>
      <c r="AR83" s="428"/>
      <c r="AS83" s="428"/>
      <c r="AT83" s="57"/>
    </row>
    <row r="84" spans="1:46" ht="18.75" customHeight="1">
      <c r="A84" s="57"/>
      <c r="B84" s="428" t="s">
        <v>272</v>
      </c>
      <c r="C84" s="428"/>
      <c r="D84" s="448" t="s">
        <v>571</v>
      </c>
      <c r="E84" s="449"/>
      <c r="F84" s="449"/>
      <c r="G84" s="450"/>
      <c r="H84" s="446">
        <f>Calcu!E60</f>
        <v>0</v>
      </c>
      <c r="I84" s="447"/>
      <c r="J84" s="447"/>
      <c r="K84" s="447"/>
      <c r="L84" s="447"/>
      <c r="M84" s="420" t="str">
        <f>Calcu!F60</f>
        <v>mm</v>
      </c>
      <c r="N84" s="421"/>
      <c r="O84" s="439">
        <f>Calcu!J60</f>
        <v>0</v>
      </c>
      <c r="P84" s="440"/>
      <c r="Q84" s="440"/>
      <c r="R84" s="440"/>
      <c r="S84" s="441" t="str">
        <f>Calcu!K60</f>
        <v>μm</v>
      </c>
      <c r="T84" s="420"/>
      <c r="U84" s="421"/>
      <c r="V84" s="428" t="str">
        <f>Calcu!L60</f>
        <v>직사각형</v>
      </c>
      <c r="W84" s="428"/>
      <c r="X84" s="428"/>
      <c r="Y84" s="428"/>
      <c r="Z84" s="428"/>
      <c r="AA84" s="429">
        <f>Calcu!O60</f>
        <v>1</v>
      </c>
      <c r="AB84" s="430"/>
      <c r="AC84" s="430"/>
      <c r="AD84" s="430"/>
      <c r="AE84" s="430"/>
      <c r="AF84" s="430"/>
      <c r="AG84" s="431"/>
      <c r="AH84" s="439">
        <f>Calcu!Q60</f>
        <v>0</v>
      </c>
      <c r="AI84" s="440"/>
      <c r="AJ84" s="440"/>
      <c r="AK84" s="440"/>
      <c r="AL84" s="440"/>
      <c r="AM84" s="441" t="str">
        <f>Calcu!R60</f>
        <v>μm</v>
      </c>
      <c r="AN84" s="441"/>
      <c r="AO84" s="442"/>
      <c r="AP84" s="428" t="str">
        <f>Calcu!S60</f>
        <v>∞</v>
      </c>
      <c r="AQ84" s="428"/>
      <c r="AR84" s="428"/>
      <c r="AS84" s="428"/>
      <c r="AT84" s="57"/>
    </row>
    <row r="85" spans="1:46" ht="18.75" customHeight="1">
      <c r="A85" s="57"/>
      <c r="B85" s="428" t="s">
        <v>199</v>
      </c>
      <c r="C85" s="428"/>
      <c r="D85" s="448" t="s">
        <v>464</v>
      </c>
      <c r="E85" s="449"/>
      <c r="F85" s="449"/>
      <c r="G85" s="450"/>
      <c r="H85" s="446">
        <f>Calcu!E61</f>
        <v>0</v>
      </c>
      <c r="I85" s="447"/>
      <c r="J85" s="447"/>
      <c r="K85" s="447"/>
      <c r="L85" s="447"/>
      <c r="M85" s="420" t="str">
        <f>Calcu!F61</f>
        <v>mm</v>
      </c>
      <c r="N85" s="421"/>
      <c r="O85" s="439">
        <f>Calcu!J61</f>
        <v>0</v>
      </c>
      <c r="P85" s="440"/>
      <c r="Q85" s="440"/>
      <c r="R85" s="440"/>
      <c r="S85" s="441" t="str">
        <f>Calcu!K61</f>
        <v>μm</v>
      </c>
      <c r="T85" s="420"/>
      <c r="U85" s="421"/>
      <c r="V85" s="428" t="str">
        <f>Calcu!L61</f>
        <v>직사각형</v>
      </c>
      <c r="W85" s="428"/>
      <c r="X85" s="428"/>
      <c r="Y85" s="428"/>
      <c r="Z85" s="428"/>
      <c r="AA85" s="429">
        <f>Calcu!O61</f>
        <v>1</v>
      </c>
      <c r="AB85" s="430"/>
      <c r="AC85" s="430"/>
      <c r="AD85" s="430"/>
      <c r="AE85" s="430"/>
      <c r="AF85" s="430"/>
      <c r="AG85" s="431"/>
      <c r="AH85" s="439">
        <f>Calcu!Q61</f>
        <v>0</v>
      </c>
      <c r="AI85" s="440"/>
      <c r="AJ85" s="440"/>
      <c r="AK85" s="440"/>
      <c r="AL85" s="440"/>
      <c r="AM85" s="441" t="str">
        <f>Calcu!R61</f>
        <v>μm</v>
      </c>
      <c r="AN85" s="441"/>
      <c r="AO85" s="442"/>
      <c r="AP85" s="428" t="str">
        <f>Calcu!S61</f>
        <v>∞</v>
      </c>
      <c r="AQ85" s="428"/>
      <c r="AR85" s="428"/>
      <c r="AS85" s="428"/>
      <c r="AT85" s="57"/>
    </row>
    <row r="86" spans="1:46" ht="18.75" customHeight="1">
      <c r="A86" s="57"/>
      <c r="B86" s="428" t="s">
        <v>273</v>
      </c>
      <c r="C86" s="428"/>
      <c r="D86" s="448" t="s">
        <v>383</v>
      </c>
      <c r="E86" s="449"/>
      <c r="F86" s="449"/>
      <c r="G86" s="450"/>
      <c r="H86" s="446" t="e">
        <f ca="1">Calcu!E62</f>
        <v>#N/A</v>
      </c>
      <c r="I86" s="447"/>
      <c r="J86" s="447"/>
      <c r="K86" s="447"/>
      <c r="L86" s="447"/>
      <c r="M86" s="420" t="str">
        <f>Calcu!F62</f>
        <v>mm</v>
      </c>
      <c r="N86" s="421"/>
      <c r="O86" s="429"/>
      <c r="P86" s="430"/>
      <c r="Q86" s="430"/>
      <c r="R86" s="430"/>
      <c r="S86" s="430"/>
      <c r="T86" s="430"/>
      <c r="U86" s="431"/>
      <c r="V86" s="428"/>
      <c r="W86" s="428"/>
      <c r="X86" s="428"/>
      <c r="Y86" s="428"/>
      <c r="Z86" s="428"/>
      <c r="AA86" s="429"/>
      <c r="AB86" s="430"/>
      <c r="AC86" s="430"/>
      <c r="AD86" s="430"/>
      <c r="AE86" s="430"/>
      <c r="AF86" s="430"/>
      <c r="AG86" s="431"/>
      <c r="AH86" s="439" t="e">
        <f ca="1">Calcu!Q62</f>
        <v>#N/A</v>
      </c>
      <c r="AI86" s="440"/>
      <c r="AJ86" s="440"/>
      <c r="AK86" s="440"/>
      <c r="AL86" s="440"/>
      <c r="AM86" s="441" t="str">
        <f>Calcu!R62</f>
        <v>μm</v>
      </c>
      <c r="AN86" s="441"/>
      <c r="AO86" s="442"/>
      <c r="AP86" s="428" t="e">
        <f ca="1">Calcu!S62</f>
        <v>#N/A</v>
      </c>
      <c r="AQ86" s="428"/>
      <c r="AR86" s="428"/>
      <c r="AS86" s="428"/>
      <c r="AT86" s="57"/>
    </row>
    <row r="87" spans="1:46" ht="18.75" customHeight="1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</row>
    <row r="88" spans="1:46" ht="18.75" customHeight="1">
      <c r="A88" s="58" t="s">
        <v>274</v>
      </c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</row>
    <row r="89" spans="1:46" ht="18.75" customHeight="1">
      <c r="A89" s="57"/>
      <c r="B89" s="61" t="s">
        <v>366</v>
      </c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</row>
    <row r="90" spans="1:46" ht="18.75" customHeight="1">
      <c r="A90" s="57"/>
      <c r="B90" s="61"/>
      <c r="C90" s="57" t="s">
        <v>286</v>
      </c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</row>
    <row r="91" spans="1:46" ht="18.75" customHeight="1">
      <c r="A91" s="57"/>
      <c r="B91" s="57"/>
      <c r="C91" s="57" t="s">
        <v>367</v>
      </c>
      <c r="D91" s="57"/>
      <c r="E91" s="57"/>
      <c r="F91" s="57"/>
      <c r="G91" s="57"/>
      <c r="H91" s="57"/>
      <c r="I91" s="452" t="e">
        <f ca="1">H78</f>
        <v>#N/A</v>
      </c>
      <c r="J91" s="452"/>
      <c r="K91" s="452"/>
      <c r="L91" s="452"/>
      <c r="M91" s="452"/>
      <c r="N91" s="405" t="str">
        <f>M78</f>
        <v>mm</v>
      </c>
      <c r="O91" s="405"/>
      <c r="P91" s="176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</row>
    <row r="92" spans="1:46" ht="18.75" customHeight="1">
      <c r="A92" s="57"/>
      <c r="B92" s="61"/>
      <c r="C92" s="252" t="s">
        <v>421</v>
      </c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</row>
    <row r="93" spans="1:46" ht="18.75" customHeight="1">
      <c r="A93" s="57"/>
      <c r="B93" s="57"/>
      <c r="C93" s="487" t="s">
        <v>277</v>
      </c>
      <c r="D93" s="487"/>
      <c r="E93" s="487"/>
      <c r="F93" s="487"/>
      <c r="G93" s="487"/>
      <c r="H93" s="487"/>
      <c r="I93" s="487"/>
      <c r="J93" s="459" t="s">
        <v>466</v>
      </c>
      <c r="K93" s="459"/>
      <c r="L93" s="459"/>
      <c r="M93" s="459" t="s">
        <v>281</v>
      </c>
      <c r="N93" s="465" t="s">
        <v>88</v>
      </c>
      <c r="O93" s="465"/>
      <c r="P93" s="459" t="s">
        <v>281</v>
      </c>
      <c r="Q93" s="472" t="e">
        <f ca="1">Calcu!G54</f>
        <v>#N/A</v>
      </c>
      <c r="R93" s="472"/>
      <c r="S93" s="472"/>
      <c r="T93" s="101" t="s">
        <v>144</v>
      </c>
      <c r="U93" s="101"/>
      <c r="V93" s="101"/>
      <c r="W93" s="459" t="s">
        <v>281</v>
      </c>
      <c r="X93" s="404" t="e">
        <f ca="1">Q93/2</f>
        <v>#N/A</v>
      </c>
      <c r="Y93" s="404"/>
      <c r="Z93" s="404"/>
      <c r="AA93" s="407" t="str">
        <f>T93</f>
        <v>μm</v>
      </c>
      <c r="AB93" s="407"/>
      <c r="AC93" s="176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</row>
    <row r="94" spans="1:46" ht="18.75" customHeight="1">
      <c r="A94" s="57"/>
      <c r="B94" s="57"/>
      <c r="C94" s="487"/>
      <c r="D94" s="487"/>
      <c r="E94" s="487"/>
      <c r="F94" s="487"/>
      <c r="G94" s="487"/>
      <c r="H94" s="487"/>
      <c r="I94" s="487"/>
      <c r="J94" s="459"/>
      <c r="K94" s="459"/>
      <c r="L94" s="459"/>
      <c r="M94" s="459"/>
      <c r="N94" s="468" t="s">
        <v>89</v>
      </c>
      <c r="O94" s="468"/>
      <c r="P94" s="459"/>
      <c r="Q94" s="444">
        <v>2</v>
      </c>
      <c r="R94" s="444"/>
      <c r="S94" s="444"/>
      <c r="T94" s="444"/>
      <c r="U94" s="444"/>
      <c r="V94" s="444"/>
      <c r="W94" s="459"/>
      <c r="X94" s="404"/>
      <c r="Y94" s="404"/>
      <c r="Z94" s="404"/>
      <c r="AA94" s="407"/>
      <c r="AB94" s="40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</row>
    <row r="95" spans="1:46" ht="18.75" customHeight="1">
      <c r="A95" s="57"/>
      <c r="B95" s="61"/>
      <c r="C95" s="252" t="s">
        <v>424</v>
      </c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</row>
    <row r="96" spans="1:46" ht="18.75" customHeight="1">
      <c r="A96" s="57"/>
      <c r="B96" s="61"/>
      <c r="C96" s="487" t="s">
        <v>277</v>
      </c>
      <c r="D96" s="487"/>
      <c r="E96" s="487"/>
      <c r="F96" s="487"/>
      <c r="G96" s="487"/>
      <c r="H96" s="487"/>
      <c r="I96" s="487"/>
      <c r="J96" s="459" t="s">
        <v>466</v>
      </c>
      <c r="K96" s="459"/>
      <c r="L96" s="459"/>
      <c r="M96" s="459" t="s">
        <v>281</v>
      </c>
      <c r="N96" s="465" t="s">
        <v>88</v>
      </c>
      <c r="O96" s="465"/>
      <c r="P96" s="459" t="s">
        <v>281</v>
      </c>
      <c r="Q96" s="253"/>
      <c r="R96" s="473" t="e">
        <f ca="1">Calcu!G54</f>
        <v>#N/A</v>
      </c>
      <c r="S96" s="473"/>
      <c r="T96" s="253"/>
      <c r="U96" s="253"/>
      <c r="V96" s="473" t="e">
        <f ca="1">Calcu!H54</f>
        <v>#N/A</v>
      </c>
      <c r="W96" s="473"/>
      <c r="X96" s="253"/>
      <c r="Y96" s="253"/>
      <c r="Z96" s="253"/>
      <c r="AA96" s="253"/>
      <c r="AB96" s="253"/>
      <c r="AC96" s="403" t="s">
        <v>425</v>
      </c>
      <c r="AD96" s="253"/>
      <c r="AE96" s="473" t="e">
        <f ca="1">R96</f>
        <v>#N/A</v>
      </c>
      <c r="AF96" s="473"/>
      <c r="AG96" s="253"/>
      <c r="AH96" s="253"/>
      <c r="AI96" s="473" t="e">
        <f ca="1">V96</f>
        <v>#N/A</v>
      </c>
      <c r="AJ96" s="473"/>
      <c r="AK96" s="253"/>
      <c r="AL96" s="473">
        <f>Calcu!K3</f>
        <v>0</v>
      </c>
      <c r="AM96" s="473"/>
      <c r="AN96" s="473"/>
      <c r="AO96" s="253"/>
      <c r="AP96" s="253"/>
      <c r="AQ96" s="253"/>
      <c r="AR96" s="253"/>
      <c r="AS96" s="57"/>
      <c r="AT96" s="57"/>
    </row>
    <row r="97" spans="1:49" ht="18.75" customHeight="1">
      <c r="A97" s="57"/>
      <c r="B97" s="61"/>
      <c r="C97" s="487"/>
      <c r="D97" s="487"/>
      <c r="E97" s="487"/>
      <c r="F97" s="487"/>
      <c r="G97" s="487"/>
      <c r="H97" s="487"/>
      <c r="I97" s="487"/>
      <c r="J97" s="459"/>
      <c r="K97" s="459"/>
      <c r="L97" s="459"/>
      <c r="M97" s="459"/>
      <c r="N97" s="468" t="s">
        <v>89</v>
      </c>
      <c r="O97" s="468"/>
      <c r="P97" s="459"/>
      <c r="Q97" s="444">
        <v>2</v>
      </c>
      <c r="R97" s="444"/>
      <c r="S97" s="444"/>
      <c r="T97" s="444"/>
      <c r="U97" s="444"/>
      <c r="V97" s="444"/>
      <c r="W97" s="444"/>
      <c r="X97" s="444"/>
      <c r="Y97" s="444"/>
      <c r="Z97" s="444"/>
      <c r="AA97" s="444"/>
      <c r="AB97" s="444"/>
      <c r="AC97" s="403"/>
      <c r="AD97" s="444">
        <v>2</v>
      </c>
      <c r="AE97" s="444"/>
      <c r="AF97" s="444"/>
      <c r="AG97" s="444"/>
      <c r="AH97" s="444"/>
      <c r="AI97" s="444"/>
      <c r="AJ97" s="444"/>
      <c r="AK97" s="444"/>
      <c r="AL97" s="444"/>
      <c r="AM97" s="444"/>
      <c r="AN97" s="444"/>
      <c r="AO97" s="444"/>
      <c r="AP97" s="444"/>
      <c r="AQ97" s="444"/>
      <c r="AR97" s="444"/>
      <c r="AS97" s="57"/>
      <c r="AT97" s="57"/>
    </row>
    <row r="98" spans="1:49" ht="18.75" customHeight="1">
      <c r="A98" s="57"/>
      <c r="B98" s="61"/>
      <c r="C98" s="252"/>
      <c r="D98" s="57"/>
      <c r="E98" s="57"/>
      <c r="F98" s="57"/>
      <c r="G98" s="57"/>
      <c r="H98" s="57"/>
      <c r="I98" s="57"/>
      <c r="J98" s="248"/>
      <c r="K98" s="248"/>
      <c r="L98" s="248"/>
      <c r="M98" s="249" t="s">
        <v>425</v>
      </c>
      <c r="N98" s="484" t="e">
        <f ca="1">SQRT(SUMSQ(AE96,AI96*AL96))/2/1000</f>
        <v>#N/A</v>
      </c>
      <c r="O98" s="403"/>
      <c r="P98" s="403"/>
      <c r="Q98" s="247" t="s">
        <v>426</v>
      </c>
      <c r="R98" s="246"/>
      <c r="S98" s="246"/>
      <c r="T98" s="246"/>
      <c r="U98" s="246"/>
      <c r="V98" s="246"/>
      <c r="W98" s="246"/>
      <c r="X98" s="246"/>
      <c r="Y98" s="246"/>
      <c r="Z98" s="246"/>
      <c r="AA98" s="246"/>
      <c r="AB98" s="246"/>
      <c r="AC98" s="246"/>
      <c r="AD98" s="246"/>
      <c r="AE98" s="246"/>
      <c r="AF98" s="246"/>
      <c r="AG98" s="246"/>
      <c r="AH98" s="246"/>
      <c r="AI98" s="246"/>
      <c r="AJ98" s="246"/>
      <c r="AK98" s="246"/>
      <c r="AL98" s="246"/>
      <c r="AM98" s="246"/>
      <c r="AN98" s="246"/>
      <c r="AO98" s="246"/>
      <c r="AP98" s="246"/>
      <c r="AQ98" s="246"/>
      <c r="AR98" s="246"/>
      <c r="AS98" s="57"/>
      <c r="AT98" s="57"/>
    </row>
    <row r="99" spans="1:49" ht="18.75" customHeight="1">
      <c r="A99" s="57"/>
      <c r="B99" s="57"/>
      <c r="C99" s="57" t="s">
        <v>368</v>
      </c>
      <c r="D99" s="57"/>
      <c r="E99" s="57"/>
      <c r="F99" s="57"/>
      <c r="G99" s="57"/>
      <c r="H99" s="57"/>
      <c r="I99" s="471" t="str">
        <f>V78</f>
        <v>정규</v>
      </c>
      <c r="J99" s="471"/>
      <c r="K99" s="471"/>
      <c r="L99" s="471"/>
      <c r="M99" s="471"/>
      <c r="N99" s="471"/>
      <c r="O99" s="471"/>
      <c r="P99" s="471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</row>
    <row r="100" spans="1:49" ht="18.75" customHeight="1">
      <c r="A100" s="57"/>
      <c r="B100" s="57"/>
      <c r="C100" s="408" t="s">
        <v>283</v>
      </c>
      <c r="D100" s="408"/>
      <c r="E100" s="408"/>
      <c r="F100" s="408"/>
      <c r="G100" s="408"/>
      <c r="H100" s="408"/>
      <c r="I100" s="175"/>
      <c r="J100" s="175"/>
      <c r="K100" s="57"/>
      <c r="L100" s="57"/>
      <c r="N100" s="471">
        <f>AA78</f>
        <v>1</v>
      </c>
      <c r="O100" s="471"/>
      <c r="P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</row>
    <row r="101" spans="1:49" ht="18.75" customHeight="1">
      <c r="A101" s="57"/>
      <c r="B101" s="57"/>
      <c r="C101" s="408"/>
      <c r="D101" s="408"/>
      <c r="E101" s="408"/>
      <c r="F101" s="408"/>
      <c r="G101" s="408"/>
      <c r="H101" s="408"/>
      <c r="I101" s="178"/>
      <c r="J101" s="178"/>
      <c r="K101" s="57"/>
      <c r="L101" s="57"/>
      <c r="N101" s="471"/>
      <c r="O101" s="471"/>
      <c r="P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</row>
    <row r="102" spans="1:49" s="57" customFormat="1" ht="18.75" customHeight="1">
      <c r="C102" s="57" t="s">
        <v>84</v>
      </c>
      <c r="K102" s="180" t="s">
        <v>85</v>
      </c>
      <c r="L102" s="486">
        <f>N100</f>
        <v>1</v>
      </c>
      <c r="M102" s="486"/>
      <c r="N102" s="175" t="s">
        <v>86</v>
      </c>
      <c r="O102" s="404" t="e">
        <f ca="1">Calcu!J54</f>
        <v>#N/A</v>
      </c>
      <c r="P102" s="404"/>
      <c r="Q102" s="404"/>
      <c r="R102" s="407" t="str">
        <f>AA93</f>
        <v>μm</v>
      </c>
      <c r="S102" s="405"/>
      <c r="T102" s="180" t="s">
        <v>85</v>
      </c>
      <c r="U102" s="74" t="s">
        <v>281</v>
      </c>
      <c r="V102" s="404" t="e">
        <f ca="1">O102</f>
        <v>#N/A</v>
      </c>
      <c r="W102" s="404"/>
      <c r="X102" s="404"/>
      <c r="Y102" s="407" t="str">
        <f>R102</f>
        <v>μm</v>
      </c>
      <c r="Z102" s="405"/>
      <c r="AA102" s="176"/>
      <c r="AB102" s="175"/>
      <c r="AC102" s="175"/>
    </row>
    <row r="103" spans="1:49" ht="18.75" customHeight="1">
      <c r="A103" s="57"/>
      <c r="B103" s="57"/>
      <c r="C103" s="264" t="s">
        <v>87</v>
      </c>
      <c r="D103" s="264"/>
      <c r="E103" s="264"/>
      <c r="F103" s="264"/>
      <c r="G103" s="264"/>
      <c r="I103" s="115" t="s">
        <v>450</v>
      </c>
      <c r="J103" s="57"/>
      <c r="K103" s="57"/>
      <c r="L103" s="57"/>
      <c r="M103" s="57"/>
      <c r="N103" s="57"/>
      <c r="O103" s="57"/>
      <c r="P103" s="57"/>
      <c r="Q103" s="57"/>
      <c r="R103" s="57"/>
      <c r="U103" s="254"/>
      <c r="V103" s="254"/>
      <c r="W103" s="57"/>
      <c r="Y103" s="57"/>
      <c r="Z103" s="57"/>
      <c r="AA103" s="57"/>
      <c r="AB103" s="57"/>
      <c r="AC103" s="57"/>
      <c r="AD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</row>
    <row r="104" spans="1:49" ht="18.75" customHeight="1">
      <c r="A104" s="57"/>
      <c r="B104" s="57"/>
      <c r="C104" s="264"/>
      <c r="D104" s="264"/>
      <c r="E104" s="264"/>
      <c r="F104" s="264"/>
      <c r="G104" s="264"/>
      <c r="H104" s="62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U104" s="254"/>
      <c r="V104" s="254"/>
      <c r="W104" s="57"/>
      <c r="X104" s="57"/>
      <c r="Y104" s="57"/>
      <c r="Z104" s="57"/>
      <c r="AA104" s="57"/>
      <c r="AB104" s="57"/>
      <c r="AC104" s="57"/>
      <c r="AD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</row>
    <row r="105" spans="1:49" ht="18.75" customHeight="1">
      <c r="A105" s="57"/>
      <c r="B105" s="61" t="s">
        <v>422</v>
      </c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</row>
    <row r="106" spans="1:49" ht="18.75" customHeight="1">
      <c r="A106" s="57"/>
      <c r="C106" s="57" t="s">
        <v>275</v>
      </c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</row>
    <row r="107" spans="1:49" ht="18.75" customHeight="1">
      <c r="A107" s="57"/>
      <c r="C107" s="61"/>
      <c r="D107" s="57" t="s">
        <v>276</v>
      </c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</row>
    <row r="108" spans="1:49" ht="18.75" customHeight="1">
      <c r="B108" s="57"/>
      <c r="C108" s="57" t="s">
        <v>287</v>
      </c>
      <c r="D108" s="57"/>
      <c r="E108" s="57"/>
      <c r="F108" s="57"/>
      <c r="G108" s="57"/>
      <c r="H108" s="57"/>
      <c r="I108" s="405" t="e">
        <f ca="1">H79</f>
        <v>#N/A</v>
      </c>
      <c r="J108" s="405"/>
      <c r="K108" s="405"/>
      <c r="L108" s="405"/>
      <c r="M108" s="405"/>
      <c r="N108" s="405" t="str">
        <f>M79</f>
        <v>mm</v>
      </c>
      <c r="O108" s="405"/>
      <c r="P108" s="176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</row>
    <row r="109" spans="1:49" ht="18.75" customHeight="1">
      <c r="B109" s="57"/>
      <c r="C109" s="57" t="s">
        <v>90</v>
      </c>
      <c r="D109" s="57"/>
      <c r="E109" s="57"/>
      <c r="F109" s="57"/>
      <c r="G109" s="57"/>
      <c r="H109" s="57"/>
      <c r="I109" s="57"/>
      <c r="J109" s="62" t="s">
        <v>278</v>
      </c>
      <c r="K109" s="57"/>
      <c r="L109" s="57"/>
      <c r="M109" s="57"/>
      <c r="N109" s="57"/>
      <c r="O109" s="57"/>
      <c r="P109" s="57"/>
      <c r="Q109" s="405">
        <f>MAX(AK11:AO51)*1000</f>
        <v>0</v>
      </c>
      <c r="R109" s="405"/>
      <c r="S109" s="405"/>
      <c r="T109" s="451" t="s">
        <v>279</v>
      </c>
      <c r="U109" s="451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</row>
    <row r="110" spans="1:49" ht="18.75" customHeight="1">
      <c r="B110" s="57"/>
      <c r="C110" s="57"/>
      <c r="D110" s="57"/>
      <c r="E110" s="57"/>
      <c r="F110" s="57"/>
      <c r="G110" s="57"/>
      <c r="H110" s="57"/>
      <c r="I110" s="57"/>
      <c r="J110" s="57"/>
      <c r="K110" s="459" t="s">
        <v>467</v>
      </c>
      <c r="L110" s="459"/>
      <c r="M110" s="459"/>
      <c r="N110" s="459" t="s">
        <v>281</v>
      </c>
      <c r="O110" s="465" t="s">
        <v>280</v>
      </c>
      <c r="P110" s="465"/>
      <c r="Q110" s="459" t="s">
        <v>282</v>
      </c>
      <c r="R110" s="469">
        <f>Q109</f>
        <v>0</v>
      </c>
      <c r="S110" s="469"/>
      <c r="T110" s="469"/>
      <c r="U110" s="470" t="str">
        <f>T109</f>
        <v>μm</v>
      </c>
      <c r="V110" s="470"/>
      <c r="W110" s="459" t="s">
        <v>281</v>
      </c>
      <c r="X110" s="404">
        <f>R110/SQRT(5)</f>
        <v>0</v>
      </c>
      <c r="Y110" s="404"/>
      <c r="Z110" s="404"/>
      <c r="AA110" s="407" t="str">
        <f>T109</f>
        <v>μm</v>
      </c>
      <c r="AB110" s="407"/>
      <c r="AC110" s="174"/>
      <c r="AD110" s="174"/>
      <c r="AE110" s="174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</row>
    <row r="111" spans="1:49" ht="18.75" customHeight="1">
      <c r="B111" s="57"/>
      <c r="C111" s="57"/>
      <c r="D111" s="57"/>
      <c r="E111" s="57"/>
      <c r="F111" s="57"/>
      <c r="G111" s="57"/>
      <c r="H111" s="57"/>
      <c r="I111" s="57"/>
      <c r="J111" s="57"/>
      <c r="K111" s="459"/>
      <c r="L111" s="459"/>
      <c r="M111" s="459"/>
      <c r="N111" s="459"/>
      <c r="O111" s="468"/>
      <c r="P111" s="468"/>
      <c r="Q111" s="459"/>
      <c r="R111" s="444"/>
      <c r="S111" s="444"/>
      <c r="T111" s="444"/>
      <c r="U111" s="444"/>
      <c r="V111" s="444"/>
      <c r="W111" s="459"/>
      <c r="X111" s="404"/>
      <c r="Y111" s="404"/>
      <c r="Z111" s="404"/>
      <c r="AA111" s="407"/>
      <c r="AB111" s="407"/>
      <c r="AC111" s="174"/>
      <c r="AD111" s="174"/>
      <c r="AE111" s="174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</row>
    <row r="112" spans="1:49" ht="18.75" customHeight="1">
      <c r="B112" s="57"/>
      <c r="C112" s="213" t="s">
        <v>362</v>
      </c>
      <c r="D112" s="57"/>
      <c r="E112" s="57"/>
      <c r="F112" s="57"/>
      <c r="H112" s="57"/>
      <c r="I112" s="57"/>
      <c r="J112" s="57"/>
      <c r="K112" s="203"/>
      <c r="L112" s="203"/>
      <c r="M112" s="203"/>
      <c r="N112" s="203"/>
      <c r="O112" s="204"/>
      <c r="P112" s="204"/>
      <c r="Q112" s="204"/>
      <c r="R112" s="200"/>
      <c r="S112" s="200"/>
      <c r="T112" s="200"/>
      <c r="U112" s="200"/>
      <c r="V112" s="200"/>
      <c r="W112" s="204"/>
      <c r="X112" s="201"/>
      <c r="Y112" s="201"/>
      <c r="Z112" s="201"/>
      <c r="AA112" s="202"/>
      <c r="AB112" s="202"/>
      <c r="AC112" s="202"/>
      <c r="AD112" s="202"/>
      <c r="AE112" s="202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</row>
    <row r="113" spans="1:83" ht="18.75" customHeight="1">
      <c r="B113" s="57"/>
      <c r="C113" s="57"/>
      <c r="D113" s="57"/>
      <c r="E113" s="57"/>
      <c r="F113" s="57"/>
      <c r="G113" s="213"/>
      <c r="H113" s="57"/>
      <c r="I113" s="57"/>
      <c r="J113" s="57"/>
      <c r="K113" s="459" t="s">
        <v>467</v>
      </c>
      <c r="L113" s="459"/>
      <c r="M113" s="459"/>
      <c r="N113" s="459" t="s">
        <v>281</v>
      </c>
      <c r="O113" s="465" t="s">
        <v>363</v>
      </c>
      <c r="P113" s="465"/>
      <c r="Q113" s="459" t="s">
        <v>281</v>
      </c>
      <c r="R113" s="469">
        <f>Calcu!N3*1000</f>
        <v>0</v>
      </c>
      <c r="S113" s="469"/>
      <c r="T113" s="469"/>
      <c r="U113" s="470" t="str">
        <f>T109</f>
        <v>μm</v>
      </c>
      <c r="V113" s="470"/>
      <c r="W113" s="459" t="s">
        <v>281</v>
      </c>
      <c r="X113" s="404">
        <f>R113/(2*SQRT(3))</f>
        <v>0</v>
      </c>
      <c r="Y113" s="404"/>
      <c r="Z113" s="404"/>
      <c r="AA113" s="407" t="str">
        <f>T109</f>
        <v>μm</v>
      </c>
      <c r="AB113" s="407"/>
      <c r="AC113" s="202"/>
      <c r="AD113" s="202"/>
      <c r="AE113" s="202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</row>
    <row r="114" spans="1:83" ht="18.75" customHeight="1">
      <c r="B114" s="57"/>
      <c r="C114" s="57"/>
      <c r="D114" s="57"/>
      <c r="E114" s="57"/>
      <c r="F114" s="57"/>
      <c r="G114" s="213"/>
      <c r="H114" s="57"/>
      <c r="I114" s="57"/>
      <c r="J114" s="57"/>
      <c r="K114" s="459"/>
      <c r="L114" s="459"/>
      <c r="M114" s="459"/>
      <c r="N114" s="459"/>
      <c r="O114" s="468"/>
      <c r="P114" s="468"/>
      <c r="Q114" s="459"/>
      <c r="R114" s="444"/>
      <c r="S114" s="444"/>
      <c r="T114" s="444"/>
      <c r="U114" s="444"/>
      <c r="V114" s="444"/>
      <c r="W114" s="459"/>
      <c r="X114" s="404"/>
      <c r="Y114" s="404"/>
      <c r="Z114" s="404"/>
      <c r="AA114" s="407"/>
      <c r="AB114" s="407"/>
      <c r="AC114" s="202"/>
      <c r="AD114" s="202"/>
      <c r="AE114" s="202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</row>
    <row r="115" spans="1:83" ht="18.75" customHeight="1">
      <c r="B115" s="57"/>
      <c r="C115" s="57" t="s">
        <v>91</v>
      </c>
      <c r="D115" s="57"/>
      <c r="E115" s="57"/>
      <c r="F115" s="57"/>
      <c r="G115" s="57"/>
      <c r="H115" s="57"/>
      <c r="I115" s="471" t="str">
        <f>V79</f>
        <v>직사각형</v>
      </c>
      <c r="J115" s="471"/>
      <c r="K115" s="471"/>
      <c r="L115" s="471"/>
      <c r="M115" s="471"/>
      <c r="N115" s="471"/>
      <c r="O115" s="471"/>
      <c r="P115" s="471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</row>
    <row r="116" spans="1:83" ht="18.75" customHeight="1">
      <c r="B116" s="57"/>
      <c r="C116" s="408" t="s">
        <v>92</v>
      </c>
      <c r="D116" s="408"/>
      <c r="E116" s="408"/>
      <c r="F116" s="408"/>
      <c r="G116" s="408"/>
      <c r="H116" s="408"/>
      <c r="I116" s="175"/>
      <c r="J116" s="175"/>
      <c r="K116" s="57"/>
      <c r="L116" s="57"/>
      <c r="N116" s="471">
        <f>AA79</f>
        <v>-1</v>
      </c>
      <c r="O116" s="471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</row>
    <row r="117" spans="1:83" ht="18.75" customHeight="1">
      <c r="B117" s="57"/>
      <c r="C117" s="408"/>
      <c r="D117" s="408"/>
      <c r="E117" s="408"/>
      <c r="F117" s="408"/>
      <c r="G117" s="408"/>
      <c r="H117" s="408"/>
      <c r="I117" s="178"/>
      <c r="J117" s="178"/>
      <c r="K117" s="57"/>
      <c r="L117" s="57"/>
      <c r="N117" s="471"/>
      <c r="O117" s="471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</row>
    <row r="118" spans="1:83" ht="18.75" customHeight="1">
      <c r="B118" s="57"/>
      <c r="C118" s="57" t="s">
        <v>288</v>
      </c>
      <c r="D118" s="57"/>
      <c r="E118" s="57"/>
      <c r="F118" s="57"/>
      <c r="G118" s="57"/>
      <c r="H118" s="57"/>
      <c r="I118" s="57"/>
      <c r="J118" s="57"/>
      <c r="K118" s="180" t="s">
        <v>85</v>
      </c>
      <c r="L118" s="486">
        <f>N116</f>
        <v>-1</v>
      </c>
      <c r="M118" s="486"/>
      <c r="N118" s="175" t="s">
        <v>284</v>
      </c>
      <c r="O118" s="404">
        <f>AH79</f>
        <v>0</v>
      </c>
      <c r="P118" s="404"/>
      <c r="Q118" s="404"/>
      <c r="R118" s="407" t="str">
        <f>AA110</f>
        <v>μm</v>
      </c>
      <c r="S118" s="405"/>
      <c r="T118" s="180" t="s">
        <v>85</v>
      </c>
      <c r="U118" s="74" t="s">
        <v>282</v>
      </c>
      <c r="V118" s="404">
        <f>O118</f>
        <v>0</v>
      </c>
      <c r="W118" s="404"/>
      <c r="X118" s="404"/>
      <c r="Y118" s="407" t="str">
        <f>R118</f>
        <v>μm</v>
      </c>
      <c r="Z118" s="405"/>
      <c r="AA118" s="176"/>
      <c r="AB118" s="57"/>
      <c r="AC118" s="57"/>
      <c r="AD118" s="57"/>
      <c r="AE118" s="57"/>
      <c r="AF118" s="57"/>
      <c r="AP118" s="57"/>
      <c r="AQ118" s="57"/>
      <c r="AR118" s="57"/>
      <c r="AS118" s="57"/>
      <c r="AT118" s="57"/>
      <c r="AU118" s="57"/>
      <c r="AV118" s="57"/>
    </row>
    <row r="119" spans="1:83" ht="18.75" customHeight="1">
      <c r="B119" s="57"/>
      <c r="C119" s="57" t="s">
        <v>93</v>
      </c>
      <c r="D119" s="57"/>
      <c r="E119" s="57"/>
      <c r="F119" s="57"/>
      <c r="G119" s="57"/>
      <c r="H119" s="57"/>
      <c r="I119" s="115" t="s">
        <v>285</v>
      </c>
      <c r="J119" s="115"/>
      <c r="K119" s="115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57"/>
      <c r="AB119" s="57"/>
      <c r="AC119" s="57"/>
      <c r="AD119" s="57"/>
      <c r="AE119" s="57"/>
      <c r="AF119" s="57"/>
    </row>
    <row r="120" spans="1:83" ht="18.75" customHeight="1">
      <c r="B120" s="57"/>
      <c r="C120" s="57"/>
      <c r="D120" s="57"/>
      <c r="E120" s="57"/>
      <c r="F120" s="57"/>
      <c r="G120" s="57"/>
      <c r="H120" s="57"/>
      <c r="I120" s="115"/>
      <c r="J120" s="100"/>
      <c r="K120" s="115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57"/>
      <c r="AB120" s="57"/>
      <c r="AC120" s="57"/>
      <c r="AD120" s="57"/>
      <c r="AE120" s="57"/>
      <c r="AF120" s="57"/>
    </row>
    <row r="121" spans="1:83" s="181" customFormat="1" ht="18.75" customHeight="1">
      <c r="A121" s="173"/>
      <c r="B121" s="58" t="s">
        <v>455</v>
      </c>
      <c r="C121" s="175"/>
      <c r="D121" s="175"/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  <c r="AA121" s="175"/>
      <c r="AB121" s="175"/>
      <c r="AC121" s="175"/>
      <c r="AD121" s="175"/>
      <c r="AE121" s="175"/>
      <c r="AF121" s="175"/>
      <c r="AG121" s="175"/>
      <c r="AH121" s="175"/>
      <c r="AI121" s="175"/>
      <c r="AJ121" s="175"/>
      <c r="AK121" s="175"/>
      <c r="AL121" s="173"/>
      <c r="AM121" s="173"/>
      <c r="AN121" s="173"/>
      <c r="AO121" s="173"/>
      <c r="AP121" s="173"/>
      <c r="AQ121" s="173"/>
      <c r="AR121" s="173"/>
      <c r="AS121" s="173"/>
      <c r="AT121" s="173"/>
      <c r="AU121" s="173"/>
      <c r="AV121" s="173"/>
      <c r="AW121" s="173"/>
      <c r="AX121" s="173"/>
      <c r="AY121" s="175"/>
      <c r="AZ121" s="175"/>
      <c r="BA121" s="175"/>
      <c r="BB121" s="175"/>
      <c r="BC121" s="175"/>
      <c r="BD121" s="175"/>
      <c r="BE121" s="175"/>
      <c r="BF121" s="175"/>
      <c r="BG121" s="59"/>
      <c r="BH121" s="59"/>
      <c r="BI121" s="59"/>
      <c r="BJ121" s="59"/>
      <c r="BK121" s="59"/>
      <c r="BL121" s="59"/>
      <c r="BM121" s="59"/>
    </row>
    <row r="122" spans="1:83" s="181" customFormat="1" ht="18.75" customHeight="1">
      <c r="A122" s="267"/>
      <c r="B122" s="58"/>
      <c r="C122" s="257" t="s">
        <v>423</v>
      </c>
      <c r="D122" s="257"/>
      <c r="E122" s="257"/>
      <c r="F122" s="257"/>
      <c r="G122" s="257"/>
      <c r="H122" s="257"/>
      <c r="I122" s="257"/>
      <c r="J122" s="257"/>
      <c r="K122" s="257"/>
      <c r="L122" s="257"/>
      <c r="M122" s="257"/>
      <c r="N122" s="257"/>
      <c r="O122" s="257"/>
      <c r="P122" s="257"/>
      <c r="Q122" s="257"/>
      <c r="R122" s="257"/>
      <c r="S122" s="257"/>
      <c r="T122" s="257"/>
      <c r="U122" s="257"/>
      <c r="V122" s="182"/>
      <c r="W122" s="60"/>
      <c r="X122" s="175"/>
      <c r="Y122" s="60"/>
      <c r="Z122" s="173"/>
      <c r="AA122" s="175"/>
      <c r="AB122" s="173"/>
      <c r="AC122" s="173"/>
      <c r="AD122" s="183"/>
      <c r="AE122" s="173"/>
      <c r="AF122" s="173"/>
      <c r="AG122" s="175"/>
      <c r="AH122" s="175"/>
      <c r="AI122" s="272"/>
      <c r="AJ122" s="272"/>
      <c r="AK122" s="272"/>
      <c r="AL122" s="267"/>
      <c r="AM122" s="267"/>
      <c r="AN122" s="267"/>
      <c r="AO122" s="267"/>
      <c r="AP122" s="267"/>
      <c r="AQ122" s="267"/>
      <c r="AR122" s="267"/>
      <c r="AS122" s="267"/>
      <c r="AT122" s="267"/>
      <c r="AU122" s="267"/>
      <c r="AV122" s="267"/>
      <c r="AW122" s="267"/>
      <c r="AX122" s="267"/>
      <c r="AY122" s="272"/>
      <c r="AZ122" s="272"/>
      <c r="BA122" s="272"/>
      <c r="BB122" s="272"/>
      <c r="BC122" s="272"/>
      <c r="BD122" s="272"/>
      <c r="BE122" s="272"/>
      <c r="BF122" s="272"/>
      <c r="BG122" s="59"/>
      <c r="BH122" s="59"/>
      <c r="BI122" s="59"/>
      <c r="BJ122" s="59"/>
      <c r="BK122" s="59"/>
      <c r="BL122" s="59"/>
      <c r="BM122" s="59"/>
    </row>
    <row r="123" spans="1:83" s="181" customFormat="1" ht="18.75" customHeight="1">
      <c r="B123" s="173"/>
      <c r="C123" s="178" t="s">
        <v>289</v>
      </c>
      <c r="D123" s="173"/>
      <c r="E123" s="173"/>
      <c r="F123" s="173"/>
      <c r="G123" s="173"/>
      <c r="H123" s="477" t="e">
        <f ca="1">H80*10^6</f>
        <v>#N/A</v>
      </c>
      <c r="I123" s="477"/>
      <c r="J123" s="477"/>
      <c r="K123" s="176" t="s">
        <v>290</v>
      </c>
      <c r="L123" s="173"/>
      <c r="M123" s="173"/>
      <c r="N123" s="176"/>
      <c r="O123" s="176"/>
      <c r="P123" s="176"/>
      <c r="Q123" s="175"/>
      <c r="R123" s="175"/>
      <c r="S123" s="175"/>
      <c r="T123" s="175"/>
      <c r="U123" s="175"/>
      <c r="V123" s="175"/>
      <c r="W123" s="175"/>
      <c r="X123" s="175"/>
      <c r="Y123" s="175"/>
      <c r="Z123" s="175"/>
      <c r="AA123" s="175"/>
      <c r="AB123" s="175"/>
      <c r="AC123" s="175"/>
      <c r="AD123" s="175"/>
      <c r="AE123" s="175"/>
      <c r="AF123" s="60"/>
      <c r="AG123" s="175"/>
      <c r="AH123" s="175"/>
      <c r="AI123" s="175"/>
      <c r="AJ123" s="175"/>
      <c r="AK123" s="175"/>
      <c r="AL123" s="175"/>
      <c r="AM123" s="173"/>
      <c r="AN123" s="173"/>
      <c r="AO123" s="173"/>
      <c r="AP123" s="173"/>
      <c r="AQ123" s="173"/>
      <c r="AR123" s="173"/>
      <c r="AS123" s="173"/>
      <c r="AT123" s="173"/>
      <c r="AU123" s="173"/>
      <c r="AV123" s="173"/>
      <c r="AW123" s="173"/>
      <c r="AX123" s="173"/>
      <c r="AY123" s="173"/>
      <c r="AZ123" s="175"/>
      <c r="BA123" s="175"/>
      <c r="BB123" s="175"/>
      <c r="BC123" s="175"/>
      <c r="BD123" s="175"/>
      <c r="BE123" s="175"/>
      <c r="BF123" s="175"/>
      <c r="BG123" s="175"/>
      <c r="BH123" s="59"/>
      <c r="BI123" s="59"/>
      <c r="BJ123" s="59"/>
      <c r="BK123" s="59"/>
      <c r="BL123" s="59"/>
      <c r="BM123" s="59"/>
    </row>
    <row r="124" spans="1:83" s="181" customFormat="1" ht="18.75" customHeight="1">
      <c r="B124" s="173"/>
      <c r="C124" s="408" t="s">
        <v>291</v>
      </c>
      <c r="D124" s="408"/>
      <c r="E124" s="408"/>
      <c r="F124" s="408"/>
      <c r="G124" s="408"/>
      <c r="H124" s="408"/>
      <c r="I124" s="408"/>
      <c r="J124" s="471" t="s">
        <v>292</v>
      </c>
      <c r="K124" s="471"/>
      <c r="L124" s="471"/>
      <c r="M124" s="471"/>
      <c r="N124" s="471"/>
      <c r="O124" s="471"/>
      <c r="P124" s="471"/>
      <c r="Q124" s="471"/>
      <c r="R124" s="471"/>
      <c r="S124" s="471"/>
      <c r="T124" s="471"/>
      <c r="U124" s="471"/>
      <c r="V124" s="471"/>
      <c r="W124" s="471"/>
      <c r="X124" s="175"/>
      <c r="Y124" s="175"/>
      <c r="Z124" s="175"/>
      <c r="AA124" s="175"/>
      <c r="AB124" s="175"/>
      <c r="AC124" s="175"/>
      <c r="AD124" s="175"/>
      <c r="AE124" s="175"/>
      <c r="AF124" s="175"/>
      <c r="AG124" s="175"/>
      <c r="AH124" s="175"/>
      <c r="AI124" s="175"/>
      <c r="AJ124" s="175"/>
      <c r="AK124" s="173"/>
      <c r="AL124" s="173"/>
      <c r="AM124" s="173"/>
      <c r="AN124" s="175"/>
      <c r="AO124" s="175"/>
      <c r="AP124" s="175"/>
      <c r="AQ124" s="175"/>
      <c r="AR124" s="175"/>
      <c r="AS124" s="175"/>
      <c r="AT124" s="175"/>
      <c r="AU124" s="175"/>
      <c r="AV124" s="175"/>
      <c r="AW124" s="175"/>
      <c r="AX124" s="175"/>
      <c r="AY124" s="175"/>
      <c r="AZ124" s="175"/>
      <c r="BA124" s="175"/>
      <c r="BB124" s="175"/>
      <c r="BC124" s="175"/>
      <c r="BD124" s="175"/>
      <c r="BE124" s="175"/>
      <c r="BF124" s="175"/>
      <c r="BG124" s="175"/>
      <c r="BH124" s="59"/>
      <c r="BI124" s="59"/>
      <c r="BJ124" s="59"/>
      <c r="BK124" s="59"/>
      <c r="BL124" s="59"/>
      <c r="BM124" s="59"/>
      <c r="BN124" s="59"/>
    </row>
    <row r="125" spans="1:83" s="181" customFormat="1" ht="18.75" customHeight="1">
      <c r="B125" s="173"/>
      <c r="C125" s="408"/>
      <c r="D125" s="408"/>
      <c r="E125" s="408"/>
      <c r="F125" s="408"/>
      <c r="G125" s="408"/>
      <c r="H125" s="408"/>
      <c r="I125" s="408"/>
      <c r="J125" s="471"/>
      <c r="K125" s="471"/>
      <c r="L125" s="471"/>
      <c r="M125" s="471"/>
      <c r="N125" s="471"/>
      <c r="O125" s="471"/>
      <c r="P125" s="471"/>
      <c r="Q125" s="471"/>
      <c r="R125" s="471"/>
      <c r="S125" s="471"/>
      <c r="T125" s="471"/>
      <c r="U125" s="471"/>
      <c r="V125" s="471"/>
      <c r="W125" s="471"/>
      <c r="X125" s="175"/>
      <c r="Y125" s="175"/>
      <c r="Z125" s="175"/>
      <c r="AA125" s="175"/>
      <c r="AB125" s="175"/>
      <c r="AC125" s="175"/>
      <c r="AD125" s="175"/>
      <c r="AE125" s="175"/>
      <c r="AF125" s="173"/>
      <c r="AG125" s="175"/>
      <c r="AH125" s="175"/>
      <c r="AI125" s="175"/>
      <c r="AJ125" s="175"/>
      <c r="AK125" s="173"/>
      <c r="AL125" s="173"/>
      <c r="AM125" s="173"/>
      <c r="AN125" s="175"/>
      <c r="AO125" s="175"/>
      <c r="AP125" s="175"/>
      <c r="AQ125" s="175"/>
      <c r="AR125" s="175"/>
      <c r="AS125" s="173"/>
      <c r="AT125" s="175"/>
      <c r="AU125" s="175"/>
      <c r="AV125" s="175"/>
      <c r="AW125" s="175"/>
      <c r="AX125" s="175"/>
      <c r="AY125" s="175"/>
      <c r="AZ125" s="175"/>
      <c r="BA125" s="175"/>
      <c r="BB125" s="175"/>
      <c r="BC125" s="175"/>
      <c r="BD125" s="175"/>
      <c r="BE125" s="175"/>
      <c r="BF125" s="175"/>
      <c r="BG125" s="175"/>
      <c r="BH125" s="59"/>
      <c r="BI125" s="59"/>
      <c r="BJ125" s="59"/>
      <c r="BK125" s="59"/>
      <c r="BL125" s="59"/>
      <c r="BM125" s="59"/>
      <c r="BN125" s="59"/>
    </row>
    <row r="126" spans="1:83" s="181" customFormat="1" ht="18.75" customHeight="1">
      <c r="B126" s="173"/>
      <c r="C126" s="175"/>
      <c r="D126" s="175"/>
      <c r="E126" s="175"/>
      <c r="F126" s="175"/>
      <c r="G126" s="175"/>
      <c r="H126" s="175"/>
      <c r="I126" s="173"/>
      <c r="J126" s="471" t="s">
        <v>293</v>
      </c>
      <c r="K126" s="471"/>
      <c r="L126" s="471"/>
      <c r="M126" s="471"/>
      <c r="N126" s="471"/>
      <c r="O126" s="471"/>
      <c r="P126" s="471"/>
      <c r="Q126" s="471"/>
      <c r="R126" s="471"/>
      <c r="S126" s="471"/>
      <c r="T126" s="471"/>
      <c r="U126" s="471"/>
      <c r="V126" s="471"/>
      <c r="W126" s="471"/>
      <c r="X126" s="471"/>
      <c r="Y126" s="471"/>
      <c r="Z126" s="471"/>
      <c r="AA126" s="485" t="s">
        <v>294</v>
      </c>
      <c r="AB126" s="485"/>
      <c r="AC126" s="485"/>
      <c r="AD126" s="485"/>
      <c r="AE126" s="485"/>
      <c r="AF126" s="403" t="s">
        <v>281</v>
      </c>
      <c r="AG126" s="471" t="s">
        <v>295</v>
      </c>
      <c r="AH126" s="471"/>
      <c r="AI126" s="471"/>
      <c r="AJ126" s="471"/>
      <c r="AK126" s="471"/>
      <c r="AL126" s="471"/>
      <c r="AM126" s="173"/>
      <c r="AN126" s="175"/>
      <c r="AO126" s="175"/>
      <c r="AP126" s="175"/>
      <c r="AQ126" s="175"/>
      <c r="AR126" s="175"/>
      <c r="AS126" s="173"/>
      <c r="AT126" s="175"/>
      <c r="AU126" s="175"/>
      <c r="AV126" s="175"/>
      <c r="AW126" s="175"/>
      <c r="AX126" s="175"/>
      <c r="AY126" s="175"/>
      <c r="AZ126" s="175"/>
      <c r="BA126" s="175"/>
      <c r="BB126" s="175"/>
      <c r="BC126" s="175"/>
      <c r="BD126" s="175"/>
      <c r="BE126" s="175"/>
      <c r="BF126" s="175"/>
      <c r="BG126" s="175"/>
      <c r="BH126" s="59"/>
      <c r="BI126" s="59"/>
      <c r="BJ126" s="59"/>
      <c r="BK126" s="59"/>
      <c r="BL126" s="59"/>
      <c r="BM126" s="59"/>
      <c r="BN126" s="59"/>
    </row>
    <row r="127" spans="1:83" s="181" customFormat="1" ht="18.75" customHeight="1">
      <c r="B127" s="173"/>
      <c r="C127" s="175"/>
      <c r="D127" s="175"/>
      <c r="E127" s="175"/>
      <c r="F127" s="175"/>
      <c r="G127" s="175"/>
      <c r="H127" s="175"/>
      <c r="I127" s="173"/>
      <c r="J127" s="471"/>
      <c r="K127" s="471"/>
      <c r="L127" s="471"/>
      <c r="M127" s="471"/>
      <c r="N127" s="471"/>
      <c r="O127" s="471"/>
      <c r="P127" s="471"/>
      <c r="Q127" s="471"/>
      <c r="R127" s="471"/>
      <c r="S127" s="471"/>
      <c r="T127" s="471"/>
      <c r="U127" s="471"/>
      <c r="V127" s="471"/>
      <c r="W127" s="471"/>
      <c r="X127" s="471"/>
      <c r="Y127" s="471"/>
      <c r="Z127" s="471"/>
      <c r="AA127" s="175"/>
      <c r="AB127" s="173"/>
      <c r="AC127" s="173"/>
      <c r="AD127" s="173"/>
      <c r="AE127" s="173"/>
      <c r="AF127" s="403"/>
      <c r="AG127" s="471"/>
      <c r="AH127" s="471"/>
      <c r="AI127" s="471"/>
      <c r="AJ127" s="471"/>
      <c r="AK127" s="471"/>
      <c r="AL127" s="471"/>
      <c r="AM127" s="173"/>
      <c r="AN127" s="175"/>
      <c r="AO127" s="175"/>
      <c r="AP127" s="175"/>
      <c r="AQ127" s="175"/>
      <c r="AR127" s="175"/>
      <c r="AS127" s="175"/>
      <c r="AT127" s="175"/>
      <c r="AU127" s="175"/>
      <c r="AV127" s="175"/>
      <c r="AW127" s="175"/>
      <c r="AX127" s="175"/>
      <c r="AY127" s="175"/>
      <c r="AZ127" s="175"/>
      <c r="BA127" s="175"/>
      <c r="BB127" s="175"/>
      <c r="BC127" s="175"/>
      <c r="BD127" s="175"/>
      <c r="BE127" s="175"/>
      <c r="BF127" s="175"/>
      <c r="BG127" s="175"/>
      <c r="BH127" s="59"/>
      <c r="BI127" s="59"/>
      <c r="BJ127" s="59"/>
      <c r="BK127" s="59"/>
      <c r="BL127" s="59"/>
      <c r="BM127" s="59"/>
      <c r="BN127" s="59"/>
    </row>
    <row r="128" spans="1:83" s="181" customFormat="1" ht="18.75" customHeight="1">
      <c r="B128" s="173"/>
      <c r="C128" s="175"/>
      <c r="D128" s="175"/>
      <c r="E128" s="175"/>
      <c r="F128" s="175"/>
      <c r="G128" s="175"/>
      <c r="H128" s="272"/>
      <c r="I128" s="175"/>
      <c r="J128" s="173"/>
      <c r="K128" s="178" t="s">
        <v>296</v>
      </c>
      <c r="L128" s="178"/>
      <c r="M128" s="178"/>
      <c r="N128" s="178"/>
      <c r="O128" s="178"/>
      <c r="P128" s="178"/>
      <c r="Q128" s="178"/>
      <c r="R128" s="178"/>
      <c r="S128" s="175"/>
      <c r="T128" s="175"/>
      <c r="U128" s="175"/>
      <c r="V128" s="175"/>
      <c r="W128" s="175"/>
      <c r="X128" s="175"/>
      <c r="Y128" s="175"/>
      <c r="Z128" s="175"/>
      <c r="AA128" s="175"/>
      <c r="AB128" s="175"/>
      <c r="AC128" s="175"/>
      <c r="AD128" s="175"/>
      <c r="AE128" s="175"/>
      <c r="AF128" s="175"/>
      <c r="AG128" s="173"/>
      <c r="AH128" s="175"/>
      <c r="AI128" s="175"/>
      <c r="AJ128" s="175"/>
      <c r="AK128" s="173"/>
      <c r="AL128" s="173"/>
      <c r="AM128" s="173"/>
      <c r="AN128" s="173"/>
      <c r="AO128" s="175"/>
      <c r="AP128" s="175"/>
      <c r="AQ128" s="175"/>
      <c r="AR128" s="175"/>
      <c r="AS128" s="175"/>
      <c r="AT128" s="175"/>
      <c r="AU128" s="175"/>
      <c r="AV128" s="175"/>
      <c r="AW128" s="175"/>
      <c r="AX128" s="175"/>
      <c r="AY128" s="175"/>
      <c r="AZ128" s="175"/>
      <c r="BA128" s="175"/>
      <c r="BB128" s="175"/>
      <c r="BC128" s="175"/>
      <c r="BD128" s="175"/>
      <c r="BE128" s="175"/>
      <c r="BF128" s="175"/>
      <c r="BG128" s="175"/>
      <c r="BH128" s="173"/>
      <c r="BN128" s="59"/>
      <c r="BO128" s="59"/>
      <c r="BP128" s="59"/>
      <c r="BQ128" s="59"/>
      <c r="BR128" s="59"/>
      <c r="BS128" s="59"/>
      <c r="BX128" s="59"/>
      <c r="CE128" s="59"/>
    </row>
    <row r="129" spans="2:83" s="181" customFormat="1" ht="18.75" customHeight="1">
      <c r="B129" s="173"/>
      <c r="C129" s="175"/>
      <c r="D129" s="175"/>
      <c r="E129" s="175"/>
      <c r="F129" s="175"/>
      <c r="G129" s="175"/>
      <c r="H129" s="272"/>
      <c r="I129" s="175"/>
      <c r="J129" s="115"/>
      <c r="K129" s="115"/>
      <c r="L129" s="115"/>
      <c r="M129" s="173"/>
      <c r="N129" s="115"/>
      <c r="O129" s="115"/>
      <c r="P129" s="115"/>
      <c r="Q129" s="115"/>
      <c r="R129" s="115"/>
      <c r="S129" s="115"/>
      <c r="T129" s="115"/>
      <c r="U129" s="115"/>
      <c r="V129" s="173"/>
      <c r="W129" s="184"/>
      <c r="X129" s="184"/>
      <c r="Y129" s="184"/>
      <c r="Z129" s="173"/>
      <c r="AF129" s="173"/>
      <c r="AG129" s="471" t="s">
        <v>297</v>
      </c>
      <c r="AH129" s="471"/>
      <c r="AI129" s="471"/>
      <c r="AJ129" s="471"/>
      <c r="AK129" s="471"/>
      <c r="AL129" s="185"/>
      <c r="AM129" s="185"/>
      <c r="AN129" s="173"/>
      <c r="AO129" s="173"/>
      <c r="AP129" s="173"/>
      <c r="AQ129" s="173"/>
      <c r="AR129" s="173"/>
      <c r="AS129" s="175"/>
      <c r="AT129" s="175"/>
      <c r="AU129" s="173"/>
      <c r="AV129" s="173"/>
      <c r="AW129" s="173"/>
      <c r="AX129" s="173"/>
      <c r="AY129" s="173"/>
      <c r="AZ129" s="175"/>
      <c r="BA129" s="175"/>
      <c r="BB129" s="175"/>
      <c r="BC129" s="175"/>
      <c r="BD129" s="175"/>
      <c r="BE129" s="175"/>
      <c r="BF129" s="175"/>
      <c r="BG129" s="175"/>
      <c r="BH129" s="173"/>
      <c r="BN129" s="59"/>
      <c r="BO129" s="59"/>
      <c r="BP129" s="59"/>
      <c r="BQ129" s="59"/>
      <c r="BR129" s="59"/>
      <c r="BS129" s="59"/>
      <c r="BT129" s="59"/>
      <c r="BU129" s="59"/>
      <c r="BV129" s="59"/>
      <c r="BW129" s="59"/>
      <c r="BX129" s="59"/>
      <c r="CE129" s="59"/>
    </row>
    <row r="130" spans="2:83" s="181" customFormat="1" ht="18.75" customHeight="1">
      <c r="B130" s="173"/>
      <c r="C130" s="175"/>
      <c r="D130" s="175"/>
      <c r="E130" s="175"/>
      <c r="F130" s="175"/>
      <c r="G130" s="175"/>
      <c r="H130" s="272"/>
      <c r="I130" s="175"/>
      <c r="J130" s="115"/>
      <c r="K130" s="115"/>
      <c r="L130" s="115"/>
      <c r="M130" s="173"/>
      <c r="N130" s="115"/>
      <c r="O130" s="115"/>
      <c r="P130" s="115"/>
      <c r="Q130" s="115"/>
      <c r="R130" s="115"/>
      <c r="S130" s="115"/>
      <c r="T130" s="115"/>
      <c r="U130" s="115"/>
      <c r="V130" s="173"/>
      <c r="W130" s="184"/>
      <c r="X130" s="184"/>
      <c r="Y130" s="184"/>
      <c r="Z130" s="173"/>
      <c r="AF130" s="173"/>
      <c r="AG130" s="471"/>
      <c r="AH130" s="471"/>
      <c r="AI130" s="471"/>
      <c r="AJ130" s="471"/>
      <c r="AK130" s="471"/>
      <c r="AL130" s="185"/>
      <c r="AM130" s="185"/>
      <c r="AN130" s="173"/>
      <c r="AO130" s="173"/>
      <c r="AP130" s="173"/>
      <c r="AQ130" s="173"/>
      <c r="AR130" s="173"/>
      <c r="AS130" s="175"/>
      <c r="AT130" s="175"/>
      <c r="AU130" s="173"/>
      <c r="AV130" s="173"/>
      <c r="AW130" s="173"/>
      <c r="AX130" s="173"/>
      <c r="AY130" s="173"/>
      <c r="AZ130" s="175"/>
      <c r="BA130" s="175"/>
      <c r="BB130" s="175"/>
      <c r="BC130" s="175"/>
      <c r="BD130" s="175"/>
      <c r="BE130" s="175"/>
      <c r="BF130" s="175"/>
      <c r="BG130" s="175"/>
      <c r="BH130" s="175"/>
      <c r="BI130" s="59"/>
      <c r="BJ130" s="59"/>
      <c r="BK130" s="59"/>
      <c r="BL130" s="59"/>
      <c r="BM130" s="59"/>
    </row>
    <row r="131" spans="2:83" s="181" customFormat="1" ht="18.75" customHeight="1">
      <c r="B131" s="173"/>
      <c r="C131" s="175" t="s">
        <v>95</v>
      </c>
      <c r="D131" s="175"/>
      <c r="E131" s="175"/>
      <c r="F131" s="175"/>
      <c r="G131" s="175"/>
      <c r="H131" s="175"/>
      <c r="I131" s="471" t="str">
        <f>V80</f>
        <v>삼각형</v>
      </c>
      <c r="J131" s="471"/>
      <c r="K131" s="471"/>
      <c r="L131" s="471"/>
      <c r="M131" s="471"/>
      <c r="N131" s="471"/>
      <c r="O131" s="471"/>
      <c r="P131" s="471"/>
      <c r="Q131" s="175"/>
      <c r="R131" s="175"/>
      <c r="S131" s="175"/>
      <c r="T131" s="175"/>
      <c r="U131" s="175"/>
      <c r="V131" s="175"/>
      <c r="W131" s="175"/>
      <c r="X131" s="175"/>
      <c r="Y131" s="175"/>
      <c r="Z131" s="173"/>
      <c r="AA131" s="173"/>
      <c r="AB131" s="173"/>
      <c r="AC131" s="173"/>
      <c r="AD131" s="173"/>
      <c r="AE131" s="173"/>
      <c r="AF131" s="173"/>
      <c r="AG131" s="173"/>
      <c r="AH131" s="175"/>
      <c r="AI131" s="175"/>
      <c r="AJ131" s="175"/>
      <c r="AK131" s="175"/>
      <c r="AL131" s="175"/>
      <c r="AM131" s="175"/>
      <c r="AN131" s="175"/>
      <c r="AO131" s="175"/>
      <c r="AP131" s="175"/>
      <c r="AQ131" s="175"/>
      <c r="AR131" s="175"/>
      <c r="AS131" s="175"/>
      <c r="AT131" s="175"/>
      <c r="AU131" s="175"/>
      <c r="AV131" s="175"/>
      <c r="AW131" s="175"/>
      <c r="AX131" s="175"/>
      <c r="AY131" s="175"/>
      <c r="AZ131" s="175"/>
      <c r="BA131" s="175"/>
      <c r="BB131" s="175"/>
      <c r="BC131" s="175"/>
      <c r="BD131" s="175"/>
      <c r="BE131" s="175"/>
      <c r="BF131" s="175"/>
      <c r="BG131" s="175"/>
      <c r="BH131" s="59"/>
      <c r="BI131" s="59"/>
      <c r="BJ131" s="59"/>
      <c r="BK131" s="59"/>
      <c r="BL131" s="59"/>
      <c r="BM131" s="59"/>
      <c r="BN131" s="59"/>
    </row>
    <row r="132" spans="2:83" s="181" customFormat="1" ht="18.75" customHeight="1">
      <c r="B132" s="173"/>
      <c r="C132" s="408" t="s">
        <v>96</v>
      </c>
      <c r="D132" s="408"/>
      <c r="E132" s="408"/>
      <c r="F132" s="408"/>
      <c r="G132" s="408"/>
      <c r="H132" s="408"/>
      <c r="I132" s="175"/>
      <c r="J132" s="175"/>
      <c r="K132" s="175"/>
      <c r="L132" s="175"/>
      <c r="M132" s="175"/>
      <c r="N132" s="175"/>
      <c r="O132" s="175"/>
      <c r="R132" s="419" t="e">
        <f>-H81</f>
        <v>#VALUE!</v>
      </c>
      <c r="S132" s="419"/>
      <c r="T132" s="408" t="s">
        <v>298</v>
      </c>
      <c r="U132" s="408"/>
      <c r="V132" s="474">
        <f>Calcu!N56</f>
        <v>0</v>
      </c>
      <c r="W132" s="474"/>
      <c r="X132" s="474"/>
      <c r="Y132" s="408" t="s">
        <v>300</v>
      </c>
      <c r="Z132" s="408"/>
      <c r="AA132" s="403" t="s">
        <v>281</v>
      </c>
      <c r="AB132" s="405" t="e">
        <f>R132*V132</f>
        <v>#VALUE!</v>
      </c>
      <c r="AC132" s="405"/>
      <c r="AD132" s="405"/>
      <c r="AE132" s="405"/>
      <c r="AF132" s="408" t="s">
        <v>301</v>
      </c>
      <c r="AG132" s="408"/>
      <c r="AH132" s="408"/>
      <c r="AI132" s="408"/>
      <c r="AJ132" s="408"/>
      <c r="AK132" s="408"/>
      <c r="AL132" s="408"/>
      <c r="AM132" s="175"/>
      <c r="AN132" s="175"/>
      <c r="AO132" s="175"/>
      <c r="AP132" s="175"/>
      <c r="AQ132" s="175"/>
      <c r="AR132" s="173"/>
      <c r="AS132" s="173"/>
      <c r="AT132" s="173"/>
      <c r="AU132" s="173"/>
      <c r="AV132" s="173"/>
      <c r="AW132" s="173"/>
      <c r="AX132" s="173"/>
      <c r="AY132" s="173"/>
      <c r="AZ132" s="173"/>
      <c r="BA132" s="173"/>
    </row>
    <row r="133" spans="2:83" s="181" customFormat="1" ht="18.75" customHeight="1">
      <c r="B133" s="173"/>
      <c r="C133" s="408"/>
      <c r="D133" s="408"/>
      <c r="E133" s="408"/>
      <c r="F133" s="408"/>
      <c r="G133" s="408"/>
      <c r="H133" s="408"/>
      <c r="I133" s="175"/>
      <c r="J133" s="175"/>
      <c r="K133" s="175"/>
      <c r="L133" s="175"/>
      <c r="M133" s="175"/>
      <c r="N133" s="175"/>
      <c r="O133" s="175"/>
      <c r="R133" s="419"/>
      <c r="S133" s="419"/>
      <c r="T133" s="408"/>
      <c r="U133" s="408"/>
      <c r="V133" s="474"/>
      <c r="W133" s="474"/>
      <c r="X133" s="474"/>
      <c r="Y133" s="408"/>
      <c r="Z133" s="408"/>
      <c r="AA133" s="403"/>
      <c r="AB133" s="405"/>
      <c r="AC133" s="405"/>
      <c r="AD133" s="405"/>
      <c r="AE133" s="405"/>
      <c r="AF133" s="408"/>
      <c r="AG133" s="408"/>
      <c r="AH133" s="408"/>
      <c r="AI133" s="408"/>
      <c r="AJ133" s="408"/>
      <c r="AK133" s="408"/>
      <c r="AL133" s="408"/>
      <c r="AM133" s="175"/>
      <c r="AN133" s="175"/>
      <c r="AO133" s="175"/>
      <c r="AP133" s="175"/>
      <c r="AQ133" s="175"/>
      <c r="AR133" s="173"/>
      <c r="AS133" s="173"/>
      <c r="AT133" s="173"/>
      <c r="AU133" s="173"/>
      <c r="AV133" s="173"/>
      <c r="AW133" s="173"/>
      <c r="AX133" s="173"/>
      <c r="AY133" s="173"/>
      <c r="AZ133" s="173"/>
      <c r="BA133" s="173"/>
    </row>
    <row r="134" spans="2:83" s="181" customFormat="1" ht="18.75" customHeight="1">
      <c r="B134" s="173"/>
      <c r="C134" s="175" t="s">
        <v>302</v>
      </c>
      <c r="D134" s="175"/>
      <c r="E134" s="175"/>
      <c r="F134" s="175"/>
      <c r="G134" s="175"/>
      <c r="H134" s="175"/>
      <c r="I134" s="175"/>
      <c r="J134" s="173"/>
      <c r="K134" s="57" t="s">
        <v>303</v>
      </c>
      <c r="L134" s="419" t="e">
        <f>AB132</f>
        <v>#VALUE!</v>
      </c>
      <c r="M134" s="419"/>
      <c r="N134" s="419"/>
      <c r="O134" s="419"/>
      <c r="P134" s="185" t="s">
        <v>304</v>
      </c>
      <c r="Q134" s="173"/>
      <c r="R134" s="173"/>
      <c r="S134" s="173"/>
      <c r="T134" s="173"/>
      <c r="U134" s="173"/>
      <c r="V134" s="173"/>
      <c r="W134" s="173"/>
      <c r="X134" s="173"/>
      <c r="Y134" s="57" t="s">
        <v>305</v>
      </c>
      <c r="Z134" s="173" t="s">
        <v>281</v>
      </c>
      <c r="AA134" s="404" t="e">
        <f>ABS(L134*O80)</f>
        <v>#VALUE!</v>
      </c>
      <c r="AB134" s="404"/>
      <c r="AC134" s="404"/>
      <c r="AD134" s="178" t="s">
        <v>306</v>
      </c>
      <c r="AE134" s="178"/>
      <c r="AF134" s="173"/>
      <c r="AG134" s="173"/>
      <c r="AH134" s="173"/>
      <c r="AI134" s="173"/>
      <c r="AJ134" s="173"/>
      <c r="AK134" s="173"/>
      <c r="AL134" s="173"/>
      <c r="AM134" s="173"/>
      <c r="AN134" s="173"/>
      <c r="AO134" s="173"/>
      <c r="AP134" s="173"/>
      <c r="AQ134" s="173"/>
      <c r="AR134" s="173"/>
      <c r="AS134" s="173"/>
      <c r="AT134" s="173"/>
      <c r="AU134" s="186"/>
      <c r="AV134" s="185"/>
      <c r="AW134" s="175"/>
      <c r="AX134" s="173"/>
      <c r="AY134" s="173"/>
      <c r="AZ134" s="173"/>
      <c r="BA134" s="173"/>
      <c r="BB134" s="173"/>
      <c r="BC134" s="173"/>
      <c r="BD134" s="173"/>
      <c r="BE134" s="173"/>
      <c r="BF134" s="173"/>
      <c r="BG134" s="173"/>
      <c r="BH134" s="59"/>
      <c r="BI134" s="59"/>
      <c r="BP134" s="178"/>
      <c r="BQ134" s="187"/>
    </row>
    <row r="135" spans="2:83" s="181" customFormat="1" ht="18.75" customHeight="1">
      <c r="B135" s="173"/>
      <c r="C135" s="408" t="s">
        <v>97</v>
      </c>
      <c r="D135" s="408"/>
      <c r="E135" s="408"/>
      <c r="F135" s="408"/>
      <c r="G135" s="408"/>
      <c r="H135" s="175"/>
      <c r="J135" s="175"/>
      <c r="K135" s="175"/>
      <c r="L135" s="175"/>
      <c r="M135" s="175"/>
      <c r="N135" s="175"/>
      <c r="O135" s="175"/>
      <c r="P135" s="175"/>
      <c r="Q135" s="175"/>
      <c r="R135" s="185"/>
      <c r="S135" s="175"/>
      <c r="T135" s="175"/>
      <c r="U135" s="175"/>
      <c r="W135" s="175"/>
      <c r="X135" s="175"/>
      <c r="Y135" s="175"/>
      <c r="Z135" s="175"/>
      <c r="AA135" s="57" t="s">
        <v>427</v>
      </c>
      <c r="AB135" s="175"/>
      <c r="AC135" s="175"/>
      <c r="AD135" s="175"/>
      <c r="AE135" s="173"/>
      <c r="AF135" s="173"/>
      <c r="AH135" s="173"/>
      <c r="AI135" s="173"/>
      <c r="AJ135" s="173"/>
      <c r="AK135" s="173"/>
      <c r="AL135" s="173"/>
      <c r="AM135" s="173"/>
      <c r="AN135" s="173"/>
      <c r="AO135" s="173"/>
      <c r="AP135" s="173"/>
      <c r="AQ135" s="173"/>
      <c r="AR135" s="173"/>
      <c r="AS135" s="173"/>
      <c r="AT135" s="173"/>
      <c r="AU135" s="173"/>
      <c r="AV135" s="173"/>
      <c r="AW135" s="173"/>
      <c r="AX135" s="173"/>
      <c r="AY135" s="173"/>
      <c r="AZ135" s="173"/>
      <c r="BA135" s="173"/>
      <c r="BB135" s="173"/>
      <c r="BC135" s="173"/>
      <c r="BD135" s="173"/>
      <c r="BE135" s="173"/>
      <c r="BF135" s="173"/>
      <c r="BG135" s="173"/>
      <c r="BH135" s="59"/>
      <c r="BI135" s="59"/>
      <c r="BJ135" s="59"/>
      <c r="BK135" s="59"/>
      <c r="BL135" s="59"/>
    </row>
    <row r="136" spans="2:83" s="181" customFormat="1" ht="18.75" customHeight="1">
      <c r="B136" s="173"/>
      <c r="C136" s="408"/>
      <c r="D136" s="408"/>
      <c r="E136" s="408"/>
      <c r="F136" s="408"/>
      <c r="G136" s="408"/>
      <c r="H136" s="175"/>
      <c r="I136" s="175"/>
      <c r="J136" s="175"/>
      <c r="K136" s="175"/>
      <c r="L136" s="175"/>
      <c r="M136" s="175"/>
      <c r="N136" s="175"/>
      <c r="O136" s="175"/>
      <c r="P136" s="175"/>
      <c r="Q136" s="175"/>
      <c r="R136" s="185"/>
      <c r="S136" s="175"/>
      <c r="T136" s="175"/>
      <c r="U136" s="175"/>
      <c r="V136" s="175"/>
      <c r="W136" s="175"/>
      <c r="X136" s="175"/>
      <c r="Y136" s="175"/>
      <c r="Z136" s="175"/>
      <c r="AA136" s="175"/>
      <c r="AB136" s="175"/>
      <c r="AC136" s="175"/>
      <c r="AD136" s="175"/>
      <c r="AE136" s="173"/>
      <c r="AF136" s="173"/>
      <c r="AG136" s="173"/>
      <c r="AH136" s="173"/>
      <c r="AI136" s="173"/>
      <c r="AJ136" s="173"/>
      <c r="AK136" s="173"/>
      <c r="AL136" s="173"/>
      <c r="AM136" s="173"/>
      <c r="AN136" s="173"/>
      <c r="AO136" s="173"/>
      <c r="AP136" s="173"/>
      <c r="AQ136" s="173"/>
      <c r="AR136" s="173"/>
      <c r="AS136" s="173"/>
      <c r="AT136" s="173"/>
      <c r="AU136" s="173"/>
      <c r="AV136" s="173"/>
      <c r="AW136" s="173"/>
      <c r="AX136" s="173"/>
      <c r="AY136" s="173"/>
      <c r="AZ136" s="173"/>
      <c r="BA136" s="173"/>
      <c r="BB136" s="173"/>
      <c r="BC136" s="173"/>
      <c r="BD136" s="173"/>
      <c r="BE136" s="173"/>
      <c r="BF136" s="173"/>
      <c r="BG136" s="173"/>
      <c r="BH136" s="59"/>
      <c r="BI136" s="59"/>
      <c r="BJ136" s="59"/>
      <c r="BK136" s="59"/>
      <c r="BL136" s="59"/>
    </row>
    <row r="137" spans="2:83" s="181" customFormat="1" ht="18.75" customHeight="1">
      <c r="B137" s="246"/>
      <c r="C137" s="247"/>
      <c r="D137" s="247"/>
      <c r="E137" s="247"/>
      <c r="F137" s="247"/>
      <c r="G137" s="247"/>
      <c r="H137" s="247"/>
      <c r="I137" s="247"/>
      <c r="J137" s="247"/>
      <c r="K137" s="247"/>
      <c r="L137" s="247"/>
      <c r="M137" s="247"/>
      <c r="N137" s="247"/>
      <c r="O137" s="247"/>
      <c r="P137" s="247"/>
      <c r="Q137" s="247"/>
      <c r="R137" s="185"/>
      <c r="S137" s="247"/>
      <c r="T137" s="247"/>
      <c r="U137" s="247"/>
      <c r="V137" s="247"/>
      <c r="W137" s="247"/>
      <c r="X137" s="247"/>
      <c r="Y137" s="247"/>
      <c r="Z137" s="247"/>
      <c r="AA137" s="247"/>
      <c r="AB137" s="471">
        <v>100</v>
      </c>
      <c r="AC137" s="471"/>
      <c r="AD137" s="247"/>
      <c r="AE137" s="246"/>
      <c r="AF137" s="246"/>
      <c r="AG137" s="246"/>
      <c r="AH137" s="246"/>
      <c r="AI137" s="246"/>
      <c r="AJ137" s="246"/>
      <c r="AK137" s="246"/>
      <c r="AL137" s="246"/>
      <c r="AM137" s="246"/>
      <c r="AN137" s="246"/>
      <c r="AO137" s="246"/>
      <c r="AP137" s="246"/>
      <c r="AQ137" s="246"/>
      <c r="AR137" s="246"/>
      <c r="AS137" s="246"/>
      <c r="AT137" s="246"/>
      <c r="AU137" s="246"/>
      <c r="AV137" s="246"/>
      <c r="AW137" s="246"/>
      <c r="AX137" s="246"/>
      <c r="AY137" s="246"/>
      <c r="AZ137" s="246"/>
      <c r="BA137" s="246"/>
      <c r="BB137" s="246"/>
      <c r="BC137" s="246"/>
      <c r="BD137" s="246"/>
      <c r="BE137" s="246"/>
      <c r="BF137" s="246"/>
      <c r="BG137" s="246"/>
      <c r="BH137" s="59"/>
      <c r="BI137" s="59"/>
      <c r="BJ137" s="59"/>
      <c r="BK137" s="59"/>
      <c r="BL137" s="59"/>
    </row>
    <row r="138" spans="2:83" s="181" customFormat="1" ht="18.75" customHeight="1">
      <c r="B138" s="246"/>
      <c r="C138" s="247"/>
      <c r="D138" s="247"/>
      <c r="E138" s="247"/>
      <c r="F138" s="247"/>
      <c r="G138" s="247"/>
      <c r="H138" s="247"/>
      <c r="I138" s="247"/>
      <c r="J138" s="247"/>
      <c r="K138" s="247"/>
      <c r="L138" s="247"/>
      <c r="M138" s="247"/>
      <c r="N138" s="247"/>
      <c r="O138" s="247"/>
      <c r="P138" s="247"/>
      <c r="Q138" s="247"/>
      <c r="R138" s="185"/>
      <c r="S138" s="247"/>
      <c r="T138" s="247"/>
      <c r="U138" s="247"/>
      <c r="V138" s="247"/>
      <c r="W138" s="247"/>
      <c r="X138" s="247"/>
      <c r="Y138" s="247"/>
      <c r="Z138" s="247"/>
      <c r="AA138" s="247"/>
      <c r="AB138" s="471"/>
      <c r="AC138" s="471"/>
      <c r="AD138" s="247"/>
      <c r="AE138" s="246"/>
      <c r="AF138" s="246"/>
      <c r="AG138" s="246"/>
      <c r="AH138" s="246"/>
      <c r="AI138" s="246"/>
      <c r="AJ138" s="246"/>
      <c r="AK138" s="246"/>
      <c r="AL138" s="246"/>
      <c r="AM138" s="246"/>
      <c r="AN138" s="246"/>
      <c r="AO138" s="246"/>
      <c r="AP138" s="246"/>
      <c r="AQ138" s="246"/>
      <c r="AR138" s="246"/>
      <c r="AS138" s="246"/>
      <c r="AT138" s="246"/>
      <c r="AU138" s="246"/>
      <c r="AV138" s="246"/>
      <c r="AW138" s="246"/>
      <c r="AX138" s="246"/>
      <c r="AY138" s="246"/>
      <c r="AZ138" s="246"/>
      <c r="BA138" s="246"/>
      <c r="BB138" s="246"/>
      <c r="BC138" s="246"/>
      <c r="BD138" s="246"/>
      <c r="BE138" s="246"/>
      <c r="BF138" s="246"/>
      <c r="BG138" s="246"/>
      <c r="BH138" s="59"/>
      <c r="BI138" s="59"/>
      <c r="BJ138" s="59"/>
      <c r="BK138" s="59"/>
      <c r="BL138" s="59"/>
    </row>
    <row r="139" spans="2:83" s="181" customFormat="1" ht="18.75" customHeight="1">
      <c r="B139" s="246"/>
      <c r="C139" s="247"/>
      <c r="D139" s="247"/>
      <c r="E139" s="247"/>
      <c r="F139" s="247"/>
      <c r="G139" s="247"/>
      <c r="H139" s="247"/>
      <c r="I139" s="247"/>
      <c r="J139" s="247"/>
      <c r="K139" s="247"/>
      <c r="L139" s="247"/>
      <c r="M139" s="247"/>
      <c r="N139" s="247"/>
      <c r="O139" s="247"/>
      <c r="P139" s="247"/>
      <c r="Q139" s="247"/>
      <c r="R139" s="185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6"/>
      <c r="AF139" s="246"/>
      <c r="AG139" s="246"/>
      <c r="AH139" s="246"/>
      <c r="AI139" s="246"/>
      <c r="AJ139" s="246"/>
      <c r="AK139" s="246"/>
      <c r="AL139" s="246"/>
      <c r="AM139" s="246"/>
      <c r="AN139" s="246"/>
      <c r="AO139" s="246"/>
      <c r="AP139" s="246"/>
      <c r="AQ139" s="246"/>
      <c r="AR139" s="246"/>
      <c r="AS139" s="246"/>
      <c r="AT139" s="246"/>
      <c r="AU139" s="246"/>
      <c r="AV139" s="246"/>
      <c r="AW139" s="246"/>
      <c r="AX139" s="246"/>
      <c r="AY139" s="246"/>
      <c r="AZ139" s="246"/>
      <c r="BA139" s="246"/>
      <c r="BB139" s="246"/>
      <c r="BC139" s="246"/>
      <c r="BD139" s="246"/>
      <c r="BE139" s="246"/>
      <c r="BF139" s="246"/>
      <c r="BG139" s="246"/>
      <c r="BH139" s="59"/>
      <c r="BI139" s="59"/>
      <c r="BJ139" s="59"/>
      <c r="BK139" s="59"/>
      <c r="BL139" s="59"/>
    </row>
    <row r="140" spans="2:83" s="181" customFormat="1" ht="18.75" customHeight="1">
      <c r="B140" s="173"/>
      <c r="C140" s="175"/>
      <c r="D140" s="175"/>
      <c r="E140" s="175"/>
      <c r="F140" s="175"/>
      <c r="G140" s="175"/>
      <c r="H140" s="175"/>
      <c r="I140" s="175"/>
      <c r="J140" s="175"/>
      <c r="K140" s="175"/>
      <c r="L140" s="175"/>
      <c r="M140" s="175"/>
      <c r="N140" s="175"/>
      <c r="O140" s="175"/>
      <c r="P140" s="175"/>
      <c r="Q140" s="175"/>
      <c r="R140" s="185"/>
      <c r="S140" s="175"/>
      <c r="T140" s="175"/>
      <c r="U140" s="175"/>
      <c r="V140" s="175"/>
      <c r="W140" s="175"/>
      <c r="X140" s="175"/>
      <c r="Y140" s="175"/>
      <c r="Z140" s="175"/>
      <c r="AA140" s="175"/>
      <c r="AB140" s="175"/>
      <c r="AC140" s="175"/>
      <c r="AD140" s="175"/>
      <c r="AE140" s="173"/>
      <c r="AF140" s="173"/>
      <c r="AG140" s="173"/>
      <c r="AH140" s="173"/>
      <c r="AI140" s="173"/>
      <c r="AJ140" s="173"/>
      <c r="AK140" s="173"/>
      <c r="AL140" s="173"/>
      <c r="AM140" s="173"/>
      <c r="AN140" s="173"/>
      <c r="AO140" s="173"/>
      <c r="AP140" s="173"/>
      <c r="AQ140" s="173"/>
      <c r="AR140" s="173"/>
      <c r="AS140" s="173"/>
      <c r="AT140" s="173"/>
      <c r="AU140" s="173"/>
      <c r="AV140" s="173"/>
      <c r="AW140" s="173"/>
      <c r="AX140" s="173"/>
      <c r="AY140" s="173"/>
      <c r="AZ140" s="173"/>
      <c r="BA140" s="173"/>
      <c r="BB140" s="173"/>
      <c r="BC140" s="173"/>
      <c r="BD140" s="173"/>
      <c r="BE140" s="173"/>
      <c r="BF140" s="173"/>
      <c r="BG140" s="173"/>
      <c r="BH140" s="175"/>
      <c r="BI140" s="175"/>
      <c r="BJ140" s="175"/>
      <c r="BK140" s="175"/>
    </row>
    <row r="141" spans="2:83" s="181" customFormat="1" ht="18.75" customHeight="1">
      <c r="B141" s="58" t="s">
        <v>456</v>
      </c>
      <c r="D141" s="175"/>
      <c r="E141" s="175"/>
      <c r="F141" s="175"/>
      <c r="G141" s="175"/>
      <c r="H141" s="175"/>
      <c r="I141" s="175"/>
      <c r="J141" s="175"/>
      <c r="K141" s="175"/>
      <c r="L141" s="175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  <c r="Y141" s="175"/>
      <c r="Z141" s="175"/>
      <c r="AA141" s="175"/>
      <c r="AB141" s="175"/>
      <c r="AC141" s="175"/>
      <c r="AD141" s="175"/>
      <c r="AE141" s="175"/>
      <c r="AF141" s="175"/>
      <c r="AG141" s="175"/>
      <c r="AH141" s="173"/>
      <c r="AI141" s="173"/>
      <c r="AJ141" s="173"/>
      <c r="AK141" s="173"/>
      <c r="AL141" s="173"/>
      <c r="AM141" s="173"/>
      <c r="AN141" s="173"/>
      <c r="AO141" s="175"/>
      <c r="AP141" s="175"/>
      <c r="AQ141" s="175"/>
      <c r="AR141" s="175"/>
      <c r="AS141" s="175"/>
      <c r="AT141" s="175"/>
      <c r="AU141" s="175"/>
      <c r="AV141" s="175"/>
      <c r="AW141" s="175"/>
      <c r="AX141" s="175"/>
      <c r="AY141" s="175"/>
      <c r="AZ141" s="175"/>
      <c r="BA141" s="175"/>
      <c r="BB141" s="175"/>
      <c r="BC141" s="175"/>
      <c r="BD141" s="175"/>
      <c r="BE141" s="175"/>
      <c r="BF141" s="175"/>
      <c r="BG141" s="175"/>
      <c r="BH141" s="59"/>
      <c r="BI141" s="59"/>
      <c r="BJ141" s="59"/>
      <c r="BK141" s="59"/>
      <c r="BL141" s="59"/>
      <c r="BM141" s="59"/>
      <c r="BN141" s="59"/>
    </row>
    <row r="142" spans="2:83" s="181" customFormat="1" ht="18.75" customHeight="1">
      <c r="B142" s="58"/>
      <c r="C142" s="272" t="str">
        <f>"※ 열평형 상태에서 다이얼/디지털 게이지와 기준기의 온도차가 ±"&amp;N145&amp;" ℃ 이내에서 일치한다고"</f>
        <v>※ 열평형 상태에서 다이얼/디지털 게이지와 기준기의 온도차가 ±0.5 ℃ 이내에서 일치한다고</v>
      </c>
      <c r="D142" s="272"/>
      <c r="E142" s="272"/>
      <c r="F142" s="272"/>
      <c r="G142" s="272"/>
      <c r="H142" s="272"/>
      <c r="I142" s="272"/>
      <c r="J142" s="272"/>
      <c r="K142" s="272"/>
      <c r="L142" s="272"/>
      <c r="M142" s="272"/>
      <c r="N142" s="272"/>
      <c r="O142" s="272"/>
      <c r="P142" s="272"/>
      <c r="Q142" s="272"/>
      <c r="R142" s="272"/>
      <c r="S142" s="272"/>
      <c r="T142" s="272"/>
      <c r="U142" s="272"/>
      <c r="V142" s="272"/>
      <c r="W142" s="272"/>
      <c r="X142" s="272"/>
      <c r="Y142" s="272"/>
      <c r="Z142" s="272"/>
      <c r="AA142" s="272"/>
      <c r="AB142" s="272"/>
      <c r="AC142" s="272"/>
      <c r="AD142" s="272"/>
      <c r="AE142" s="272"/>
      <c r="AF142" s="272"/>
      <c r="AG142" s="272"/>
      <c r="AH142" s="272"/>
      <c r="AI142" s="272"/>
      <c r="AJ142" s="272"/>
      <c r="AK142" s="272"/>
      <c r="AL142" s="272"/>
      <c r="AM142" s="267"/>
      <c r="AN142" s="267"/>
      <c r="AO142" s="272"/>
      <c r="AP142" s="272"/>
      <c r="AQ142" s="272"/>
      <c r="AR142" s="272"/>
      <c r="AS142" s="272"/>
      <c r="AT142" s="272"/>
      <c r="AU142" s="272"/>
      <c r="AV142" s="272"/>
      <c r="AW142" s="272"/>
      <c r="AX142" s="272"/>
      <c r="AY142" s="272"/>
      <c r="AZ142" s="272"/>
      <c r="BA142" s="272"/>
      <c r="BB142" s="272"/>
      <c r="BC142" s="272"/>
      <c r="BD142" s="272"/>
      <c r="BE142" s="272"/>
      <c r="BF142" s="272"/>
      <c r="BG142" s="272"/>
      <c r="BH142" s="59"/>
      <c r="BI142" s="59"/>
      <c r="BJ142" s="59"/>
      <c r="BK142" s="59"/>
      <c r="BL142" s="59"/>
      <c r="BM142" s="59"/>
      <c r="BN142" s="59"/>
    </row>
    <row r="143" spans="2:83" s="181" customFormat="1" ht="18.75" customHeight="1">
      <c r="B143" s="58"/>
      <c r="C143" s="272"/>
      <c r="D143" s="272" t="s">
        <v>468</v>
      </c>
      <c r="E143" s="272"/>
      <c r="F143" s="272"/>
      <c r="G143" s="272"/>
      <c r="H143" s="272"/>
      <c r="I143" s="272"/>
      <c r="J143" s="272"/>
      <c r="K143" s="272"/>
      <c r="L143" s="272"/>
      <c r="M143" s="272"/>
      <c r="N143" s="272"/>
      <c r="O143" s="272"/>
      <c r="P143" s="272"/>
      <c r="Q143" s="272"/>
      <c r="R143" s="272"/>
      <c r="S143" s="272"/>
      <c r="T143" s="272"/>
      <c r="U143" s="272"/>
      <c r="V143" s="272"/>
      <c r="W143" s="272"/>
      <c r="X143" s="272"/>
      <c r="Y143" s="272"/>
      <c r="Z143" s="272"/>
      <c r="AA143" s="272"/>
      <c r="AB143" s="272"/>
      <c r="AC143" s="272"/>
      <c r="AD143" s="272"/>
      <c r="AE143" s="272"/>
      <c r="AF143" s="272"/>
      <c r="AG143" s="272"/>
      <c r="AH143" s="272"/>
      <c r="AI143" s="272"/>
      <c r="AJ143" s="272"/>
      <c r="AK143" s="272"/>
      <c r="AL143" s="272"/>
      <c r="AM143" s="267"/>
      <c r="AN143" s="267"/>
      <c r="AO143" s="272"/>
      <c r="AP143" s="272"/>
      <c r="AQ143" s="272"/>
      <c r="AR143" s="272"/>
      <c r="AS143" s="272"/>
      <c r="AT143" s="272"/>
      <c r="AU143" s="272"/>
      <c r="AV143" s="272"/>
      <c r="AW143" s="272"/>
      <c r="AX143" s="272"/>
      <c r="AY143" s="272"/>
      <c r="AZ143" s="272"/>
      <c r="BA143" s="272"/>
      <c r="BB143" s="272"/>
      <c r="BC143" s="272"/>
      <c r="BD143" s="272"/>
      <c r="BE143" s="272"/>
      <c r="BF143" s="272"/>
      <c r="BG143" s="272"/>
      <c r="BH143" s="59"/>
      <c r="BI143" s="59"/>
      <c r="BJ143" s="59"/>
      <c r="BK143" s="59"/>
      <c r="BL143" s="59"/>
      <c r="BM143" s="59"/>
      <c r="BN143" s="59"/>
    </row>
    <row r="144" spans="2:83" s="181" customFormat="1" ht="18.75" customHeight="1">
      <c r="B144" s="173"/>
      <c r="C144" s="178" t="s">
        <v>98</v>
      </c>
      <c r="D144" s="173"/>
      <c r="E144" s="173"/>
      <c r="F144" s="173"/>
      <c r="G144" s="173"/>
      <c r="H144" s="478" t="str">
        <f>H81</f>
        <v/>
      </c>
      <c r="I144" s="478"/>
      <c r="J144" s="478"/>
      <c r="K144" s="478"/>
      <c r="L144" s="478"/>
      <c r="M144" s="478"/>
      <c r="N144" s="478"/>
      <c r="O144" s="478"/>
      <c r="P144" s="176"/>
      <c r="Q144" s="175"/>
      <c r="R144" s="175"/>
      <c r="S144" s="175"/>
      <c r="T144" s="175"/>
      <c r="U144" s="175"/>
      <c r="V144" s="175"/>
      <c r="W144" s="173"/>
      <c r="X144" s="173"/>
      <c r="Y144" s="173"/>
      <c r="Z144" s="175"/>
      <c r="AA144" s="175"/>
      <c r="AB144" s="175"/>
      <c r="AC144" s="175"/>
      <c r="AD144" s="175"/>
      <c r="AE144" s="175"/>
      <c r="AF144" s="175"/>
      <c r="AG144" s="175"/>
      <c r="AH144" s="173"/>
      <c r="AI144" s="173"/>
      <c r="AJ144" s="173"/>
      <c r="AK144" s="173"/>
      <c r="AL144" s="173"/>
      <c r="AM144" s="173"/>
      <c r="AN144" s="173"/>
      <c r="AO144" s="175"/>
      <c r="AP144" s="175"/>
      <c r="AQ144" s="175"/>
      <c r="AR144" s="175"/>
      <c r="AS144" s="175"/>
      <c r="AT144" s="175"/>
      <c r="AU144" s="175"/>
      <c r="AV144" s="175"/>
      <c r="AW144" s="175"/>
      <c r="AX144" s="175"/>
      <c r="AY144" s="175"/>
      <c r="AZ144" s="175"/>
      <c r="BA144" s="175"/>
      <c r="BB144" s="175"/>
      <c r="BC144" s="175"/>
      <c r="BD144" s="175"/>
      <c r="BE144" s="175"/>
      <c r="BF144" s="175"/>
      <c r="BG144" s="175"/>
      <c r="BH144" s="59"/>
      <c r="BI144" s="59"/>
      <c r="BJ144" s="59"/>
      <c r="BK144" s="59"/>
      <c r="BL144" s="59"/>
      <c r="BM144" s="59"/>
    </row>
    <row r="145" spans="2:68" s="181" customFormat="1" ht="18.75" customHeight="1">
      <c r="B145" s="173"/>
      <c r="C145" s="408" t="s">
        <v>308</v>
      </c>
      <c r="D145" s="408"/>
      <c r="E145" s="408"/>
      <c r="F145" s="408"/>
      <c r="G145" s="408"/>
      <c r="H145" s="408"/>
      <c r="I145" s="408"/>
      <c r="J145" s="488" t="s">
        <v>469</v>
      </c>
      <c r="K145" s="488"/>
      <c r="L145" s="488"/>
      <c r="M145" s="403" t="s">
        <v>281</v>
      </c>
      <c r="N145" s="469">
        <f>Calcu!G57</f>
        <v>0.5</v>
      </c>
      <c r="O145" s="469"/>
      <c r="P145" s="273" t="s">
        <v>470</v>
      </c>
      <c r="Q145" s="275"/>
      <c r="R145" s="403" t="s">
        <v>281</v>
      </c>
      <c r="S145" s="404">
        <f>N145/SQRT(3)</f>
        <v>0.28867513459481292</v>
      </c>
      <c r="T145" s="404"/>
      <c r="U145" s="404"/>
      <c r="V145" s="405" t="str">
        <f>P145</f>
        <v>℃</v>
      </c>
      <c r="W145" s="405"/>
      <c r="X145" s="270"/>
      <c r="Y145" s="175"/>
      <c r="AX145" s="175"/>
      <c r="AY145" s="175"/>
      <c r="AZ145" s="175"/>
      <c r="BA145" s="175"/>
      <c r="BB145" s="175"/>
      <c r="BC145" s="175"/>
      <c r="BD145" s="175"/>
      <c r="BE145" s="175"/>
      <c r="BF145" s="175"/>
      <c r="BG145" s="175"/>
      <c r="BH145" s="175"/>
      <c r="BI145" s="175"/>
      <c r="BJ145" s="59"/>
      <c r="BK145" s="59"/>
      <c r="BL145" s="59"/>
      <c r="BM145" s="59"/>
      <c r="BN145" s="59"/>
      <c r="BO145" s="59"/>
      <c r="BP145" s="59"/>
    </row>
    <row r="146" spans="2:68" s="181" customFormat="1" ht="18.75" customHeight="1">
      <c r="B146" s="173"/>
      <c r="C146" s="408"/>
      <c r="D146" s="408"/>
      <c r="E146" s="408"/>
      <c r="F146" s="408"/>
      <c r="G146" s="408"/>
      <c r="H146" s="408"/>
      <c r="I146" s="408"/>
      <c r="J146" s="488"/>
      <c r="K146" s="488"/>
      <c r="L146" s="488"/>
      <c r="M146" s="403"/>
      <c r="N146" s="267"/>
      <c r="O146" s="267"/>
      <c r="P146" s="267"/>
      <c r="Q146" s="267"/>
      <c r="R146" s="403"/>
      <c r="S146" s="404"/>
      <c r="T146" s="404"/>
      <c r="U146" s="404"/>
      <c r="V146" s="405"/>
      <c r="W146" s="405"/>
      <c r="X146" s="270"/>
      <c r="Y146" s="175"/>
      <c r="AX146" s="175"/>
      <c r="AY146" s="175"/>
      <c r="AZ146" s="175"/>
      <c r="BA146" s="175"/>
      <c r="BB146" s="175"/>
      <c r="BC146" s="175"/>
      <c r="BD146" s="175"/>
      <c r="BE146" s="175"/>
      <c r="BF146" s="175"/>
      <c r="BG146" s="175"/>
      <c r="BH146" s="175"/>
      <c r="BI146" s="175"/>
      <c r="BJ146" s="59"/>
      <c r="BK146" s="59"/>
      <c r="BL146" s="59"/>
      <c r="BM146" s="59"/>
      <c r="BN146" s="59"/>
      <c r="BO146" s="59"/>
      <c r="BP146" s="59"/>
    </row>
    <row r="147" spans="2:68" s="181" customFormat="1" ht="18.75" customHeight="1">
      <c r="B147" s="173"/>
      <c r="C147" s="175" t="s">
        <v>312</v>
      </c>
      <c r="D147" s="175"/>
      <c r="E147" s="175"/>
      <c r="F147" s="175"/>
      <c r="G147" s="175"/>
      <c r="H147" s="175"/>
      <c r="I147" s="471" t="str">
        <f>V81</f>
        <v>직사각형</v>
      </c>
      <c r="J147" s="471"/>
      <c r="K147" s="471"/>
      <c r="L147" s="471"/>
      <c r="M147" s="471"/>
      <c r="N147" s="471"/>
      <c r="O147" s="471"/>
      <c r="P147" s="471"/>
      <c r="Q147" s="175"/>
      <c r="R147" s="175"/>
      <c r="S147" s="175"/>
      <c r="T147" s="175"/>
      <c r="U147" s="175"/>
      <c r="V147" s="175"/>
      <c r="W147" s="175"/>
      <c r="X147" s="175"/>
      <c r="Y147" s="175"/>
      <c r="Z147" s="173"/>
      <c r="AA147" s="173"/>
      <c r="AB147" s="173"/>
      <c r="AC147" s="173"/>
      <c r="AD147" s="173"/>
      <c r="AE147" s="173"/>
      <c r="AF147" s="173"/>
      <c r="AG147" s="173"/>
      <c r="AH147" s="173"/>
      <c r="AI147" s="173"/>
      <c r="AJ147" s="173"/>
      <c r="AK147" s="173"/>
      <c r="AL147" s="173"/>
      <c r="AM147" s="173"/>
      <c r="AN147" s="173"/>
      <c r="AO147" s="173"/>
      <c r="AP147" s="175"/>
      <c r="AQ147" s="175"/>
      <c r="AR147" s="175"/>
      <c r="AS147" s="175"/>
      <c r="AT147" s="175"/>
      <c r="AU147" s="175"/>
      <c r="AV147" s="175"/>
      <c r="AW147" s="175"/>
      <c r="AX147" s="175"/>
      <c r="AY147" s="175"/>
      <c r="AZ147" s="175"/>
      <c r="BA147" s="175"/>
      <c r="BB147" s="175"/>
      <c r="BC147" s="175"/>
      <c r="BD147" s="175"/>
      <c r="BE147" s="175"/>
      <c r="BF147" s="175"/>
      <c r="BG147" s="175"/>
      <c r="BH147" s="59"/>
      <c r="BI147" s="59"/>
      <c r="BJ147" s="59"/>
      <c r="BK147" s="59"/>
      <c r="BL147" s="59"/>
    </row>
    <row r="148" spans="2:68" s="181" customFormat="1" ht="18.75" customHeight="1">
      <c r="B148" s="173"/>
      <c r="C148" s="408" t="s">
        <v>99</v>
      </c>
      <c r="D148" s="408"/>
      <c r="E148" s="408"/>
      <c r="F148" s="408"/>
      <c r="G148" s="408"/>
      <c r="H148" s="408"/>
      <c r="I148" s="175"/>
      <c r="J148" s="175"/>
      <c r="K148" s="175"/>
      <c r="L148" s="175"/>
      <c r="M148" s="175"/>
      <c r="N148" s="175"/>
      <c r="O148" s="173"/>
      <c r="R148" s="408" t="e">
        <f ca="1">-H80*10^6</f>
        <v>#N/A</v>
      </c>
      <c r="S148" s="408"/>
      <c r="T148" s="408"/>
      <c r="U148" s="408" t="s">
        <v>290</v>
      </c>
      <c r="V148" s="408"/>
      <c r="W148" s="408"/>
      <c r="X148" s="408"/>
      <c r="Y148" s="403" t="s">
        <v>321</v>
      </c>
      <c r="Z148" s="474">
        <f>Calcu!N57</f>
        <v>0</v>
      </c>
      <c r="AA148" s="474"/>
      <c r="AB148" s="474"/>
      <c r="AC148" s="408" t="s">
        <v>300</v>
      </c>
      <c r="AD148" s="408"/>
      <c r="AE148" s="403" t="s">
        <v>322</v>
      </c>
      <c r="AF148" s="419" t="e">
        <f ca="1">R148*10^-6*Z148</f>
        <v>#N/A</v>
      </c>
      <c r="AG148" s="419"/>
      <c r="AH148" s="419"/>
      <c r="AI148" s="408" t="s">
        <v>194</v>
      </c>
      <c r="AJ148" s="408"/>
      <c r="AK148" s="408"/>
      <c r="AL148" s="408"/>
      <c r="AM148" s="408"/>
      <c r="AN148" s="408"/>
      <c r="AO148" s="408"/>
      <c r="AP148" s="175"/>
      <c r="AQ148" s="175"/>
      <c r="AR148" s="175"/>
      <c r="AS148" s="175"/>
      <c r="AT148" s="175"/>
      <c r="AU148" s="175"/>
      <c r="AV148" s="175"/>
      <c r="AW148" s="175"/>
      <c r="AX148" s="175"/>
      <c r="AY148" s="175"/>
      <c r="AZ148" s="175"/>
      <c r="BA148" s="175"/>
      <c r="BB148" s="175"/>
      <c r="BC148" s="173"/>
      <c r="BD148" s="173"/>
      <c r="BE148" s="173"/>
      <c r="BF148" s="173"/>
      <c r="BG148" s="173"/>
      <c r="BH148" s="173"/>
    </row>
    <row r="149" spans="2:68" s="181" customFormat="1" ht="18.75" customHeight="1">
      <c r="B149" s="173"/>
      <c r="C149" s="408"/>
      <c r="D149" s="408"/>
      <c r="E149" s="408"/>
      <c r="F149" s="408"/>
      <c r="G149" s="408"/>
      <c r="H149" s="408"/>
      <c r="I149" s="175"/>
      <c r="J149" s="175"/>
      <c r="K149" s="175"/>
      <c r="L149" s="175"/>
      <c r="M149" s="175"/>
      <c r="N149" s="175"/>
      <c r="O149" s="173"/>
      <c r="R149" s="408"/>
      <c r="S149" s="408"/>
      <c r="T149" s="408"/>
      <c r="U149" s="408"/>
      <c r="V149" s="408"/>
      <c r="W149" s="408"/>
      <c r="X149" s="408"/>
      <c r="Y149" s="403"/>
      <c r="Z149" s="474"/>
      <c r="AA149" s="474"/>
      <c r="AB149" s="474"/>
      <c r="AC149" s="408"/>
      <c r="AD149" s="408"/>
      <c r="AE149" s="403"/>
      <c r="AF149" s="419"/>
      <c r="AG149" s="419"/>
      <c r="AH149" s="419"/>
      <c r="AI149" s="408"/>
      <c r="AJ149" s="408"/>
      <c r="AK149" s="408"/>
      <c r="AL149" s="408"/>
      <c r="AM149" s="408"/>
      <c r="AN149" s="408"/>
      <c r="AO149" s="408"/>
      <c r="AP149" s="175"/>
      <c r="AQ149" s="175"/>
      <c r="AR149" s="175"/>
      <c r="AS149" s="175"/>
      <c r="AT149" s="175"/>
      <c r="AU149" s="175"/>
      <c r="AV149" s="175"/>
      <c r="AW149" s="175"/>
      <c r="AX149" s="175"/>
      <c r="AY149" s="175"/>
      <c r="AZ149" s="175"/>
      <c r="BA149" s="175"/>
      <c r="BB149" s="175"/>
      <c r="BC149" s="173"/>
      <c r="BD149" s="173"/>
      <c r="BE149" s="173"/>
      <c r="BF149" s="173"/>
      <c r="BG149" s="173"/>
      <c r="BH149" s="173"/>
    </row>
    <row r="150" spans="2:68" s="181" customFormat="1" ht="18.75" customHeight="1">
      <c r="B150" s="173"/>
      <c r="C150" s="175" t="s">
        <v>315</v>
      </c>
      <c r="D150" s="175"/>
      <c r="E150" s="175"/>
      <c r="F150" s="175"/>
      <c r="G150" s="175"/>
      <c r="H150" s="175"/>
      <c r="I150" s="175"/>
      <c r="J150" s="173"/>
      <c r="K150" s="57" t="s">
        <v>324</v>
      </c>
      <c r="L150" s="419" t="e">
        <f ca="1">AF148</f>
        <v>#N/A</v>
      </c>
      <c r="M150" s="419"/>
      <c r="N150" s="419"/>
      <c r="O150" s="185" t="s">
        <v>194</v>
      </c>
      <c r="P150" s="173"/>
      <c r="Q150" s="173"/>
      <c r="R150" s="173" t="s">
        <v>325</v>
      </c>
      <c r="S150" s="482">
        <f>S145</f>
        <v>0.28867513459481292</v>
      </c>
      <c r="T150" s="482"/>
      <c r="U150" s="482"/>
      <c r="V150" s="482"/>
      <c r="W150" s="57" t="s">
        <v>303</v>
      </c>
      <c r="X150" s="173" t="s">
        <v>281</v>
      </c>
      <c r="Y150" s="404" t="e">
        <f ca="1">ABS(L150*S150)</f>
        <v>#N/A</v>
      </c>
      <c r="Z150" s="404"/>
      <c r="AA150" s="404"/>
      <c r="AB150" s="178" t="s">
        <v>144</v>
      </c>
      <c r="AC150" s="178"/>
      <c r="AD150" s="173"/>
      <c r="AE150" s="173"/>
      <c r="AF150" s="188"/>
      <c r="AG150" s="173"/>
      <c r="AH150" s="173"/>
      <c r="AI150" s="173"/>
      <c r="AJ150" s="173"/>
      <c r="AK150" s="173"/>
      <c r="AL150" s="173"/>
      <c r="AM150" s="173"/>
      <c r="AN150" s="173"/>
      <c r="AO150" s="173"/>
      <c r="AP150" s="189"/>
      <c r="AQ150" s="189"/>
      <c r="AR150" s="189"/>
      <c r="AS150" s="175"/>
      <c r="AT150" s="175"/>
      <c r="AU150" s="175"/>
      <c r="AV150" s="190"/>
      <c r="AW150" s="190"/>
      <c r="AX150" s="190"/>
      <c r="AY150" s="190"/>
      <c r="AZ150" s="190"/>
      <c r="BA150" s="190"/>
      <c r="BB150" s="173"/>
      <c r="BC150" s="173"/>
      <c r="BD150" s="173"/>
      <c r="BE150" s="173"/>
      <c r="BF150" s="173"/>
      <c r="BG150" s="173"/>
    </row>
    <row r="151" spans="2:68" s="181" customFormat="1" ht="18.75" customHeight="1">
      <c r="B151" s="173"/>
      <c r="C151" s="408" t="s">
        <v>100</v>
      </c>
      <c r="D151" s="408"/>
      <c r="E151" s="408"/>
      <c r="F151" s="408"/>
      <c r="G151" s="408"/>
      <c r="H151" s="264"/>
      <c r="J151" s="264"/>
      <c r="K151" s="264"/>
      <c r="L151" s="264"/>
      <c r="M151" s="264"/>
      <c r="N151" s="264"/>
      <c r="O151" s="264"/>
      <c r="P151" s="264"/>
      <c r="Q151" s="264"/>
      <c r="R151" s="185"/>
      <c r="S151" s="264"/>
      <c r="T151" s="264"/>
      <c r="U151" s="264"/>
      <c r="W151" s="57" t="s">
        <v>451</v>
      </c>
      <c r="X151" s="264"/>
      <c r="Y151" s="264"/>
      <c r="Z151" s="264"/>
      <c r="AA151" s="264"/>
      <c r="AB151" s="264"/>
      <c r="AC151" s="264"/>
      <c r="AD151" s="264"/>
      <c r="AE151" s="173"/>
      <c r="AF151" s="173"/>
      <c r="AG151" s="173"/>
      <c r="AH151" s="173"/>
      <c r="AI151" s="173"/>
      <c r="AJ151" s="173"/>
      <c r="AK151" s="173"/>
      <c r="AL151" s="173"/>
      <c r="AM151" s="173"/>
      <c r="AN151" s="173"/>
      <c r="AO151" s="173"/>
      <c r="AP151" s="173"/>
      <c r="AQ151" s="173"/>
      <c r="AR151" s="173"/>
      <c r="AS151" s="173"/>
      <c r="AT151" s="173"/>
      <c r="AU151" s="175"/>
      <c r="AV151" s="173"/>
      <c r="AW151" s="173"/>
      <c r="AX151" s="173"/>
      <c r="AY151" s="173"/>
      <c r="AZ151" s="173"/>
      <c r="BA151" s="173"/>
      <c r="BB151" s="173"/>
      <c r="BC151" s="173"/>
      <c r="BD151" s="173"/>
      <c r="BE151" s="173"/>
      <c r="BF151" s="173"/>
      <c r="BG151" s="173"/>
    </row>
    <row r="152" spans="2:68" s="181" customFormat="1" ht="18.75" customHeight="1">
      <c r="B152" s="173"/>
      <c r="C152" s="408"/>
      <c r="D152" s="408"/>
      <c r="E152" s="408"/>
      <c r="F152" s="408"/>
      <c r="G152" s="408"/>
      <c r="H152" s="264"/>
      <c r="I152" s="264"/>
      <c r="J152" s="264"/>
      <c r="K152" s="264"/>
      <c r="L152" s="264"/>
      <c r="M152" s="264"/>
      <c r="N152" s="264"/>
      <c r="O152" s="264"/>
      <c r="P152" s="264"/>
      <c r="Q152" s="264"/>
      <c r="R152" s="185"/>
      <c r="S152" s="264"/>
      <c r="T152" s="264"/>
      <c r="U152" s="264"/>
      <c r="V152" s="264"/>
      <c r="W152" s="264"/>
      <c r="X152" s="264"/>
      <c r="Y152" s="264"/>
      <c r="Z152" s="264"/>
      <c r="AA152" s="264"/>
      <c r="AB152" s="264"/>
      <c r="AC152" s="263"/>
      <c r="AD152" s="263"/>
      <c r="AE152" s="173"/>
      <c r="AF152" s="173"/>
      <c r="AG152" s="173"/>
      <c r="AH152" s="173"/>
      <c r="AI152" s="173"/>
      <c r="AJ152" s="173"/>
      <c r="AK152" s="173"/>
      <c r="AL152" s="173"/>
      <c r="AM152" s="173"/>
      <c r="AN152" s="173"/>
      <c r="AO152" s="173"/>
      <c r="AP152" s="173"/>
      <c r="AQ152" s="173"/>
      <c r="AR152" s="173"/>
      <c r="AS152" s="173"/>
      <c r="AT152" s="173"/>
      <c r="AU152" s="173"/>
      <c r="AV152" s="173"/>
      <c r="AW152" s="173"/>
      <c r="AX152" s="173"/>
      <c r="AY152" s="173"/>
      <c r="AZ152" s="173"/>
      <c r="BA152" s="173"/>
      <c r="BB152" s="173"/>
      <c r="BC152" s="173"/>
      <c r="BD152" s="173"/>
      <c r="BE152" s="173"/>
      <c r="BF152" s="173"/>
      <c r="BG152" s="173"/>
    </row>
    <row r="153" spans="2:68" s="181" customFormat="1" ht="18.75" customHeight="1">
      <c r="B153" s="173"/>
      <c r="C153" s="175"/>
      <c r="D153" s="175"/>
      <c r="E153" s="175"/>
      <c r="F153" s="175"/>
      <c r="G153" s="173"/>
      <c r="H153" s="175"/>
      <c r="I153" s="175"/>
      <c r="J153" s="175"/>
      <c r="K153" s="175"/>
      <c r="L153" s="175"/>
      <c r="M153" s="175"/>
      <c r="N153" s="175"/>
      <c r="O153" s="175"/>
      <c r="P153" s="175"/>
      <c r="Q153" s="175"/>
      <c r="R153" s="175"/>
      <c r="S153" s="175"/>
      <c r="T153" s="175"/>
      <c r="U153" s="175"/>
      <c r="V153" s="175"/>
      <c r="W153" s="175"/>
      <c r="X153" s="175"/>
      <c r="Y153" s="175"/>
      <c r="Z153" s="175"/>
      <c r="AA153" s="173"/>
      <c r="AB153" s="173"/>
      <c r="AC153" s="173"/>
      <c r="AD153" s="173"/>
      <c r="AE153" s="173"/>
      <c r="AF153" s="173"/>
      <c r="AG153" s="173"/>
      <c r="AH153" s="173"/>
      <c r="AI153" s="173"/>
      <c r="AJ153" s="173"/>
      <c r="AK153" s="173"/>
      <c r="AL153" s="173"/>
      <c r="AM153" s="173"/>
      <c r="AN153" s="173"/>
      <c r="AO153" s="173"/>
      <c r="AP153" s="173"/>
      <c r="AQ153" s="173"/>
      <c r="AR153" s="173"/>
      <c r="AS153" s="173"/>
      <c r="AT153" s="173"/>
      <c r="AU153" s="173"/>
      <c r="AV153" s="173"/>
      <c r="AW153" s="173"/>
      <c r="AX153" s="173"/>
      <c r="AY153" s="173"/>
      <c r="AZ153" s="173"/>
      <c r="BA153" s="173"/>
      <c r="BB153" s="173"/>
      <c r="BC153" s="173"/>
      <c r="BD153" s="173"/>
      <c r="BE153" s="173"/>
      <c r="BF153" s="173"/>
      <c r="BG153" s="173"/>
    </row>
    <row r="154" spans="2:68" s="181" customFormat="1" ht="18.75" customHeight="1">
      <c r="B154" s="58" t="s">
        <v>457</v>
      </c>
      <c r="D154" s="175"/>
      <c r="E154" s="175"/>
      <c r="F154" s="175"/>
      <c r="G154" s="175"/>
      <c r="H154" s="175"/>
      <c r="I154" s="175"/>
      <c r="J154" s="175"/>
      <c r="K154" s="175"/>
      <c r="L154" s="175"/>
      <c r="M154" s="175"/>
      <c r="N154" s="175"/>
      <c r="O154" s="175"/>
      <c r="P154" s="175"/>
      <c r="Q154" s="175"/>
      <c r="R154" s="175"/>
      <c r="S154" s="175"/>
      <c r="T154" s="175"/>
      <c r="U154" s="175"/>
      <c r="V154" s="175"/>
      <c r="W154" s="175"/>
      <c r="X154" s="175"/>
      <c r="Y154" s="175"/>
      <c r="Z154" s="175"/>
      <c r="AA154" s="175"/>
      <c r="AB154" s="175"/>
      <c r="AC154" s="175"/>
      <c r="AD154" s="175"/>
      <c r="AE154" s="175"/>
      <c r="AF154" s="175"/>
      <c r="AG154" s="175"/>
      <c r="AH154" s="175"/>
      <c r="AI154" s="175"/>
      <c r="AJ154" s="175"/>
      <c r="AK154" s="175"/>
      <c r="AL154" s="175"/>
      <c r="AM154" s="175"/>
      <c r="AN154" s="175"/>
      <c r="AO154" s="175"/>
      <c r="AP154" s="175"/>
      <c r="AQ154" s="175"/>
      <c r="AR154" s="175"/>
      <c r="AS154" s="175"/>
      <c r="AT154" s="175"/>
      <c r="AU154" s="175"/>
      <c r="AV154" s="175"/>
      <c r="AW154" s="175"/>
      <c r="AX154" s="175"/>
      <c r="AY154" s="175"/>
      <c r="AZ154" s="175"/>
      <c r="BA154" s="175"/>
      <c r="BB154" s="173"/>
      <c r="BC154" s="173"/>
      <c r="BD154" s="173"/>
      <c r="BE154" s="173"/>
      <c r="BF154" s="173"/>
      <c r="BG154" s="173"/>
    </row>
    <row r="155" spans="2:68" s="181" customFormat="1" ht="18.75" customHeight="1">
      <c r="B155" s="58"/>
      <c r="C155" s="175" t="s">
        <v>449</v>
      </c>
      <c r="D155" s="175"/>
      <c r="E155" s="175"/>
      <c r="F155" s="175"/>
      <c r="G155" s="175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173"/>
      <c r="T155" s="175"/>
      <c r="U155" s="175"/>
      <c r="V155" s="175"/>
      <c r="W155" s="175"/>
      <c r="X155" s="175"/>
      <c r="Y155" s="175"/>
      <c r="Z155" s="175"/>
      <c r="AA155" s="175"/>
      <c r="AB155" s="175"/>
      <c r="AC155" s="175"/>
      <c r="AD155" s="173"/>
      <c r="AE155" s="173"/>
      <c r="AF155" s="173"/>
      <c r="AG155" s="173"/>
      <c r="AH155" s="175"/>
      <c r="AI155" s="272"/>
      <c r="AJ155" s="272"/>
      <c r="AK155" s="272"/>
      <c r="AL155" s="272"/>
      <c r="AM155" s="272"/>
      <c r="AN155" s="272"/>
      <c r="AO155" s="272"/>
      <c r="AP155" s="272"/>
      <c r="AQ155" s="272"/>
      <c r="AR155" s="272"/>
      <c r="AS155" s="272"/>
      <c r="AT155" s="272"/>
      <c r="AU155" s="272"/>
      <c r="AV155" s="272"/>
      <c r="AW155" s="272"/>
      <c r="AX155" s="272"/>
      <c r="AY155" s="272"/>
      <c r="AZ155" s="272"/>
      <c r="BA155" s="272"/>
      <c r="BB155" s="267"/>
      <c r="BC155" s="267"/>
      <c r="BD155" s="267"/>
      <c r="BE155" s="267"/>
      <c r="BF155" s="267"/>
      <c r="BG155" s="267"/>
    </row>
    <row r="156" spans="2:68" s="181" customFormat="1" ht="18.75" customHeight="1">
      <c r="B156" s="173"/>
      <c r="C156" s="178" t="s">
        <v>317</v>
      </c>
      <c r="D156" s="173"/>
      <c r="E156" s="173"/>
      <c r="F156" s="173"/>
      <c r="G156" s="173"/>
      <c r="H156" s="477" t="e">
        <f ca="1">H82*10^6</f>
        <v>#N/A</v>
      </c>
      <c r="I156" s="477"/>
      <c r="J156" s="477"/>
      <c r="K156" s="176" t="s">
        <v>307</v>
      </c>
      <c r="L156" s="176"/>
      <c r="M156" s="176"/>
      <c r="N156" s="176"/>
      <c r="O156" s="176"/>
      <c r="P156" s="176"/>
      <c r="Q156" s="175"/>
      <c r="R156" s="175"/>
      <c r="S156" s="175"/>
      <c r="T156" s="175"/>
      <c r="U156" s="175"/>
      <c r="V156" s="175"/>
      <c r="W156" s="175"/>
      <c r="X156" s="175"/>
      <c r="Y156" s="175"/>
      <c r="Z156" s="175"/>
      <c r="AA156" s="175"/>
      <c r="AB156" s="175"/>
      <c r="AC156" s="175"/>
      <c r="AD156" s="175"/>
      <c r="AE156" s="175"/>
      <c r="AF156" s="175"/>
      <c r="AG156" s="175"/>
      <c r="AH156" s="175"/>
      <c r="AI156" s="175"/>
      <c r="AJ156" s="175"/>
      <c r="AK156" s="175"/>
      <c r="AL156" s="175"/>
      <c r="AM156" s="175"/>
      <c r="AN156" s="175"/>
      <c r="AO156" s="175"/>
      <c r="AP156" s="175"/>
      <c r="AQ156" s="175"/>
      <c r="AR156" s="175"/>
      <c r="AS156" s="175"/>
      <c r="AT156" s="173"/>
      <c r="AU156" s="173"/>
      <c r="AV156" s="173"/>
      <c r="AW156" s="173"/>
      <c r="AX156" s="173"/>
      <c r="AY156" s="173"/>
      <c r="AZ156" s="173"/>
      <c r="BA156" s="173"/>
      <c r="BB156" s="173"/>
      <c r="BC156" s="173"/>
      <c r="BD156" s="173"/>
      <c r="BE156" s="173"/>
      <c r="BF156" s="173"/>
      <c r="BG156" s="173"/>
    </row>
    <row r="157" spans="2:68" s="181" customFormat="1" ht="18.75" customHeight="1">
      <c r="B157" s="173"/>
      <c r="C157" s="175" t="s">
        <v>318</v>
      </c>
      <c r="D157" s="175"/>
      <c r="E157" s="175"/>
      <c r="F157" s="175"/>
      <c r="G157" s="175"/>
      <c r="H157" s="175"/>
      <c r="I157" s="173"/>
      <c r="J157" s="175" t="s">
        <v>309</v>
      </c>
      <c r="K157" s="175"/>
      <c r="L157" s="175"/>
      <c r="M157" s="175"/>
      <c r="N157" s="175"/>
      <c r="O157" s="175"/>
      <c r="P157" s="175"/>
      <c r="Q157" s="175"/>
      <c r="R157" s="175"/>
      <c r="S157" s="175"/>
      <c r="T157" s="175"/>
      <c r="U157" s="173"/>
      <c r="V157" s="173"/>
      <c r="W157" s="60"/>
      <c r="X157" s="175"/>
      <c r="Y157" s="175"/>
      <c r="Z157" s="175"/>
      <c r="AA157" s="175"/>
      <c r="AB157" s="175"/>
      <c r="AC157" s="175"/>
      <c r="AD157" s="175"/>
      <c r="AE157" s="175"/>
      <c r="AF157" s="175"/>
      <c r="AG157" s="175"/>
      <c r="AH157" s="175"/>
      <c r="AI157" s="175"/>
      <c r="AJ157" s="175"/>
      <c r="AK157" s="175"/>
      <c r="AL157" s="173"/>
      <c r="AM157" s="173"/>
      <c r="AN157" s="173"/>
      <c r="AO157" s="175"/>
      <c r="AP157" s="175"/>
      <c r="AQ157" s="175"/>
      <c r="AR157" s="175"/>
      <c r="AS157" s="175"/>
      <c r="AT157" s="175"/>
      <c r="AU157" s="175"/>
      <c r="AV157" s="175"/>
      <c r="AW157" s="175"/>
      <c r="AX157" s="175"/>
      <c r="AY157" s="175"/>
      <c r="AZ157" s="175"/>
      <c r="BA157" s="175"/>
      <c r="BB157" s="175"/>
      <c r="BC157" s="175"/>
      <c r="BD157" s="175"/>
      <c r="BE157" s="175"/>
      <c r="BF157" s="175"/>
      <c r="BG157" s="175"/>
      <c r="BH157" s="59"/>
      <c r="BI157" s="59"/>
      <c r="BJ157" s="59"/>
      <c r="BK157" s="59"/>
      <c r="BL157" s="59"/>
      <c r="BM157" s="59"/>
    </row>
    <row r="158" spans="2:68" s="181" customFormat="1" ht="18.75" customHeight="1">
      <c r="B158" s="173"/>
      <c r="C158" s="175"/>
      <c r="D158" s="175"/>
      <c r="E158" s="175"/>
      <c r="F158" s="175"/>
      <c r="G158" s="175"/>
      <c r="H158" s="175"/>
      <c r="I158" s="173"/>
      <c r="J158" s="175" t="s">
        <v>310</v>
      </c>
      <c r="K158" s="175"/>
      <c r="L158" s="175"/>
      <c r="M158" s="175"/>
      <c r="N158" s="175"/>
      <c r="O158" s="175"/>
      <c r="P158" s="175"/>
      <c r="Q158" s="175"/>
      <c r="R158" s="175"/>
      <c r="S158" s="175"/>
      <c r="T158" s="173"/>
      <c r="U158" s="175"/>
      <c r="V158" s="60"/>
      <c r="W158" s="175"/>
      <c r="X158" s="175"/>
      <c r="Y158" s="175"/>
      <c r="Z158" s="175"/>
      <c r="AA158" s="175"/>
      <c r="AB158" s="175"/>
      <c r="AC158" s="175"/>
      <c r="AD158" s="173"/>
      <c r="AE158" s="175"/>
      <c r="AF158" s="175"/>
      <c r="AG158" s="175"/>
      <c r="AH158" s="175"/>
      <c r="AI158" s="175"/>
      <c r="AJ158" s="175"/>
      <c r="AK158" s="173"/>
      <c r="AL158" s="173"/>
      <c r="AM158" s="173"/>
      <c r="AN158" s="173"/>
      <c r="AO158" s="175"/>
      <c r="AP158" s="175"/>
      <c r="AQ158" s="175"/>
      <c r="AR158" s="175"/>
      <c r="AS158" s="175"/>
      <c r="AT158" s="175"/>
      <c r="AU158" s="175"/>
      <c r="AV158" s="175"/>
      <c r="AW158" s="175"/>
      <c r="AX158" s="175"/>
      <c r="AY158" s="175"/>
      <c r="AZ158" s="175"/>
      <c r="BA158" s="175"/>
      <c r="BB158" s="175"/>
      <c r="BC158" s="175"/>
      <c r="BD158" s="175"/>
      <c r="BE158" s="175"/>
      <c r="BF158" s="175"/>
      <c r="BG158" s="175"/>
      <c r="BH158" s="59"/>
      <c r="BI158" s="59"/>
      <c r="BJ158" s="59"/>
      <c r="BK158" s="59"/>
      <c r="BL158" s="59"/>
      <c r="BM158" s="59"/>
      <c r="BN158" s="59"/>
    </row>
    <row r="159" spans="2:68" s="181" customFormat="1" ht="18.75" customHeight="1">
      <c r="B159" s="173"/>
      <c r="C159" s="175"/>
      <c r="D159" s="175"/>
      <c r="E159" s="175"/>
      <c r="F159" s="175"/>
      <c r="G159" s="175"/>
      <c r="H159" s="175"/>
      <c r="I159" s="173"/>
      <c r="J159" s="178" t="s">
        <v>311</v>
      </c>
      <c r="K159" s="178"/>
      <c r="L159" s="178"/>
      <c r="M159" s="178"/>
      <c r="N159" s="178"/>
      <c r="O159" s="178"/>
      <c r="P159" s="178"/>
      <c r="Q159" s="178"/>
      <c r="R159" s="178"/>
      <c r="S159" s="175"/>
      <c r="T159" s="175"/>
      <c r="U159" s="175"/>
      <c r="V159" s="175"/>
      <c r="W159" s="175"/>
      <c r="X159" s="175"/>
      <c r="Y159" s="175"/>
      <c r="Z159" s="175"/>
      <c r="AA159" s="175"/>
      <c r="AB159" s="175"/>
      <c r="AC159" s="175"/>
      <c r="AD159" s="175"/>
      <c r="AE159" s="175"/>
      <c r="AF159" s="184"/>
      <c r="AG159" s="175"/>
      <c r="AH159" s="175"/>
      <c r="AI159" s="175"/>
      <c r="AJ159" s="175"/>
      <c r="AK159" s="173"/>
      <c r="AL159" s="173"/>
      <c r="AM159" s="173"/>
      <c r="AN159" s="173"/>
      <c r="AO159" s="175"/>
      <c r="AP159" s="175"/>
      <c r="AQ159" s="175"/>
      <c r="AR159" s="175"/>
      <c r="AS159" s="175"/>
      <c r="AT159" s="175"/>
      <c r="AU159" s="175"/>
      <c r="AV159" s="175"/>
      <c r="AW159" s="175"/>
      <c r="AX159" s="175"/>
      <c r="AY159" s="175"/>
      <c r="AZ159" s="175"/>
      <c r="BA159" s="175"/>
      <c r="BB159" s="175"/>
      <c r="BC159" s="175"/>
      <c r="BD159" s="175"/>
      <c r="BE159" s="175"/>
      <c r="BF159" s="175"/>
      <c r="BG159" s="175"/>
      <c r="BH159" s="59"/>
      <c r="BI159" s="59"/>
      <c r="BJ159" s="59"/>
      <c r="BK159" s="59"/>
      <c r="BL159" s="59"/>
      <c r="BM159" s="59"/>
      <c r="BN159" s="59"/>
    </row>
    <row r="160" spans="2:68" s="181" customFormat="1" ht="18.75" customHeight="1">
      <c r="B160" s="173"/>
      <c r="C160" s="175"/>
      <c r="D160" s="175"/>
      <c r="E160" s="175"/>
      <c r="F160" s="175"/>
      <c r="G160" s="175"/>
      <c r="H160" s="175"/>
      <c r="I160" s="173"/>
      <c r="J160" s="173"/>
      <c r="K160" s="115"/>
      <c r="L160" s="115"/>
      <c r="M160" s="173"/>
      <c r="N160" s="173"/>
      <c r="O160" s="173"/>
      <c r="P160" s="173"/>
      <c r="Q160" s="173"/>
      <c r="R160" s="173"/>
      <c r="S160" s="247"/>
      <c r="T160" s="247"/>
      <c r="U160" s="247"/>
      <c r="V160" s="247"/>
      <c r="W160" s="247"/>
      <c r="X160" s="247"/>
      <c r="Y160" s="173"/>
      <c r="Z160" s="175"/>
      <c r="AA160" s="184"/>
      <c r="AB160" s="184"/>
      <c r="AC160" s="184"/>
      <c r="AD160" s="184"/>
      <c r="AE160" s="184"/>
      <c r="AF160" s="173"/>
      <c r="AG160" s="184"/>
      <c r="AH160" s="184"/>
      <c r="AI160" s="184"/>
      <c r="AJ160" s="184"/>
      <c r="AK160" s="173"/>
      <c r="AL160" s="185"/>
      <c r="AM160" s="185"/>
      <c r="AN160" s="185"/>
      <c r="AO160" s="185"/>
      <c r="AP160" s="175"/>
      <c r="AQ160" s="175"/>
      <c r="AR160" s="175"/>
      <c r="AS160" s="175"/>
      <c r="AT160" s="175"/>
      <c r="AU160" s="175"/>
      <c r="AV160" s="175"/>
      <c r="AW160" s="175"/>
      <c r="AX160" s="175"/>
      <c r="AY160" s="175"/>
      <c r="AZ160" s="175"/>
      <c r="BA160" s="175"/>
      <c r="BB160" s="175"/>
      <c r="BC160" s="175"/>
      <c r="BD160" s="175"/>
      <c r="BE160" s="175"/>
      <c r="BF160" s="175"/>
      <c r="BG160" s="175"/>
      <c r="BH160" s="59"/>
      <c r="BI160" s="59"/>
      <c r="BJ160" s="59"/>
      <c r="BK160" s="59"/>
      <c r="BL160" s="59"/>
    </row>
    <row r="161" spans="2:71" s="181" customFormat="1" ht="18.75" customHeight="1">
      <c r="B161" s="173"/>
      <c r="C161" s="175" t="s">
        <v>319</v>
      </c>
      <c r="D161" s="175"/>
      <c r="E161" s="175"/>
      <c r="F161" s="175"/>
      <c r="G161" s="175"/>
      <c r="H161" s="175"/>
      <c r="I161" s="471" t="str">
        <f>V82</f>
        <v>삼각형</v>
      </c>
      <c r="J161" s="471"/>
      <c r="K161" s="471"/>
      <c r="L161" s="471"/>
      <c r="M161" s="471"/>
      <c r="N161" s="471"/>
      <c r="O161" s="471"/>
      <c r="P161" s="471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  <c r="AA161" s="173"/>
      <c r="AB161" s="173"/>
      <c r="AC161" s="173"/>
      <c r="AD161" s="173"/>
      <c r="AE161" s="173"/>
      <c r="AF161" s="116"/>
      <c r="AG161" s="173"/>
      <c r="AH161" s="173"/>
      <c r="AI161" s="175"/>
      <c r="AJ161" s="175"/>
      <c r="AK161" s="175"/>
      <c r="AL161" s="175"/>
      <c r="AM161" s="175"/>
      <c r="AN161" s="175"/>
      <c r="AO161" s="175"/>
      <c r="AP161" s="175"/>
      <c r="AQ161" s="175"/>
      <c r="AR161" s="175"/>
      <c r="AS161" s="175"/>
      <c r="AT161" s="175"/>
      <c r="AU161" s="175"/>
      <c r="AV161" s="175"/>
      <c r="AW161" s="175"/>
      <c r="AX161" s="175"/>
      <c r="AY161" s="175"/>
      <c r="AZ161" s="175"/>
      <c r="BA161" s="175"/>
      <c r="BB161" s="175"/>
      <c r="BC161" s="175"/>
      <c r="BD161" s="175"/>
      <c r="BE161" s="175"/>
      <c r="BF161" s="175"/>
      <c r="BG161" s="175"/>
      <c r="BH161" s="59"/>
      <c r="BI161" s="59"/>
      <c r="BJ161" s="59"/>
      <c r="BK161" s="59"/>
      <c r="BL161" s="59"/>
      <c r="BM161" s="59"/>
      <c r="BN161" s="59"/>
    </row>
    <row r="162" spans="2:71" s="181" customFormat="1" ht="18.75" customHeight="1">
      <c r="B162" s="173"/>
      <c r="C162" s="408" t="s">
        <v>320</v>
      </c>
      <c r="D162" s="408"/>
      <c r="E162" s="408"/>
      <c r="F162" s="408"/>
      <c r="G162" s="408"/>
      <c r="H162" s="408"/>
      <c r="I162" s="175"/>
      <c r="J162" s="173"/>
      <c r="K162" s="175"/>
      <c r="L162" s="175"/>
      <c r="M162" s="175"/>
      <c r="N162" s="175"/>
      <c r="O162" s="175"/>
      <c r="P162" s="175"/>
      <c r="S162" s="405">
        <f>-H83</f>
        <v>-0.1</v>
      </c>
      <c r="T162" s="405"/>
      <c r="U162" s="408" t="s">
        <v>313</v>
      </c>
      <c r="V162" s="408"/>
      <c r="W162" s="474">
        <f>Calcu!N58</f>
        <v>0</v>
      </c>
      <c r="X162" s="474"/>
      <c r="Y162" s="474"/>
      <c r="Z162" s="408" t="s">
        <v>299</v>
      </c>
      <c r="AA162" s="408"/>
      <c r="AB162" s="403" t="s">
        <v>314</v>
      </c>
      <c r="AC162" s="419">
        <f>S162*W162</f>
        <v>0</v>
      </c>
      <c r="AD162" s="419"/>
      <c r="AE162" s="419"/>
      <c r="AF162" s="419"/>
      <c r="AG162" s="408" t="s">
        <v>147</v>
      </c>
      <c r="AH162" s="408"/>
      <c r="AI162" s="408"/>
      <c r="AJ162" s="408"/>
      <c r="AK162" s="408"/>
      <c r="AL162" s="408"/>
      <c r="AM162" s="408"/>
      <c r="AN162" s="173"/>
      <c r="AO162" s="173"/>
      <c r="AP162" s="173"/>
      <c r="AQ162" s="173"/>
      <c r="AR162" s="173"/>
      <c r="AS162" s="173"/>
      <c r="AT162" s="173"/>
      <c r="AU162" s="173"/>
      <c r="AV162" s="173"/>
      <c r="AW162" s="173"/>
      <c r="AX162" s="173"/>
      <c r="AY162" s="173"/>
      <c r="AZ162" s="173"/>
      <c r="BA162" s="175"/>
      <c r="BB162" s="175"/>
      <c r="BC162" s="175"/>
    </row>
    <row r="163" spans="2:71" s="181" customFormat="1" ht="18.75" customHeight="1">
      <c r="B163" s="173"/>
      <c r="C163" s="408"/>
      <c r="D163" s="408"/>
      <c r="E163" s="408"/>
      <c r="F163" s="408"/>
      <c r="G163" s="408"/>
      <c r="H163" s="408"/>
      <c r="I163" s="175"/>
      <c r="J163" s="175"/>
      <c r="K163" s="175"/>
      <c r="L163" s="175"/>
      <c r="M163" s="175"/>
      <c r="N163" s="175"/>
      <c r="O163" s="175"/>
      <c r="P163" s="173"/>
      <c r="S163" s="405"/>
      <c r="T163" s="405"/>
      <c r="U163" s="408"/>
      <c r="V163" s="408"/>
      <c r="W163" s="474"/>
      <c r="X163" s="474"/>
      <c r="Y163" s="474"/>
      <c r="Z163" s="408"/>
      <c r="AA163" s="408"/>
      <c r="AB163" s="403"/>
      <c r="AC163" s="419"/>
      <c r="AD163" s="419"/>
      <c r="AE163" s="419"/>
      <c r="AF163" s="419"/>
      <c r="AG163" s="408"/>
      <c r="AH163" s="408"/>
      <c r="AI163" s="408"/>
      <c r="AJ163" s="408"/>
      <c r="AK163" s="408"/>
      <c r="AL163" s="408"/>
      <c r="AM163" s="408"/>
      <c r="AN163" s="173"/>
      <c r="AO163" s="173"/>
      <c r="AP163" s="173"/>
      <c r="AQ163" s="173"/>
      <c r="AR163" s="173"/>
      <c r="AS163" s="173"/>
      <c r="AT163" s="173"/>
      <c r="AU163" s="173"/>
      <c r="AV163" s="173"/>
      <c r="AW163" s="173"/>
      <c r="AX163" s="173"/>
      <c r="AY163" s="173"/>
      <c r="AZ163" s="173"/>
      <c r="BA163" s="175"/>
      <c r="BB163" s="175"/>
      <c r="BC163" s="175"/>
    </row>
    <row r="164" spans="2:71" s="181" customFormat="1" ht="18.75" customHeight="1">
      <c r="B164" s="173"/>
      <c r="C164" s="175" t="s">
        <v>323</v>
      </c>
      <c r="D164" s="175"/>
      <c r="E164" s="175"/>
      <c r="F164" s="175"/>
      <c r="G164" s="175"/>
      <c r="H164" s="175"/>
      <c r="I164" s="175"/>
      <c r="J164" s="173"/>
      <c r="K164" s="57" t="s">
        <v>305</v>
      </c>
      <c r="L164" s="419">
        <f>AC162</f>
        <v>0</v>
      </c>
      <c r="M164" s="419"/>
      <c r="N164" s="419"/>
      <c r="O164" s="419"/>
      <c r="P164" s="185" t="s">
        <v>316</v>
      </c>
      <c r="Q164" s="173"/>
      <c r="R164" s="173"/>
      <c r="S164" s="173"/>
      <c r="T164" s="173"/>
      <c r="U164" s="173"/>
      <c r="V164" s="173"/>
      <c r="W164" s="173"/>
      <c r="X164" s="173"/>
      <c r="Y164" s="57" t="s">
        <v>303</v>
      </c>
      <c r="Z164" s="173" t="s">
        <v>314</v>
      </c>
      <c r="AA164" s="404">
        <f>ABS(L164*O82)</f>
        <v>0</v>
      </c>
      <c r="AB164" s="404"/>
      <c r="AC164" s="404"/>
      <c r="AD164" s="178" t="s">
        <v>144</v>
      </c>
      <c r="AE164" s="178"/>
      <c r="AF164" s="173"/>
      <c r="AG164" s="173"/>
      <c r="AH164" s="173"/>
      <c r="AI164" s="173"/>
      <c r="AJ164" s="173"/>
      <c r="AK164" s="173"/>
      <c r="AL164" s="173"/>
      <c r="AM164" s="173"/>
      <c r="AN164" s="173"/>
      <c r="AO164" s="173"/>
      <c r="AP164" s="173"/>
      <c r="AQ164" s="173"/>
      <c r="AR164" s="173"/>
      <c r="AS164" s="185"/>
      <c r="AT164" s="175"/>
      <c r="AU164" s="175"/>
      <c r="AV164" s="175"/>
      <c r="AW164" s="186"/>
      <c r="AX164" s="185"/>
      <c r="AY164" s="175"/>
      <c r="AZ164" s="175"/>
      <c r="BA164" s="175"/>
      <c r="BB164" s="175"/>
      <c r="BC164" s="175"/>
      <c r="BD164" s="175"/>
      <c r="BE164" s="173"/>
      <c r="BF164" s="175"/>
      <c r="BG164" s="175"/>
      <c r="BH164" s="59"/>
      <c r="BI164" s="59"/>
      <c r="BJ164" s="59"/>
    </row>
    <row r="165" spans="2:71" s="181" customFormat="1" ht="18.75" customHeight="1">
      <c r="B165" s="246"/>
      <c r="C165" s="408" t="s">
        <v>326</v>
      </c>
      <c r="D165" s="408"/>
      <c r="E165" s="408"/>
      <c r="F165" s="408"/>
      <c r="G165" s="408"/>
      <c r="H165" s="247"/>
      <c r="J165" s="247"/>
      <c r="K165" s="247"/>
      <c r="L165" s="247"/>
      <c r="M165" s="247"/>
      <c r="N165" s="247"/>
      <c r="O165" s="247"/>
      <c r="P165" s="247"/>
      <c r="Q165" s="247"/>
      <c r="R165" s="185"/>
      <c r="S165" s="247"/>
      <c r="T165" s="247"/>
      <c r="U165" s="247"/>
      <c r="W165" s="247"/>
      <c r="X165" s="247"/>
      <c r="Y165" s="247"/>
      <c r="Z165" s="247"/>
      <c r="AA165" s="57" t="s">
        <v>427</v>
      </c>
      <c r="AB165" s="247"/>
      <c r="AC165" s="247"/>
      <c r="AD165" s="247"/>
      <c r="AE165" s="246"/>
      <c r="AF165" s="246"/>
      <c r="AH165" s="246"/>
      <c r="AI165" s="246"/>
      <c r="AJ165" s="246"/>
      <c r="AK165" s="246"/>
      <c r="AL165" s="246"/>
      <c r="AM165" s="246"/>
      <c r="AN165" s="246"/>
      <c r="AO165" s="246"/>
      <c r="AP165" s="246"/>
      <c r="AQ165" s="246"/>
      <c r="AR165" s="246"/>
      <c r="AS165" s="246"/>
      <c r="AT165" s="246"/>
      <c r="AU165" s="246"/>
      <c r="AV165" s="246"/>
      <c r="AW165" s="246"/>
      <c r="AX165" s="246"/>
      <c r="AY165" s="246"/>
      <c r="AZ165" s="246"/>
      <c r="BA165" s="246"/>
      <c r="BB165" s="246"/>
      <c r="BC165" s="246"/>
      <c r="BD165" s="246"/>
      <c r="BE165" s="246"/>
      <c r="BF165" s="246"/>
      <c r="BG165" s="246"/>
      <c r="BH165" s="59"/>
      <c r="BI165" s="59"/>
      <c r="BJ165" s="59"/>
      <c r="BK165" s="59"/>
      <c r="BL165" s="59"/>
    </row>
    <row r="166" spans="2:71" s="181" customFormat="1" ht="18.75" customHeight="1">
      <c r="B166" s="246"/>
      <c r="C166" s="408"/>
      <c r="D166" s="408"/>
      <c r="E166" s="408"/>
      <c r="F166" s="408"/>
      <c r="G166" s="408"/>
      <c r="H166" s="247"/>
      <c r="I166" s="247"/>
      <c r="J166" s="247"/>
      <c r="K166" s="247"/>
      <c r="L166" s="247"/>
      <c r="M166" s="247"/>
      <c r="N166" s="247"/>
      <c r="O166" s="247"/>
      <c r="P166" s="247"/>
      <c r="Q166" s="247"/>
      <c r="R166" s="185"/>
      <c r="S166" s="247"/>
      <c r="T166" s="247"/>
      <c r="U166" s="247"/>
      <c r="V166" s="247"/>
      <c r="W166" s="247"/>
      <c r="X166" s="247"/>
      <c r="Y166" s="247"/>
      <c r="Z166" s="247"/>
      <c r="AA166" s="247"/>
      <c r="AB166" s="247"/>
      <c r="AC166" s="247"/>
      <c r="AD166" s="247"/>
      <c r="AE166" s="246"/>
      <c r="AF166" s="246"/>
      <c r="AG166" s="246"/>
      <c r="AH166" s="246"/>
      <c r="AI166" s="246"/>
      <c r="AJ166" s="246"/>
      <c r="AK166" s="246"/>
      <c r="AL166" s="246"/>
      <c r="AM166" s="246"/>
      <c r="AN166" s="246"/>
      <c r="AO166" s="246"/>
      <c r="AP166" s="246"/>
      <c r="AQ166" s="246"/>
      <c r="AR166" s="246"/>
      <c r="AS166" s="246"/>
      <c r="AT166" s="246"/>
      <c r="AU166" s="246"/>
      <c r="AV166" s="246"/>
      <c r="AW166" s="246"/>
      <c r="AX166" s="246"/>
      <c r="AY166" s="246"/>
      <c r="AZ166" s="246"/>
      <c r="BA166" s="246"/>
      <c r="BB166" s="246"/>
      <c r="BC166" s="246"/>
      <c r="BD166" s="246"/>
      <c r="BE166" s="246"/>
      <c r="BF166" s="246"/>
      <c r="BG166" s="246"/>
      <c r="BH166" s="59"/>
      <c r="BI166" s="59"/>
      <c r="BJ166" s="59"/>
      <c r="BK166" s="59"/>
      <c r="BL166" s="59"/>
    </row>
    <row r="167" spans="2:71" s="181" customFormat="1" ht="18.75" customHeight="1">
      <c r="B167" s="246"/>
      <c r="C167" s="247"/>
      <c r="D167" s="247"/>
      <c r="E167" s="247"/>
      <c r="F167" s="247"/>
      <c r="G167" s="247"/>
      <c r="H167" s="247"/>
      <c r="I167" s="247"/>
      <c r="J167" s="247"/>
      <c r="K167" s="247"/>
      <c r="L167" s="247"/>
      <c r="M167" s="247"/>
      <c r="N167" s="247"/>
      <c r="O167" s="247"/>
      <c r="P167" s="247"/>
      <c r="Q167" s="247"/>
      <c r="R167" s="185"/>
      <c r="S167" s="247"/>
      <c r="T167" s="247"/>
      <c r="U167" s="247"/>
      <c r="V167" s="247"/>
      <c r="W167" s="247"/>
      <c r="X167" s="247"/>
      <c r="Y167" s="247"/>
      <c r="Z167" s="471">
        <v>100</v>
      </c>
      <c r="AA167" s="471"/>
      <c r="AD167" s="247"/>
      <c r="AE167" s="246"/>
      <c r="AF167" s="246"/>
      <c r="AG167" s="246"/>
      <c r="AH167" s="246"/>
      <c r="AI167" s="246"/>
      <c r="AJ167" s="246"/>
      <c r="AK167" s="246"/>
      <c r="AL167" s="246"/>
      <c r="AM167" s="246"/>
      <c r="AN167" s="246"/>
      <c r="AO167" s="246"/>
      <c r="AP167" s="246"/>
      <c r="AQ167" s="246"/>
      <c r="AR167" s="246"/>
      <c r="AS167" s="246"/>
      <c r="AT167" s="246"/>
      <c r="AU167" s="246"/>
      <c r="AV167" s="246"/>
      <c r="AW167" s="246"/>
      <c r="AX167" s="246"/>
      <c r="AY167" s="246"/>
      <c r="AZ167" s="246"/>
      <c r="BA167" s="246"/>
      <c r="BB167" s="246"/>
      <c r="BC167" s="246"/>
      <c r="BD167" s="246"/>
      <c r="BE167" s="246"/>
      <c r="BF167" s="246"/>
      <c r="BG167" s="246"/>
      <c r="BH167" s="59"/>
      <c r="BI167" s="59"/>
      <c r="BJ167" s="59"/>
      <c r="BK167" s="59"/>
      <c r="BL167" s="59"/>
    </row>
    <row r="168" spans="2:71" s="181" customFormat="1" ht="18.75" customHeight="1">
      <c r="B168" s="246"/>
      <c r="C168" s="247"/>
      <c r="D168" s="247"/>
      <c r="E168" s="247"/>
      <c r="F168" s="247"/>
      <c r="G168" s="247"/>
      <c r="H168" s="247"/>
      <c r="I168" s="247"/>
      <c r="J168" s="247"/>
      <c r="K168" s="247"/>
      <c r="L168" s="247"/>
      <c r="M168" s="247"/>
      <c r="N168" s="247"/>
      <c r="O168" s="247"/>
      <c r="P168" s="247"/>
      <c r="Q168" s="247"/>
      <c r="R168" s="185"/>
      <c r="S168" s="247"/>
      <c r="T168" s="247"/>
      <c r="U168" s="247"/>
      <c r="V168" s="247"/>
      <c r="W168" s="247"/>
      <c r="X168" s="247"/>
      <c r="Y168" s="247"/>
      <c r="Z168" s="471"/>
      <c r="AA168" s="471"/>
      <c r="AD168" s="247"/>
      <c r="AE168" s="246"/>
      <c r="AF168" s="246"/>
      <c r="AG168" s="246"/>
      <c r="AH168" s="246"/>
      <c r="AI168" s="246"/>
      <c r="AJ168" s="246"/>
      <c r="AK168" s="246"/>
      <c r="AL168" s="246"/>
      <c r="AM168" s="246"/>
      <c r="AN168" s="246"/>
      <c r="AO168" s="246"/>
      <c r="AP168" s="246"/>
      <c r="AQ168" s="246"/>
      <c r="AR168" s="246"/>
      <c r="AS168" s="246"/>
      <c r="AT168" s="246"/>
      <c r="AU168" s="246"/>
      <c r="AV168" s="246"/>
      <c r="AW168" s="246"/>
      <c r="AX168" s="246"/>
      <c r="AY168" s="246"/>
      <c r="AZ168" s="246"/>
      <c r="BA168" s="246"/>
      <c r="BB168" s="246"/>
      <c r="BC168" s="246"/>
      <c r="BD168" s="246"/>
      <c r="BE168" s="246"/>
      <c r="BF168" s="246"/>
      <c r="BG168" s="246"/>
      <c r="BH168" s="59"/>
      <c r="BI168" s="59"/>
      <c r="BJ168" s="59"/>
      <c r="BK168" s="59"/>
      <c r="BL168" s="59"/>
    </row>
    <row r="169" spans="2:71" s="181" customFormat="1" ht="18.75" customHeight="1">
      <c r="B169" s="246"/>
      <c r="C169" s="247"/>
      <c r="D169" s="247"/>
      <c r="E169" s="247"/>
      <c r="F169" s="247"/>
      <c r="G169" s="247"/>
      <c r="H169" s="247"/>
      <c r="I169" s="247"/>
      <c r="J169" s="247"/>
      <c r="K169" s="247"/>
      <c r="L169" s="247"/>
      <c r="M169" s="247"/>
      <c r="N169" s="247"/>
      <c r="O169" s="247"/>
      <c r="P169" s="247"/>
      <c r="Q169" s="247"/>
      <c r="R169" s="185"/>
      <c r="S169" s="247"/>
      <c r="T169" s="247"/>
      <c r="U169" s="247"/>
      <c r="V169" s="247"/>
      <c r="W169" s="247"/>
      <c r="X169" s="247"/>
      <c r="Y169" s="247"/>
      <c r="Z169" s="247"/>
      <c r="AA169" s="247"/>
      <c r="AB169" s="247"/>
      <c r="AC169" s="247"/>
      <c r="AD169" s="247"/>
      <c r="AE169" s="246"/>
      <c r="AF169" s="246"/>
      <c r="AG169" s="246"/>
      <c r="AH169" s="246"/>
      <c r="AI169" s="246"/>
      <c r="AJ169" s="246"/>
      <c r="AK169" s="246"/>
      <c r="AL169" s="246"/>
      <c r="AM169" s="246"/>
      <c r="AN169" s="246"/>
      <c r="AO169" s="246"/>
      <c r="AP169" s="246"/>
      <c r="AQ169" s="246"/>
      <c r="AR169" s="246"/>
      <c r="AS169" s="246"/>
      <c r="AT169" s="246"/>
      <c r="AU169" s="246"/>
      <c r="AV169" s="246"/>
      <c r="AW169" s="246"/>
      <c r="AX169" s="246"/>
      <c r="AY169" s="246"/>
      <c r="AZ169" s="246"/>
      <c r="BA169" s="246"/>
      <c r="BB169" s="246"/>
      <c r="BC169" s="246"/>
      <c r="BD169" s="246"/>
      <c r="BE169" s="246"/>
      <c r="BF169" s="246"/>
      <c r="BG169" s="246"/>
      <c r="BH169" s="59"/>
      <c r="BI169" s="59"/>
      <c r="BJ169" s="59"/>
      <c r="BK169" s="59"/>
      <c r="BL169" s="59"/>
    </row>
    <row r="170" spans="2:71" s="181" customFormat="1" ht="18.75" customHeight="1">
      <c r="B170" s="246"/>
      <c r="C170" s="247"/>
      <c r="D170" s="247"/>
      <c r="E170" s="247"/>
      <c r="F170" s="247"/>
      <c r="G170" s="247"/>
      <c r="H170" s="247"/>
      <c r="I170" s="247"/>
      <c r="J170" s="247"/>
      <c r="K170" s="247"/>
      <c r="L170" s="247"/>
      <c r="M170" s="247"/>
      <c r="N170" s="247"/>
      <c r="O170" s="247"/>
      <c r="P170" s="247"/>
      <c r="Q170" s="247"/>
      <c r="R170" s="185"/>
      <c r="S170" s="247"/>
      <c r="T170" s="247"/>
      <c r="U170" s="247"/>
      <c r="V170" s="247"/>
      <c r="W170" s="247"/>
      <c r="X170" s="247"/>
      <c r="Y170" s="247"/>
      <c r="Z170" s="247"/>
      <c r="AA170" s="247"/>
      <c r="AB170" s="247"/>
      <c r="AC170" s="247"/>
      <c r="AD170" s="247"/>
      <c r="AE170" s="246"/>
      <c r="AF170" s="246"/>
      <c r="AG170" s="246"/>
      <c r="AH170" s="246"/>
      <c r="AI170" s="246"/>
      <c r="AJ170" s="246"/>
      <c r="AK170" s="246"/>
      <c r="AL170" s="246"/>
      <c r="AM170" s="246"/>
      <c r="AN170" s="246"/>
      <c r="AO170" s="246"/>
      <c r="AP170" s="246"/>
      <c r="AQ170" s="246"/>
      <c r="AR170" s="246"/>
      <c r="AS170" s="246"/>
      <c r="AT170" s="246"/>
      <c r="AU170" s="246"/>
      <c r="AV170" s="246"/>
      <c r="AW170" s="246"/>
      <c r="AX170" s="246"/>
      <c r="AY170" s="246"/>
      <c r="AZ170" s="246"/>
      <c r="BA170" s="246"/>
      <c r="BB170" s="246"/>
      <c r="BC170" s="246"/>
      <c r="BD170" s="246"/>
      <c r="BE170" s="246"/>
      <c r="BF170" s="246"/>
      <c r="BG170" s="246"/>
      <c r="BH170" s="247"/>
      <c r="BI170" s="247"/>
      <c r="BJ170" s="247"/>
      <c r="BK170" s="247"/>
    </row>
    <row r="171" spans="2:71" s="181" customFormat="1" ht="18.75" customHeight="1">
      <c r="B171" s="58" t="s">
        <v>458</v>
      </c>
      <c r="D171" s="175"/>
      <c r="E171" s="175"/>
      <c r="F171" s="175"/>
      <c r="G171" s="175"/>
      <c r="H171" s="175"/>
      <c r="I171" s="175"/>
      <c r="J171" s="175"/>
      <c r="K171" s="175"/>
      <c r="L171" s="175"/>
      <c r="M171" s="175"/>
      <c r="N171" s="175"/>
      <c r="O171" s="175"/>
      <c r="P171" s="175"/>
      <c r="Q171" s="175"/>
      <c r="R171" s="175"/>
      <c r="S171" s="175"/>
      <c r="T171" s="175"/>
      <c r="U171" s="175"/>
      <c r="V171" s="175"/>
      <c r="W171" s="175"/>
      <c r="X171" s="175"/>
      <c r="Y171" s="175"/>
      <c r="Z171" s="175"/>
      <c r="AA171" s="175"/>
      <c r="AB171" s="175"/>
      <c r="AC171" s="175"/>
      <c r="AD171" s="175"/>
      <c r="AE171" s="175"/>
      <c r="AF171" s="175"/>
      <c r="AG171" s="175"/>
      <c r="AH171" s="175"/>
      <c r="AI171" s="175"/>
      <c r="AJ171" s="175"/>
      <c r="AK171" s="175"/>
      <c r="AL171" s="175"/>
      <c r="AM171" s="175"/>
      <c r="AN171" s="175"/>
      <c r="AO171" s="175"/>
      <c r="AP171" s="175"/>
      <c r="AQ171" s="175"/>
      <c r="AR171" s="175"/>
      <c r="AS171" s="175"/>
      <c r="AT171" s="175"/>
      <c r="AU171" s="175"/>
      <c r="AV171" s="175"/>
      <c r="AW171" s="175"/>
      <c r="AX171" s="175"/>
      <c r="AY171" s="175"/>
      <c r="AZ171" s="175"/>
      <c r="BA171" s="175"/>
      <c r="BB171" s="175"/>
      <c r="BC171" s="175"/>
      <c r="BD171" s="175"/>
      <c r="BE171" s="175"/>
      <c r="BF171" s="175"/>
      <c r="BG171" s="175"/>
      <c r="BH171" s="59"/>
      <c r="BI171" s="59"/>
      <c r="BJ171" s="59"/>
      <c r="BK171" s="59"/>
      <c r="BL171" s="59"/>
      <c r="BM171" s="59"/>
      <c r="BN171" s="59"/>
    </row>
    <row r="172" spans="2:71" s="181" customFormat="1" ht="18.75" customHeight="1">
      <c r="C172" s="272" t="str">
        <f>"※ 측정실 공기중의 온도를 측정하였고, 측정에 사용된 온도계의 불확도가 "&amp;N175&amp;" ℃를 넘지 않으므로,"</f>
        <v>※ 측정실 공기중의 온도를 측정하였고, 측정에 사용된 온도계의 불확도가 1 ℃를 넘지 않으므로,</v>
      </c>
      <c r="D172" s="272"/>
      <c r="E172" s="272"/>
      <c r="F172" s="272"/>
      <c r="G172" s="272"/>
      <c r="H172" s="272"/>
      <c r="I172" s="272"/>
      <c r="J172" s="272"/>
      <c r="K172" s="272"/>
      <c r="L172" s="272"/>
      <c r="M172" s="272"/>
      <c r="N172" s="272"/>
      <c r="O172" s="272"/>
      <c r="P172" s="272"/>
      <c r="Q172" s="272"/>
      <c r="R172" s="272"/>
      <c r="S172" s="272"/>
      <c r="T172" s="272"/>
      <c r="U172" s="272"/>
      <c r="V172" s="272"/>
      <c r="W172" s="272"/>
      <c r="X172" s="272"/>
      <c r="Y172" s="272"/>
      <c r="Z172" s="272"/>
      <c r="AA172" s="272"/>
      <c r="AB172" s="272"/>
      <c r="AC172" s="272"/>
      <c r="AD172" s="272"/>
      <c r="AE172" s="272"/>
      <c r="AF172" s="272"/>
      <c r="AG172" s="272"/>
      <c r="AH172" s="272"/>
      <c r="AI172" s="272"/>
      <c r="AJ172" s="272"/>
      <c r="AK172" s="272"/>
      <c r="AL172" s="272"/>
      <c r="AM172" s="272"/>
      <c r="AN172" s="272"/>
      <c r="AO172" s="272"/>
      <c r="AP172" s="272"/>
      <c r="AQ172" s="272"/>
      <c r="AR172" s="272"/>
      <c r="AS172" s="272"/>
      <c r="AT172" s="272"/>
      <c r="AU172" s="272"/>
      <c r="AV172" s="272"/>
      <c r="AW172" s="272"/>
      <c r="AX172" s="272"/>
      <c r="AY172" s="272"/>
      <c r="AZ172" s="272"/>
      <c r="BA172" s="272"/>
      <c r="BB172" s="272"/>
      <c r="BC172" s="272"/>
      <c r="BD172" s="272"/>
      <c r="BE172" s="272"/>
      <c r="BF172" s="272"/>
      <c r="BG172" s="272"/>
      <c r="BH172" s="59"/>
      <c r="BI172" s="59"/>
      <c r="BJ172" s="59"/>
      <c r="BK172" s="59"/>
      <c r="BL172" s="59"/>
      <c r="BM172" s="59"/>
      <c r="BN172" s="59"/>
    </row>
    <row r="173" spans="2:71" s="181" customFormat="1" ht="18.75" customHeight="1">
      <c r="B173" s="272"/>
      <c r="C173" s="272"/>
      <c r="D173" s="272" t="s">
        <v>471</v>
      </c>
      <c r="E173" s="272"/>
      <c r="F173" s="272"/>
      <c r="G173" s="272"/>
      <c r="H173" s="272"/>
      <c r="I173" s="272"/>
      <c r="J173" s="272"/>
      <c r="K173" s="272"/>
      <c r="L173" s="272"/>
      <c r="M173" s="272"/>
      <c r="N173" s="272"/>
      <c r="O173" s="272"/>
      <c r="P173" s="272"/>
      <c r="Q173" s="272"/>
      <c r="R173" s="272"/>
      <c r="S173" s="272"/>
      <c r="T173" s="272"/>
      <c r="U173" s="272"/>
      <c r="V173" s="272"/>
      <c r="W173" s="272"/>
      <c r="X173" s="272"/>
      <c r="Y173" s="272"/>
      <c r="Z173" s="272"/>
      <c r="AA173" s="272"/>
      <c r="AB173" s="272"/>
      <c r="AC173" s="272"/>
      <c r="AD173" s="272"/>
      <c r="AE173" s="272"/>
      <c r="AF173" s="272"/>
      <c r="AG173" s="272"/>
      <c r="AH173" s="272"/>
      <c r="AI173" s="272"/>
      <c r="AJ173" s="272"/>
      <c r="AK173" s="272"/>
      <c r="AL173" s="272"/>
      <c r="AM173" s="272"/>
      <c r="AN173" s="272"/>
      <c r="AO173" s="272"/>
      <c r="AP173" s="272"/>
      <c r="AQ173" s="272"/>
      <c r="AR173" s="272"/>
      <c r="AS173" s="272"/>
      <c r="AT173" s="272"/>
      <c r="AU173" s="272"/>
      <c r="AV173" s="272"/>
      <c r="AW173" s="272"/>
      <c r="AX173" s="272"/>
      <c r="AY173" s="272"/>
      <c r="AZ173" s="272"/>
      <c r="BA173" s="272"/>
      <c r="BB173" s="272"/>
      <c r="BC173" s="272"/>
      <c r="BD173" s="272"/>
      <c r="BE173" s="272"/>
      <c r="BF173" s="272"/>
      <c r="BG173" s="272"/>
      <c r="BH173" s="59"/>
      <c r="BI173" s="59"/>
      <c r="BJ173" s="59"/>
      <c r="BK173" s="59"/>
      <c r="BL173" s="59"/>
      <c r="BM173" s="59"/>
      <c r="BN173" s="59"/>
    </row>
    <row r="174" spans="2:71" s="181" customFormat="1" ht="18.75" customHeight="1">
      <c r="B174" s="173"/>
      <c r="C174" s="178" t="s">
        <v>327</v>
      </c>
      <c r="D174" s="173"/>
      <c r="E174" s="173"/>
      <c r="F174" s="173"/>
      <c r="G174" s="173"/>
      <c r="H174" s="478">
        <f>H83</f>
        <v>0.1</v>
      </c>
      <c r="I174" s="478"/>
      <c r="J174" s="478"/>
      <c r="K174" s="478"/>
      <c r="L174" s="478"/>
      <c r="M174" s="478"/>
      <c r="N174" s="478"/>
      <c r="O174" s="478"/>
      <c r="P174" s="176"/>
      <c r="Q174" s="175"/>
      <c r="R174" s="175"/>
      <c r="S174" s="175"/>
      <c r="T174" s="175"/>
      <c r="U174" s="175"/>
      <c r="V174" s="175"/>
      <c r="W174" s="175"/>
      <c r="X174" s="175"/>
      <c r="Y174" s="175"/>
      <c r="Z174" s="175"/>
      <c r="AA174" s="175"/>
      <c r="AB174" s="175"/>
      <c r="AC174" s="175"/>
      <c r="AD174" s="175"/>
      <c r="AE174" s="175"/>
      <c r="AF174" s="175"/>
      <c r="AG174" s="175"/>
      <c r="AH174" s="175"/>
      <c r="AI174" s="175"/>
      <c r="AJ174" s="175"/>
      <c r="AK174" s="175"/>
      <c r="AL174" s="175"/>
      <c r="AM174" s="175"/>
      <c r="AN174" s="175"/>
      <c r="AO174" s="175"/>
      <c r="AP174" s="175"/>
      <c r="AQ174" s="175"/>
      <c r="AR174" s="175"/>
      <c r="AS174" s="175"/>
      <c r="AT174" s="175"/>
      <c r="AU174" s="175"/>
      <c r="AV174" s="175"/>
      <c r="AW174" s="175"/>
      <c r="AX174" s="175"/>
      <c r="AY174" s="175"/>
      <c r="AZ174" s="175"/>
      <c r="BA174" s="175"/>
      <c r="BB174" s="175"/>
      <c r="BC174" s="175"/>
      <c r="BD174" s="175"/>
      <c r="BE174" s="175"/>
      <c r="BF174" s="175"/>
      <c r="BG174" s="175"/>
      <c r="BH174" s="59"/>
      <c r="BI174" s="59"/>
      <c r="BJ174" s="59"/>
      <c r="BK174" s="59"/>
      <c r="BL174" s="59"/>
      <c r="BM174" s="59"/>
    </row>
    <row r="175" spans="2:71" s="181" customFormat="1" ht="18.75" customHeight="1">
      <c r="B175" s="173"/>
      <c r="C175" s="408" t="s">
        <v>328</v>
      </c>
      <c r="D175" s="408"/>
      <c r="E175" s="408"/>
      <c r="F175" s="408"/>
      <c r="G175" s="408"/>
      <c r="H175" s="408"/>
      <c r="I175" s="408"/>
      <c r="J175" s="488" t="s">
        <v>472</v>
      </c>
      <c r="K175" s="488"/>
      <c r="L175" s="488"/>
      <c r="M175" s="403" t="s">
        <v>281</v>
      </c>
      <c r="N175" s="469">
        <f>Calcu!G59</f>
        <v>1</v>
      </c>
      <c r="O175" s="469"/>
      <c r="P175" s="273" t="s">
        <v>473</v>
      </c>
      <c r="Q175" s="275"/>
      <c r="R175" s="403" t="s">
        <v>281</v>
      </c>
      <c r="S175" s="406">
        <f>N175/SQRT(3)</f>
        <v>0.57735026918962584</v>
      </c>
      <c r="T175" s="406"/>
      <c r="U175" s="406"/>
      <c r="V175" s="405" t="str">
        <f>P175</f>
        <v>℃</v>
      </c>
      <c r="W175" s="405"/>
      <c r="X175" s="270"/>
      <c r="Y175" s="191"/>
      <c r="Z175" s="192"/>
      <c r="AA175" s="192"/>
      <c r="AZ175" s="175"/>
      <c r="BA175" s="175"/>
      <c r="BB175" s="175"/>
      <c r="BC175" s="175"/>
      <c r="BD175" s="175"/>
      <c r="BE175" s="175"/>
      <c r="BF175" s="175"/>
      <c r="BG175" s="175"/>
      <c r="BH175" s="175"/>
      <c r="BI175" s="175"/>
      <c r="BJ175" s="59"/>
      <c r="BK175" s="59"/>
      <c r="BL175" s="59"/>
      <c r="BM175" s="59"/>
      <c r="BN175" s="59"/>
      <c r="BO175" s="59"/>
      <c r="BP175" s="59"/>
      <c r="BQ175" s="59"/>
      <c r="BR175" s="59"/>
      <c r="BS175" s="59"/>
    </row>
    <row r="176" spans="2:71" s="181" customFormat="1" ht="18.75" customHeight="1">
      <c r="B176" s="173"/>
      <c r="C176" s="408"/>
      <c r="D176" s="408"/>
      <c r="E176" s="408"/>
      <c r="F176" s="408"/>
      <c r="G176" s="408"/>
      <c r="H176" s="408"/>
      <c r="I176" s="408"/>
      <c r="J176" s="488"/>
      <c r="K176" s="488"/>
      <c r="L176" s="488"/>
      <c r="M176" s="403"/>
      <c r="N176" s="267"/>
      <c r="O176" s="267"/>
      <c r="P176" s="267"/>
      <c r="Q176" s="267"/>
      <c r="R176" s="403"/>
      <c r="S176" s="406"/>
      <c r="T176" s="406"/>
      <c r="U176" s="406"/>
      <c r="V176" s="405"/>
      <c r="W176" s="405"/>
      <c r="X176" s="270"/>
      <c r="Y176" s="191"/>
      <c r="Z176" s="192"/>
      <c r="AA176" s="192"/>
      <c r="AZ176" s="175"/>
      <c r="BA176" s="175"/>
      <c r="BB176" s="175"/>
      <c r="BC176" s="175"/>
      <c r="BD176" s="175"/>
      <c r="BE176" s="175"/>
      <c r="BF176" s="175"/>
      <c r="BG176" s="175"/>
      <c r="BH176" s="175"/>
      <c r="BI176" s="175"/>
      <c r="BJ176" s="59"/>
      <c r="BK176" s="59"/>
      <c r="BL176" s="59"/>
      <c r="BM176" s="59"/>
      <c r="BN176" s="59"/>
      <c r="BO176" s="59"/>
      <c r="BP176" s="59"/>
      <c r="BQ176" s="59"/>
      <c r="BR176" s="59"/>
      <c r="BS176" s="59"/>
    </row>
    <row r="177" spans="2:74" s="181" customFormat="1" ht="18.75" customHeight="1">
      <c r="B177" s="173"/>
      <c r="C177" s="175" t="s">
        <v>329</v>
      </c>
      <c r="D177" s="175"/>
      <c r="E177" s="175"/>
      <c r="F177" s="175"/>
      <c r="G177" s="175"/>
      <c r="H177" s="175"/>
      <c r="I177" s="471" t="str">
        <f>V83</f>
        <v>직사각형</v>
      </c>
      <c r="J177" s="471"/>
      <c r="K177" s="471"/>
      <c r="L177" s="471"/>
      <c r="M177" s="471"/>
      <c r="N177" s="471"/>
      <c r="O177" s="471"/>
      <c r="P177" s="471"/>
      <c r="Q177" s="175"/>
      <c r="R177" s="175"/>
      <c r="S177" s="175"/>
      <c r="T177" s="175"/>
      <c r="U177" s="175"/>
      <c r="V177" s="175"/>
      <c r="W177" s="175"/>
      <c r="X177" s="175"/>
      <c r="Y177" s="175"/>
      <c r="Z177" s="173"/>
      <c r="AA177" s="173"/>
      <c r="AB177" s="173"/>
      <c r="AC177" s="173"/>
      <c r="AD177" s="173"/>
      <c r="AE177" s="173"/>
      <c r="AF177" s="173"/>
      <c r="AG177" s="173"/>
      <c r="AH177" s="175"/>
      <c r="AI177" s="175"/>
      <c r="AJ177" s="175"/>
      <c r="AK177" s="175"/>
      <c r="AL177" s="175"/>
      <c r="AM177" s="175"/>
      <c r="AN177" s="175"/>
      <c r="AO177" s="175"/>
      <c r="AP177" s="175"/>
      <c r="AQ177" s="175"/>
      <c r="AR177" s="175"/>
      <c r="AS177" s="175"/>
      <c r="AT177" s="175"/>
      <c r="AU177" s="175"/>
      <c r="AV177" s="175"/>
      <c r="AW177" s="175"/>
      <c r="AX177" s="175"/>
      <c r="AY177" s="175"/>
      <c r="AZ177" s="175"/>
      <c r="BA177" s="175"/>
      <c r="BB177" s="175"/>
      <c r="BC177" s="175"/>
      <c r="BD177" s="175"/>
      <c r="BE177" s="175"/>
      <c r="BF177" s="173"/>
      <c r="BG177" s="175"/>
      <c r="BH177" s="59"/>
      <c r="BI177" s="59"/>
      <c r="BJ177" s="59"/>
      <c r="BK177" s="59"/>
      <c r="BL177" s="59"/>
      <c r="BM177" s="59"/>
      <c r="BN177" s="59"/>
      <c r="BO177" s="59"/>
      <c r="BP177" s="59"/>
      <c r="BQ177" s="59"/>
      <c r="BR177" s="59"/>
      <c r="BS177" s="59"/>
      <c r="BT177" s="59"/>
      <c r="BU177" s="59"/>
      <c r="BV177" s="59"/>
    </row>
    <row r="178" spans="2:74" s="181" customFormat="1" ht="18.75" customHeight="1">
      <c r="B178" s="173"/>
      <c r="C178" s="408" t="s">
        <v>330</v>
      </c>
      <c r="D178" s="408"/>
      <c r="E178" s="408"/>
      <c r="F178" s="408"/>
      <c r="G178" s="408"/>
      <c r="H178" s="408"/>
      <c r="I178" s="175"/>
      <c r="J178" s="175"/>
      <c r="K178" s="175"/>
      <c r="L178" s="175"/>
      <c r="M178" s="175"/>
      <c r="N178" s="175"/>
      <c r="O178" s="173"/>
      <c r="S178" s="477" t="e">
        <f ca="1">-H82*10^6</f>
        <v>#N/A</v>
      </c>
      <c r="T178" s="477"/>
      <c r="U178" s="477"/>
      <c r="V178" s="408" t="s">
        <v>307</v>
      </c>
      <c r="W178" s="408"/>
      <c r="X178" s="408"/>
      <c r="Y178" s="408"/>
      <c r="Z178" s="403" t="s">
        <v>325</v>
      </c>
      <c r="AA178" s="474">
        <f>Calcu!N59</f>
        <v>0</v>
      </c>
      <c r="AB178" s="474"/>
      <c r="AC178" s="474"/>
      <c r="AD178" s="408" t="s">
        <v>299</v>
      </c>
      <c r="AE178" s="408"/>
      <c r="AF178" s="403" t="s">
        <v>282</v>
      </c>
      <c r="AG178" s="419" t="e">
        <f ca="1">S178*10^-6*AA178</f>
        <v>#N/A</v>
      </c>
      <c r="AH178" s="419"/>
      <c r="AI178" s="419"/>
      <c r="AJ178" s="408" t="s">
        <v>194</v>
      </c>
      <c r="AK178" s="408"/>
      <c r="AL178" s="408"/>
      <c r="AM178" s="408"/>
      <c r="AN178" s="408"/>
      <c r="AO178" s="408"/>
      <c r="AP178" s="408"/>
      <c r="AQ178" s="175"/>
      <c r="AR178" s="175"/>
      <c r="AS178" s="175"/>
      <c r="AT178" s="175"/>
      <c r="AU178" s="175"/>
      <c r="AV178" s="175"/>
      <c r="AW178" s="175"/>
      <c r="AX178" s="175"/>
      <c r="AY178" s="175"/>
      <c r="AZ178" s="175"/>
      <c r="BA178" s="175"/>
      <c r="BB178" s="175"/>
      <c r="BC178" s="175"/>
      <c r="BD178" s="175"/>
      <c r="BE178" s="175"/>
      <c r="BF178" s="175"/>
      <c r="BG178" s="175"/>
      <c r="BH178" s="59"/>
      <c r="BI178" s="59"/>
      <c r="BJ178" s="59"/>
      <c r="BK178" s="59"/>
      <c r="BL178" s="59"/>
      <c r="BM178" s="59"/>
    </row>
    <row r="179" spans="2:74" s="181" customFormat="1" ht="18.75" customHeight="1">
      <c r="B179" s="173"/>
      <c r="C179" s="408"/>
      <c r="D179" s="408"/>
      <c r="E179" s="408"/>
      <c r="F179" s="408"/>
      <c r="G179" s="408"/>
      <c r="H179" s="408"/>
      <c r="I179" s="175"/>
      <c r="J179" s="175"/>
      <c r="K179" s="175"/>
      <c r="L179" s="175"/>
      <c r="M179" s="175"/>
      <c r="N179" s="175"/>
      <c r="O179" s="175"/>
      <c r="S179" s="477"/>
      <c r="T179" s="477"/>
      <c r="U179" s="477"/>
      <c r="V179" s="408"/>
      <c r="W179" s="408"/>
      <c r="X179" s="408"/>
      <c r="Y179" s="408"/>
      <c r="Z179" s="403"/>
      <c r="AA179" s="474"/>
      <c r="AB179" s="474"/>
      <c r="AC179" s="474"/>
      <c r="AD179" s="408"/>
      <c r="AE179" s="408"/>
      <c r="AF179" s="403"/>
      <c r="AG179" s="419"/>
      <c r="AH179" s="419"/>
      <c r="AI179" s="419"/>
      <c r="AJ179" s="408"/>
      <c r="AK179" s="408"/>
      <c r="AL179" s="408"/>
      <c r="AM179" s="408"/>
      <c r="AN179" s="408"/>
      <c r="AO179" s="408"/>
      <c r="AP179" s="408"/>
      <c r="AQ179" s="175"/>
      <c r="AR179" s="175"/>
      <c r="AS179" s="175"/>
      <c r="AT179" s="175"/>
      <c r="AU179" s="175"/>
      <c r="AV179" s="175"/>
      <c r="AW179" s="175"/>
      <c r="AX179" s="175"/>
      <c r="AY179" s="175"/>
      <c r="AZ179" s="175"/>
      <c r="BA179" s="175"/>
      <c r="BB179" s="175"/>
      <c r="BC179" s="175"/>
      <c r="BD179" s="175"/>
      <c r="BE179" s="175"/>
      <c r="BF179" s="175"/>
      <c r="BG179" s="175"/>
      <c r="BH179" s="59"/>
      <c r="BI179" s="59"/>
      <c r="BJ179" s="59"/>
      <c r="BK179" s="59"/>
      <c r="BL179" s="59"/>
      <c r="BM179" s="59"/>
    </row>
    <row r="180" spans="2:74" s="181" customFormat="1" ht="18.75" customHeight="1">
      <c r="B180" s="173"/>
      <c r="C180" s="175" t="s">
        <v>331</v>
      </c>
      <c r="D180" s="175"/>
      <c r="E180" s="175"/>
      <c r="F180" s="175"/>
      <c r="G180" s="175"/>
      <c r="H180" s="175"/>
      <c r="I180" s="175"/>
      <c r="J180" s="173"/>
      <c r="K180" s="57" t="s">
        <v>332</v>
      </c>
      <c r="L180" s="419" t="e">
        <f ca="1">AG178</f>
        <v>#N/A</v>
      </c>
      <c r="M180" s="419"/>
      <c r="N180" s="419"/>
      <c r="O180" s="185" t="s">
        <v>333</v>
      </c>
      <c r="P180" s="173"/>
      <c r="Q180" s="173"/>
      <c r="R180" s="173" t="s">
        <v>334</v>
      </c>
      <c r="S180" s="482">
        <f>S175</f>
        <v>0.57735026918962584</v>
      </c>
      <c r="T180" s="482"/>
      <c r="U180" s="482"/>
      <c r="V180" s="482"/>
      <c r="W180" s="57" t="s">
        <v>332</v>
      </c>
      <c r="X180" s="173" t="s">
        <v>281</v>
      </c>
      <c r="Y180" s="404" t="e">
        <f ca="1">ABS(L180*S180)</f>
        <v>#N/A</v>
      </c>
      <c r="Z180" s="404"/>
      <c r="AA180" s="404"/>
      <c r="AB180" s="178" t="s">
        <v>335</v>
      </c>
      <c r="AC180" s="178"/>
      <c r="AD180" s="173"/>
      <c r="AE180" s="173"/>
      <c r="AF180" s="188"/>
      <c r="AG180" s="173"/>
      <c r="AH180" s="173"/>
      <c r="AI180" s="175"/>
      <c r="AJ180" s="173"/>
      <c r="AK180" s="175"/>
      <c r="AL180" s="173"/>
      <c r="AM180" s="173"/>
      <c r="AN180" s="173"/>
      <c r="AO180" s="175"/>
      <c r="AP180" s="175"/>
      <c r="AQ180" s="175"/>
      <c r="AR180" s="175"/>
      <c r="AS180" s="175"/>
      <c r="AT180" s="175"/>
      <c r="AU180" s="175"/>
      <c r="AV180" s="175"/>
      <c r="AW180" s="175"/>
      <c r="AX180" s="175"/>
      <c r="AY180" s="175"/>
      <c r="AZ180" s="175"/>
      <c r="BA180" s="175"/>
      <c r="BB180" s="175"/>
      <c r="BC180" s="175"/>
      <c r="BD180" s="175"/>
      <c r="BE180" s="175"/>
      <c r="BF180" s="175"/>
      <c r="BG180" s="175"/>
      <c r="BH180" s="59"/>
      <c r="BI180" s="59"/>
      <c r="BJ180" s="59"/>
      <c r="BK180" s="59"/>
    </row>
    <row r="181" spans="2:74" s="181" customFormat="1" ht="18.75" customHeight="1">
      <c r="B181" s="173"/>
      <c r="C181" s="408" t="s">
        <v>336</v>
      </c>
      <c r="D181" s="408"/>
      <c r="E181" s="408"/>
      <c r="F181" s="408"/>
      <c r="G181" s="408"/>
      <c r="H181" s="264"/>
      <c r="J181" s="264"/>
      <c r="K181" s="264"/>
      <c r="L181" s="264"/>
      <c r="M181" s="264"/>
      <c r="N181" s="264"/>
      <c r="O181" s="264"/>
      <c r="P181" s="264"/>
      <c r="Q181" s="264"/>
      <c r="R181" s="185"/>
      <c r="S181" s="264"/>
      <c r="T181" s="264"/>
      <c r="U181" s="264"/>
      <c r="W181" s="57" t="s">
        <v>452</v>
      </c>
      <c r="X181" s="264"/>
      <c r="Y181" s="264"/>
      <c r="Z181" s="264"/>
      <c r="AA181" s="264"/>
      <c r="AB181" s="264"/>
      <c r="AC181" s="264"/>
      <c r="AD181" s="264"/>
      <c r="AE181" s="173"/>
      <c r="AF181" s="173"/>
      <c r="AG181" s="173"/>
      <c r="AH181" s="173"/>
      <c r="AI181" s="173"/>
      <c r="AJ181" s="173"/>
      <c r="AK181" s="173"/>
      <c r="AL181" s="173"/>
      <c r="AM181" s="173"/>
      <c r="AN181" s="173"/>
      <c r="AO181" s="173"/>
      <c r="AP181" s="173"/>
      <c r="AQ181" s="173"/>
      <c r="AR181" s="173"/>
      <c r="AS181" s="173"/>
      <c r="AT181" s="173"/>
      <c r="AU181" s="173"/>
      <c r="AV181" s="173"/>
      <c r="AW181" s="173"/>
      <c r="AX181" s="173"/>
      <c r="AY181" s="173"/>
      <c r="AZ181" s="173"/>
      <c r="BA181" s="173"/>
      <c r="BB181" s="173"/>
      <c r="BC181" s="173"/>
      <c r="BD181" s="173"/>
      <c r="BE181" s="173"/>
      <c r="BF181" s="173"/>
      <c r="BG181" s="173"/>
      <c r="BH181" s="59"/>
      <c r="BI181" s="59"/>
      <c r="BJ181" s="59"/>
      <c r="BK181" s="59"/>
      <c r="BP181" s="59"/>
      <c r="BS181" s="59"/>
      <c r="BT181" s="59"/>
      <c r="BU181" s="59"/>
    </row>
    <row r="182" spans="2:74" s="181" customFormat="1" ht="18.75" customHeight="1">
      <c r="B182" s="173"/>
      <c r="C182" s="408"/>
      <c r="D182" s="408"/>
      <c r="E182" s="408"/>
      <c r="F182" s="408"/>
      <c r="G182" s="408"/>
      <c r="H182" s="264"/>
      <c r="I182" s="264"/>
      <c r="J182" s="264"/>
      <c r="K182" s="264"/>
      <c r="L182" s="264"/>
      <c r="M182" s="264"/>
      <c r="N182" s="264"/>
      <c r="O182" s="264"/>
      <c r="P182" s="264"/>
      <c r="Q182" s="264"/>
      <c r="R182" s="185"/>
      <c r="S182" s="264"/>
      <c r="T182" s="264"/>
      <c r="U182" s="264"/>
      <c r="V182" s="264"/>
      <c r="W182" s="264"/>
      <c r="X182" s="264"/>
      <c r="Y182" s="264"/>
      <c r="Z182" s="264"/>
      <c r="AA182" s="264"/>
      <c r="AB182" s="264"/>
      <c r="AC182" s="263"/>
      <c r="AD182" s="263"/>
      <c r="AE182" s="173"/>
      <c r="AF182" s="173"/>
      <c r="AG182" s="173"/>
      <c r="AH182" s="173"/>
      <c r="AI182" s="173"/>
      <c r="AJ182" s="173"/>
      <c r="AK182" s="173"/>
      <c r="AL182" s="173"/>
      <c r="AM182" s="173"/>
      <c r="AN182" s="173"/>
      <c r="AO182" s="173"/>
      <c r="AP182" s="173"/>
      <c r="AQ182" s="173"/>
      <c r="AR182" s="173"/>
      <c r="AS182" s="173"/>
      <c r="AT182" s="173"/>
      <c r="AU182" s="173"/>
      <c r="AV182" s="173"/>
      <c r="AW182" s="173"/>
      <c r="AX182" s="173"/>
      <c r="AY182" s="173"/>
      <c r="AZ182" s="173"/>
      <c r="BA182" s="173"/>
      <c r="BB182" s="173"/>
      <c r="BC182" s="173"/>
      <c r="BD182" s="173"/>
      <c r="BE182" s="173"/>
      <c r="BF182" s="173"/>
      <c r="BG182" s="173"/>
      <c r="BH182" s="59"/>
      <c r="BI182" s="59"/>
      <c r="BJ182" s="59"/>
      <c r="BK182" s="59"/>
      <c r="BP182" s="59"/>
      <c r="BS182" s="59"/>
      <c r="BT182" s="59"/>
      <c r="BU182" s="59"/>
    </row>
    <row r="183" spans="2:74" s="181" customFormat="1" ht="18.75" customHeight="1">
      <c r="B183" s="173"/>
      <c r="C183" s="175"/>
      <c r="D183" s="175"/>
      <c r="E183" s="175"/>
      <c r="F183" s="175"/>
      <c r="G183" s="173"/>
      <c r="H183" s="175"/>
      <c r="I183" s="175"/>
      <c r="J183" s="175"/>
      <c r="K183" s="175"/>
      <c r="L183" s="175"/>
      <c r="M183" s="175"/>
      <c r="N183" s="175"/>
      <c r="O183" s="175"/>
      <c r="P183" s="175"/>
      <c r="Q183" s="175"/>
      <c r="R183" s="175"/>
      <c r="S183" s="175"/>
      <c r="T183" s="175"/>
      <c r="U183" s="175"/>
      <c r="V183" s="175"/>
      <c r="W183" s="175"/>
      <c r="X183" s="173"/>
      <c r="Y183" s="173"/>
      <c r="Z183" s="173"/>
      <c r="AA183" s="173"/>
      <c r="AB183" s="173"/>
      <c r="AC183" s="173"/>
      <c r="AD183" s="173"/>
      <c r="AE183" s="173"/>
      <c r="AF183" s="173"/>
      <c r="AG183" s="173"/>
      <c r="AH183" s="173"/>
      <c r="AI183" s="173"/>
      <c r="AJ183" s="173"/>
      <c r="AK183" s="173"/>
      <c r="AL183" s="173"/>
      <c r="AM183" s="173"/>
      <c r="AN183" s="173"/>
      <c r="AO183" s="173"/>
      <c r="AP183" s="173"/>
      <c r="AQ183" s="173"/>
      <c r="AR183" s="173"/>
      <c r="AS183" s="173"/>
      <c r="AT183" s="173"/>
      <c r="AU183" s="173"/>
      <c r="AV183" s="173"/>
      <c r="AW183" s="173"/>
      <c r="AX183" s="173"/>
      <c r="AY183" s="173"/>
      <c r="AZ183" s="173"/>
      <c r="BA183" s="173"/>
      <c r="BB183" s="173"/>
      <c r="BC183" s="173"/>
      <c r="BD183" s="173"/>
      <c r="BE183" s="173"/>
      <c r="BF183" s="173"/>
      <c r="BG183" s="173"/>
    </row>
    <row r="184" spans="2:74" s="181" customFormat="1" ht="18.75" customHeight="1">
      <c r="B184" s="58" t="s">
        <v>572</v>
      </c>
      <c r="D184" s="175"/>
      <c r="E184" s="175"/>
      <c r="F184" s="175"/>
      <c r="G184" s="173"/>
      <c r="H184" s="175"/>
      <c r="I184" s="175"/>
      <c r="J184" s="175"/>
      <c r="K184" s="175"/>
      <c r="L184" s="175"/>
      <c r="M184" s="175"/>
      <c r="N184" s="175"/>
      <c r="O184" s="175"/>
      <c r="P184" s="175"/>
      <c r="Q184" s="175"/>
      <c r="R184" s="175"/>
      <c r="S184" s="175"/>
      <c r="T184" s="175"/>
      <c r="U184" s="175"/>
      <c r="V184" s="175"/>
      <c r="W184" s="175"/>
      <c r="X184" s="175"/>
      <c r="Y184" s="175"/>
      <c r="Z184" s="175"/>
      <c r="AA184" s="175"/>
      <c r="AB184" s="175"/>
      <c r="AC184" s="175"/>
      <c r="AD184" s="175"/>
      <c r="AE184" s="173"/>
      <c r="AF184" s="175"/>
      <c r="AG184" s="173"/>
      <c r="AH184" s="173"/>
      <c r="AI184" s="173"/>
      <c r="AJ184" s="173"/>
      <c r="AK184" s="173"/>
      <c r="AL184" s="173"/>
      <c r="AM184" s="173"/>
      <c r="AN184" s="173"/>
      <c r="AO184" s="173"/>
      <c r="AP184" s="173"/>
      <c r="AQ184" s="173"/>
      <c r="AR184" s="173"/>
      <c r="AS184" s="173"/>
      <c r="AT184" s="173"/>
      <c r="AU184" s="173"/>
      <c r="AV184" s="173"/>
      <c r="AW184" s="173"/>
      <c r="AX184" s="173"/>
      <c r="AY184" s="173"/>
      <c r="AZ184" s="173"/>
      <c r="BA184" s="173"/>
      <c r="BB184" s="173"/>
      <c r="BC184" s="173"/>
      <c r="BD184" s="173"/>
      <c r="BE184" s="173"/>
      <c r="BF184" s="173"/>
      <c r="BG184" s="173"/>
    </row>
    <row r="185" spans="2:74" s="181" customFormat="1" ht="18.75" customHeight="1">
      <c r="B185" s="58"/>
      <c r="C185" s="272" t="s">
        <v>474</v>
      </c>
      <c r="D185" s="272"/>
      <c r="E185" s="272"/>
      <c r="F185" s="272"/>
      <c r="G185" s="267"/>
      <c r="H185" s="272"/>
      <c r="I185" s="272"/>
      <c r="J185" s="272"/>
      <c r="K185" s="272"/>
      <c r="L185" s="272"/>
      <c r="M185" s="272"/>
      <c r="N185" s="272"/>
      <c r="O185" s="272"/>
      <c r="P185" s="272"/>
      <c r="Q185" s="272"/>
      <c r="R185" s="272"/>
      <c r="S185" s="272"/>
      <c r="T185" s="272"/>
      <c r="U185" s="272"/>
      <c r="V185" s="272"/>
      <c r="W185" s="272"/>
      <c r="X185" s="272"/>
      <c r="Y185" s="272"/>
      <c r="Z185" s="272"/>
      <c r="AA185" s="272"/>
      <c r="AB185" s="272"/>
      <c r="AC185" s="272"/>
      <c r="AD185" s="272"/>
      <c r="AE185" s="267"/>
      <c r="AF185" s="272"/>
      <c r="AG185" s="267"/>
      <c r="AH185" s="267"/>
      <c r="AI185" s="267"/>
      <c r="AJ185" s="267"/>
      <c r="AK185" s="267"/>
      <c r="AL185" s="267"/>
      <c r="AM185" s="267"/>
      <c r="AN185" s="267"/>
      <c r="AO185" s="267"/>
      <c r="AP185" s="267"/>
      <c r="AQ185" s="267"/>
      <c r="AR185" s="267"/>
      <c r="AS185" s="267"/>
      <c r="AT185" s="267"/>
      <c r="AU185" s="267"/>
      <c r="AV185" s="267"/>
      <c r="AW185" s="267"/>
      <c r="AX185" s="267"/>
      <c r="AY185" s="267"/>
      <c r="AZ185" s="267"/>
      <c r="BA185" s="267"/>
      <c r="BB185" s="267"/>
      <c r="BC185" s="267"/>
      <c r="BD185" s="267"/>
      <c r="BE185" s="267"/>
      <c r="BF185" s="267"/>
      <c r="BG185" s="267"/>
    </row>
    <row r="186" spans="2:74" s="181" customFormat="1" ht="18.75" customHeight="1">
      <c r="B186" s="173"/>
      <c r="C186" s="178" t="s">
        <v>338</v>
      </c>
      <c r="D186" s="173"/>
      <c r="E186" s="173"/>
      <c r="F186" s="173"/>
      <c r="G186" s="173"/>
      <c r="H186" s="412">
        <v>0</v>
      </c>
      <c r="I186" s="412"/>
      <c r="J186" s="412"/>
      <c r="K186" s="412"/>
      <c r="L186" s="412"/>
      <c r="M186" s="412"/>
      <c r="N186" s="412"/>
      <c r="O186" s="412"/>
      <c r="P186" s="176"/>
      <c r="Q186" s="175"/>
      <c r="R186" s="175"/>
      <c r="S186" s="175"/>
      <c r="T186" s="175"/>
      <c r="U186" s="175"/>
      <c r="V186" s="175"/>
      <c r="W186" s="175"/>
      <c r="AC186" s="175"/>
      <c r="AD186" s="175"/>
      <c r="AE186" s="175"/>
      <c r="AF186" s="175"/>
      <c r="AG186" s="175"/>
      <c r="AH186" s="175"/>
      <c r="AI186" s="173"/>
      <c r="AJ186" s="173"/>
      <c r="AK186" s="173"/>
      <c r="AL186" s="173"/>
      <c r="AM186" s="173"/>
      <c r="AN186" s="173"/>
      <c r="AO186" s="173"/>
      <c r="AP186" s="173"/>
      <c r="AQ186" s="173"/>
      <c r="AR186" s="173"/>
      <c r="AS186" s="175"/>
      <c r="AT186" s="175"/>
      <c r="AU186" s="175"/>
      <c r="AV186" s="175"/>
      <c r="AW186" s="175"/>
      <c r="AX186" s="175"/>
      <c r="AY186" s="173"/>
      <c r="AZ186" s="173"/>
      <c r="BA186" s="173"/>
      <c r="BB186" s="173"/>
      <c r="BC186" s="173"/>
      <c r="BD186" s="173"/>
      <c r="BE186" s="173"/>
      <c r="BF186" s="173"/>
      <c r="BG186" s="173"/>
    </row>
    <row r="187" spans="2:74" s="181" customFormat="1" ht="18.75" customHeight="1">
      <c r="B187" s="173"/>
      <c r="C187" s="175" t="s">
        <v>339</v>
      </c>
      <c r="D187" s="175"/>
      <c r="E187" s="175"/>
      <c r="F187" s="175"/>
      <c r="G187" s="175"/>
      <c r="H187" s="175"/>
      <c r="I187" s="173"/>
      <c r="J187" s="175" t="s">
        <v>475</v>
      </c>
      <c r="K187" s="175"/>
      <c r="L187" s="175"/>
      <c r="M187" s="175"/>
      <c r="N187" s="175"/>
      <c r="O187" s="175"/>
      <c r="P187" s="406">
        <f>T188/1000</f>
        <v>0</v>
      </c>
      <c r="Q187" s="406"/>
      <c r="R187" s="406"/>
      <c r="S187" s="270" t="s">
        <v>476</v>
      </c>
      <c r="T187" s="270"/>
      <c r="U187" s="175"/>
      <c r="V187" s="173"/>
      <c r="W187" s="173"/>
      <c r="AD187" s="175"/>
      <c r="AE187" s="175"/>
      <c r="AF187" s="173"/>
      <c r="AG187" s="173"/>
      <c r="AH187" s="173"/>
      <c r="AI187" s="173"/>
      <c r="AJ187" s="173"/>
      <c r="AK187" s="173"/>
      <c r="AL187" s="173"/>
      <c r="AM187" s="173"/>
      <c r="AN187" s="175"/>
      <c r="AO187" s="175"/>
      <c r="AP187" s="175"/>
      <c r="AQ187" s="175"/>
      <c r="AR187" s="175"/>
      <c r="AS187" s="175"/>
      <c r="AT187" s="175"/>
      <c r="AU187" s="175"/>
      <c r="AV187" s="175"/>
      <c r="AW187" s="175"/>
      <c r="AX187" s="175"/>
      <c r="AY187" s="173"/>
      <c r="AZ187" s="173"/>
      <c r="BA187" s="173"/>
      <c r="BB187" s="173"/>
      <c r="BC187" s="173"/>
      <c r="BD187" s="173"/>
      <c r="BE187" s="173"/>
      <c r="BF187" s="173"/>
      <c r="BG187" s="173"/>
    </row>
    <row r="188" spans="2:74" s="181" customFormat="1" ht="18.75" customHeight="1">
      <c r="B188" s="173"/>
      <c r="C188" s="175"/>
      <c r="D188" s="175"/>
      <c r="E188" s="175"/>
      <c r="F188" s="175"/>
      <c r="G188" s="175"/>
      <c r="H188" s="175"/>
      <c r="I188" s="272"/>
      <c r="K188" s="476" t="s">
        <v>573</v>
      </c>
      <c r="L188" s="476"/>
      <c r="M188" s="476"/>
      <c r="N188" s="403" t="s">
        <v>281</v>
      </c>
      <c r="O188" s="413" t="s">
        <v>363</v>
      </c>
      <c r="P188" s="414"/>
      <c r="Q188" s="414"/>
      <c r="R188" s="414"/>
      <c r="S188" s="403" t="s">
        <v>281</v>
      </c>
      <c r="T188" s="469">
        <f>Calcu!G60</f>
        <v>0</v>
      </c>
      <c r="U188" s="469"/>
      <c r="V188" s="273" t="s">
        <v>477</v>
      </c>
      <c r="W188" s="273"/>
      <c r="X188" s="415" t="s">
        <v>281</v>
      </c>
      <c r="Y188" s="404">
        <f>T188/2/SQRT(3)</f>
        <v>0</v>
      </c>
      <c r="Z188" s="404"/>
      <c r="AA188" s="404"/>
      <c r="AB188" s="405" t="str">
        <f>V188</f>
        <v>μm</v>
      </c>
      <c r="AC188" s="405"/>
      <c r="AD188" s="175"/>
      <c r="AE188" s="173"/>
      <c r="AF188" s="173"/>
      <c r="AG188" s="173"/>
      <c r="AH188" s="173"/>
      <c r="AI188" s="173"/>
      <c r="AJ188" s="173"/>
      <c r="AK188" s="173"/>
      <c r="AL188" s="173"/>
      <c r="AM188" s="173"/>
      <c r="AN188" s="173"/>
      <c r="AO188" s="173"/>
      <c r="AP188" s="173"/>
      <c r="AQ188" s="173"/>
      <c r="AR188" s="175"/>
      <c r="AS188" s="175"/>
      <c r="AT188" s="175"/>
      <c r="AU188" s="175"/>
      <c r="AV188" s="175"/>
      <c r="AW188" s="175"/>
      <c r="AX188" s="175"/>
      <c r="AY188" s="175"/>
      <c r="AZ188" s="173"/>
      <c r="BA188" s="173"/>
      <c r="BB188" s="173"/>
      <c r="BC188" s="173"/>
      <c r="BD188" s="173"/>
      <c r="BE188" s="173"/>
      <c r="BF188" s="173"/>
      <c r="BG188" s="173"/>
      <c r="BH188" s="173"/>
    </row>
    <row r="189" spans="2:74" s="181" customFormat="1" ht="18.75" customHeight="1">
      <c r="B189" s="173"/>
      <c r="C189" s="175"/>
      <c r="D189" s="175"/>
      <c r="E189" s="175"/>
      <c r="F189" s="175"/>
      <c r="G189" s="175"/>
      <c r="H189" s="175"/>
      <c r="I189" s="272"/>
      <c r="J189" s="276"/>
      <c r="K189" s="476"/>
      <c r="L189" s="476"/>
      <c r="M189" s="476"/>
      <c r="N189" s="403"/>
      <c r="O189" s="475"/>
      <c r="P189" s="475"/>
      <c r="Q189" s="475"/>
      <c r="R189" s="475"/>
      <c r="S189" s="403"/>
      <c r="T189" s="475"/>
      <c r="U189" s="475"/>
      <c r="V189" s="475"/>
      <c r="W189" s="475"/>
      <c r="X189" s="415"/>
      <c r="Y189" s="404"/>
      <c r="Z189" s="404"/>
      <c r="AA189" s="404"/>
      <c r="AB189" s="405"/>
      <c r="AC189" s="405"/>
      <c r="AD189" s="175"/>
      <c r="AE189" s="173"/>
      <c r="AF189" s="173"/>
      <c r="AG189" s="173"/>
      <c r="AH189" s="173"/>
      <c r="AI189" s="173"/>
      <c r="AJ189" s="173"/>
      <c r="AK189" s="173"/>
      <c r="AL189" s="173"/>
      <c r="AM189" s="173"/>
      <c r="AN189" s="173"/>
      <c r="AO189" s="173"/>
      <c r="AP189" s="173"/>
      <c r="AQ189" s="173"/>
      <c r="AR189" s="175"/>
      <c r="AS189" s="175"/>
      <c r="AT189" s="175"/>
      <c r="AU189" s="175"/>
      <c r="AV189" s="175"/>
      <c r="AW189" s="175"/>
      <c r="AX189" s="175"/>
      <c r="AY189" s="175"/>
      <c r="AZ189" s="173"/>
      <c r="BA189" s="173"/>
      <c r="BB189" s="173"/>
      <c r="BC189" s="173"/>
      <c r="BD189" s="173"/>
      <c r="BE189" s="173"/>
      <c r="BF189" s="173"/>
      <c r="BG189" s="173"/>
      <c r="BH189" s="173"/>
    </row>
    <row r="190" spans="2:74" s="181" customFormat="1" ht="18.75" customHeight="1">
      <c r="B190" s="173"/>
      <c r="C190" s="175" t="s">
        <v>340</v>
      </c>
      <c r="D190" s="175"/>
      <c r="E190" s="175"/>
      <c r="F190" s="175"/>
      <c r="G190" s="175"/>
      <c r="H190" s="175"/>
      <c r="I190" s="471" t="str">
        <f>V84</f>
        <v>직사각형</v>
      </c>
      <c r="J190" s="471"/>
      <c r="K190" s="471"/>
      <c r="L190" s="471"/>
      <c r="M190" s="471"/>
      <c r="N190" s="471"/>
      <c r="O190" s="471"/>
      <c r="P190" s="471"/>
      <c r="Q190" s="175"/>
      <c r="R190" s="175"/>
      <c r="S190" s="175"/>
      <c r="T190" s="175"/>
      <c r="U190" s="175"/>
      <c r="V190" s="175"/>
      <c r="W190" s="175"/>
      <c r="X190" s="175"/>
      <c r="Y190" s="175"/>
      <c r="Z190" s="173"/>
      <c r="AA190" s="173"/>
      <c r="AB190" s="173"/>
      <c r="AC190" s="173"/>
      <c r="AD190" s="173"/>
      <c r="AE190" s="173"/>
      <c r="AF190" s="173"/>
      <c r="AG190" s="173"/>
      <c r="AH190" s="175"/>
      <c r="AI190" s="175"/>
      <c r="AJ190" s="175"/>
      <c r="AK190" s="175"/>
      <c r="AL190" s="175"/>
      <c r="AM190" s="175"/>
      <c r="AN190" s="175"/>
      <c r="AO190" s="175"/>
      <c r="AP190" s="175"/>
      <c r="AQ190" s="175"/>
      <c r="AR190" s="175"/>
      <c r="AS190" s="175"/>
      <c r="AT190" s="175"/>
      <c r="AU190" s="175"/>
      <c r="AV190" s="175"/>
      <c r="AW190" s="175"/>
      <c r="AX190" s="175"/>
      <c r="AY190" s="173"/>
      <c r="AZ190" s="173"/>
      <c r="BA190" s="173"/>
      <c r="BB190" s="173"/>
      <c r="BC190" s="173"/>
      <c r="BD190" s="173"/>
      <c r="BE190" s="173"/>
      <c r="BF190" s="173"/>
      <c r="BG190" s="173"/>
    </row>
    <row r="191" spans="2:74" s="181" customFormat="1" ht="18.75" customHeight="1">
      <c r="B191" s="173"/>
      <c r="C191" s="408" t="s">
        <v>341</v>
      </c>
      <c r="D191" s="408"/>
      <c r="E191" s="408"/>
      <c r="F191" s="408"/>
      <c r="G191" s="408"/>
      <c r="H191" s="408"/>
      <c r="I191" s="175"/>
      <c r="J191" s="175"/>
      <c r="K191" s="175"/>
      <c r="L191" s="175"/>
      <c r="M191" s="175"/>
      <c r="N191" s="403">
        <f>AA84</f>
        <v>1</v>
      </c>
      <c r="O191" s="403"/>
      <c r="P191" s="193"/>
      <c r="Q191" s="193"/>
      <c r="R191" s="193"/>
      <c r="S191" s="175"/>
      <c r="T191" s="175"/>
      <c r="U191" s="175"/>
      <c r="V191" s="175"/>
      <c r="W191" s="175"/>
      <c r="X191" s="175"/>
      <c r="Y191" s="175"/>
      <c r="Z191" s="194"/>
      <c r="AA191" s="194"/>
      <c r="AB191" s="175"/>
      <c r="AC191" s="175"/>
      <c r="AD191" s="175"/>
      <c r="AE191" s="175"/>
      <c r="AF191" s="175"/>
      <c r="AG191" s="175"/>
      <c r="AH191" s="175"/>
      <c r="AI191" s="175"/>
      <c r="AJ191" s="175"/>
      <c r="AK191" s="175"/>
      <c r="AL191" s="173"/>
      <c r="AM191" s="173"/>
      <c r="AN191" s="173"/>
      <c r="AO191" s="175"/>
      <c r="AP191" s="175"/>
      <c r="AQ191" s="175"/>
      <c r="AR191" s="175"/>
      <c r="AS191" s="175"/>
      <c r="AT191" s="175"/>
      <c r="AU191" s="175"/>
      <c r="AV191" s="175"/>
      <c r="AW191" s="175"/>
      <c r="AX191" s="175"/>
      <c r="AY191" s="173"/>
      <c r="AZ191" s="173"/>
      <c r="BA191" s="173"/>
      <c r="BB191" s="173"/>
      <c r="BC191" s="173"/>
      <c r="BD191" s="173"/>
      <c r="BE191" s="173"/>
      <c r="BF191" s="173"/>
      <c r="BG191" s="173"/>
    </row>
    <row r="192" spans="2:74" s="181" customFormat="1" ht="18.75" customHeight="1">
      <c r="B192" s="173"/>
      <c r="C192" s="408"/>
      <c r="D192" s="408"/>
      <c r="E192" s="408"/>
      <c r="F192" s="408"/>
      <c r="G192" s="408"/>
      <c r="H192" s="408"/>
      <c r="I192" s="175"/>
      <c r="J192" s="175"/>
      <c r="K192" s="175"/>
      <c r="L192" s="175"/>
      <c r="M192" s="175"/>
      <c r="N192" s="403"/>
      <c r="O192" s="403"/>
      <c r="P192" s="193"/>
      <c r="Q192" s="193"/>
      <c r="R192" s="193"/>
      <c r="S192" s="175"/>
      <c r="T192" s="175"/>
      <c r="U192" s="175"/>
      <c r="V192" s="175"/>
      <c r="W192" s="175"/>
      <c r="X192" s="175"/>
      <c r="Y192" s="175"/>
      <c r="Z192" s="194"/>
      <c r="AA192" s="194"/>
      <c r="AB192" s="175"/>
      <c r="AC192" s="175"/>
      <c r="AD192" s="175"/>
      <c r="AE192" s="175"/>
      <c r="AF192" s="175"/>
      <c r="AG192" s="175"/>
      <c r="AH192" s="175"/>
      <c r="AI192" s="175"/>
      <c r="AJ192" s="175"/>
      <c r="AK192" s="175"/>
      <c r="AL192" s="173"/>
      <c r="AM192" s="173"/>
      <c r="AN192" s="173"/>
      <c r="AO192" s="175"/>
      <c r="AP192" s="175"/>
      <c r="AQ192" s="175"/>
      <c r="AR192" s="175"/>
      <c r="AS192" s="175"/>
      <c r="AT192" s="175"/>
      <c r="AU192" s="175"/>
      <c r="AV192" s="175"/>
      <c r="AW192" s="175"/>
      <c r="AX192" s="175"/>
      <c r="AY192" s="173"/>
      <c r="AZ192" s="173"/>
      <c r="BA192" s="173"/>
      <c r="BB192" s="173"/>
      <c r="BC192" s="173"/>
      <c r="BD192" s="173"/>
      <c r="BE192" s="173"/>
      <c r="BF192" s="173"/>
      <c r="BG192" s="173"/>
    </row>
    <row r="193" spans="2:60" s="181" customFormat="1" ht="18.75" customHeight="1">
      <c r="B193" s="173"/>
      <c r="C193" s="175" t="s">
        <v>342</v>
      </c>
      <c r="D193" s="175"/>
      <c r="E193" s="175"/>
      <c r="F193" s="175"/>
      <c r="G193" s="175"/>
      <c r="H193" s="175"/>
      <c r="I193" s="175"/>
      <c r="J193" s="173"/>
      <c r="K193" s="173" t="s">
        <v>332</v>
      </c>
      <c r="L193" s="403">
        <v>1</v>
      </c>
      <c r="M193" s="403"/>
      <c r="N193" s="274" t="s">
        <v>484</v>
      </c>
      <c r="O193" s="406">
        <f>Y188</f>
        <v>0</v>
      </c>
      <c r="P193" s="405"/>
      <c r="Q193" s="405"/>
      <c r="R193" s="407" t="str">
        <f>AB188</f>
        <v>μm</v>
      </c>
      <c r="S193" s="405"/>
      <c r="T193" s="268" t="s">
        <v>478</v>
      </c>
      <c r="U193" s="74" t="s">
        <v>281</v>
      </c>
      <c r="V193" s="406">
        <f>L193*O193</f>
        <v>0</v>
      </c>
      <c r="W193" s="406"/>
      <c r="X193" s="406"/>
      <c r="Y193" s="269" t="str">
        <f>R193</f>
        <v>μm</v>
      </c>
      <c r="Z193" s="56"/>
      <c r="AA193" s="270"/>
      <c r="AB193" s="272"/>
      <c r="AC193" s="185"/>
      <c r="AD193" s="173"/>
      <c r="AE193" s="175"/>
      <c r="AF193" s="173"/>
      <c r="AG193" s="173"/>
      <c r="AH193" s="173"/>
      <c r="AI193" s="173"/>
      <c r="AJ193" s="173"/>
      <c r="AK193" s="175"/>
      <c r="AL193" s="173"/>
      <c r="AM193" s="173"/>
      <c r="AN193" s="173"/>
      <c r="AO193" s="175"/>
      <c r="AP193" s="175"/>
      <c r="AQ193" s="175"/>
      <c r="AR193" s="175"/>
      <c r="AS193" s="175"/>
      <c r="AT193" s="175"/>
      <c r="AU193" s="175"/>
      <c r="AV193" s="175"/>
      <c r="AW193" s="175"/>
      <c r="AX193" s="175"/>
      <c r="AY193" s="173"/>
      <c r="AZ193" s="173"/>
      <c r="BA193" s="173"/>
      <c r="BB193" s="173"/>
      <c r="BC193" s="173"/>
      <c r="BD193" s="173"/>
      <c r="BE193" s="173"/>
      <c r="BF193" s="173"/>
      <c r="BG193" s="173"/>
    </row>
    <row r="194" spans="2:60" s="181" customFormat="1" ht="18.75" customHeight="1">
      <c r="B194" s="173"/>
      <c r="C194" s="408" t="s">
        <v>343</v>
      </c>
      <c r="D194" s="408"/>
      <c r="E194" s="408"/>
      <c r="F194" s="408"/>
      <c r="G194" s="408"/>
      <c r="H194" s="175"/>
      <c r="J194" s="175"/>
      <c r="K194" s="175"/>
      <c r="L194" s="175"/>
      <c r="M194" s="175"/>
      <c r="N194" s="175"/>
      <c r="O194" s="175"/>
      <c r="P194" s="175"/>
      <c r="Q194" s="175"/>
      <c r="R194" s="185"/>
      <c r="S194" s="175"/>
      <c r="T194" s="175"/>
      <c r="U194" s="175"/>
      <c r="W194" s="175"/>
      <c r="X194" s="57" t="s">
        <v>337</v>
      </c>
      <c r="Y194" s="175"/>
      <c r="Z194" s="175"/>
      <c r="AA194" s="175"/>
      <c r="AB194" s="175"/>
      <c r="AC194" s="175"/>
      <c r="AD194" s="175"/>
      <c r="AE194" s="173"/>
      <c r="AF194" s="173"/>
      <c r="AG194" s="173"/>
      <c r="AH194" s="173"/>
      <c r="AI194" s="173"/>
      <c r="AJ194" s="173"/>
      <c r="AK194" s="173"/>
      <c r="AL194" s="173"/>
      <c r="AM194" s="173"/>
      <c r="AN194" s="173"/>
      <c r="AO194" s="173"/>
      <c r="AP194" s="173"/>
      <c r="AQ194" s="173"/>
      <c r="AR194" s="173"/>
      <c r="AS194" s="173"/>
      <c r="AT194" s="173"/>
      <c r="AU194" s="173"/>
      <c r="AV194" s="173"/>
      <c r="AW194" s="173"/>
      <c r="AX194" s="173"/>
      <c r="AY194" s="173"/>
      <c r="AZ194" s="173"/>
      <c r="BA194" s="173"/>
      <c r="BB194" s="173"/>
      <c r="BC194" s="173"/>
      <c r="BD194" s="173"/>
      <c r="BE194" s="173"/>
      <c r="BF194" s="173"/>
      <c r="BG194" s="173"/>
    </row>
    <row r="195" spans="2:60" s="181" customFormat="1" ht="18.75" customHeight="1">
      <c r="B195" s="173"/>
      <c r="C195" s="408"/>
      <c r="D195" s="408"/>
      <c r="E195" s="408"/>
      <c r="F195" s="408"/>
      <c r="G195" s="408"/>
      <c r="H195" s="175"/>
      <c r="I195" s="175"/>
      <c r="J195" s="175"/>
      <c r="K195" s="175"/>
      <c r="L195" s="175"/>
      <c r="M195" s="175"/>
      <c r="N195" s="175"/>
      <c r="O195" s="175"/>
      <c r="P195" s="175"/>
      <c r="Q195" s="175"/>
      <c r="R195" s="185"/>
      <c r="S195" s="175"/>
      <c r="T195" s="175"/>
      <c r="U195" s="175"/>
      <c r="V195" s="175"/>
      <c r="W195" s="175"/>
      <c r="X195" s="175"/>
      <c r="Y195" s="175"/>
      <c r="Z195" s="175"/>
      <c r="AA195" s="175"/>
      <c r="AB195" s="175"/>
      <c r="AC195" s="175"/>
      <c r="AD195" s="175"/>
      <c r="AE195" s="173"/>
      <c r="AF195" s="173"/>
      <c r="AG195" s="173"/>
      <c r="AH195" s="173"/>
      <c r="AI195" s="173"/>
      <c r="AJ195" s="173"/>
      <c r="AK195" s="173"/>
      <c r="AL195" s="173"/>
      <c r="AM195" s="173"/>
      <c r="AN195" s="173"/>
      <c r="AO195" s="173"/>
      <c r="AP195" s="173"/>
      <c r="AQ195" s="173"/>
      <c r="AR195" s="173"/>
      <c r="AS195" s="173"/>
      <c r="AT195" s="173"/>
      <c r="AU195" s="173"/>
      <c r="AV195" s="173"/>
      <c r="AW195" s="173"/>
      <c r="AX195" s="173"/>
      <c r="AY195" s="173"/>
      <c r="AZ195" s="173"/>
      <c r="BA195" s="173"/>
      <c r="BB195" s="173"/>
      <c r="BC195" s="173"/>
      <c r="BD195" s="173"/>
      <c r="BE195" s="173"/>
      <c r="BF195" s="173"/>
      <c r="BG195" s="173"/>
    </row>
    <row r="196" spans="2:60" s="181" customFormat="1" ht="18.75" customHeight="1">
      <c r="B196" s="173"/>
      <c r="C196" s="58"/>
      <c r="D196" s="175"/>
      <c r="E196" s="175"/>
      <c r="F196" s="175"/>
      <c r="G196" s="173"/>
      <c r="H196" s="175"/>
      <c r="I196" s="175"/>
      <c r="J196" s="175"/>
      <c r="K196" s="175"/>
      <c r="L196" s="175"/>
      <c r="M196" s="175"/>
      <c r="N196" s="175"/>
      <c r="O196" s="175"/>
      <c r="P196" s="175"/>
      <c r="Q196" s="175"/>
      <c r="R196" s="175"/>
      <c r="S196" s="175"/>
      <c r="T196" s="175"/>
      <c r="U196" s="175"/>
      <c r="V196" s="175"/>
      <c r="W196" s="175"/>
      <c r="X196" s="175"/>
      <c r="Y196" s="175"/>
      <c r="Z196" s="175"/>
      <c r="AA196" s="175"/>
      <c r="AB196" s="175"/>
      <c r="AC196" s="175"/>
      <c r="AD196" s="175"/>
      <c r="AE196" s="173"/>
      <c r="AF196" s="175"/>
      <c r="AG196" s="173"/>
      <c r="AH196" s="173"/>
      <c r="AI196" s="173"/>
      <c r="AJ196" s="173"/>
      <c r="AK196" s="173"/>
      <c r="AL196" s="173"/>
      <c r="AM196" s="173"/>
      <c r="AN196" s="173"/>
      <c r="AO196" s="173"/>
      <c r="AP196" s="173"/>
      <c r="AQ196" s="173"/>
      <c r="AR196" s="173"/>
      <c r="AS196" s="173"/>
      <c r="AT196" s="173"/>
      <c r="AU196" s="173"/>
      <c r="AV196" s="173"/>
      <c r="AW196" s="173"/>
      <c r="AX196" s="173"/>
      <c r="AY196" s="173"/>
      <c r="AZ196" s="173"/>
      <c r="BA196" s="173"/>
      <c r="BB196" s="173"/>
      <c r="BC196" s="173"/>
      <c r="BD196" s="173"/>
      <c r="BE196" s="173"/>
      <c r="BF196" s="173"/>
      <c r="BG196" s="173"/>
    </row>
    <row r="197" spans="2:60" s="181" customFormat="1" ht="18.75" customHeight="1">
      <c r="B197" s="58" t="s">
        <v>465</v>
      </c>
      <c r="C197" s="175"/>
      <c r="E197" s="175"/>
      <c r="F197" s="175"/>
      <c r="G197" s="173"/>
      <c r="H197" s="175"/>
      <c r="I197" s="175"/>
      <c r="J197" s="175"/>
      <c r="K197" s="175"/>
      <c r="L197" s="175"/>
      <c r="M197" s="175"/>
      <c r="N197" s="175"/>
      <c r="O197" s="175"/>
      <c r="P197" s="175"/>
      <c r="Q197" s="175"/>
      <c r="R197" s="175"/>
      <c r="S197" s="175"/>
      <c r="T197" s="175"/>
      <c r="U197" s="175"/>
      <c r="V197" s="175"/>
      <c r="W197" s="175"/>
      <c r="X197" s="175"/>
      <c r="Y197" s="175"/>
      <c r="Z197" s="175"/>
      <c r="AA197" s="175"/>
      <c r="AB197" s="175"/>
      <c r="AC197" s="175"/>
      <c r="AD197" s="175"/>
      <c r="AE197" s="173"/>
      <c r="AF197" s="175"/>
      <c r="AG197" s="173"/>
      <c r="AH197" s="173"/>
      <c r="AI197" s="173"/>
      <c r="AJ197" s="173"/>
      <c r="AK197" s="173"/>
      <c r="AL197" s="173"/>
      <c r="AM197" s="173"/>
      <c r="AN197" s="173"/>
      <c r="AO197" s="173"/>
      <c r="AP197" s="173"/>
      <c r="AQ197" s="173"/>
      <c r="AR197" s="173"/>
      <c r="AS197" s="173"/>
      <c r="AT197" s="173"/>
      <c r="AU197" s="173"/>
      <c r="AV197" s="173"/>
      <c r="AW197" s="173"/>
      <c r="AX197" s="173"/>
      <c r="AY197" s="173"/>
      <c r="AZ197" s="173"/>
      <c r="BA197" s="173"/>
      <c r="BB197" s="173"/>
      <c r="BC197" s="173"/>
      <c r="BD197" s="173"/>
      <c r="BE197" s="173"/>
      <c r="BF197" s="173"/>
      <c r="BG197" s="173"/>
    </row>
    <row r="198" spans="2:60" s="181" customFormat="1" ht="18.75" customHeight="1">
      <c r="B198" s="58"/>
      <c r="C198" s="272" t="s">
        <v>480</v>
      </c>
      <c r="D198" s="272"/>
      <c r="E198" s="272"/>
      <c r="F198" s="272"/>
      <c r="G198" s="272"/>
      <c r="H198" s="272"/>
      <c r="I198" s="272"/>
      <c r="J198" s="272"/>
      <c r="K198" s="272"/>
      <c r="L198" s="272"/>
      <c r="M198" s="272"/>
      <c r="N198" s="272"/>
      <c r="O198" s="272"/>
      <c r="P198" s="272"/>
      <c r="Q198" s="272"/>
      <c r="R198" s="272"/>
      <c r="S198" s="272"/>
      <c r="T198" s="272"/>
      <c r="U198" s="272"/>
      <c r="V198" s="272"/>
      <c r="W198" s="272"/>
      <c r="X198" s="272"/>
      <c r="Y198" s="272"/>
      <c r="Z198" s="272"/>
      <c r="AA198" s="272"/>
      <c r="AB198" s="272"/>
      <c r="AC198" s="272"/>
      <c r="AD198" s="272"/>
      <c r="AE198" s="272"/>
      <c r="AF198" s="272"/>
      <c r="AG198" s="272"/>
      <c r="AH198" s="272"/>
      <c r="AI198" s="272"/>
      <c r="AJ198" s="272"/>
      <c r="AK198" s="272"/>
      <c r="AL198" s="272"/>
      <c r="AM198" s="272"/>
      <c r="AN198" s="272"/>
      <c r="AO198" s="272"/>
      <c r="AP198" s="272"/>
      <c r="AQ198" s="272"/>
      <c r="AR198" s="272"/>
      <c r="AS198" s="272"/>
      <c r="AT198" s="272"/>
      <c r="AU198" s="267"/>
      <c r="AV198" s="267"/>
      <c r="AW198" s="267"/>
      <c r="AX198" s="267"/>
      <c r="AY198" s="267"/>
      <c r="AZ198" s="267"/>
      <c r="BA198" s="267"/>
      <c r="BB198" s="267"/>
      <c r="BC198" s="267"/>
      <c r="BD198" s="267"/>
      <c r="BE198" s="267"/>
      <c r="BF198" s="267"/>
      <c r="BG198" s="267"/>
    </row>
    <row r="199" spans="2:60" s="181" customFormat="1" ht="18.75" customHeight="1">
      <c r="B199" s="58"/>
      <c r="C199" s="272"/>
      <c r="D199" s="272" t="s">
        <v>479</v>
      </c>
      <c r="E199" s="272"/>
      <c r="F199" s="272"/>
      <c r="G199" s="272"/>
      <c r="H199" s="272"/>
      <c r="I199" s="272"/>
      <c r="J199" s="272"/>
      <c r="K199" s="272"/>
      <c r="L199" s="272"/>
      <c r="M199" s="272"/>
      <c r="N199" s="272"/>
      <c r="O199" s="272"/>
      <c r="P199" s="272"/>
      <c r="Q199" s="272"/>
      <c r="R199" s="272"/>
      <c r="S199" s="272"/>
      <c r="T199" s="272"/>
      <c r="U199" s="272"/>
      <c r="V199" s="272"/>
      <c r="W199" s="272"/>
      <c r="X199" s="272"/>
      <c r="Y199" s="272"/>
      <c r="Z199" s="272"/>
      <c r="AA199" s="272"/>
      <c r="AB199" s="272"/>
      <c r="AC199" s="272"/>
      <c r="AD199" s="272"/>
      <c r="AE199" s="272"/>
      <c r="AF199" s="272"/>
      <c r="AG199" s="272"/>
      <c r="AH199" s="272"/>
      <c r="AI199" s="272"/>
      <c r="AJ199" s="272"/>
      <c r="AK199" s="272"/>
      <c r="AL199" s="272"/>
      <c r="AM199" s="272"/>
      <c r="AN199" s="272"/>
      <c r="AO199" s="272"/>
      <c r="AP199" s="272"/>
      <c r="AQ199" s="272"/>
      <c r="AR199" s="272"/>
      <c r="AS199" s="272"/>
      <c r="AT199" s="272"/>
      <c r="AU199" s="267"/>
      <c r="AV199" s="267"/>
      <c r="AW199" s="267"/>
      <c r="AX199" s="267"/>
      <c r="AY199" s="267"/>
      <c r="AZ199" s="267"/>
      <c r="BA199" s="267"/>
      <c r="BB199" s="267"/>
      <c r="BC199" s="267"/>
      <c r="BD199" s="267"/>
      <c r="BE199" s="267"/>
      <c r="BF199" s="267"/>
      <c r="BG199" s="267"/>
    </row>
    <row r="200" spans="2:60" s="181" customFormat="1" ht="18.75" customHeight="1">
      <c r="B200" s="173"/>
      <c r="C200" s="178" t="s">
        <v>344</v>
      </c>
      <c r="D200" s="173"/>
      <c r="E200" s="173"/>
      <c r="F200" s="173"/>
      <c r="G200" s="173"/>
      <c r="H200" s="412">
        <v>0</v>
      </c>
      <c r="I200" s="412"/>
      <c r="J200" s="412"/>
      <c r="K200" s="412"/>
      <c r="L200" s="412"/>
      <c r="M200" s="412"/>
      <c r="N200" s="412"/>
      <c r="O200" s="412"/>
      <c r="P200" s="176"/>
      <c r="Q200" s="175"/>
      <c r="R200" s="175"/>
      <c r="S200" s="175"/>
      <c r="T200" s="175"/>
      <c r="U200" s="175"/>
      <c r="V200" s="175"/>
      <c r="W200" s="175"/>
      <c r="X200" s="175"/>
      <c r="Y200" s="175"/>
      <c r="Z200" s="175"/>
      <c r="AA200" s="175"/>
      <c r="AB200" s="175"/>
      <c r="AC200" s="175"/>
      <c r="AD200" s="175"/>
      <c r="AE200" s="175"/>
      <c r="AF200" s="175"/>
      <c r="AG200" s="175"/>
      <c r="AH200" s="175"/>
      <c r="AI200" s="175"/>
      <c r="AJ200" s="175"/>
      <c r="AK200" s="175"/>
      <c r="AL200" s="175"/>
      <c r="AM200" s="175"/>
      <c r="AN200" s="175"/>
      <c r="AO200" s="175"/>
      <c r="AP200" s="175"/>
      <c r="AQ200" s="175"/>
      <c r="AR200" s="175"/>
      <c r="AS200" s="175"/>
      <c r="AT200" s="175"/>
      <c r="AU200" s="175"/>
      <c r="AV200" s="175"/>
      <c r="AW200" s="175"/>
      <c r="AX200" s="175"/>
      <c r="AY200" s="173"/>
      <c r="AZ200" s="173"/>
      <c r="BA200" s="173"/>
      <c r="BB200" s="173"/>
      <c r="BC200" s="173"/>
      <c r="BD200" s="173"/>
      <c r="BE200" s="173"/>
      <c r="BF200" s="173"/>
      <c r="BG200" s="173"/>
    </row>
    <row r="201" spans="2:60" s="181" customFormat="1" ht="18.75" customHeight="1">
      <c r="B201" s="173"/>
      <c r="C201" s="175" t="s">
        <v>345</v>
      </c>
      <c r="D201" s="175"/>
      <c r="E201" s="175"/>
      <c r="F201" s="175"/>
      <c r="G201" s="175"/>
      <c r="H201" s="175"/>
      <c r="I201" s="173"/>
      <c r="J201" s="178" t="s">
        <v>369</v>
      </c>
      <c r="K201" s="195"/>
      <c r="L201" s="195"/>
      <c r="M201" s="195"/>
      <c r="N201" s="195"/>
      <c r="O201" s="489">
        <f>O202/1000</f>
        <v>0</v>
      </c>
      <c r="P201" s="489"/>
      <c r="Q201" s="489"/>
      <c r="R201" s="270" t="s">
        <v>481</v>
      </c>
      <c r="S201" s="271"/>
      <c r="T201" s="271"/>
      <c r="U201" s="195"/>
      <c r="V201" s="195"/>
      <c r="W201" s="195"/>
      <c r="X201" s="195"/>
      <c r="Y201" s="195"/>
      <c r="Z201" s="195"/>
      <c r="AA201" s="195"/>
      <c r="AB201" s="195"/>
      <c r="AC201" s="195"/>
      <c r="AD201" s="195"/>
      <c r="AE201" s="195"/>
      <c r="AF201" s="195"/>
      <c r="AG201" s="195"/>
      <c r="AH201" s="195"/>
      <c r="AI201" s="195"/>
      <c r="AJ201" s="195"/>
      <c r="AK201" s="195"/>
      <c r="AL201" s="195"/>
      <c r="AM201" s="195"/>
      <c r="AN201" s="195"/>
      <c r="AO201" s="195"/>
      <c r="AP201" s="195"/>
      <c r="AQ201" s="195"/>
      <c r="AR201" s="195"/>
      <c r="AS201" s="195"/>
      <c r="AT201" s="195"/>
      <c r="AU201" s="195"/>
      <c r="AV201" s="195"/>
      <c r="AW201" s="195"/>
      <c r="AX201" s="195"/>
      <c r="AY201" s="195"/>
      <c r="AZ201" s="195"/>
      <c r="BA201" s="195"/>
      <c r="BB201" s="173"/>
      <c r="BC201" s="173"/>
      <c r="BD201" s="173"/>
      <c r="BE201" s="173"/>
      <c r="BF201" s="173"/>
      <c r="BG201" s="173"/>
    </row>
    <row r="202" spans="2:60" s="181" customFormat="1" ht="18.75" customHeight="1">
      <c r="B202" s="173"/>
      <c r="C202" s="175"/>
      <c r="D202" s="175"/>
      <c r="E202" s="175"/>
      <c r="F202" s="175"/>
      <c r="G202" s="175"/>
      <c r="H202" s="175"/>
      <c r="I202" s="272"/>
      <c r="K202" s="476" t="s">
        <v>482</v>
      </c>
      <c r="L202" s="476"/>
      <c r="M202" s="476"/>
      <c r="N202" s="415" t="s">
        <v>281</v>
      </c>
      <c r="O202" s="490">
        <f>Calcu!G61</f>
        <v>0</v>
      </c>
      <c r="P202" s="490"/>
      <c r="Q202" s="273" t="s">
        <v>483</v>
      </c>
      <c r="R202" s="273"/>
      <c r="S202" s="415" t="s">
        <v>281</v>
      </c>
      <c r="T202" s="406">
        <f>O202/SQRT(3)</f>
        <v>0</v>
      </c>
      <c r="U202" s="406"/>
      <c r="V202" s="406"/>
      <c r="W202" s="486" t="str">
        <f>Q202</f>
        <v>μm</v>
      </c>
      <c r="X202" s="486"/>
      <c r="Y202" s="192"/>
      <c r="Z202" s="192"/>
      <c r="AA202" s="192"/>
      <c r="AB202" s="175"/>
      <c r="AC202" s="175"/>
      <c r="AD202" s="175"/>
      <c r="AE202" s="175"/>
      <c r="AF202" s="175"/>
      <c r="AG202" s="175"/>
      <c r="AH202" s="175"/>
      <c r="AI202" s="175"/>
      <c r="AJ202" s="175"/>
      <c r="AK202" s="175"/>
      <c r="AL202" s="175"/>
      <c r="AM202" s="175"/>
      <c r="AN202" s="173"/>
      <c r="AO202" s="173"/>
      <c r="AP202" s="173"/>
      <c r="AQ202" s="173"/>
      <c r="AR202" s="175"/>
      <c r="AS202" s="175"/>
      <c r="AT202" s="175"/>
      <c r="AU202" s="175"/>
      <c r="AV202" s="175"/>
      <c r="AW202" s="175"/>
      <c r="AX202" s="175"/>
      <c r="AY202" s="175"/>
      <c r="AZ202" s="173"/>
      <c r="BA202" s="173"/>
      <c r="BB202" s="173"/>
      <c r="BC202" s="173"/>
      <c r="BD202" s="173"/>
      <c r="BE202" s="173"/>
      <c r="BF202" s="173"/>
      <c r="BG202" s="173"/>
      <c r="BH202" s="173"/>
    </row>
    <row r="203" spans="2:60" s="181" customFormat="1" ht="18.75" customHeight="1">
      <c r="B203" s="173"/>
      <c r="C203" s="175"/>
      <c r="D203" s="175"/>
      <c r="E203" s="175"/>
      <c r="F203" s="175"/>
      <c r="G203" s="175"/>
      <c r="H203" s="175"/>
      <c r="I203" s="272"/>
      <c r="J203" s="276"/>
      <c r="K203" s="476"/>
      <c r="L203" s="476"/>
      <c r="M203" s="476"/>
      <c r="N203" s="415"/>
      <c r="O203" s="475"/>
      <c r="P203" s="475"/>
      <c r="Q203" s="475"/>
      <c r="R203" s="475"/>
      <c r="S203" s="415"/>
      <c r="T203" s="406"/>
      <c r="U203" s="406"/>
      <c r="V203" s="406"/>
      <c r="W203" s="486"/>
      <c r="X203" s="486"/>
      <c r="Y203" s="192"/>
      <c r="Z203" s="192"/>
      <c r="AA203" s="192"/>
      <c r="AB203" s="175"/>
      <c r="AC203" s="175"/>
      <c r="AD203" s="175"/>
      <c r="AE203" s="175"/>
      <c r="AF203" s="175"/>
      <c r="AG203" s="175"/>
      <c r="AH203" s="175"/>
      <c r="AI203" s="175"/>
      <c r="AJ203" s="175"/>
      <c r="AK203" s="175"/>
      <c r="AL203" s="175"/>
      <c r="AM203" s="175"/>
      <c r="AN203" s="173"/>
      <c r="AO203" s="173"/>
      <c r="AP203" s="173"/>
      <c r="AQ203" s="173"/>
      <c r="AR203" s="175"/>
      <c r="AS203" s="175"/>
      <c r="AT203" s="175"/>
      <c r="AU203" s="175"/>
      <c r="AV203" s="175"/>
      <c r="AW203" s="175"/>
      <c r="AX203" s="175"/>
      <c r="AY203" s="175"/>
      <c r="AZ203" s="173"/>
      <c r="BA203" s="173"/>
      <c r="BB203" s="173"/>
      <c r="BC203" s="173"/>
      <c r="BD203" s="173"/>
      <c r="BE203" s="173"/>
      <c r="BF203" s="173"/>
      <c r="BG203" s="173"/>
      <c r="BH203" s="173"/>
    </row>
    <row r="204" spans="2:60" s="181" customFormat="1" ht="18.75" customHeight="1">
      <c r="B204" s="173"/>
      <c r="C204" s="175" t="s">
        <v>346</v>
      </c>
      <c r="D204" s="175"/>
      <c r="E204" s="175"/>
      <c r="F204" s="175"/>
      <c r="G204" s="175"/>
      <c r="H204" s="175"/>
      <c r="I204" s="471" t="str">
        <f>V85</f>
        <v>직사각형</v>
      </c>
      <c r="J204" s="471"/>
      <c r="K204" s="471"/>
      <c r="L204" s="471"/>
      <c r="M204" s="471"/>
      <c r="N204" s="471"/>
      <c r="O204" s="471"/>
      <c r="P204" s="471"/>
      <c r="Q204" s="175"/>
      <c r="R204" s="175"/>
      <c r="S204" s="175"/>
      <c r="T204" s="175"/>
      <c r="U204" s="175"/>
      <c r="V204" s="175"/>
      <c r="W204" s="175"/>
      <c r="X204" s="175"/>
      <c r="Y204" s="175"/>
      <c r="Z204" s="173"/>
      <c r="AA204" s="173"/>
      <c r="AB204" s="173"/>
      <c r="AC204" s="173"/>
      <c r="AD204" s="173"/>
      <c r="AE204" s="173"/>
      <c r="AF204" s="173"/>
      <c r="AG204" s="173"/>
      <c r="AH204" s="175"/>
      <c r="AI204" s="175"/>
      <c r="AJ204" s="175"/>
      <c r="AK204" s="175"/>
      <c r="AL204" s="173"/>
      <c r="AM204" s="173"/>
      <c r="AN204" s="173"/>
      <c r="AO204" s="173"/>
      <c r="AP204" s="173"/>
      <c r="AQ204" s="173"/>
      <c r="AR204" s="173"/>
      <c r="AS204" s="175"/>
      <c r="AT204" s="175"/>
      <c r="AU204" s="175"/>
      <c r="AV204" s="175"/>
      <c r="AW204" s="175"/>
      <c r="AX204" s="175"/>
      <c r="AY204" s="173"/>
      <c r="AZ204" s="173"/>
      <c r="BA204" s="173"/>
      <c r="BB204" s="173"/>
      <c r="BC204" s="173"/>
      <c r="BD204" s="173"/>
      <c r="BE204" s="173"/>
      <c r="BF204" s="173"/>
      <c r="BG204" s="173"/>
    </row>
    <row r="205" spans="2:60" s="181" customFormat="1" ht="18.75" customHeight="1">
      <c r="B205" s="173"/>
      <c r="C205" s="408" t="s">
        <v>347</v>
      </c>
      <c r="D205" s="408"/>
      <c r="E205" s="408"/>
      <c r="F205" s="408"/>
      <c r="G205" s="408"/>
      <c r="H205" s="408"/>
      <c r="I205" s="175"/>
      <c r="J205" s="175"/>
      <c r="K205" s="175"/>
      <c r="L205" s="175"/>
      <c r="M205" s="175"/>
      <c r="N205" s="403">
        <f>AA85</f>
        <v>1</v>
      </c>
      <c r="O205" s="403"/>
      <c r="P205" s="193"/>
      <c r="Q205" s="193"/>
      <c r="R205" s="193"/>
      <c r="S205" s="175"/>
      <c r="T205" s="175"/>
      <c r="U205" s="175"/>
      <c r="V205" s="175"/>
      <c r="W205" s="175"/>
      <c r="X205" s="175"/>
      <c r="Y205" s="175"/>
      <c r="Z205" s="194"/>
      <c r="AA205" s="194"/>
      <c r="AB205" s="175"/>
      <c r="AC205" s="175"/>
      <c r="AD205" s="175"/>
      <c r="AE205" s="175"/>
      <c r="AF205" s="175"/>
      <c r="AG205" s="175"/>
      <c r="AH205" s="175"/>
      <c r="AI205" s="175"/>
      <c r="AJ205" s="175"/>
      <c r="AK205" s="175"/>
      <c r="AL205" s="173"/>
      <c r="AM205" s="173"/>
      <c r="AN205" s="173"/>
      <c r="AO205" s="175"/>
      <c r="AP205" s="175"/>
      <c r="AQ205" s="175"/>
      <c r="AR205" s="175"/>
      <c r="AS205" s="175"/>
      <c r="AT205" s="175"/>
      <c r="AU205" s="175"/>
      <c r="AV205" s="175"/>
      <c r="AW205" s="175"/>
      <c r="AX205" s="175"/>
      <c r="AY205" s="173"/>
      <c r="AZ205" s="173"/>
      <c r="BA205" s="173"/>
      <c r="BB205" s="173"/>
      <c r="BC205" s="173"/>
      <c r="BD205" s="173"/>
      <c r="BE205" s="173"/>
      <c r="BF205" s="173"/>
      <c r="BG205" s="173"/>
    </row>
    <row r="206" spans="2:60" s="181" customFormat="1" ht="18.75" customHeight="1">
      <c r="B206" s="173"/>
      <c r="C206" s="408"/>
      <c r="D206" s="408"/>
      <c r="E206" s="408"/>
      <c r="F206" s="408"/>
      <c r="G206" s="408"/>
      <c r="H206" s="408"/>
      <c r="I206" s="175"/>
      <c r="J206" s="175"/>
      <c r="K206" s="175"/>
      <c r="L206" s="175"/>
      <c r="M206" s="175"/>
      <c r="N206" s="403"/>
      <c r="O206" s="403"/>
      <c r="P206" s="193"/>
      <c r="Q206" s="193"/>
      <c r="R206" s="193"/>
      <c r="S206" s="175"/>
      <c r="T206" s="175"/>
      <c r="U206" s="175"/>
      <c r="V206" s="175"/>
      <c r="W206" s="175"/>
      <c r="X206" s="175"/>
      <c r="Y206" s="175"/>
      <c r="Z206" s="194"/>
      <c r="AA206" s="194"/>
      <c r="AB206" s="175"/>
      <c r="AC206" s="175"/>
      <c r="AD206" s="175"/>
      <c r="AE206" s="175"/>
      <c r="AF206" s="175"/>
      <c r="AG206" s="175"/>
      <c r="AH206" s="175"/>
      <c r="AI206" s="175"/>
      <c r="AJ206" s="175"/>
      <c r="AK206" s="175"/>
      <c r="AL206" s="173"/>
      <c r="AM206" s="173"/>
      <c r="AN206" s="173"/>
      <c r="AO206" s="175"/>
      <c r="AP206" s="175"/>
      <c r="AQ206" s="175"/>
      <c r="AR206" s="175"/>
      <c r="AS206" s="175"/>
      <c r="AT206" s="175"/>
      <c r="AU206" s="175"/>
      <c r="AV206" s="175"/>
      <c r="AW206" s="175"/>
      <c r="AX206" s="175"/>
      <c r="AY206" s="173"/>
      <c r="AZ206" s="173"/>
      <c r="BA206" s="173"/>
      <c r="BB206" s="173"/>
      <c r="BC206" s="173"/>
      <c r="BD206" s="173"/>
      <c r="BE206" s="173"/>
      <c r="BF206" s="173"/>
      <c r="BG206" s="173"/>
    </row>
    <row r="207" spans="2:60" s="181" customFormat="1" ht="18.75" customHeight="1">
      <c r="B207" s="173"/>
      <c r="C207" s="175" t="s">
        <v>348</v>
      </c>
      <c r="D207" s="175"/>
      <c r="E207" s="175"/>
      <c r="F207" s="175"/>
      <c r="G207" s="175"/>
      <c r="H207" s="175"/>
      <c r="I207" s="175"/>
      <c r="J207" s="173"/>
      <c r="K207" s="173" t="s">
        <v>303</v>
      </c>
      <c r="L207" s="403">
        <v>1</v>
      </c>
      <c r="M207" s="403"/>
      <c r="N207" s="274" t="s">
        <v>86</v>
      </c>
      <c r="O207" s="406">
        <f>T202</f>
        <v>0</v>
      </c>
      <c r="P207" s="405"/>
      <c r="Q207" s="405"/>
      <c r="R207" s="407" t="str">
        <f>W202</f>
        <v>μm</v>
      </c>
      <c r="S207" s="405"/>
      <c r="T207" s="268" t="s">
        <v>478</v>
      </c>
      <c r="U207" s="74" t="s">
        <v>281</v>
      </c>
      <c r="V207" s="406">
        <f>L207*O207</f>
        <v>0</v>
      </c>
      <c r="W207" s="406"/>
      <c r="X207" s="406"/>
      <c r="Y207" s="269" t="str">
        <f>R207</f>
        <v>μm</v>
      </c>
      <c r="Z207" s="56"/>
      <c r="AA207" s="270"/>
      <c r="AB207" s="272"/>
      <c r="AC207" s="185"/>
      <c r="AD207" s="173"/>
      <c r="AE207" s="175"/>
      <c r="AF207" s="173"/>
      <c r="AG207" s="173"/>
      <c r="AH207" s="173"/>
      <c r="AI207" s="173"/>
      <c r="AJ207" s="173"/>
      <c r="AK207" s="175"/>
      <c r="AL207" s="173"/>
      <c r="AM207" s="173"/>
      <c r="AN207" s="173"/>
      <c r="AO207" s="175"/>
      <c r="AP207" s="175"/>
      <c r="AQ207" s="175"/>
      <c r="AR207" s="175"/>
      <c r="AS207" s="175"/>
      <c r="AT207" s="175"/>
      <c r="AU207" s="175"/>
      <c r="AV207" s="175"/>
      <c r="AW207" s="175"/>
      <c r="AX207" s="175"/>
      <c r="AY207" s="173"/>
      <c r="AZ207" s="173"/>
      <c r="BA207" s="173"/>
      <c r="BB207" s="173"/>
      <c r="BC207" s="173"/>
      <c r="BD207" s="173"/>
      <c r="BE207" s="173"/>
      <c r="BF207" s="173"/>
      <c r="BG207" s="173"/>
    </row>
    <row r="208" spans="2:60" s="181" customFormat="1" ht="18.75" customHeight="1">
      <c r="B208" s="173"/>
      <c r="C208" s="408" t="s">
        <v>349</v>
      </c>
      <c r="D208" s="408"/>
      <c r="E208" s="408"/>
      <c r="F208" s="408"/>
      <c r="G208" s="408"/>
      <c r="H208" s="175"/>
      <c r="J208" s="175"/>
      <c r="K208" s="175"/>
      <c r="L208" s="175"/>
      <c r="M208" s="175"/>
      <c r="N208" s="175"/>
      <c r="O208" s="175"/>
      <c r="P208" s="175"/>
      <c r="Q208" s="175"/>
      <c r="R208" s="185"/>
      <c r="S208" s="175"/>
      <c r="T208" s="175"/>
      <c r="U208" s="175"/>
      <c r="W208" s="175"/>
      <c r="X208" s="57" t="s">
        <v>94</v>
      </c>
      <c r="Y208" s="175"/>
      <c r="Z208" s="175"/>
      <c r="AA208" s="175"/>
      <c r="AB208" s="175"/>
      <c r="AC208" s="175"/>
      <c r="AD208" s="175"/>
      <c r="AE208" s="173"/>
      <c r="AF208" s="173"/>
      <c r="AG208" s="173"/>
      <c r="AH208" s="173"/>
      <c r="AI208" s="173"/>
      <c r="AJ208" s="173"/>
      <c r="AK208" s="173"/>
      <c r="AL208" s="173"/>
      <c r="AM208" s="173"/>
      <c r="AN208" s="173"/>
      <c r="AO208" s="173"/>
      <c r="AP208" s="173"/>
      <c r="AQ208" s="173"/>
      <c r="AR208" s="173"/>
      <c r="AS208" s="173"/>
      <c r="AT208" s="173"/>
      <c r="AU208" s="173"/>
      <c r="AV208" s="173"/>
      <c r="AW208" s="173"/>
      <c r="AX208" s="173"/>
      <c r="AY208" s="173"/>
      <c r="AZ208" s="173"/>
      <c r="BA208" s="173"/>
      <c r="BB208" s="173"/>
      <c r="BC208" s="173"/>
      <c r="BD208" s="173"/>
      <c r="BE208" s="173"/>
      <c r="BF208" s="173"/>
      <c r="BG208" s="173"/>
    </row>
    <row r="209" spans="1:80" s="181" customFormat="1" ht="18.75" customHeight="1">
      <c r="B209" s="173"/>
      <c r="C209" s="408"/>
      <c r="D209" s="408"/>
      <c r="E209" s="408"/>
      <c r="F209" s="408"/>
      <c r="G209" s="408"/>
      <c r="H209" s="175"/>
      <c r="I209" s="175"/>
      <c r="J209" s="175"/>
      <c r="K209" s="175"/>
      <c r="L209" s="175"/>
      <c r="M209" s="175"/>
      <c r="N209" s="175"/>
      <c r="O209" s="175"/>
      <c r="P209" s="175"/>
      <c r="Q209" s="175"/>
      <c r="R209" s="185"/>
      <c r="S209" s="175"/>
      <c r="T209" s="175"/>
      <c r="U209" s="175"/>
      <c r="V209" s="175"/>
      <c r="W209" s="175"/>
      <c r="X209" s="175"/>
      <c r="Y209" s="175"/>
      <c r="Z209" s="175"/>
      <c r="AA209" s="175"/>
      <c r="AB209" s="175"/>
      <c r="AC209" s="175"/>
      <c r="AD209" s="175"/>
      <c r="AE209" s="173"/>
      <c r="AF209" s="175"/>
      <c r="AG209" s="173"/>
      <c r="AH209" s="173"/>
      <c r="AI209" s="173"/>
      <c r="AJ209" s="173"/>
      <c r="AK209" s="173"/>
      <c r="AL209" s="173"/>
      <c r="AM209" s="173"/>
      <c r="AN209" s="173"/>
      <c r="AO209" s="173"/>
      <c r="AP209" s="173"/>
      <c r="AQ209" s="173"/>
      <c r="AR209" s="173"/>
      <c r="AS209" s="173"/>
      <c r="AT209" s="173"/>
      <c r="AU209" s="173"/>
      <c r="AV209" s="173"/>
      <c r="AW209" s="173"/>
      <c r="AX209" s="173"/>
      <c r="AY209" s="173"/>
      <c r="AZ209" s="173"/>
      <c r="BA209" s="173"/>
      <c r="BB209" s="173"/>
      <c r="BC209" s="173"/>
      <c r="BD209" s="173"/>
      <c r="BE209" s="173"/>
      <c r="BF209" s="173"/>
      <c r="BG209" s="173"/>
    </row>
    <row r="210" spans="1:80" s="181" customFormat="1" ht="18.75" customHeight="1">
      <c r="B210" s="173"/>
      <c r="C210" s="175"/>
      <c r="D210" s="175"/>
      <c r="E210" s="175"/>
      <c r="F210" s="175"/>
      <c r="G210" s="173"/>
      <c r="H210" s="175"/>
      <c r="I210" s="175"/>
      <c r="J210" s="175"/>
      <c r="K210" s="175"/>
      <c r="L210" s="175"/>
      <c r="M210" s="175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  <c r="AA210" s="175"/>
      <c r="AB210" s="175"/>
      <c r="AC210" s="175"/>
      <c r="AD210" s="175"/>
      <c r="AE210" s="173"/>
      <c r="AF210" s="175"/>
      <c r="AG210" s="173"/>
      <c r="AH210" s="173"/>
      <c r="AI210" s="173"/>
      <c r="AJ210" s="173"/>
      <c r="AK210" s="173"/>
      <c r="AL210" s="173"/>
      <c r="AM210" s="173"/>
      <c r="AN210" s="173"/>
      <c r="AO210" s="173"/>
      <c r="AP210" s="173"/>
      <c r="AQ210" s="173"/>
      <c r="AR210" s="173"/>
      <c r="AS210" s="173"/>
      <c r="AT210" s="173"/>
      <c r="AU210" s="173"/>
      <c r="AV210" s="173"/>
      <c r="AW210" s="173"/>
      <c r="AX210" s="173"/>
      <c r="AY210" s="173"/>
      <c r="AZ210" s="173"/>
      <c r="BA210" s="173"/>
      <c r="BB210" s="173"/>
      <c r="BC210" s="173"/>
      <c r="BD210" s="173"/>
      <c r="BE210" s="173"/>
      <c r="BF210" s="173"/>
      <c r="BG210" s="173"/>
    </row>
    <row r="211" spans="1:80" s="181" customFormat="1" ht="18.75" customHeight="1">
      <c r="A211" s="58" t="s">
        <v>350</v>
      </c>
      <c r="B211" s="173"/>
      <c r="C211" s="173"/>
      <c r="D211" s="173"/>
      <c r="E211" s="173"/>
      <c r="F211" s="173"/>
      <c r="G211" s="173"/>
      <c r="H211" s="173"/>
      <c r="I211" s="173"/>
      <c r="J211" s="173"/>
      <c r="K211" s="173"/>
      <c r="L211" s="173"/>
      <c r="M211" s="173"/>
      <c r="N211" s="173"/>
      <c r="O211" s="173"/>
      <c r="P211" s="173"/>
      <c r="Q211" s="173"/>
      <c r="R211" s="173"/>
      <c r="S211" s="173"/>
      <c r="T211" s="173"/>
      <c r="U211" s="173"/>
      <c r="V211" s="173"/>
      <c r="W211" s="173"/>
      <c r="X211" s="173"/>
      <c r="Y211" s="173"/>
      <c r="Z211" s="173"/>
      <c r="AA211" s="173"/>
      <c r="AB211" s="173"/>
      <c r="AC211" s="173"/>
      <c r="AD211" s="173"/>
      <c r="AE211" s="173"/>
      <c r="AF211" s="173"/>
      <c r="AG211" s="173"/>
      <c r="AH211" s="173"/>
      <c r="AI211" s="173"/>
      <c r="AJ211" s="173"/>
      <c r="AK211" s="173"/>
      <c r="AL211" s="173"/>
      <c r="AM211" s="173"/>
      <c r="AN211" s="173"/>
      <c r="AO211" s="173"/>
      <c r="AP211" s="173"/>
      <c r="AQ211" s="173"/>
      <c r="AR211" s="173"/>
      <c r="AS211" s="173"/>
      <c r="AT211" s="173"/>
      <c r="AU211" s="173"/>
      <c r="AV211" s="173"/>
      <c r="AW211" s="173"/>
      <c r="AX211" s="173"/>
      <c r="AY211" s="173"/>
      <c r="AZ211" s="173"/>
      <c r="BA211" s="173"/>
      <c r="BB211" s="173"/>
      <c r="BC211" s="173"/>
      <c r="BD211" s="173"/>
      <c r="BE211" s="173"/>
      <c r="BF211" s="173"/>
    </row>
    <row r="212" spans="1:80" s="181" customFormat="1" ht="18.75" customHeight="1">
      <c r="A212" s="173"/>
      <c r="B212" s="173"/>
      <c r="C212" s="173"/>
      <c r="D212" s="173"/>
      <c r="E212" s="173"/>
      <c r="F212" s="173"/>
      <c r="G212" s="173"/>
      <c r="H212" s="173"/>
      <c r="I212" s="173"/>
      <c r="J212" s="173"/>
      <c r="K212" s="173"/>
      <c r="L212" s="173"/>
      <c r="M212" s="173"/>
      <c r="N212" s="173"/>
      <c r="O212" s="173"/>
      <c r="P212" s="173"/>
      <c r="Q212" s="173"/>
      <c r="R212" s="173"/>
      <c r="S212" s="173"/>
      <c r="T212" s="173"/>
      <c r="U212" s="173"/>
      <c r="V212" s="173"/>
      <c r="W212" s="173"/>
      <c r="X212" s="173"/>
      <c r="Y212" s="173"/>
      <c r="Z212" s="173"/>
      <c r="AA212" s="173"/>
      <c r="AB212" s="173"/>
      <c r="AC212" s="173"/>
      <c r="AD212" s="173"/>
      <c r="AE212" s="175"/>
      <c r="AF212" s="173"/>
      <c r="AG212" s="173"/>
      <c r="AH212" s="173"/>
      <c r="AI212" s="173"/>
      <c r="AJ212" s="173"/>
      <c r="AK212" s="173"/>
      <c r="AL212" s="173"/>
      <c r="AM212" s="173"/>
      <c r="AN212" s="173"/>
      <c r="AO212" s="173"/>
      <c r="AP212" s="173"/>
      <c r="AQ212" s="173"/>
      <c r="AR212" s="173"/>
      <c r="AS212" s="173"/>
      <c r="AT212" s="173"/>
      <c r="AU212" s="173"/>
      <c r="AV212" s="173"/>
      <c r="AW212" s="173"/>
      <c r="AX212" s="173"/>
      <c r="AY212" s="173"/>
      <c r="AZ212" s="173"/>
      <c r="BA212" s="173"/>
      <c r="BB212" s="173"/>
      <c r="BC212" s="173"/>
      <c r="BD212" s="173"/>
      <c r="BE212" s="173"/>
      <c r="BF212" s="173"/>
    </row>
    <row r="213" spans="1:80" s="59" customFormat="1" ht="18.75" customHeight="1">
      <c r="A213" s="175"/>
      <c r="B213" s="283"/>
      <c r="C213" s="283"/>
      <c r="D213" s="175"/>
      <c r="E213" s="173" t="s">
        <v>282</v>
      </c>
      <c r="F213" s="401" t="e">
        <f ca="1">Calcu!Q54</f>
        <v>#N/A</v>
      </c>
      <c r="G213" s="401"/>
      <c r="H213" s="401"/>
      <c r="I213" s="175" t="s">
        <v>335</v>
      </c>
      <c r="J213" s="175"/>
      <c r="K213" s="403" t="s">
        <v>101</v>
      </c>
      <c r="L213" s="403"/>
      <c r="M213" s="401">
        <f>Calcu!Q55</f>
        <v>0</v>
      </c>
      <c r="N213" s="401"/>
      <c r="O213" s="401"/>
      <c r="P213" s="175" t="s">
        <v>144</v>
      </c>
      <c r="Q213" s="175"/>
      <c r="R213" s="403" t="s">
        <v>351</v>
      </c>
      <c r="S213" s="403"/>
      <c r="T213" s="401">
        <f>Calcu!Q56</f>
        <v>0</v>
      </c>
      <c r="U213" s="401"/>
      <c r="V213" s="401"/>
      <c r="W213" s="175" t="s">
        <v>144</v>
      </c>
      <c r="X213" s="175"/>
      <c r="Y213" s="403" t="s">
        <v>351</v>
      </c>
      <c r="Z213" s="403"/>
      <c r="AA213" s="401">
        <f>Calcu!Q58</f>
        <v>0</v>
      </c>
      <c r="AB213" s="401"/>
      <c r="AC213" s="401"/>
      <c r="AD213" s="175" t="s">
        <v>144</v>
      </c>
      <c r="AE213" s="175"/>
      <c r="AF213" s="403" t="s">
        <v>351</v>
      </c>
      <c r="AG213" s="403"/>
      <c r="AH213" s="401" t="e">
        <f ca="1">Calcu!Q57</f>
        <v>#N/A</v>
      </c>
      <c r="AI213" s="401"/>
      <c r="AJ213" s="401"/>
      <c r="AK213" s="175" t="s">
        <v>335</v>
      </c>
      <c r="AL213" s="175"/>
      <c r="AM213" s="175"/>
      <c r="AN213" s="175"/>
      <c r="AO213" s="178"/>
      <c r="AP213" s="175"/>
      <c r="AQ213" s="175"/>
      <c r="AR213" s="175"/>
      <c r="AS213" s="175"/>
      <c r="AT213" s="175"/>
      <c r="AU213" s="175"/>
      <c r="AV213" s="175"/>
      <c r="AW213" s="175"/>
      <c r="AX213" s="175"/>
      <c r="AY213" s="175"/>
      <c r="AZ213" s="175"/>
      <c r="BA213" s="175"/>
      <c r="BB213" s="175"/>
      <c r="BC213" s="175"/>
      <c r="BD213" s="175"/>
      <c r="BE213" s="175"/>
      <c r="BF213" s="175"/>
      <c r="BG213" s="175"/>
      <c r="BH213" s="175"/>
    </row>
    <row r="214" spans="1:80" s="59" customFormat="1" ht="18.75" customHeight="1">
      <c r="A214" s="175"/>
      <c r="B214" s="283"/>
      <c r="C214" s="283"/>
      <c r="D214" s="175"/>
      <c r="E214" s="175"/>
      <c r="F214" s="403" t="s">
        <v>351</v>
      </c>
      <c r="G214" s="403"/>
      <c r="H214" s="401" t="e">
        <f ca="1">Calcu!Q59</f>
        <v>#N/A</v>
      </c>
      <c r="I214" s="401"/>
      <c r="J214" s="401"/>
      <c r="K214" s="175" t="s">
        <v>335</v>
      </c>
      <c r="L214" s="175"/>
      <c r="M214" s="403" t="s">
        <v>351</v>
      </c>
      <c r="N214" s="403"/>
      <c r="O214" s="401">
        <f>Calcu!Q60</f>
        <v>0</v>
      </c>
      <c r="P214" s="401"/>
      <c r="Q214" s="401"/>
      <c r="R214" s="175" t="s">
        <v>144</v>
      </c>
      <c r="S214" s="175"/>
      <c r="T214" s="403" t="s">
        <v>351</v>
      </c>
      <c r="U214" s="403"/>
      <c r="V214" s="401">
        <f>Calcu!Q61</f>
        <v>0</v>
      </c>
      <c r="W214" s="401"/>
      <c r="X214" s="401"/>
      <c r="Y214" s="175" t="s">
        <v>144</v>
      </c>
      <c r="Z214" s="175"/>
      <c r="AA214" s="175"/>
      <c r="AB214" s="175"/>
      <c r="AC214" s="175"/>
      <c r="AD214" s="63"/>
      <c r="AE214" s="63"/>
      <c r="AF214" s="63"/>
      <c r="AG214" s="175"/>
      <c r="AH214" s="175"/>
      <c r="AI214" s="175"/>
      <c r="AJ214" s="175"/>
      <c r="AK214" s="175"/>
      <c r="AL214" s="175"/>
      <c r="AM214" s="175"/>
      <c r="AN214" s="175"/>
      <c r="AO214" s="175"/>
      <c r="AP214" s="175"/>
      <c r="AQ214" s="175"/>
      <c r="AR214" s="175"/>
      <c r="AS214" s="175"/>
      <c r="AT214" s="175"/>
      <c r="AU214" s="175"/>
      <c r="AV214" s="175"/>
      <c r="AW214" s="175"/>
      <c r="AX214" s="175"/>
      <c r="AY214" s="175"/>
      <c r="AZ214" s="175"/>
      <c r="BA214" s="175"/>
      <c r="BB214" s="175"/>
      <c r="BC214" s="175"/>
      <c r="BD214" s="175"/>
      <c r="BE214" s="175"/>
      <c r="BF214" s="175"/>
      <c r="BG214" s="175"/>
      <c r="BH214" s="175"/>
    </row>
    <row r="215" spans="1:80" s="59" customFormat="1" ht="18.75" customHeight="1">
      <c r="A215" s="175"/>
      <c r="B215" s="283"/>
      <c r="C215" s="283"/>
      <c r="D215" s="175"/>
      <c r="E215" s="173" t="s">
        <v>281</v>
      </c>
      <c r="F215" s="401" t="e">
        <f ca="1">Calcu!Q62</f>
        <v>#N/A</v>
      </c>
      <c r="G215" s="401"/>
      <c r="H215" s="401"/>
      <c r="I215" s="175" t="s">
        <v>144</v>
      </c>
      <c r="J215" s="175"/>
      <c r="K215" s="175"/>
      <c r="L215" s="175"/>
      <c r="M215" s="196"/>
      <c r="N215" s="196"/>
      <c r="O215" s="196"/>
      <c r="P215" s="196"/>
      <c r="Q215" s="175"/>
      <c r="R215" s="175"/>
      <c r="S215" s="175"/>
      <c r="T215" s="175"/>
      <c r="U215" s="175"/>
      <c r="V215" s="175"/>
      <c r="W215" s="175"/>
      <c r="X215" s="175"/>
      <c r="Y215" s="175"/>
      <c r="Z215" s="175"/>
      <c r="AA215" s="175"/>
      <c r="AB215" s="175"/>
      <c r="AC215" s="175"/>
      <c r="AD215" s="175"/>
      <c r="AE215" s="175"/>
      <c r="AF215" s="175"/>
      <c r="AG215" s="173"/>
      <c r="AH215" s="175"/>
      <c r="AI215" s="175"/>
      <c r="AJ215" s="175"/>
      <c r="AK215" s="175"/>
      <c r="AL215" s="175"/>
      <c r="AM215" s="175"/>
      <c r="AN215" s="175"/>
      <c r="AO215" s="175"/>
      <c r="AP215" s="175"/>
      <c r="AQ215" s="175"/>
      <c r="AR215" s="175"/>
      <c r="AS215" s="175"/>
      <c r="AT215" s="175"/>
      <c r="AU215" s="175"/>
      <c r="AV215" s="175"/>
      <c r="AW215" s="175"/>
      <c r="AX215" s="175"/>
      <c r="AY215" s="175"/>
      <c r="AZ215" s="175"/>
      <c r="BA215" s="175"/>
      <c r="BB215" s="175"/>
      <c r="BC215" s="175"/>
      <c r="BD215" s="175"/>
      <c r="BE215" s="175"/>
      <c r="BF215" s="175"/>
      <c r="BG215" s="175"/>
      <c r="BH215" s="175"/>
    </row>
    <row r="216" spans="1:80" s="59" customFormat="1" ht="18.75" customHeight="1">
      <c r="A216" s="175"/>
      <c r="B216" s="175"/>
      <c r="C216" s="175"/>
      <c r="D216" s="177"/>
      <c r="E216" s="177"/>
      <c r="F216" s="177"/>
      <c r="G216" s="175"/>
      <c r="H216" s="175"/>
      <c r="I216" s="173"/>
      <c r="J216" s="173"/>
      <c r="K216" s="197"/>
      <c r="L216" s="197"/>
      <c r="M216" s="197"/>
      <c r="N216" s="197"/>
      <c r="O216" s="175"/>
      <c r="P216" s="175"/>
      <c r="Q216" s="175"/>
      <c r="R216" s="175"/>
      <c r="S216" s="175"/>
      <c r="T216" s="175"/>
      <c r="U216" s="175"/>
      <c r="V216" s="175"/>
      <c r="W216" s="175"/>
      <c r="X216" s="175"/>
      <c r="Y216" s="175"/>
      <c r="Z216" s="175"/>
      <c r="AA216" s="175"/>
      <c r="AB216" s="175"/>
      <c r="AC216" s="175"/>
      <c r="AD216" s="175"/>
      <c r="AE216" s="175"/>
      <c r="AF216" s="175"/>
      <c r="AG216" s="175"/>
      <c r="AH216" s="175"/>
      <c r="AI216" s="175"/>
      <c r="AJ216" s="175"/>
      <c r="AK216" s="175"/>
      <c r="AL216" s="175"/>
      <c r="AM216" s="175"/>
      <c r="AN216" s="175"/>
      <c r="AO216" s="175"/>
      <c r="AP216" s="175"/>
      <c r="AQ216" s="175"/>
      <c r="AR216" s="175"/>
      <c r="AS216" s="175"/>
      <c r="AT216" s="175"/>
      <c r="AU216" s="175"/>
      <c r="AV216" s="175"/>
      <c r="AW216" s="175"/>
      <c r="AX216" s="175"/>
      <c r="AY216" s="175"/>
      <c r="AZ216" s="175"/>
      <c r="BA216" s="175"/>
      <c r="BB216" s="175"/>
      <c r="BC216" s="175"/>
      <c r="BD216" s="175"/>
      <c r="BE216" s="175"/>
      <c r="BF216" s="175"/>
    </row>
    <row r="217" spans="1:80" s="181" customFormat="1" ht="18.75" customHeight="1">
      <c r="A217" s="173"/>
      <c r="B217" s="173"/>
      <c r="C217" s="173"/>
      <c r="D217" s="186" t="s">
        <v>520</v>
      </c>
      <c r="E217" s="284" t="s">
        <v>281</v>
      </c>
      <c r="F217" s="401" t="e">
        <f ca="1">F215</f>
        <v>#N/A</v>
      </c>
      <c r="G217" s="401"/>
      <c r="H217" s="401"/>
      <c r="I217" s="175" t="s">
        <v>335</v>
      </c>
      <c r="J217" s="196"/>
      <c r="K217" s="196"/>
      <c r="L217" s="196"/>
      <c r="M217" s="196"/>
      <c r="N217" s="173"/>
      <c r="O217" s="173"/>
      <c r="P217" s="175"/>
      <c r="Q217" s="173"/>
      <c r="R217" s="173"/>
      <c r="S217" s="173"/>
      <c r="T217" s="173"/>
      <c r="U217" s="173"/>
      <c r="V217" s="173"/>
      <c r="W217" s="173"/>
      <c r="X217" s="173"/>
      <c r="Y217" s="173"/>
      <c r="Z217" s="173"/>
      <c r="AA217" s="173"/>
      <c r="AB217" s="173"/>
      <c r="AC217" s="173"/>
      <c r="AD217" s="173"/>
      <c r="AE217" s="175"/>
      <c r="AF217" s="173"/>
      <c r="AG217" s="173"/>
      <c r="AH217" s="173"/>
      <c r="AI217" s="173"/>
      <c r="AJ217" s="173"/>
      <c r="AK217" s="173"/>
      <c r="AL217" s="173"/>
      <c r="AM217" s="173"/>
      <c r="AN217" s="173"/>
      <c r="AO217" s="173"/>
      <c r="AP217" s="173"/>
      <c r="AQ217" s="173"/>
      <c r="AR217" s="173"/>
      <c r="AS217" s="173"/>
      <c r="AT217" s="173"/>
      <c r="AU217" s="173"/>
      <c r="AV217" s="173"/>
      <c r="AW217" s="173"/>
      <c r="AX217" s="173"/>
      <c r="AY217" s="173"/>
      <c r="AZ217" s="173"/>
      <c r="BA217" s="173"/>
      <c r="BB217" s="173"/>
      <c r="BC217" s="173"/>
      <c r="BD217" s="173"/>
      <c r="BE217" s="173"/>
      <c r="BF217" s="173"/>
    </row>
    <row r="218" spans="1:80" s="175" customFormat="1" ht="18.75" customHeight="1"/>
    <row r="219" spans="1:80" ht="18.75" customHeight="1">
      <c r="A219" s="58" t="s">
        <v>352</v>
      </c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  <c r="BA219" s="57"/>
      <c r="BB219" s="57"/>
      <c r="BC219" s="57"/>
      <c r="BD219" s="57"/>
      <c r="BE219" s="57"/>
      <c r="BF219" s="57"/>
    </row>
    <row r="220" spans="1:80" ht="18.75" customHeight="1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402" t="e">
        <f ca="1">F217</f>
        <v>#N/A</v>
      </c>
      <c r="M220" s="402"/>
      <c r="N220" s="402"/>
      <c r="O220" s="402"/>
      <c r="P220" s="402"/>
      <c r="Q220" s="402"/>
      <c r="R220" s="402"/>
      <c r="S220" s="402"/>
      <c r="T220" s="402"/>
      <c r="U220" s="402"/>
      <c r="V220" s="402"/>
      <c r="W220" s="402"/>
      <c r="X220" s="402"/>
      <c r="Y220" s="402"/>
      <c r="Z220" s="402"/>
      <c r="AA220" s="402"/>
      <c r="AB220" s="402"/>
      <c r="AC220" s="402"/>
      <c r="AD220" s="402"/>
      <c r="AE220" s="402"/>
      <c r="AF220" s="402"/>
      <c r="AG220" s="402"/>
      <c r="AH220" s="402"/>
      <c r="AI220" s="402"/>
      <c r="AJ220" s="402"/>
      <c r="AK220" s="402"/>
      <c r="AL220" s="402"/>
      <c r="AM220" s="402"/>
      <c r="AN220" s="402"/>
      <c r="AO220" s="402"/>
      <c r="AP220" s="402"/>
      <c r="AQ220" s="402"/>
      <c r="AR220" s="402"/>
      <c r="AS220" s="402"/>
      <c r="AT220" s="402"/>
      <c r="AU220" s="402"/>
      <c r="AV220" s="402"/>
      <c r="AW220" s="402"/>
      <c r="AX220" s="402"/>
      <c r="AY220" s="403" t="s">
        <v>282</v>
      </c>
      <c r="AZ220" s="483" t="e">
        <f ca="1">TRIM(Calcu!S62)</f>
        <v>#N/A</v>
      </c>
      <c r="BA220" s="483"/>
      <c r="BB220" s="255"/>
      <c r="BC220" s="57"/>
      <c r="BD220" s="57"/>
      <c r="BE220" s="57"/>
      <c r="BF220" s="57"/>
      <c r="BG220" s="175"/>
      <c r="BH220" s="175"/>
      <c r="BK220" s="198"/>
      <c r="BL220" s="198"/>
      <c r="BM220" s="198"/>
      <c r="BN220" s="198"/>
      <c r="BO220" s="198"/>
      <c r="BP220" s="59"/>
      <c r="BQ220" s="59"/>
      <c r="BR220" s="59"/>
      <c r="BS220" s="59"/>
      <c r="BT220" s="59"/>
      <c r="BU220" s="59"/>
      <c r="BV220" s="59"/>
      <c r="BW220" s="59"/>
      <c r="BX220" s="59"/>
      <c r="BY220" s="59"/>
      <c r="BZ220" s="59"/>
      <c r="CA220" s="59"/>
      <c r="CB220" s="59"/>
    </row>
    <row r="221" spans="1:80" ht="18.75" customHeight="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481" t="e">
        <f ca="1">Calcu!Q54</f>
        <v>#N/A</v>
      </c>
      <c r="M221" s="481"/>
      <c r="N221" s="481"/>
      <c r="O221" s="481"/>
      <c r="P221" s="403" t="s">
        <v>101</v>
      </c>
      <c r="Q221" s="481">
        <f>Calcu!Q55</f>
        <v>0</v>
      </c>
      <c r="R221" s="481"/>
      <c r="S221" s="481"/>
      <c r="T221" s="481"/>
      <c r="U221" s="403" t="s">
        <v>101</v>
      </c>
      <c r="V221" s="402">
        <f>Calcu!Q56</f>
        <v>0</v>
      </c>
      <c r="W221" s="402"/>
      <c r="X221" s="402"/>
      <c r="Y221" s="402"/>
      <c r="Z221" s="403" t="s">
        <v>351</v>
      </c>
      <c r="AA221" s="481">
        <f>Calcu!Q58</f>
        <v>0</v>
      </c>
      <c r="AB221" s="481"/>
      <c r="AC221" s="481"/>
      <c r="AD221" s="481"/>
      <c r="AE221" s="403" t="s">
        <v>101</v>
      </c>
      <c r="AF221" s="402" t="e">
        <f ca="1">Calcu!Q57</f>
        <v>#N/A</v>
      </c>
      <c r="AG221" s="402"/>
      <c r="AH221" s="402"/>
      <c r="AI221" s="402"/>
      <c r="AJ221" s="403" t="s">
        <v>351</v>
      </c>
      <c r="AK221" s="402" t="e">
        <f ca="1">Calcu!Q59</f>
        <v>#N/A</v>
      </c>
      <c r="AL221" s="402"/>
      <c r="AM221" s="402"/>
      <c r="AN221" s="402"/>
      <c r="AO221" s="403" t="s">
        <v>351</v>
      </c>
      <c r="AP221" s="402">
        <f>Calcu!Q60</f>
        <v>0</v>
      </c>
      <c r="AQ221" s="402"/>
      <c r="AR221" s="402"/>
      <c r="AS221" s="402"/>
      <c r="AT221" s="403" t="s">
        <v>101</v>
      </c>
      <c r="AU221" s="402">
        <f>Calcu!Q61</f>
        <v>0</v>
      </c>
      <c r="AV221" s="402"/>
      <c r="AW221" s="402"/>
      <c r="AX221" s="402"/>
      <c r="AY221" s="403"/>
      <c r="AZ221" s="483"/>
      <c r="BA221" s="483"/>
      <c r="BB221" s="255"/>
      <c r="BC221" s="57"/>
      <c r="BD221" s="57"/>
      <c r="BE221" s="57"/>
      <c r="BF221" s="57"/>
      <c r="BG221" s="57"/>
      <c r="BH221" s="57"/>
      <c r="BK221" s="198"/>
      <c r="BL221" s="198"/>
      <c r="BM221" s="198"/>
      <c r="BN221" s="198"/>
      <c r="BO221" s="198"/>
    </row>
    <row r="222" spans="1:80" ht="18.75" customHeight="1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403" t="str">
        <f>Calcu!S54</f>
        <v>∞</v>
      </c>
      <c r="M222" s="403"/>
      <c r="N222" s="403"/>
      <c r="O222" s="403"/>
      <c r="P222" s="403"/>
      <c r="Q222" s="403" t="str">
        <f>Calcu!S55</f>
        <v>∞</v>
      </c>
      <c r="R222" s="403"/>
      <c r="S222" s="403"/>
      <c r="T222" s="403"/>
      <c r="U222" s="403"/>
      <c r="V222" s="403">
        <f>Calcu!S56</f>
        <v>100</v>
      </c>
      <c r="W222" s="403"/>
      <c r="X222" s="403"/>
      <c r="Y222" s="403"/>
      <c r="Z222" s="403"/>
      <c r="AA222" s="403">
        <f>Calcu!S58</f>
        <v>100</v>
      </c>
      <c r="AB222" s="403"/>
      <c r="AC222" s="403"/>
      <c r="AD222" s="403"/>
      <c r="AE222" s="403"/>
      <c r="AF222" s="444">
        <f>Calcu!S57</f>
        <v>12</v>
      </c>
      <c r="AG222" s="444"/>
      <c r="AH222" s="444"/>
      <c r="AI222" s="444"/>
      <c r="AJ222" s="403"/>
      <c r="AK222" s="403">
        <f>Calcu!S59</f>
        <v>12</v>
      </c>
      <c r="AL222" s="403"/>
      <c r="AM222" s="403"/>
      <c r="AN222" s="403"/>
      <c r="AO222" s="403"/>
      <c r="AP222" s="403" t="str">
        <f>Calcu!S60</f>
        <v>∞</v>
      </c>
      <c r="AQ222" s="403"/>
      <c r="AR222" s="403"/>
      <c r="AS222" s="403"/>
      <c r="AT222" s="403"/>
      <c r="AU222" s="403" t="str">
        <f>Calcu!S61</f>
        <v>∞</v>
      </c>
      <c r="AV222" s="403"/>
      <c r="AW222" s="403"/>
      <c r="AX222" s="403"/>
      <c r="AY222" s="57"/>
      <c r="AZ222" s="57"/>
      <c r="BA222" s="57"/>
      <c r="BB222" s="57"/>
      <c r="BC222" s="57"/>
      <c r="BD222" s="57"/>
      <c r="BE222" s="57"/>
      <c r="BF222" s="57"/>
      <c r="BG222" s="57"/>
      <c r="BH222" s="57"/>
    </row>
    <row r="223" spans="1:80" ht="18.75" customHeight="1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  <c r="BA223" s="57"/>
      <c r="BB223" s="57"/>
      <c r="BC223" s="57"/>
      <c r="BD223" s="57"/>
      <c r="BE223" s="57"/>
      <c r="BF223" s="57"/>
      <c r="BG223" s="57"/>
      <c r="BH223" s="57"/>
    </row>
    <row r="224" spans="1:80" ht="18.75" customHeight="1">
      <c r="A224" s="58" t="s">
        <v>387</v>
      </c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  <c r="BA224" s="57"/>
      <c r="BB224" s="57"/>
      <c r="BC224" s="57"/>
      <c r="BD224" s="57"/>
    </row>
    <row r="225" spans="1:56" ht="18.75" customHeight="1">
      <c r="A225" s="58"/>
      <c r="B225" s="57" t="s">
        <v>353</v>
      </c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  <c r="BA225" s="57"/>
      <c r="BB225" s="57"/>
      <c r="BC225" s="57"/>
      <c r="BD225" s="57"/>
    </row>
    <row r="226" spans="1:56" ht="18.75" customHeight="1">
      <c r="A226" s="58"/>
      <c r="B226" s="57"/>
      <c r="C226" s="57" t="s">
        <v>354</v>
      </c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  <c r="BA226" s="57"/>
      <c r="BB226" s="57"/>
      <c r="BC226" s="57"/>
      <c r="BD226" s="57"/>
    </row>
    <row r="227" spans="1:56" ht="18.75" customHeight="1">
      <c r="A227" s="58"/>
      <c r="B227" s="57"/>
      <c r="C227" s="56" t="s">
        <v>355</v>
      </c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  <c r="BA227" s="57"/>
      <c r="BB227" s="57"/>
      <c r="BC227" s="57"/>
      <c r="BD227" s="57"/>
    </row>
    <row r="228" spans="1:56" ht="18.75" customHeight="1">
      <c r="A228" s="58"/>
      <c r="B228" s="57"/>
      <c r="C228" s="175" t="s">
        <v>356</v>
      </c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  <c r="AT228" s="57"/>
      <c r="AU228" s="57"/>
      <c r="AV228" s="57"/>
      <c r="AW228" s="57"/>
      <c r="AX228" s="57"/>
      <c r="AY228" s="57"/>
      <c r="AZ228" s="57"/>
      <c r="BA228" s="57"/>
      <c r="BB228" s="57"/>
      <c r="BC228" s="57"/>
      <c r="BD228" s="57"/>
    </row>
    <row r="229" spans="1:56" ht="18.75" customHeight="1">
      <c r="A229" s="58"/>
      <c r="B229" s="57"/>
      <c r="D229" s="57"/>
      <c r="E229" s="186"/>
      <c r="F229" s="57"/>
      <c r="G229" s="179"/>
      <c r="H229" s="173"/>
      <c r="I229" s="173"/>
      <c r="J229" s="173"/>
      <c r="R229" s="186"/>
      <c r="S229" s="199"/>
      <c r="T229" s="199"/>
      <c r="U229" s="199"/>
      <c r="V229" s="199"/>
      <c r="W229" s="199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57"/>
      <c r="BA229" s="57"/>
      <c r="BB229" s="57"/>
      <c r="BC229" s="57"/>
      <c r="BD229" s="57"/>
    </row>
    <row r="230" spans="1:56" ht="18.75" customHeight="1">
      <c r="A230" s="58"/>
      <c r="B230" s="57" t="s">
        <v>358</v>
      </c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57"/>
      <c r="BA230" s="57"/>
      <c r="BB230" s="57"/>
      <c r="BC230" s="57"/>
      <c r="BD230" s="57"/>
    </row>
    <row r="231" spans="1:56" ht="18.75" customHeight="1">
      <c r="A231" s="58"/>
      <c r="B231" s="57"/>
      <c r="C231" s="57" t="s">
        <v>359</v>
      </c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  <c r="AQ231" s="57"/>
      <c r="AR231" s="57"/>
      <c r="AS231" s="57"/>
      <c r="AT231" s="57"/>
      <c r="AU231" s="57"/>
      <c r="AV231" s="57"/>
      <c r="AW231" s="57"/>
      <c r="AX231" s="57"/>
      <c r="AY231" s="57"/>
      <c r="AZ231" s="57"/>
      <c r="BA231" s="57"/>
      <c r="BB231" s="57"/>
      <c r="BC231" s="57"/>
      <c r="BD231" s="57"/>
    </row>
    <row r="232" spans="1:56" ht="18.75" customHeight="1">
      <c r="B232" s="57"/>
      <c r="C232" s="57" t="s">
        <v>384</v>
      </c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57"/>
      <c r="BA232" s="57"/>
      <c r="BB232" s="57"/>
      <c r="BC232" s="57"/>
      <c r="BD232" s="57"/>
    </row>
    <row r="233" spans="1:56" ht="18.75" customHeight="1">
      <c r="A233" s="57"/>
      <c r="B233" s="57"/>
      <c r="C233" s="56" t="s">
        <v>397</v>
      </c>
      <c r="AL233" s="57"/>
      <c r="AM233" s="57"/>
      <c r="AN233" s="57"/>
      <c r="AO233" s="57"/>
      <c r="AP233" s="57"/>
      <c r="AQ233" s="57"/>
      <c r="AR233" s="57"/>
      <c r="AS233" s="57"/>
      <c r="AT233" s="57"/>
      <c r="AU233" s="57"/>
      <c r="AV233" s="57"/>
      <c r="AW233" s="57"/>
      <c r="AX233" s="57"/>
      <c r="AY233" s="57"/>
      <c r="AZ233" s="57"/>
      <c r="BA233" s="57"/>
      <c r="BB233" s="57"/>
    </row>
    <row r="234" spans="1:56" ht="18.75" customHeight="1">
      <c r="A234" s="57"/>
      <c r="B234" s="57"/>
      <c r="AL234" s="57"/>
      <c r="AM234" s="57"/>
      <c r="AN234" s="57"/>
      <c r="AO234" s="57"/>
      <c r="AP234" s="57"/>
      <c r="AQ234" s="57"/>
      <c r="AR234" s="57"/>
      <c r="AS234" s="57"/>
      <c r="AT234" s="57"/>
      <c r="AU234" s="57"/>
      <c r="AV234" s="57"/>
      <c r="AW234" s="57"/>
      <c r="AX234" s="57"/>
      <c r="AY234" s="57"/>
      <c r="AZ234" s="57"/>
      <c r="BA234" s="57"/>
      <c r="BB234" s="57"/>
    </row>
    <row r="235" spans="1:56" ht="18.75" customHeight="1">
      <c r="A235" s="57"/>
      <c r="B235" s="57"/>
      <c r="C235" s="57"/>
      <c r="D235" s="57"/>
      <c r="E235" s="60"/>
      <c r="F235" s="57"/>
      <c r="G235" s="57"/>
      <c r="H235" s="179" t="s">
        <v>360</v>
      </c>
      <c r="I235" s="403" t="e">
        <f ca="1">Calcu!E77</f>
        <v>#N/A</v>
      </c>
      <c r="J235" s="403"/>
      <c r="K235" s="403"/>
      <c r="L235" s="180" t="s">
        <v>357</v>
      </c>
      <c r="M235" s="480" t="e">
        <f ca="1">F217</f>
        <v>#N/A</v>
      </c>
      <c r="N235" s="480"/>
      <c r="O235" s="480"/>
      <c r="P235" s="480"/>
      <c r="Q235" s="57" t="s">
        <v>361</v>
      </c>
      <c r="R235" s="479" t="e">
        <f ca="1">I235*M235</f>
        <v>#N/A</v>
      </c>
      <c r="S235" s="479"/>
      <c r="T235" s="479"/>
      <c r="U235" s="479"/>
      <c r="V235" s="173"/>
      <c r="W235" s="178"/>
      <c r="AL235" s="57"/>
      <c r="AM235" s="57"/>
      <c r="AN235" s="57"/>
      <c r="AO235" s="57"/>
      <c r="AP235" s="57"/>
      <c r="AQ235" s="57"/>
      <c r="AR235" s="57"/>
      <c r="AS235" s="57"/>
      <c r="AT235" s="57"/>
    </row>
  </sheetData>
  <mergeCells count="716">
    <mergeCell ref="C178:H179"/>
    <mergeCell ref="C194:G195"/>
    <mergeCell ref="O189:R189"/>
    <mergeCell ref="T189:W189"/>
    <mergeCell ref="I190:P190"/>
    <mergeCell ref="T188:U188"/>
    <mergeCell ref="O207:Q207"/>
    <mergeCell ref="R207:S207"/>
    <mergeCell ref="V207:X207"/>
    <mergeCell ref="O201:Q201"/>
    <mergeCell ref="K202:M203"/>
    <mergeCell ref="N202:N203"/>
    <mergeCell ref="O202:P202"/>
    <mergeCell ref="T202:V203"/>
    <mergeCell ref="W202:X203"/>
    <mergeCell ref="C124:I125"/>
    <mergeCell ref="J145:L146"/>
    <mergeCell ref="M145:M146"/>
    <mergeCell ref="C145:I146"/>
    <mergeCell ref="N145:O145"/>
    <mergeCell ref="S145:U146"/>
    <mergeCell ref="V145:W146"/>
    <mergeCell ref="J175:L176"/>
    <mergeCell ref="M175:M176"/>
    <mergeCell ref="C175:I176"/>
    <mergeCell ref="N175:O175"/>
    <mergeCell ref="S175:U176"/>
    <mergeCell ref="V175:W176"/>
    <mergeCell ref="C135:G136"/>
    <mergeCell ref="V132:X133"/>
    <mergeCell ref="M93:M94"/>
    <mergeCell ref="C93:I94"/>
    <mergeCell ref="C96:I97"/>
    <mergeCell ref="J96:L97"/>
    <mergeCell ref="M96:M97"/>
    <mergeCell ref="K110:M111"/>
    <mergeCell ref="N110:N111"/>
    <mergeCell ref="K113:M114"/>
    <mergeCell ref="N113:N114"/>
    <mergeCell ref="C100:H101"/>
    <mergeCell ref="L102:M102"/>
    <mergeCell ref="J93:L94"/>
    <mergeCell ref="AZ220:BA221"/>
    <mergeCell ref="AE96:AF96"/>
    <mergeCell ref="AI96:AJ96"/>
    <mergeCell ref="AL96:AN96"/>
    <mergeCell ref="AD97:AR97"/>
    <mergeCell ref="N98:P98"/>
    <mergeCell ref="AB137:AC138"/>
    <mergeCell ref="H123:J123"/>
    <mergeCell ref="J124:W125"/>
    <mergeCell ref="J126:Z127"/>
    <mergeCell ref="AA126:AE126"/>
    <mergeCell ref="AF126:AF127"/>
    <mergeCell ref="AG126:AL127"/>
    <mergeCell ref="AG129:AK130"/>
    <mergeCell ref="I131:P131"/>
    <mergeCell ref="L118:M118"/>
    <mergeCell ref="O118:Q118"/>
    <mergeCell ref="R118:S118"/>
    <mergeCell ref="V118:X118"/>
    <mergeCell ref="AC96:AC97"/>
    <mergeCell ref="L180:N180"/>
    <mergeCell ref="S180:V180"/>
    <mergeCell ref="U162:V163"/>
    <mergeCell ref="W162:Y163"/>
    <mergeCell ref="Z162:AA163"/>
    <mergeCell ref="AB162:AB163"/>
    <mergeCell ref="AC162:AF163"/>
    <mergeCell ref="I161:P161"/>
    <mergeCell ref="Z167:AA168"/>
    <mergeCell ref="Z148:AB149"/>
    <mergeCell ref="AC148:AD149"/>
    <mergeCell ref="H144:O144"/>
    <mergeCell ref="R145:R146"/>
    <mergeCell ref="AF148:AH149"/>
    <mergeCell ref="C162:H163"/>
    <mergeCell ref="I147:P147"/>
    <mergeCell ref="C148:H149"/>
    <mergeCell ref="R148:T149"/>
    <mergeCell ref="U148:X149"/>
    <mergeCell ref="Y148:Y149"/>
    <mergeCell ref="C151:G152"/>
    <mergeCell ref="H156:J156"/>
    <mergeCell ref="C165:G166"/>
    <mergeCell ref="AI148:AO149"/>
    <mergeCell ref="L150:N150"/>
    <mergeCell ref="S150:V150"/>
    <mergeCell ref="Y150:AA150"/>
    <mergeCell ref="AE148:AE149"/>
    <mergeCell ref="B49:F49"/>
    <mergeCell ref="G49:K49"/>
    <mergeCell ref="L49:P49"/>
    <mergeCell ref="Q49:U49"/>
    <mergeCell ref="V49:Z49"/>
    <mergeCell ref="AA49:AE49"/>
    <mergeCell ref="AF49:AJ49"/>
    <mergeCell ref="AK49:AO49"/>
    <mergeCell ref="B50:F50"/>
    <mergeCell ref="G50:K50"/>
    <mergeCell ref="L50:P50"/>
    <mergeCell ref="Q50:U50"/>
    <mergeCell ref="V50:Z50"/>
    <mergeCell ref="AA50:AE50"/>
    <mergeCell ref="AF50:AJ50"/>
    <mergeCell ref="AK50:AO50"/>
    <mergeCell ref="C132:H133"/>
    <mergeCell ref="R132:S133"/>
    <mergeCell ref="T132:U133"/>
    <mergeCell ref="B47:F47"/>
    <mergeCell ref="G47:K47"/>
    <mergeCell ref="L47:P47"/>
    <mergeCell ref="Q47:U47"/>
    <mergeCell ref="V47:Z47"/>
    <mergeCell ref="AA47:AE47"/>
    <mergeCell ref="AF47:AJ47"/>
    <mergeCell ref="AK47:AO47"/>
    <mergeCell ref="B48:F48"/>
    <mergeCell ref="G48:K48"/>
    <mergeCell ref="L48:P48"/>
    <mergeCell ref="Q48:U48"/>
    <mergeCell ref="V48:Z48"/>
    <mergeCell ref="AA48:AE48"/>
    <mergeCell ref="AF48:AJ48"/>
    <mergeCell ref="AK48:AO48"/>
    <mergeCell ref="B45:F45"/>
    <mergeCell ref="G45:K45"/>
    <mergeCell ref="L45:P45"/>
    <mergeCell ref="Q45:U45"/>
    <mergeCell ref="V45:Z45"/>
    <mergeCell ref="AA45:AE45"/>
    <mergeCell ref="AF45:AJ45"/>
    <mergeCell ref="AK45:AO45"/>
    <mergeCell ref="B46:F46"/>
    <mergeCell ref="G46:K46"/>
    <mergeCell ref="L46:P46"/>
    <mergeCell ref="Q46:U46"/>
    <mergeCell ref="V46:Z46"/>
    <mergeCell ref="AA46:AE46"/>
    <mergeCell ref="AF46:AJ46"/>
    <mergeCell ref="AK46:AO46"/>
    <mergeCell ref="B43:F43"/>
    <mergeCell ref="G43:K43"/>
    <mergeCell ref="L43:P43"/>
    <mergeCell ref="Q43:U43"/>
    <mergeCell ref="V43:Z43"/>
    <mergeCell ref="AA43:AE43"/>
    <mergeCell ref="AF43:AJ43"/>
    <mergeCell ref="AK43:AO43"/>
    <mergeCell ref="B44:F44"/>
    <mergeCell ref="G44:K44"/>
    <mergeCell ref="L44:P44"/>
    <mergeCell ref="Q44:U44"/>
    <mergeCell ref="V44:Z44"/>
    <mergeCell ref="AA44:AE44"/>
    <mergeCell ref="AF44:AJ44"/>
    <mergeCell ref="AK44:AO44"/>
    <mergeCell ref="B41:F41"/>
    <mergeCell ref="G41:K41"/>
    <mergeCell ref="L41:P41"/>
    <mergeCell ref="Q41:U41"/>
    <mergeCell ref="V41:Z41"/>
    <mergeCell ref="AA41:AE41"/>
    <mergeCell ref="AF41:AJ41"/>
    <mergeCell ref="AK41:AO41"/>
    <mergeCell ref="B42:F42"/>
    <mergeCell ref="G42:K42"/>
    <mergeCell ref="L42:P42"/>
    <mergeCell ref="Q42:U42"/>
    <mergeCell ref="V42:Z42"/>
    <mergeCell ref="AA42:AE42"/>
    <mergeCell ref="AF42:AJ42"/>
    <mergeCell ref="AK42:AO42"/>
    <mergeCell ref="B39:F39"/>
    <mergeCell ref="G39:K39"/>
    <mergeCell ref="L39:P39"/>
    <mergeCell ref="Q39:U39"/>
    <mergeCell ref="V39:Z39"/>
    <mergeCell ref="AA39:AE39"/>
    <mergeCell ref="AF39:AJ39"/>
    <mergeCell ref="AK39:AO39"/>
    <mergeCell ref="B40:F40"/>
    <mergeCell ref="G40:K40"/>
    <mergeCell ref="L40:P40"/>
    <mergeCell ref="Q40:U40"/>
    <mergeCell ref="V40:Z40"/>
    <mergeCell ref="AA40:AE40"/>
    <mergeCell ref="AF40:AJ40"/>
    <mergeCell ref="AK40:AO40"/>
    <mergeCell ref="B37:F37"/>
    <mergeCell ref="G37:K37"/>
    <mergeCell ref="L37:P37"/>
    <mergeCell ref="Q37:U37"/>
    <mergeCell ref="V37:Z37"/>
    <mergeCell ref="AA37:AE37"/>
    <mergeCell ref="AF37:AJ37"/>
    <mergeCell ref="AK37:AO37"/>
    <mergeCell ref="B38:F38"/>
    <mergeCell ref="G38:K38"/>
    <mergeCell ref="L38:P38"/>
    <mergeCell ref="Q38:U38"/>
    <mergeCell ref="V38:Z38"/>
    <mergeCell ref="AA38:AE38"/>
    <mergeCell ref="AF38:AJ38"/>
    <mergeCell ref="AK38:AO38"/>
    <mergeCell ref="Q35:U35"/>
    <mergeCell ref="V35:Z35"/>
    <mergeCell ref="AA35:AE35"/>
    <mergeCell ref="AF35:AJ35"/>
    <mergeCell ref="AK35:AO35"/>
    <mergeCell ref="B36:F36"/>
    <mergeCell ref="G36:K36"/>
    <mergeCell ref="L36:P36"/>
    <mergeCell ref="Q36:U36"/>
    <mergeCell ref="V36:Z36"/>
    <mergeCell ref="AA36:AE36"/>
    <mergeCell ref="AF36:AJ36"/>
    <mergeCell ref="AK36:AO36"/>
    <mergeCell ref="AF33:AJ33"/>
    <mergeCell ref="AK33:AO33"/>
    <mergeCell ref="B34:F34"/>
    <mergeCell ref="G34:K34"/>
    <mergeCell ref="L34:P34"/>
    <mergeCell ref="Q34:U34"/>
    <mergeCell ref="V34:Z34"/>
    <mergeCell ref="AA34:AE34"/>
    <mergeCell ref="AF34:AJ34"/>
    <mergeCell ref="AK34:AO34"/>
    <mergeCell ref="AF31:AJ31"/>
    <mergeCell ref="AK31:AO31"/>
    <mergeCell ref="B32:F32"/>
    <mergeCell ref="G32:K32"/>
    <mergeCell ref="L32:P32"/>
    <mergeCell ref="Q32:U32"/>
    <mergeCell ref="V32:Z32"/>
    <mergeCell ref="AA32:AE32"/>
    <mergeCell ref="AF32:AJ32"/>
    <mergeCell ref="AK32:AO32"/>
    <mergeCell ref="R235:U235"/>
    <mergeCell ref="I235:K235"/>
    <mergeCell ref="M235:P235"/>
    <mergeCell ref="V214:X214"/>
    <mergeCell ref="AY220:AY221"/>
    <mergeCell ref="L221:O221"/>
    <mergeCell ref="P221:P222"/>
    <mergeCell ref="Q221:T221"/>
    <mergeCell ref="U221:U222"/>
    <mergeCell ref="V221:Y221"/>
    <mergeCell ref="Z221:Z222"/>
    <mergeCell ref="AA221:AD221"/>
    <mergeCell ref="AE221:AE222"/>
    <mergeCell ref="AF221:AI221"/>
    <mergeCell ref="AJ221:AJ222"/>
    <mergeCell ref="AK221:AN221"/>
    <mergeCell ref="AO221:AO222"/>
    <mergeCell ref="AP221:AS221"/>
    <mergeCell ref="AT221:AT222"/>
    <mergeCell ref="AU221:AX221"/>
    <mergeCell ref="V222:Y222"/>
    <mergeCell ref="AA222:AD222"/>
    <mergeCell ref="AF222:AI222"/>
    <mergeCell ref="Y180:AA180"/>
    <mergeCell ref="I177:P177"/>
    <mergeCell ref="L207:M207"/>
    <mergeCell ref="AG162:AM163"/>
    <mergeCell ref="L164:O164"/>
    <mergeCell ref="AA164:AC164"/>
    <mergeCell ref="S162:T163"/>
    <mergeCell ref="AA178:AC179"/>
    <mergeCell ref="AD178:AE179"/>
    <mergeCell ref="AF178:AF179"/>
    <mergeCell ref="AG178:AI179"/>
    <mergeCell ref="AJ178:AP179"/>
    <mergeCell ref="S202:S203"/>
    <mergeCell ref="O203:R203"/>
    <mergeCell ref="I204:P204"/>
    <mergeCell ref="P187:R187"/>
    <mergeCell ref="K188:M189"/>
    <mergeCell ref="N188:N189"/>
    <mergeCell ref="S178:U179"/>
    <mergeCell ref="V178:Y179"/>
    <mergeCell ref="Z178:Z179"/>
    <mergeCell ref="H174:O174"/>
    <mergeCell ref="R175:R176"/>
    <mergeCell ref="H200:O200"/>
    <mergeCell ref="Y132:Z133"/>
    <mergeCell ref="AA132:AA133"/>
    <mergeCell ref="AB132:AE133"/>
    <mergeCell ref="AF132:AL133"/>
    <mergeCell ref="AA134:AC134"/>
    <mergeCell ref="N91:O91"/>
    <mergeCell ref="Y102:Z102"/>
    <mergeCell ref="N93:O93"/>
    <mergeCell ref="P93:P94"/>
    <mergeCell ref="Q94:V94"/>
    <mergeCell ref="N100:O101"/>
    <mergeCell ref="V102:X102"/>
    <mergeCell ref="I99:P99"/>
    <mergeCell ref="O102:Q102"/>
    <mergeCell ref="R102:S102"/>
    <mergeCell ref="N94:O94"/>
    <mergeCell ref="Q93:S93"/>
    <mergeCell ref="W93:W94"/>
    <mergeCell ref="N96:O96"/>
    <mergeCell ref="P96:P97"/>
    <mergeCell ref="N97:O97"/>
    <mergeCell ref="R96:S96"/>
    <mergeCell ref="V96:W96"/>
    <mergeCell ref="Q97:AB97"/>
    <mergeCell ref="I115:P115"/>
    <mergeCell ref="C116:H117"/>
    <mergeCell ref="N116:O117"/>
    <mergeCell ref="O113:P113"/>
    <mergeCell ref="Q113:Q114"/>
    <mergeCell ref="R113:T113"/>
    <mergeCell ref="U113:V113"/>
    <mergeCell ref="Y118:Z118"/>
    <mergeCell ref="W113:W114"/>
    <mergeCell ref="X113:Z114"/>
    <mergeCell ref="AA113:AB114"/>
    <mergeCell ref="O114:P114"/>
    <mergeCell ref="R114:V114"/>
    <mergeCell ref="O110:P110"/>
    <mergeCell ref="Q110:Q111"/>
    <mergeCell ref="R110:T110"/>
    <mergeCell ref="R111:V111"/>
    <mergeCell ref="U110:V110"/>
    <mergeCell ref="W110:W111"/>
    <mergeCell ref="X110:Z111"/>
    <mergeCell ref="AA110:AB111"/>
    <mergeCell ref="O111:P111"/>
    <mergeCell ref="AP85:AS85"/>
    <mergeCell ref="B86:C86"/>
    <mergeCell ref="D86:G86"/>
    <mergeCell ref="H86:L86"/>
    <mergeCell ref="O86:U86"/>
    <mergeCell ref="V86:Z86"/>
    <mergeCell ref="AA86:AG86"/>
    <mergeCell ref="AH86:AL86"/>
    <mergeCell ref="AM86:AO86"/>
    <mergeCell ref="AP86:AS86"/>
    <mergeCell ref="B85:C85"/>
    <mergeCell ref="D85:G85"/>
    <mergeCell ref="H85:L85"/>
    <mergeCell ref="O85:R85"/>
    <mergeCell ref="S85:U85"/>
    <mergeCell ref="V85:Z85"/>
    <mergeCell ref="AA85:AG85"/>
    <mergeCell ref="AH85:AL85"/>
    <mergeCell ref="AM85:AO85"/>
    <mergeCell ref="M86:N86"/>
    <mergeCell ref="AH84:AL84"/>
    <mergeCell ref="AM84:AO84"/>
    <mergeCell ref="AP84:AS84"/>
    <mergeCell ref="B83:C83"/>
    <mergeCell ref="D83:G83"/>
    <mergeCell ref="H83:L83"/>
    <mergeCell ref="M83:N83"/>
    <mergeCell ref="O83:R83"/>
    <mergeCell ref="S83:U83"/>
    <mergeCell ref="V83:Z83"/>
    <mergeCell ref="AA83:AD83"/>
    <mergeCell ref="D84:G84"/>
    <mergeCell ref="H84:L84"/>
    <mergeCell ref="AH82:AL82"/>
    <mergeCell ref="AM82:AO82"/>
    <mergeCell ref="AP82:AS82"/>
    <mergeCell ref="B80:C80"/>
    <mergeCell ref="D80:G80"/>
    <mergeCell ref="AM81:AO81"/>
    <mergeCell ref="AP81:AS81"/>
    <mergeCell ref="AH83:AL83"/>
    <mergeCell ref="AM83:AO83"/>
    <mergeCell ref="AP83:AS83"/>
    <mergeCell ref="O80:R80"/>
    <mergeCell ref="S80:U80"/>
    <mergeCell ref="V80:Z80"/>
    <mergeCell ref="D82:G82"/>
    <mergeCell ref="H82:L82"/>
    <mergeCell ref="M82:N82"/>
    <mergeCell ref="O82:R82"/>
    <mergeCell ref="S82:U82"/>
    <mergeCell ref="V82:Z82"/>
    <mergeCell ref="C66:E66"/>
    <mergeCell ref="B75:C77"/>
    <mergeCell ref="D75:G75"/>
    <mergeCell ref="H75:N75"/>
    <mergeCell ref="O75:U75"/>
    <mergeCell ref="D76:G76"/>
    <mergeCell ref="H76:N76"/>
    <mergeCell ref="O76:U76"/>
    <mergeCell ref="C60:E60"/>
    <mergeCell ref="C61:E61"/>
    <mergeCell ref="C62:E62"/>
    <mergeCell ref="C63:E63"/>
    <mergeCell ref="C64:E64"/>
    <mergeCell ref="C65:E65"/>
    <mergeCell ref="D77:G77"/>
    <mergeCell ref="H77:N77"/>
    <mergeCell ref="O77:U77"/>
    <mergeCell ref="B30:F30"/>
    <mergeCell ref="G30:K30"/>
    <mergeCell ref="L30:P30"/>
    <mergeCell ref="Q30:U30"/>
    <mergeCell ref="C56:E56"/>
    <mergeCell ref="C58:E58"/>
    <mergeCell ref="AA51:AE51"/>
    <mergeCell ref="C57:E57"/>
    <mergeCell ref="C59:E59"/>
    <mergeCell ref="B31:F31"/>
    <mergeCell ref="G31:K31"/>
    <mergeCell ref="L31:P31"/>
    <mergeCell ref="Q31:U31"/>
    <mergeCell ref="V31:Z31"/>
    <mergeCell ref="AA31:AE31"/>
    <mergeCell ref="B33:F33"/>
    <mergeCell ref="G33:K33"/>
    <mergeCell ref="L33:P33"/>
    <mergeCell ref="Q33:U33"/>
    <mergeCell ref="V33:Z33"/>
    <mergeCell ref="AA33:AE33"/>
    <mergeCell ref="B35:F35"/>
    <mergeCell ref="G35:K35"/>
    <mergeCell ref="L35:P35"/>
    <mergeCell ref="B26:F26"/>
    <mergeCell ref="G26:K26"/>
    <mergeCell ref="L26:P26"/>
    <mergeCell ref="Q26:U26"/>
    <mergeCell ref="V30:Z30"/>
    <mergeCell ref="AA30:AE30"/>
    <mergeCell ref="AF30:AJ30"/>
    <mergeCell ref="AK30:AO30"/>
    <mergeCell ref="AA29:AE29"/>
    <mergeCell ref="AF29:AJ29"/>
    <mergeCell ref="AK29:AO29"/>
    <mergeCell ref="AF28:AJ28"/>
    <mergeCell ref="AK28:AO28"/>
    <mergeCell ref="V26:Z26"/>
    <mergeCell ref="AA26:AE26"/>
    <mergeCell ref="AF26:AJ26"/>
    <mergeCell ref="AK26:AO26"/>
    <mergeCell ref="B27:F27"/>
    <mergeCell ref="G27:K27"/>
    <mergeCell ref="L27:P27"/>
    <mergeCell ref="Q27:U27"/>
    <mergeCell ref="V27:Z27"/>
    <mergeCell ref="AF27:AJ27"/>
    <mergeCell ref="AK27:AO27"/>
    <mergeCell ref="B23:F23"/>
    <mergeCell ref="G23:K23"/>
    <mergeCell ref="L23:P23"/>
    <mergeCell ref="Q23:U23"/>
    <mergeCell ref="V23:Z23"/>
    <mergeCell ref="AA23:AE23"/>
    <mergeCell ref="AF23:AJ23"/>
    <mergeCell ref="AK23:AO23"/>
    <mergeCell ref="B24:F24"/>
    <mergeCell ref="G24:K24"/>
    <mergeCell ref="L24:P24"/>
    <mergeCell ref="Q24:U24"/>
    <mergeCell ref="V24:Z24"/>
    <mergeCell ref="AA24:AE24"/>
    <mergeCell ref="AF24:AJ24"/>
    <mergeCell ref="AK24:AO24"/>
    <mergeCell ref="B22:F22"/>
    <mergeCell ref="G22:K22"/>
    <mergeCell ref="L22:P22"/>
    <mergeCell ref="Q22:U22"/>
    <mergeCell ref="V22:Z22"/>
    <mergeCell ref="AA22:AE22"/>
    <mergeCell ref="AF22:AJ22"/>
    <mergeCell ref="AK22:AO22"/>
    <mergeCell ref="B21:F21"/>
    <mergeCell ref="G21:K21"/>
    <mergeCell ref="L21:P21"/>
    <mergeCell ref="Q21:U21"/>
    <mergeCell ref="V21:Z21"/>
    <mergeCell ref="AA21:AE21"/>
    <mergeCell ref="AF21:AJ21"/>
    <mergeCell ref="AK21:AO21"/>
    <mergeCell ref="AA19:AE19"/>
    <mergeCell ref="AF19:AJ19"/>
    <mergeCell ref="AK19:AO19"/>
    <mergeCell ref="B20:F20"/>
    <mergeCell ref="G20:K20"/>
    <mergeCell ref="L20:P20"/>
    <mergeCell ref="Q20:U20"/>
    <mergeCell ref="V20:Z20"/>
    <mergeCell ref="AA20:AE20"/>
    <mergeCell ref="AF20:AJ20"/>
    <mergeCell ref="AK20:AO20"/>
    <mergeCell ref="AA17:AE17"/>
    <mergeCell ref="AF17:AJ17"/>
    <mergeCell ref="AK17:AO17"/>
    <mergeCell ref="V16:Z16"/>
    <mergeCell ref="AA16:AE16"/>
    <mergeCell ref="AF16:AJ16"/>
    <mergeCell ref="B18:F18"/>
    <mergeCell ref="G18:K18"/>
    <mergeCell ref="L18:P18"/>
    <mergeCell ref="Q18:U18"/>
    <mergeCell ref="V18:Z18"/>
    <mergeCell ref="AA18:AE18"/>
    <mergeCell ref="AF18:AJ18"/>
    <mergeCell ref="AK18:AO18"/>
    <mergeCell ref="AA13:AE13"/>
    <mergeCell ref="AF13:AJ13"/>
    <mergeCell ref="AK13:AO13"/>
    <mergeCell ref="AK16:AO16"/>
    <mergeCell ref="B15:F15"/>
    <mergeCell ref="G15:K15"/>
    <mergeCell ref="L15:P15"/>
    <mergeCell ref="AF14:AJ14"/>
    <mergeCell ref="AK14:AO14"/>
    <mergeCell ref="Q15:U15"/>
    <mergeCell ref="V15:Z15"/>
    <mergeCell ref="AA15:AE15"/>
    <mergeCell ref="AF15:AJ15"/>
    <mergeCell ref="AK15:AO15"/>
    <mergeCell ref="B16:F16"/>
    <mergeCell ref="G16:K16"/>
    <mergeCell ref="L16:P16"/>
    <mergeCell ref="Q16:U16"/>
    <mergeCell ref="B8:F9"/>
    <mergeCell ref="G8:AE8"/>
    <mergeCell ref="AF8:AJ9"/>
    <mergeCell ref="AK8:AO9"/>
    <mergeCell ref="G9:K9"/>
    <mergeCell ref="L9:P9"/>
    <mergeCell ref="Q9:U9"/>
    <mergeCell ref="B12:F12"/>
    <mergeCell ref="G12:K12"/>
    <mergeCell ref="L12:P12"/>
    <mergeCell ref="Q12:U12"/>
    <mergeCell ref="V12:Z12"/>
    <mergeCell ref="AA12:AE12"/>
    <mergeCell ref="AF12:AJ12"/>
    <mergeCell ref="AK12:AO12"/>
    <mergeCell ref="AK10:AO10"/>
    <mergeCell ref="B11:F11"/>
    <mergeCell ref="G11:K11"/>
    <mergeCell ref="L11:P11"/>
    <mergeCell ref="Q11:U11"/>
    <mergeCell ref="V11:Z11"/>
    <mergeCell ref="AA11:AE11"/>
    <mergeCell ref="AF11:AJ11"/>
    <mergeCell ref="AK11:AO11"/>
    <mergeCell ref="AA10:AE10"/>
    <mergeCell ref="AF10:AJ10"/>
    <mergeCell ref="AF51:AJ51"/>
    <mergeCell ref="AH80:AL80"/>
    <mergeCell ref="M81:N81"/>
    <mergeCell ref="O81:R81"/>
    <mergeCell ref="S81:U81"/>
    <mergeCell ref="V81:Z81"/>
    <mergeCell ref="AA81:AD81"/>
    <mergeCell ref="AE81:AG81"/>
    <mergeCell ref="AH81:AL81"/>
    <mergeCell ref="V79:Z79"/>
    <mergeCell ref="AA79:AG79"/>
    <mergeCell ref="AH79:AL79"/>
    <mergeCell ref="AA25:AE25"/>
    <mergeCell ref="AF25:AJ25"/>
    <mergeCell ref="AK25:AO25"/>
    <mergeCell ref="M79:N79"/>
    <mergeCell ref="O79:R79"/>
    <mergeCell ref="AK51:AO51"/>
    <mergeCell ref="AM79:AO79"/>
    <mergeCell ref="M78:N78"/>
    <mergeCell ref="O78:R78"/>
    <mergeCell ref="S78:U78"/>
    <mergeCell ref="G10:K10"/>
    <mergeCell ref="L10:P10"/>
    <mergeCell ref="Q10:U10"/>
    <mergeCell ref="V10:Z10"/>
    <mergeCell ref="H79:L79"/>
    <mergeCell ref="D78:G78"/>
    <mergeCell ref="H78:L78"/>
    <mergeCell ref="V78:Z78"/>
    <mergeCell ref="S79:U79"/>
    <mergeCell ref="B13:F13"/>
    <mergeCell ref="G13:K13"/>
    <mergeCell ref="L13:P13"/>
    <mergeCell ref="Q13:U13"/>
    <mergeCell ref="V13:Z13"/>
    <mergeCell ref="B17:F17"/>
    <mergeCell ref="G17:K17"/>
    <mergeCell ref="L17:P17"/>
    <mergeCell ref="Q17:U17"/>
    <mergeCell ref="V17:Z17"/>
    <mergeCell ref="B19:F19"/>
    <mergeCell ref="G19:K19"/>
    <mergeCell ref="L19:P19"/>
    <mergeCell ref="Q19:U19"/>
    <mergeCell ref="V19:Z19"/>
    <mergeCell ref="Q109:S109"/>
    <mergeCell ref="V76:Z76"/>
    <mergeCell ref="AA76:AG76"/>
    <mergeCell ref="H80:L80"/>
    <mergeCell ref="M80:N80"/>
    <mergeCell ref="B81:C81"/>
    <mergeCell ref="D81:G81"/>
    <mergeCell ref="H81:L81"/>
    <mergeCell ref="B79:C79"/>
    <mergeCell ref="D79:G79"/>
    <mergeCell ref="AE83:AG83"/>
    <mergeCell ref="T109:U109"/>
    <mergeCell ref="B78:C78"/>
    <mergeCell ref="AA78:AG78"/>
    <mergeCell ref="B82:C82"/>
    <mergeCell ref="AA82:AD82"/>
    <mergeCell ref="AE82:AG82"/>
    <mergeCell ref="B84:C84"/>
    <mergeCell ref="M84:N84"/>
    <mergeCell ref="O84:R84"/>
    <mergeCell ref="S84:U84"/>
    <mergeCell ref="V84:Z84"/>
    <mergeCell ref="AA84:AG84"/>
    <mergeCell ref="I91:M91"/>
    <mergeCell ref="AP76:AS76"/>
    <mergeCell ref="AP77:AS77"/>
    <mergeCell ref="AP75:AS75"/>
    <mergeCell ref="V75:Z75"/>
    <mergeCell ref="AA75:AG75"/>
    <mergeCell ref="AH75:AO75"/>
    <mergeCell ref="AA80:AD80"/>
    <mergeCell ref="AE80:AG80"/>
    <mergeCell ref="AH76:AO76"/>
    <mergeCell ref="V77:Z77"/>
    <mergeCell ref="AA77:AG77"/>
    <mergeCell ref="AH77:AO77"/>
    <mergeCell ref="AP79:AS79"/>
    <mergeCell ref="AH78:AL78"/>
    <mergeCell ref="AM78:AO78"/>
    <mergeCell ref="AP78:AS78"/>
    <mergeCell ref="AM80:AO80"/>
    <mergeCell ref="AP80:AS80"/>
    <mergeCell ref="V9:Z9"/>
    <mergeCell ref="AA9:AE9"/>
    <mergeCell ref="B10:F10"/>
    <mergeCell ref="L134:O134"/>
    <mergeCell ref="M85:N85"/>
    <mergeCell ref="B4:G4"/>
    <mergeCell ref="H4:M4"/>
    <mergeCell ref="B5:G5"/>
    <mergeCell ref="H5:M5"/>
    <mergeCell ref="B14:F14"/>
    <mergeCell ref="G14:K14"/>
    <mergeCell ref="L14:P14"/>
    <mergeCell ref="Q14:U14"/>
    <mergeCell ref="V14:Z14"/>
    <mergeCell ref="AA14:AE14"/>
    <mergeCell ref="B28:F28"/>
    <mergeCell ref="G28:K28"/>
    <mergeCell ref="L28:P28"/>
    <mergeCell ref="Q28:U28"/>
    <mergeCell ref="V28:Z28"/>
    <mergeCell ref="AA28:AE28"/>
    <mergeCell ref="X93:Z94"/>
    <mergeCell ref="AA93:AB94"/>
    <mergeCell ref="B29:F29"/>
    <mergeCell ref="AA27:AE27"/>
    <mergeCell ref="Q25:U25"/>
    <mergeCell ref="V25:Z25"/>
    <mergeCell ref="C181:G182"/>
    <mergeCell ref="H186:O186"/>
    <mergeCell ref="C191:H192"/>
    <mergeCell ref="L193:M193"/>
    <mergeCell ref="B25:F25"/>
    <mergeCell ref="G25:K25"/>
    <mergeCell ref="L25:P25"/>
    <mergeCell ref="G29:K29"/>
    <mergeCell ref="L29:P29"/>
    <mergeCell ref="Q29:U29"/>
    <mergeCell ref="V29:Z29"/>
    <mergeCell ref="B51:F51"/>
    <mergeCell ref="G51:K51"/>
    <mergeCell ref="L51:P51"/>
    <mergeCell ref="Q51:U51"/>
    <mergeCell ref="V51:Z51"/>
    <mergeCell ref="I108:M108"/>
    <mergeCell ref="N108:O108"/>
    <mergeCell ref="O188:R188"/>
    <mergeCell ref="S188:S189"/>
    <mergeCell ref="X188:X189"/>
    <mergeCell ref="Y188:AA189"/>
    <mergeCell ref="AB188:AC189"/>
    <mergeCell ref="O193:Q193"/>
    <mergeCell ref="R193:S193"/>
    <mergeCell ref="V193:X193"/>
    <mergeCell ref="C205:H206"/>
    <mergeCell ref="C208:G209"/>
    <mergeCell ref="F213:H213"/>
    <mergeCell ref="K213:L213"/>
    <mergeCell ref="N191:O192"/>
    <mergeCell ref="N205:O206"/>
    <mergeCell ref="F215:H215"/>
    <mergeCell ref="F217:H217"/>
    <mergeCell ref="L220:AX220"/>
    <mergeCell ref="AU222:AX222"/>
    <mergeCell ref="M213:O213"/>
    <mergeCell ref="R213:S213"/>
    <mergeCell ref="T213:V213"/>
    <mergeCell ref="Y213:Z213"/>
    <mergeCell ref="AA213:AC213"/>
    <mergeCell ref="AF213:AG213"/>
    <mergeCell ref="AH213:AJ213"/>
    <mergeCell ref="F214:G214"/>
    <mergeCell ref="H214:J214"/>
    <mergeCell ref="M214:N214"/>
    <mergeCell ref="O214:Q214"/>
    <mergeCell ref="T214:U214"/>
    <mergeCell ref="L222:O222"/>
    <mergeCell ref="Q222:T222"/>
    <mergeCell ref="AK222:AN222"/>
    <mergeCell ref="AP222:AS222"/>
  </mergeCells>
  <phoneticPr fontId="4" type="noConversion"/>
  <pageMargins left="0.39370078740157483" right="0.39370078740157483" top="0.39370078740157483" bottom="0.39370078740157483" header="0.19685039370078741" footer="0.19685039370078741"/>
  <pageSetup paperSize="9" fitToHeight="10" orientation="portrait" r:id="rId1"/>
  <headerFooter alignWithMargins="0">
    <oddFooter>&amp;L&amp;10F-02P-04-001 (Rev.00)&amp;C&amp;10&amp;P of &amp;N&amp;R&amp;"돋움,굵게"&amp;9(주)에이치시티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S98"/>
  <sheetViews>
    <sheetView showGridLines="0" zoomScaleNormal="100" workbookViewId="0"/>
  </sheetViews>
  <sheetFormatPr defaultColWidth="8.77734375" defaultRowHeight="18" customHeight="1"/>
  <cols>
    <col min="1" max="1" width="2.77734375" style="127" customWidth="1"/>
    <col min="2" max="2" width="8.77734375" style="130"/>
    <col min="3" max="3" width="10.77734375" style="130" bestFit="1" customWidth="1"/>
    <col min="4" max="4" width="8.77734375" style="130"/>
    <col min="5" max="21" width="8.77734375" style="128"/>
    <col min="22" max="16384" width="8.77734375" style="127"/>
  </cols>
  <sheetData>
    <row r="1" spans="1:45" ht="15" customHeight="1">
      <c r="A1" s="124" t="s">
        <v>154</v>
      </c>
      <c r="B1" s="125"/>
      <c r="C1" s="125"/>
      <c r="D1" s="125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</row>
    <row r="2" spans="1:45" ht="24">
      <c r="B2" s="160" t="s">
        <v>155</v>
      </c>
      <c r="C2" s="160" t="s">
        <v>372</v>
      </c>
      <c r="D2" s="160" t="s">
        <v>142</v>
      </c>
      <c r="E2" s="160" t="s">
        <v>156</v>
      </c>
      <c r="F2" s="160" t="s">
        <v>62</v>
      </c>
      <c r="G2" s="160" t="s">
        <v>157</v>
      </c>
      <c r="H2" s="160" t="s">
        <v>158</v>
      </c>
      <c r="I2" s="160" t="s">
        <v>159</v>
      </c>
      <c r="J2" s="160" t="s">
        <v>226</v>
      </c>
      <c r="K2" s="160" t="s">
        <v>227</v>
      </c>
      <c r="L2" s="160" t="s">
        <v>160</v>
      </c>
      <c r="M2" s="316" t="s">
        <v>576</v>
      </c>
      <c r="N2" s="160" t="s">
        <v>143</v>
      </c>
      <c r="O2" s="160" t="s">
        <v>161</v>
      </c>
      <c r="P2" s="160" t="s">
        <v>132</v>
      </c>
      <c r="Q2" s="160" t="s">
        <v>148</v>
      </c>
      <c r="R2" s="163" t="s">
        <v>162</v>
      </c>
      <c r="S2" s="163" t="s">
        <v>163</v>
      </c>
      <c r="T2" s="127"/>
      <c r="U2" s="127"/>
    </row>
    <row r="3" spans="1:45" ht="15" customHeight="1">
      <c r="B3" s="129" t="e">
        <f>C3</f>
        <v>#DIV/0!</v>
      </c>
      <c r="C3" s="129" t="e">
        <f>AVERAGE(기본정보!B12:B13)</f>
        <v>#DIV/0!</v>
      </c>
      <c r="D3" s="129">
        <f>MIN(C9:C49)</f>
        <v>0</v>
      </c>
      <c r="E3" s="129">
        <f>MAX(C9:C49)</f>
        <v>0</v>
      </c>
      <c r="F3" s="129">
        <f>Length_1!G4</f>
        <v>0</v>
      </c>
      <c r="G3" s="129">
        <f>Length_1!H4</f>
        <v>0</v>
      </c>
      <c r="H3" s="129">
        <f>Length_1!I4</f>
        <v>0</v>
      </c>
      <c r="I3" s="129">
        <f>IF(H3="inch",25.4,1)</f>
        <v>1</v>
      </c>
      <c r="J3" s="129">
        <f>MIN(T9:T49)</f>
        <v>0</v>
      </c>
      <c r="K3" s="129">
        <f>MAX(T9:T49)</f>
        <v>0</v>
      </c>
      <c r="L3" s="129">
        <f>F3*I3</f>
        <v>0</v>
      </c>
      <c r="M3" s="232" t="str">
        <f ca="1">TEXT(L3,OFFSET(P70,MATCH(IFERROR(LEN(L3)-FIND(".",L3),0),O71:O80,0),0))</f>
        <v>0</v>
      </c>
      <c r="N3" s="129">
        <f>G3*I3</f>
        <v>0</v>
      </c>
      <c r="O3" s="129" t="e">
        <f ca="1">OFFSET(Length_1!C3,MATCH($K3,$T9:$T49,0),0)</f>
        <v>#N/A</v>
      </c>
      <c r="P3" s="129" t="e">
        <f ca="1">OFFSET(Length_1!D3,MATCH($K3,$T9:$T49,0),0)</f>
        <v>#N/A</v>
      </c>
      <c r="Q3" s="129" t="e">
        <f ca="1">OFFSET(Length_1!E3,MATCH($K3,$T9:$T49,0),0)</f>
        <v>#N/A</v>
      </c>
      <c r="R3" s="145" t="e">
        <f ca="1">IF(R66=0,"","초과")</f>
        <v>#N/A</v>
      </c>
      <c r="S3" s="164" t="str">
        <f>IF(AE8=0,"PASS","FAIL")</f>
        <v>PASS</v>
      </c>
      <c r="T3" s="127"/>
      <c r="U3" s="127"/>
    </row>
    <row r="4" spans="1:45" ht="15" customHeight="1">
      <c r="B4" s="125"/>
      <c r="C4" s="125"/>
      <c r="D4" s="125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</row>
    <row r="5" spans="1:45" ht="15" customHeight="1">
      <c r="A5" s="124" t="s">
        <v>149</v>
      </c>
      <c r="C5" s="125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27"/>
      <c r="Y5" s="165" t="s">
        <v>167</v>
      </c>
    </row>
    <row r="6" spans="1:45" ht="15" customHeight="1">
      <c r="B6" s="506" t="s">
        <v>485</v>
      </c>
      <c r="C6" s="507" t="s">
        <v>115</v>
      </c>
      <c r="D6" s="507" t="s">
        <v>486</v>
      </c>
      <c r="E6" s="510" t="s">
        <v>401</v>
      </c>
      <c r="F6" s="510"/>
      <c r="G6" s="510"/>
      <c r="H6" s="510"/>
      <c r="I6" s="510"/>
      <c r="J6" s="510"/>
      <c r="K6" s="523" t="s">
        <v>487</v>
      </c>
      <c r="L6" s="227" t="s">
        <v>488</v>
      </c>
      <c r="M6" s="227" t="s">
        <v>489</v>
      </c>
      <c r="N6" s="497" t="s">
        <v>490</v>
      </c>
      <c r="O6" s="502"/>
      <c r="P6" s="498"/>
      <c r="Q6" s="227" t="s">
        <v>150</v>
      </c>
      <c r="R6" s="278" t="s">
        <v>491</v>
      </c>
      <c r="S6" s="227" t="s">
        <v>492</v>
      </c>
      <c r="T6" s="227" t="s">
        <v>115</v>
      </c>
      <c r="U6" s="227" t="s">
        <v>164</v>
      </c>
      <c r="V6" s="497" t="s">
        <v>493</v>
      </c>
      <c r="W6" s="498"/>
      <c r="X6" s="131"/>
      <c r="Y6" s="518" t="s">
        <v>111</v>
      </c>
      <c r="Z6" s="519"/>
      <c r="AA6" s="497" t="s">
        <v>494</v>
      </c>
      <c r="AB6" s="502"/>
      <c r="AC6" s="502"/>
      <c r="AD6" s="502"/>
      <c r="AE6" s="502"/>
      <c r="AF6" s="498"/>
      <c r="AH6" s="238" t="s">
        <v>403</v>
      </c>
      <c r="AI6" s="243">
        <f>COUNTIF(B9:B49,TRUE)</f>
        <v>0</v>
      </c>
    </row>
    <row r="7" spans="1:45" ht="15" customHeight="1">
      <c r="B7" s="506"/>
      <c r="C7" s="508"/>
      <c r="D7" s="508"/>
      <c r="E7" s="280" t="s">
        <v>495</v>
      </c>
      <c r="F7" s="228" t="s">
        <v>496</v>
      </c>
      <c r="G7" s="280" t="s">
        <v>133</v>
      </c>
      <c r="H7" s="228" t="s">
        <v>134</v>
      </c>
      <c r="I7" s="280" t="s">
        <v>135</v>
      </c>
      <c r="J7" s="228" t="s">
        <v>497</v>
      </c>
      <c r="K7" s="524"/>
      <c r="L7" s="227" t="s">
        <v>498</v>
      </c>
      <c r="M7" s="227" t="s">
        <v>151</v>
      </c>
      <c r="N7" s="227" t="s">
        <v>499</v>
      </c>
      <c r="O7" s="227" t="s">
        <v>500</v>
      </c>
      <c r="P7" s="227" t="s">
        <v>501</v>
      </c>
      <c r="Q7" s="227" t="s">
        <v>152</v>
      </c>
      <c r="R7" s="227" t="s">
        <v>502</v>
      </c>
      <c r="S7" s="227" t="s">
        <v>503</v>
      </c>
      <c r="T7" s="227" t="s">
        <v>504</v>
      </c>
      <c r="U7" s="227" t="s">
        <v>505</v>
      </c>
      <c r="V7" s="227" t="s">
        <v>507</v>
      </c>
      <c r="W7" s="227" t="s">
        <v>506</v>
      </c>
      <c r="X7" s="131"/>
      <c r="Y7" s="281" t="s">
        <v>508</v>
      </c>
      <c r="Z7" s="281" t="s">
        <v>509</v>
      </c>
      <c r="AA7" s="227" t="s">
        <v>510</v>
      </c>
      <c r="AB7" s="227" t="s">
        <v>511</v>
      </c>
      <c r="AC7" s="292" t="s">
        <v>525</v>
      </c>
      <c r="AD7" s="279" t="s">
        <v>512</v>
      </c>
      <c r="AE7" s="279" t="s">
        <v>513</v>
      </c>
      <c r="AF7" s="279" t="s">
        <v>526</v>
      </c>
      <c r="AH7" s="239" t="s">
        <v>404</v>
      </c>
      <c r="AI7" s="240"/>
      <c r="AJ7" s="241" t="s">
        <v>405</v>
      </c>
      <c r="AK7" s="241" t="s">
        <v>178</v>
      </c>
      <c r="AL7" s="241" t="s">
        <v>164</v>
      </c>
      <c r="AM7" s="241" t="s">
        <v>164</v>
      </c>
      <c r="AN7" s="241" t="s">
        <v>112</v>
      </c>
      <c r="AO7" s="241" t="s">
        <v>112</v>
      </c>
      <c r="AP7" s="241" t="s">
        <v>44</v>
      </c>
      <c r="AQ7" s="241" t="s">
        <v>44</v>
      </c>
      <c r="AR7" s="242" t="s">
        <v>165</v>
      </c>
      <c r="AS7" s="242" t="s">
        <v>165</v>
      </c>
    </row>
    <row r="8" spans="1:45" ht="15" customHeight="1">
      <c r="B8" s="506"/>
      <c r="C8" s="509"/>
      <c r="D8" s="509"/>
      <c r="E8" s="228">
        <f>H3</f>
        <v>0</v>
      </c>
      <c r="F8" s="228">
        <f t="shared" ref="F8:J8" si="0">E8</f>
        <v>0</v>
      </c>
      <c r="G8" s="228">
        <f t="shared" si="0"/>
        <v>0</v>
      </c>
      <c r="H8" s="228">
        <f t="shared" si="0"/>
        <v>0</v>
      </c>
      <c r="I8" s="228">
        <f t="shared" si="0"/>
        <v>0</v>
      </c>
      <c r="J8" s="228">
        <f t="shared" si="0"/>
        <v>0</v>
      </c>
      <c r="K8" s="277" t="s">
        <v>182</v>
      </c>
      <c r="L8" s="227" t="s">
        <v>514</v>
      </c>
      <c r="M8" s="227" t="s">
        <v>244</v>
      </c>
      <c r="N8" s="282" t="s">
        <v>515</v>
      </c>
      <c r="O8" s="282" t="s">
        <v>515</v>
      </c>
      <c r="P8" s="282" t="s">
        <v>515</v>
      </c>
      <c r="Q8" s="282" t="s">
        <v>516</v>
      </c>
      <c r="R8" s="282" t="s">
        <v>515</v>
      </c>
      <c r="S8" s="282" t="s">
        <v>517</v>
      </c>
      <c r="T8" s="227" t="s">
        <v>518</v>
      </c>
      <c r="U8" s="227" t="s">
        <v>519</v>
      </c>
      <c r="V8" s="227" t="s">
        <v>244</v>
      </c>
      <c r="W8" s="227" t="s">
        <v>244</v>
      </c>
      <c r="X8" s="131"/>
      <c r="Y8" s="227" t="s">
        <v>514</v>
      </c>
      <c r="Z8" s="227" t="s">
        <v>518</v>
      </c>
      <c r="AA8" s="227" t="s">
        <v>519</v>
      </c>
      <c r="AB8" s="227" t="s">
        <v>518</v>
      </c>
      <c r="AC8" s="292" t="s">
        <v>518</v>
      </c>
      <c r="AD8" s="227" t="s">
        <v>518</v>
      </c>
      <c r="AE8" s="164">
        <f>IF(TYPE(MATCH("FAIL",AE9:AE49,0))=16,0,1)</f>
        <v>0</v>
      </c>
      <c r="AF8" s="279" t="s">
        <v>527</v>
      </c>
      <c r="AH8" s="238" t="s">
        <v>406</v>
      </c>
      <c r="AI8" s="238" t="s">
        <v>407</v>
      </c>
      <c r="AJ8" s="238"/>
      <c r="AK8" s="238"/>
      <c r="AL8" s="238" t="s">
        <v>406</v>
      </c>
      <c r="AM8" s="238" t="s">
        <v>407</v>
      </c>
      <c r="AN8" s="238" t="s">
        <v>406</v>
      </c>
      <c r="AO8" s="238" t="s">
        <v>407</v>
      </c>
      <c r="AP8" s="238" t="s">
        <v>406</v>
      </c>
      <c r="AQ8" s="238" t="s">
        <v>407</v>
      </c>
      <c r="AR8" s="238" t="s">
        <v>406</v>
      </c>
      <c r="AS8" s="238" t="s">
        <v>407</v>
      </c>
    </row>
    <row r="9" spans="1:45" ht="15" customHeight="1">
      <c r="B9" s="132" t="b">
        <f>IF(TRIM(Length_1!A4)="",FALSE,TRUE)</f>
        <v>0</v>
      </c>
      <c r="C9" s="129" t="str">
        <f>IF($B9=FALSE,"",VALUE(Length_1!A4))</f>
        <v/>
      </c>
      <c r="D9" s="129" t="str">
        <f>IF($B9=FALSE,"",Length_1!B4)</f>
        <v/>
      </c>
      <c r="E9" s="133" t="str">
        <f>IF(B9=FALSE,"",Length_1!M4)</f>
        <v/>
      </c>
      <c r="F9" s="133" t="str">
        <f>IF(B9=FALSE,"",Length_1!N4)</f>
        <v/>
      </c>
      <c r="G9" s="133" t="str">
        <f>IF(B9=FALSE,"",Length_1!O4)</f>
        <v/>
      </c>
      <c r="H9" s="133" t="str">
        <f>IF(B9=FALSE,"",Length_1!P4)</f>
        <v/>
      </c>
      <c r="I9" s="133" t="str">
        <f>IF(B9=FALSE,"",Length_1!Q4)</f>
        <v/>
      </c>
      <c r="J9" s="134" t="str">
        <f t="shared" ref="J9:J28" si="1">IF(B9=FALSE,"",AVERAGE(E9:I9))</f>
        <v/>
      </c>
      <c r="K9" s="146" t="str">
        <f t="shared" ref="K9:K28" si="2">IF(B9=FALSE,"",STDEV(E9:I9)*I$3)</f>
        <v/>
      </c>
      <c r="L9" s="135" t="str">
        <f>IF(B9=FALSE,"",Length_1!D48)</f>
        <v/>
      </c>
      <c r="M9" s="136" t="str">
        <f>IF(B9=FALSE,"",Calcu!J9*I$3)</f>
        <v/>
      </c>
      <c r="N9" s="155" t="str">
        <f>IF(B9=FALSE,"",11.5*10^-6)</f>
        <v/>
      </c>
      <c r="O9" s="155" t="str">
        <f ca="1">IF(B9=FALSE,"",OFFSET(Length_1!A48,0,MATCH("열팽창계수",Length_1!$47:$47,0)-1))</f>
        <v/>
      </c>
      <c r="P9" s="156" t="str">
        <f t="shared" ref="P9:P28" si="3">IF(B9=FALSE,"",AVERAGE(N9:O9))</f>
        <v/>
      </c>
      <c r="Q9" s="286" t="str">
        <f t="shared" ref="Q9:Q28" si="4">IF(B9=FALSE,"",B$3-C$3)</f>
        <v/>
      </c>
      <c r="R9" s="286" t="str">
        <f t="shared" ref="R9:R28" si="5">IF(B9=FALSE,"",N9-O9)</f>
        <v/>
      </c>
      <c r="S9" s="286" t="str">
        <f t="shared" ref="S9:S28" si="6">IF(B9=FALSE,"",AVERAGE(B$3:C$3)-20)</f>
        <v/>
      </c>
      <c r="T9" s="137" t="str">
        <f t="shared" ref="T9:T28" si="7">IF(B9=FALSE,"",C9*I$3)</f>
        <v/>
      </c>
      <c r="U9" s="138" t="str">
        <f t="shared" ref="U9:U28" si="8">IF(B9=FALSE,"",L9-M9-(P9*Q9+R9*S9)*T9)</f>
        <v/>
      </c>
      <c r="V9" s="129" t="str">
        <f>IF($B9=FALSE,"",ROUND(T9+W9,$M$66))</f>
        <v/>
      </c>
      <c r="W9" s="129" t="str">
        <f>IF($B9=FALSE,"",ROUND(U9,$M$66))</f>
        <v/>
      </c>
      <c r="X9" s="131"/>
      <c r="Y9" s="215" t="e">
        <f ca="1">IF(Length_1!J4&lt;0,ROUNDUP(Length_1!J4*I$3,$M$66),ROUNDDOWN(Length_1!J4*I$3,$M$66))</f>
        <v>#N/A</v>
      </c>
      <c r="Z9" s="215" t="e">
        <f ca="1">IF(Length_1!K4&lt;0,ROUNDDOWN(Length_1!K4*I$3,$M$66),ROUNDUP(Length_1!K4*I$3,$M$66))</f>
        <v>#N/A</v>
      </c>
      <c r="AA9" s="129" t="e">
        <f t="shared" ref="AA9:AA49" ca="1" si="9">TEXT(T9,IF(T9&gt;=1000,"# ##","")&amp;$P$66)</f>
        <v>#N/A</v>
      </c>
      <c r="AB9" s="129" t="e">
        <f t="shared" ref="AB9:AB49" ca="1" si="10">TEXT(V9,IF(V9&gt;=1000,"# ##","")&amp;$P$66)</f>
        <v>#N/A</v>
      </c>
      <c r="AC9" s="129" t="e">
        <f t="shared" ref="AC9:AC49" ca="1" si="11">TEXT(W9,$P$66)</f>
        <v>#N/A</v>
      </c>
      <c r="AD9" s="129" t="e">
        <f t="shared" ref="AD9:AD49" ca="1" si="12">"± "&amp;TEXT(Z9-T9,P$66)</f>
        <v>#N/A</v>
      </c>
      <c r="AE9" s="129" t="str">
        <f>IF($B9=FALSE,"",IF(AND(Y9&lt;=V9,V9&lt;=Z9),"PASS","FAIL"))</f>
        <v/>
      </c>
      <c r="AF9" s="232" t="e">
        <f t="shared" ref="AF9:AF48" ca="1" si="13">S$66</f>
        <v>#N/A</v>
      </c>
      <c r="AH9" s="243">
        <v>1</v>
      </c>
      <c r="AI9" s="243">
        <f t="shared" ref="AI9:AI31" si="14">$AI$6-(AH9-1)</f>
        <v>0</v>
      </c>
      <c r="AJ9" s="243" t="b">
        <f t="shared" ref="AJ9:AJ31" si="15">IF(AH9&lt;=AI9,IF(AH9&lt;=AI$6,TRUE,FALSE),FALSE)</f>
        <v>0</v>
      </c>
      <c r="AK9" s="243" t="e">
        <f ca="1">AA9</f>
        <v>#N/A</v>
      </c>
      <c r="AL9" s="243" t="e">
        <f t="shared" ref="AL9:AL31" ca="1" si="16">TEXT(W9,$P$66)</f>
        <v>#N/A</v>
      </c>
      <c r="AM9" s="243" t="str">
        <f t="shared" ref="AM9:AM31" ca="1" si="17">IF($AI9&lt;=(($AI$6+1)/2),"-",OFFSET($AL$8,$AI9,0))</f>
        <v>-</v>
      </c>
      <c r="AN9" s="243" t="e">
        <f ca="1">AB9</f>
        <v>#N/A</v>
      </c>
      <c r="AO9" s="243" t="str">
        <f t="shared" ref="AO9:AO31" ca="1" si="18">IF($AI9&lt;=(($AI$6+1)/2),"-",OFFSET($AN$8,$AI9,0))</f>
        <v>-</v>
      </c>
      <c r="AP9" s="243" t="e">
        <f t="shared" ref="AP9:AP31" ca="1" si="19">AD9</f>
        <v>#N/A</v>
      </c>
      <c r="AQ9" s="243" t="str">
        <f t="shared" ref="AQ9:AQ31" ca="1" si="20">IF($AI9&lt;=(($AI$6+1)/2),"-",OFFSET($AP$8,$AI9,0))</f>
        <v>-</v>
      </c>
      <c r="AR9" s="243" t="str">
        <f t="shared" ref="AR9:AR31" si="21">AE9</f>
        <v/>
      </c>
      <c r="AS9" s="243" t="str">
        <f t="shared" ref="AS9:AS31" ca="1" si="22">IF($AI9&lt;=(($AI$6+1)/2),"-",OFFSET($AR$8,$AI9,0))</f>
        <v>-</v>
      </c>
    </row>
    <row r="10" spans="1:45" ht="15" customHeight="1">
      <c r="B10" s="132" t="b">
        <f>IF(TRIM(Length_1!A5)="",FALSE,TRUE)</f>
        <v>0</v>
      </c>
      <c r="C10" s="129" t="str">
        <f>IF($B10=FALSE,"",VALUE(Length_1!A5))</f>
        <v/>
      </c>
      <c r="D10" s="129" t="str">
        <f>IF($B10=FALSE,"",Length_1!B5)</f>
        <v/>
      </c>
      <c r="E10" s="133" t="str">
        <f>IF(B10=FALSE,"",Length_1!M5)</f>
        <v/>
      </c>
      <c r="F10" s="133" t="str">
        <f>IF(B10=FALSE,"",Length_1!N5)</f>
        <v/>
      </c>
      <c r="G10" s="133" t="str">
        <f>IF(B10=FALSE,"",Length_1!O5)</f>
        <v/>
      </c>
      <c r="H10" s="133" t="str">
        <f>IF(B10=FALSE,"",Length_1!P5)</f>
        <v/>
      </c>
      <c r="I10" s="133" t="str">
        <f>IF(B10=FALSE,"",Length_1!Q5)</f>
        <v/>
      </c>
      <c r="J10" s="134" t="str">
        <f t="shared" si="1"/>
        <v/>
      </c>
      <c r="K10" s="146" t="str">
        <f t="shared" si="2"/>
        <v/>
      </c>
      <c r="L10" s="135" t="str">
        <f>IF(B10=FALSE,"",Length_1!D49)</f>
        <v/>
      </c>
      <c r="M10" s="136" t="str">
        <f>IF(B10=FALSE,"",Calcu!J10*I$3)</f>
        <v/>
      </c>
      <c r="N10" s="155" t="str">
        <f t="shared" ref="N10:N28" si="23">IF(B10=FALSE,"",11.5*10^-6)</f>
        <v/>
      </c>
      <c r="O10" s="155" t="str">
        <f ca="1">IF(B10=FALSE,"",OFFSET(Length_1!A49,0,MATCH("열팽창계수",Length_1!$47:$47,0)-1))</f>
        <v/>
      </c>
      <c r="P10" s="156" t="str">
        <f t="shared" si="3"/>
        <v/>
      </c>
      <c r="Q10" s="286" t="str">
        <f t="shared" si="4"/>
        <v/>
      </c>
      <c r="R10" s="286" t="str">
        <f t="shared" si="5"/>
        <v/>
      </c>
      <c r="S10" s="286" t="str">
        <f t="shared" si="6"/>
        <v/>
      </c>
      <c r="T10" s="137" t="str">
        <f t="shared" si="7"/>
        <v/>
      </c>
      <c r="U10" s="138" t="str">
        <f t="shared" si="8"/>
        <v/>
      </c>
      <c r="V10" s="129" t="str">
        <f t="shared" ref="V10:V49" si="24">IF($B10=FALSE,"",ROUND(T10+W10,$M$66))</f>
        <v/>
      </c>
      <c r="W10" s="129" t="str">
        <f t="shared" ref="W10:W49" si="25">IF($B10=FALSE,"",ROUND(U10,$M$66))</f>
        <v/>
      </c>
      <c r="X10" s="131"/>
      <c r="Y10" s="215" t="e">
        <f ca="1">IF(Length_1!J5&lt;0,ROUNDUP(Length_1!J5*I$3,$M$66),ROUNDDOWN(Length_1!J5*I$3,$M$66))</f>
        <v>#N/A</v>
      </c>
      <c r="Z10" s="215" t="e">
        <f ca="1">IF(Length_1!K5&lt;0,ROUNDDOWN(Length_1!K5*I$3,$M$66),ROUNDUP(Length_1!K5*I$3,$M$66))</f>
        <v>#N/A</v>
      </c>
      <c r="AA10" s="129" t="e">
        <f t="shared" ca="1" si="9"/>
        <v>#N/A</v>
      </c>
      <c r="AB10" s="129" t="e">
        <f t="shared" ca="1" si="10"/>
        <v>#N/A</v>
      </c>
      <c r="AC10" s="129" t="e">
        <f t="shared" ca="1" si="11"/>
        <v>#N/A</v>
      </c>
      <c r="AD10" s="129" t="e">
        <f t="shared" ca="1" si="12"/>
        <v>#N/A</v>
      </c>
      <c r="AE10" s="129" t="str">
        <f t="shared" ref="AE10:AE49" si="26">IF($B10=FALSE,"",IF(AND(Y10&lt;=V10,V10&lt;=Z10),"PASS","FAIL"))</f>
        <v/>
      </c>
      <c r="AF10" s="232" t="e">
        <f t="shared" ca="1" si="13"/>
        <v>#N/A</v>
      </c>
      <c r="AH10" s="243">
        <v>2</v>
      </c>
      <c r="AI10" s="243">
        <f t="shared" si="14"/>
        <v>-1</v>
      </c>
      <c r="AJ10" s="243" t="b">
        <f t="shared" si="15"/>
        <v>0</v>
      </c>
      <c r="AK10" s="243" t="e">
        <f t="shared" ref="AK10:AK31" ca="1" si="27">AA10</f>
        <v>#N/A</v>
      </c>
      <c r="AL10" s="243" t="e">
        <f t="shared" ca="1" si="16"/>
        <v>#N/A</v>
      </c>
      <c r="AM10" s="243" t="str">
        <f t="shared" ca="1" si="17"/>
        <v>-</v>
      </c>
      <c r="AN10" s="243" t="e">
        <f t="shared" ref="AN10:AN31" ca="1" si="28">AB10</f>
        <v>#N/A</v>
      </c>
      <c r="AO10" s="243" t="str">
        <f t="shared" ca="1" si="18"/>
        <v>-</v>
      </c>
      <c r="AP10" s="243" t="e">
        <f t="shared" ca="1" si="19"/>
        <v>#N/A</v>
      </c>
      <c r="AQ10" s="243" t="str">
        <f t="shared" ca="1" si="20"/>
        <v>-</v>
      </c>
      <c r="AR10" s="243" t="str">
        <f t="shared" si="21"/>
        <v/>
      </c>
      <c r="AS10" s="243" t="str">
        <f t="shared" ca="1" si="22"/>
        <v>-</v>
      </c>
    </row>
    <row r="11" spans="1:45" ht="15" customHeight="1">
      <c r="B11" s="132" t="b">
        <f>IF(TRIM(Length_1!A6)="",FALSE,TRUE)</f>
        <v>0</v>
      </c>
      <c r="C11" s="129" t="str">
        <f>IF($B11=FALSE,"",VALUE(Length_1!A6))</f>
        <v/>
      </c>
      <c r="D11" s="129" t="str">
        <f>IF($B11=FALSE,"",Length_1!B6)</f>
        <v/>
      </c>
      <c r="E11" s="133" t="str">
        <f>IF(B11=FALSE,"",Length_1!M6)</f>
        <v/>
      </c>
      <c r="F11" s="133" t="str">
        <f>IF(B11=FALSE,"",Length_1!N6)</f>
        <v/>
      </c>
      <c r="G11" s="133" t="str">
        <f>IF(B11=FALSE,"",Length_1!O6)</f>
        <v/>
      </c>
      <c r="H11" s="133" t="str">
        <f>IF(B11=FALSE,"",Length_1!P6)</f>
        <v/>
      </c>
      <c r="I11" s="133" t="str">
        <f>IF(B11=FALSE,"",Length_1!Q6)</f>
        <v/>
      </c>
      <c r="J11" s="134" t="str">
        <f t="shared" si="1"/>
        <v/>
      </c>
      <c r="K11" s="146" t="str">
        <f t="shared" si="2"/>
        <v/>
      </c>
      <c r="L11" s="135" t="str">
        <f>IF(B11=FALSE,"",Length_1!D50)</f>
        <v/>
      </c>
      <c r="M11" s="136" t="str">
        <f>IF(B11=FALSE,"",Calcu!J11*I$3)</f>
        <v/>
      </c>
      <c r="N11" s="155" t="str">
        <f t="shared" si="23"/>
        <v/>
      </c>
      <c r="O11" s="155" t="str">
        <f ca="1">IF(B11=FALSE,"",OFFSET(Length_1!A50,0,MATCH("열팽창계수",Length_1!$47:$47,0)-1))</f>
        <v/>
      </c>
      <c r="P11" s="156" t="str">
        <f t="shared" si="3"/>
        <v/>
      </c>
      <c r="Q11" s="286" t="str">
        <f t="shared" si="4"/>
        <v/>
      </c>
      <c r="R11" s="286" t="str">
        <f t="shared" si="5"/>
        <v/>
      </c>
      <c r="S11" s="286" t="str">
        <f t="shared" si="6"/>
        <v/>
      </c>
      <c r="T11" s="137" t="str">
        <f t="shared" si="7"/>
        <v/>
      </c>
      <c r="U11" s="138" t="str">
        <f t="shared" si="8"/>
        <v/>
      </c>
      <c r="V11" s="129" t="str">
        <f t="shared" si="24"/>
        <v/>
      </c>
      <c r="W11" s="129" t="str">
        <f t="shared" si="25"/>
        <v/>
      </c>
      <c r="X11" s="131"/>
      <c r="Y11" s="215" t="e">
        <f ca="1">IF(Length_1!J6&lt;0,ROUNDUP(Length_1!J6*I$3,$M$66),ROUNDDOWN(Length_1!J6*I$3,$M$66))</f>
        <v>#N/A</v>
      </c>
      <c r="Z11" s="215" t="e">
        <f ca="1">IF(Length_1!K6&lt;0,ROUNDDOWN(Length_1!K6*I$3,$M$66),ROUNDUP(Length_1!K6*I$3,$M$66))</f>
        <v>#N/A</v>
      </c>
      <c r="AA11" s="129" t="e">
        <f t="shared" ca="1" si="9"/>
        <v>#N/A</v>
      </c>
      <c r="AB11" s="129" t="e">
        <f t="shared" ca="1" si="10"/>
        <v>#N/A</v>
      </c>
      <c r="AC11" s="129" t="e">
        <f t="shared" ca="1" si="11"/>
        <v>#N/A</v>
      </c>
      <c r="AD11" s="129" t="e">
        <f t="shared" ca="1" si="12"/>
        <v>#N/A</v>
      </c>
      <c r="AE11" s="129" t="str">
        <f t="shared" si="26"/>
        <v/>
      </c>
      <c r="AF11" s="232" t="e">
        <f t="shared" ca="1" si="13"/>
        <v>#N/A</v>
      </c>
      <c r="AH11" s="243">
        <v>3</v>
      </c>
      <c r="AI11" s="243">
        <f t="shared" si="14"/>
        <v>-2</v>
      </c>
      <c r="AJ11" s="243" t="b">
        <f t="shared" si="15"/>
        <v>0</v>
      </c>
      <c r="AK11" s="243" t="e">
        <f t="shared" ca="1" si="27"/>
        <v>#N/A</v>
      </c>
      <c r="AL11" s="243" t="e">
        <f t="shared" ca="1" si="16"/>
        <v>#N/A</v>
      </c>
      <c r="AM11" s="243" t="str">
        <f t="shared" ca="1" si="17"/>
        <v>-</v>
      </c>
      <c r="AN11" s="243" t="e">
        <f t="shared" ca="1" si="28"/>
        <v>#N/A</v>
      </c>
      <c r="AO11" s="243" t="str">
        <f t="shared" ca="1" si="18"/>
        <v>-</v>
      </c>
      <c r="AP11" s="243" t="e">
        <f t="shared" ca="1" si="19"/>
        <v>#N/A</v>
      </c>
      <c r="AQ11" s="243" t="str">
        <f t="shared" ca="1" si="20"/>
        <v>-</v>
      </c>
      <c r="AR11" s="243" t="str">
        <f t="shared" si="21"/>
        <v/>
      </c>
      <c r="AS11" s="243" t="str">
        <f t="shared" ca="1" si="22"/>
        <v>-</v>
      </c>
    </row>
    <row r="12" spans="1:45" ht="15" customHeight="1">
      <c r="B12" s="132" t="b">
        <f>IF(TRIM(Length_1!A7)="",FALSE,TRUE)</f>
        <v>0</v>
      </c>
      <c r="C12" s="129" t="str">
        <f>IF($B12=FALSE,"",VALUE(Length_1!A7))</f>
        <v/>
      </c>
      <c r="D12" s="129" t="str">
        <f>IF($B12=FALSE,"",Length_1!B7)</f>
        <v/>
      </c>
      <c r="E12" s="133" t="str">
        <f>IF(B12=FALSE,"",Length_1!M7)</f>
        <v/>
      </c>
      <c r="F12" s="133" t="str">
        <f>IF(B12=FALSE,"",Length_1!N7)</f>
        <v/>
      </c>
      <c r="G12" s="133" t="str">
        <f>IF(B12=FALSE,"",Length_1!O7)</f>
        <v/>
      </c>
      <c r="H12" s="133" t="str">
        <f>IF(B12=FALSE,"",Length_1!P7)</f>
        <v/>
      </c>
      <c r="I12" s="133" t="str">
        <f>IF(B12=FALSE,"",Length_1!Q7)</f>
        <v/>
      </c>
      <c r="J12" s="134" t="str">
        <f t="shared" si="1"/>
        <v/>
      </c>
      <c r="K12" s="146" t="str">
        <f t="shared" si="2"/>
        <v/>
      </c>
      <c r="L12" s="135" t="str">
        <f>IF(B12=FALSE,"",Length_1!D51)</f>
        <v/>
      </c>
      <c r="M12" s="136" t="str">
        <f>IF(B12=FALSE,"",Calcu!J12*I$3)</f>
        <v/>
      </c>
      <c r="N12" s="155" t="str">
        <f t="shared" si="23"/>
        <v/>
      </c>
      <c r="O12" s="155" t="str">
        <f ca="1">IF(B12=FALSE,"",OFFSET(Length_1!A51,0,MATCH("열팽창계수",Length_1!$47:$47,0)-1))</f>
        <v/>
      </c>
      <c r="P12" s="156" t="str">
        <f t="shared" si="3"/>
        <v/>
      </c>
      <c r="Q12" s="286" t="str">
        <f t="shared" si="4"/>
        <v/>
      </c>
      <c r="R12" s="286" t="str">
        <f t="shared" si="5"/>
        <v/>
      </c>
      <c r="S12" s="286" t="str">
        <f t="shared" si="6"/>
        <v/>
      </c>
      <c r="T12" s="137" t="str">
        <f t="shared" si="7"/>
        <v/>
      </c>
      <c r="U12" s="138" t="str">
        <f t="shared" si="8"/>
        <v/>
      </c>
      <c r="V12" s="129" t="str">
        <f t="shared" si="24"/>
        <v/>
      </c>
      <c r="W12" s="129" t="str">
        <f t="shared" si="25"/>
        <v/>
      </c>
      <c r="X12" s="131"/>
      <c r="Y12" s="215" t="e">
        <f ca="1">IF(Length_1!J7&lt;0,ROUNDUP(Length_1!J7*I$3,$M$66),ROUNDDOWN(Length_1!J7*I$3,$M$66))</f>
        <v>#N/A</v>
      </c>
      <c r="Z12" s="215" t="e">
        <f ca="1">IF(Length_1!K7&lt;0,ROUNDDOWN(Length_1!K7*I$3,$M$66),ROUNDUP(Length_1!K7*I$3,$M$66))</f>
        <v>#N/A</v>
      </c>
      <c r="AA12" s="129" t="e">
        <f t="shared" ca="1" si="9"/>
        <v>#N/A</v>
      </c>
      <c r="AB12" s="129" t="e">
        <f t="shared" ca="1" si="10"/>
        <v>#N/A</v>
      </c>
      <c r="AC12" s="129" t="e">
        <f t="shared" ca="1" si="11"/>
        <v>#N/A</v>
      </c>
      <c r="AD12" s="129" t="e">
        <f t="shared" ca="1" si="12"/>
        <v>#N/A</v>
      </c>
      <c r="AE12" s="129" t="str">
        <f t="shared" si="26"/>
        <v/>
      </c>
      <c r="AF12" s="232" t="e">
        <f t="shared" ca="1" si="13"/>
        <v>#N/A</v>
      </c>
      <c r="AH12" s="243">
        <v>4</v>
      </c>
      <c r="AI12" s="243">
        <f t="shared" si="14"/>
        <v>-3</v>
      </c>
      <c r="AJ12" s="243" t="b">
        <f t="shared" si="15"/>
        <v>0</v>
      </c>
      <c r="AK12" s="243" t="e">
        <f t="shared" ca="1" si="27"/>
        <v>#N/A</v>
      </c>
      <c r="AL12" s="243" t="e">
        <f t="shared" ca="1" si="16"/>
        <v>#N/A</v>
      </c>
      <c r="AM12" s="243" t="str">
        <f t="shared" ca="1" si="17"/>
        <v>-</v>
      </c>
      <c r="AN12" s="243" t="e">
        <f t="shared" ca="1" si="28"/>
        <v>#N/A</v>
      </c>
      <c r="AO12" s="243" t="str">
        <f t="shared" ca="1" si="18"/>
        <v>-</v>
      </c>
      <c r="AP12" s="243" t="e">
        <f t="shared" ca="1" si="19"/>
        <v>#N/A</v>
      </c>
      <c r="AQ12" s="243" t="str">
        <f t="shared" ca="1" si="20"/>
        <v>-</v>
      </c>
      <c r="AR12" s="243" t="str">
        <f t="shared" si="21"/>
        <v/>
      </c>
      <c r="AS12" s="243" t="str">
        <f t="shared" ca="1" si="22"/>
        <v>-</v>
      </c>
    </row>
    <row r="13" spans="1:45" ht="15" customHeight="1">
      <c r="B13" s="132" t="b">
        <f>IF(TRIM(Length_1!A8)="",FALSE,TRUE)</f>
        <v>0</v>
      </c>
      <c r="C13" s="129" t="str">
        <f>IF($B13=FALSE,"",VALUE(Length_1!A8))</f>
        <v/>
      </c>
      <c r="D13" s="129" t="str">
        <f>IF($B13=FALSE,"",Length_1!B8)</f>
        <v/>
      </c>
      <c r="E13" s="133" t="str">
        <f>IF(B13=FALSE,"",Length_1!M8)</f>
        <v/>
      </c>
      <c r="F13" s="133" t="str">
        <f>IF(B13=FALSE,"",Length_1!N8)</f>
        <v/>
      </c>
      <c r="G13" s="133" t="str">
        <f>IF(B13=FALSE,"",Length_1!O8)</f>
        <v/>
      </c>
      <c r="H13" s="133" t="str">
        <f>IF(B13=FALSE,"",Length_1!P8)</f>
        <v/>
      </c>
      <c r="I13" s="133" t="str">
        <f>IF(B13=FALSE,"",Length_1!Q8)</f>
        <v/>
      </c>
      <c r="J13" s="134" t="str">
        <f t="shared" si="1"/>
        <v/>
      </c>
      <c r="K13" s="146" t="str">
        <f t="shared" si="2"/>
        <v/>
      </c>
      <c r="L13" s="135" t="str">
        <f>IF(B13=FALSE,"",Length_1!D52)</f>
        <v/>
      </c>
      <c r="M13" s="136" t="str">
        <f>IF(B13=FALSE,"",Calcu!J13*I$3)</f>
        <v/>
      </c>
      <c r="N13" s="155" t="str">
        <f t="shared" si="23"/>
        <v/>
      </c>
      <c r="O13" s="155" t="str">
        <f ca="1">IF(B13=FALSE,"",OFFSET(Length_1!A52,0,MATCH("열팽창계수",Length_1!$47:$47,0)-1))</f>
        <v/>
      </c>
      <c r="P13" s="156" t="str">
        <f t="shared" si="3"/>
        <v/>
      </c>
      <c r="Q13" s="286" t="str">
        <f t="shared" si="4"/>
        <v/>
      </c>
      <c r="R13" s="286" t="str">
        <f t="shared" si="5"/>
        <v/>
      </c>
      <c r="S13" s="286" t="str">
        <f t="shared" si="6"/>
        <v/>
      </c>
      <c r="T13" s="137" t="str">
        <f t="shared" si="7"/>
        <v/>
      </c>
      <c r="U13" s="138" t="str">
        <f t="shared" si="8"/>
        <v/>
      </c>
      <c r="V13" s="129" t="str">
        <f t="shared" si="24"/>
        <v/>
      </c>
      <c r="W13" s="129" t="str">
        <f t="shared" si="25"/>
        <v/>
      </c>
      <c r="X13" s="131"/>
      <c r="Y13" s="215" t="e">
        <f ca="1">IF(Length_1!J8&lt;0,ROUNDUP(Length_1!J8*I$3,$M$66),ROUNDDOWN(Length_1!J8*I$3,$M$66))</f>
        <v>#N/A</v>
      </c>
      <c r="Z13" s="215" t="e">
        <f ca="1">IF(Length_1!K8&lt;0,ROUNDDOWN(Length_1!K8*I$3,$M$66),ROUNDUP(Length_1!K8*I$3,$M$66))</f>
        <v>#N/A</v>
      </c>
      <c r="AA13" s="129" t="e">
        <f t="shared" ca="1" si="9"/>
        <v>#N/A</v>
      </c>
      <c r="AB13" s="129" t="e">
        <f t="shared" ca="1" si="10"/>
        <v>#N/A</v>
      </c>
      <c r="AC13" s="129" t="e">
        <f t="shared" ca="1" si="11"/>
        <v>#N/A</v>
      </c>
      <c r="AD13" s="129" t="e">
        <f t="shared" ca="1" si="12"/>
        <v>#N/A</v>
      </c>
      <c r="AE13" s="129" t="str">
        <f t="shared" si="26"/>
        <v/>
      </c>
      <c r="AF13" s="232" t="e">
        <f t="shared" ca="1" si="13"/>
        <v>#N/A</v>
      </c>
      <c r="AH13" s="243">
        <v>5</v>
      </c>
      <c r="AI13" s="243">
        <f t="shared" si="14"/>
        <v>-4</v>
      </c>
      <c r="AJ13" s="243" t="b">
        <f t="shared" si="15"/>
        <v>0</v>
      </c>
      <c r="AK13" s="243" t="e">
        <f t="shared" ca="1" si="27"/>
        <v>#N/A</v>
      </c>
      <c r="AL13" s="243" t="e">
        <f t="shared" ca="1" si="16"/>
        <v>#N/A</v>
      </c>
      <c r="AM13" s="243" t="str">
        <f t="shared" ca="1" si="17"/>
        <v>-</v>
      </c>
      <c r="AN13" s="243" t="e">
        <f t="shared" ca="1" si="28"/>
        <v>#N/A</v>
      </c>
      <c r="AO13" s="243" t="str">
        <f t="shared" ca="1" si="18"/>
        <v>-</v>
      </c>
      <c r="AP13" s="243" t="e">
        <f t="shared" ca="1" si="19"/>
        <v>#N/A</v>
      </c>
      <c r="AQ13" s="243" t="str">
        <f t="shared" ca="1" si="20"/>
        <v>-</v>
      </c>
      <c r="AR13" s="243" t="str">
        <f t="shared" si="21"/>
        <v/>
      </c>
      <c r="AS13" s="243" t="str">
        <f t="shared" ca="1" si="22"/>
        <v>-</v>
      </c>
    </row>
    <row r="14" spans="1:45" ht="15" customHeight="1">
      <c r="B14" s="132" t="b">
        <f>IF(TRIM(Length_1!A9)="",FALSE,TRUE)</f>
        <v>0</v>
      </c>
      <c r="C14" s="129" t="str">
        <f>IF($B14=FALSE,"",VALUE(Length_1!A9))</f>
        <v/>
      </c>
      <c r="D14" s="129" t="str">
        <f>IF($B14=FALSE,"",Length_1!B9)</f>
        <v/>
      </c>
      <c r="E14" s="133" t="str">
        <f>IF(B14=FALSE,"",Length_1!M9)</f>
        <v/>
      </c>
      <c r="F14" s="133" t="str">
        <f>IF(B14=FALSE,"",Length_1!N9)</f>
        <v/>
      </c>
      <c r="G14" s="133" t="str">
        <f>IF(B14=FALSE,"",Length_1!O9)</f>
        <v/>
      </c>
      <c r="H14" s="133" t="str">
        <f>IF(B14=FALSE,"",Length_1!P9)</f>
        <v/>
      </c>
      <c r="I14" s="133" t="str">
        <f>IF(B14=FALSE,"",Length_1!Q9)</f>
        <v/>
      </c>
      <c r="J14" s="134" t="str">
        <f t="shared" si="1"/>
        <v/>
      </c>
      <c r="K14" s="146" t="str">
        <f t="shared" si="2"/>
        <v/>
      </c>
      <c r="L14" s="135" t="str">
        <f>IF(B14=FALSE,"",Length_1!D53)</f>
        <v/>
      </c>
      <c r="M14" s="136" t="str">
        <f>IF(B14=FALSE,"",Calcu!J14*I$3)</f>
        <v/>
      </c>
      <c r="N14" s="155" t="str">
        <f t="shared" si="23"/>
        <v/>
      </c>
      <c r="O14" s="155" t="str">
        <f ca="1">IF(B14=FALSE,"",OFFSET(Length_1!A53,0,MATCH("열팽창계수",Length_1!$47:$47,0)-1))</f>
        <v/>
      </c>
      <c r="P14" s="156" t="str">
        <f t="shared" si="3"/>
        <v/>
      </c>
      <c r="Q14" s="286" t="str">
        <f t="shared" si="4"/>
        <v/>
      </c>
      <c r="R14" s="286" t="str">
        <f t="shared" si="5"/>
        <v/>
      </c>
      <c r="S14" s="286" t="str">
        <f t="shared" si="6"/>
        <v/>
      </c>
      <c r="T14" s="137" t="str">
        <f t="shared" si="7"/>
        <v/>
      </c>
      <c r="U14" s="138" t="str">
        <f t="shared" si="8"/>
        <v/>
      </c>
      <c r="V14" s="129" t="str">
        <f t="shared" si="24"/>
        <v/>
      </c>
      <c r="W14" s="129" t="str">
        <f t="shared" si="25"/>
        <v/>
      </c>
      <c r="X14" s="131"/>
      <c r="Y14" s="215" t="e">
        <f ca="1">IF(Length_1!J9&lt;0,ROUNDUP(Length_1!J9*I$3,$M$66),ROUNDDOWN(Length_1!J9*I$3,$M$66))</f>
        <v>#N/A</v>
      </c>
      <c r="Z14" s="215" t="e">
        <f ca="1">IF(Length_1!K9&lt;0,ROUNDDOWN(Length_1!K9*I$3,$M$66),ROUNDUP(Length_1!K9*I$3,$M$66))</f>
        <v>#N/A</v>
      </c>
      <c r="AA14" s="129" t="e">
        <f t="shared" ca="1" si="9"/>
        <v>#N/A</v>
      </c>
      <c r="AB14" s="129" t="e">
        <f t="shared" ca="1" si="10"/>
        <v>#N/A</v>
      </c>
      <c r="AC14" s="129" t="e">
        <f t="shared" ca="1" si="11"/>
        <v>#N/A</v>
      </c>
      <c r="AD14" s="129" t="e">
        <f t="shared" ca="1" si="12"/>
        <v>#N/A</v>
      </c>
      <c r="AE14" s="129" t="str">
        <f t="shared" si="26"/>
        <v/>
      </c>
      <c r="AF14" s="232" t="e">
        <f t="shared" ca="1" si="13"/>
        <v>#N/A</v>
      </c>
      <c r="AH14" s="243">
        <v>6</v>
      </c>
      <c r="AI14" s="243">
        <f t="shared" si="14"/>
        <v>-5</v>
      </c>
      <c r="AJ14" s="243" t="b">
        <f t="shared" si="15"/>
        <v>0</v>
      </c>
      <c r="AK14" s="243" t="e">
        <f t="shared" ca="1" si="27"/>
        <v>#N/A</v>
      </c>
      <c r="AL14" s="243" t="e">
        <f t="shared" ca="1" si="16"/>
        <v>#N/A</v>
      </c>
      <c r="AM14" s="243" t="str">
        <f t="shared" ca="1" si="17"/>
        <v>-</v>
      </c>
      <c r="AN14" s="243" t="e">
        <f t="shared" ca="1" si="28"/>
        <v>#N/A</v>
      </c>
      <c r="AO14" s="243" t="str">
        <f t="shared" ca="1" si="18"/>
        <v>-</v>
      </c>
      <c r="AP14" s="243" t="e">
        <f t="shared" ca="1" si="19"/>
        <v>#N/A</v>
      </c>
      <c r="AQ14" s="243" t="str">
        <f t="shared" ca="1" si="20"/>
        <v>-</v>
      </c>
      <c r="AR14" s="243" t="str">
        <f t="shared" si="21"/>
        <v/>
      </c>
      <c r="AS14" s="243" t="str">
        <f t="shared" ca="1" si="22"/>
        <v>-</v>
      </c>
    </row>
    <row r="15" spans="1:45" ht="15" customHeight="1">
      <c r="B15" s="132" t="b">
        <f>IF(TRIM(Length_1!A10)="",FALSE,TRUE)</f>
        <v>0</v>
      </c>
      <c r="C15" s="129" t="str">
        <f>IF($B15=FALSE,"",VALUE(Length_1!A10))</f>
        <v/>
      </c>
      <c r="D15" s="129" t="str">
        <f>IF($B15=FALSE,"",Length_1!B10)</f>
        <v/>
      </c>
      <c r="E15" s="133" t="str">
        <f>IF(B15=FALSE,"",Length_1!M10)</f>
        <v/>
      </c>
      <c r="F15" s="133" t="str">
        <f>IF(B15=FALSE,"",Length_1!N10)</f>
        <v/>
      </c>
      <c r="G15" s="133" t="str">
        <f>IF(B15=FALSE,"",Length_1!O10)</f>
        <v/>
      </c>
      <c r="H15" s="133" t="str">
        <f>IF(B15=FALSE,"",Length_1!P10)</f>
        <v/>
      </c>
      <c r="I15" s="133" t="str">
        <f>IF(B15=FALSE,"",Length_1!Q10)</f>
        <v/>
      </c>
      <c r="J15" s="134" t="str">
        <f t="shared" si="1"/>
        <v/>
      </c>
      <c r="K15" s="146" t="str">
        <f t="shared" si="2"/>
        <v/>
      </c>
      <c r="L15" s="135" t="str">
        <f>IF(B15=FALSE,"",Length_1!D54)</f>
        <v/>
      </c>
      <c r="M15" s="136" t="str">
        <f>IF(B15=FALSE,"",Calcu!J15*I$3)</f>
        <v/>
      </c>
      <c r="N15" s="155" t="str">
        <f t="shared" si="23"/>
        <v/>
      </c>
      <c r="O15" s="155" t="str">
        <f ca="1">IF(B15=FALSE,"",OFFSET(Length_1!A54,0,MATCH("열팽창계수",Length_1!$47:$47,0)-1))</f>
        <v/>
      </c>
      <c r="P15" s="156" t="str">
        <f t="shared" si="3"/>
        <v/>
      </c>
      <c r="Q15" s="286" t="str">
        <f t="shared" si="4"/>
        <v/>
      </c>
      <c r="R15" s="286" t="str">
        <f t="shared" si="5"/>
        <v/>
      </c>
      <c r="S15" s="286" t="str">
        <f t="shared" si="6"/>
        <v/>
      </c>
      <c r="T15" s="137" t="str">
        <f t="shared" si="7"/>
        <v/>
      </c>
      <c r="U15" s="138" t="str">
        <f t="shared" si="8"/>
        <v/>
      </c>
      <c r="V15" s="129" t="str">
        <f t="shared" si="24"/>
        <v/>
      </c>
      <c r="W15" s="129" t="str">
        <f t="shared" si="25"/>
        <v/>
      </c>
      <c r="X15" s="131"/>
      <c r="Y15" s="215" t="e">
        <f ca="1">IF(Length_1!J10&lt;0,ROUNDUP(Length_1!J10*I$3,$M$66),ROUNDDOWN(Length_1!J10*I$3,$M$66))</f>
        <v>#N/A</v>
      </c>
      <c r="Z15" s="215" t="e">
        <f ca="1">IF(Length_1!K10&lt;0,ROUNDDOWN(Length_1!K10*I$3,$M$66),ROUNDUP(Length_1!K10*I$3,$M$66))</f>
        <v>#N/A</v>
      </c>
      <c r="AA15" s="129" t="e">
        <f t="shared" ca="1" si="9"/>
        <v>#N/A</v>
      </c>
      <c r="AB15" s="129" t="e">
        <f t="shared" ca="1" si="10"/>
        <v>#N/A</v>
      </c>
      <c r="AC15" s="129" t="e">
        <f t="shared" ca="1" si="11"/>
        <v>#N/A</v>
      </c>
      <c r="AD15" s="129" t="e">
        <f t="shared" ca="1" si="12"/>
        <v>#N/A</v>
      </c>
      <c r="AE15" s="129" t="str">
        <f t="shared" si="26"/>
        <v/>
      </c>
      <c r="AF15" s="232" t="e">
        <f t="shared" ca="1" si="13"/>
        <v>#N/A</v>
      </c>
      <c r="AH15" s="243">
        <v>7</v>
      </c>
      <c r="AI15" s="243">
        <f t="shared" si="14"/>
        <v>-6</v>
      </c>
      <c r="AJ15" s="243" t="b">
        <f t="shared" si="15"/>
        <v>0</v>
      </c>
      <c r="AK15" s="243" t="e">
        <f t="shared" ca="1" si="27"/>
        <v>#N/A</v>
      </c>
      <c r="AL15" s="243" t="e">
        <f t="shared" ca="1" si="16"/>
        <v>#N/A</v>
      </c>
      <c r="AM15" s="243" t="str">
        <f t="shared" ca="1" si="17"/>
        <v>-</v>
      </c>
      <c r="AN15" s="243" t="e">
        <f t="shared" ca="1" si="28"/>
        <v>#N/A</v>
      </c>
      <c r="AO15" s="243" t="str">
        <f t="shared" ca="1" si="18"/>
        <v>-</v>
      </c>
      <c r="AP15" s="243" t="e">
        <f t="shared" ca="1" si="19"/>
        <v>#N/A</v>
      </c>
      <c r="AQ15" s="243" t="str">
        <f t="shared" ca="1" si="20"/>
        <v>-</v>
      </c>
      <c r="AR15" s="243" t="str">
        <f t="shared" si="21"/>
        <v/>
      </c>
      <c r="AS15" s="243" t="str">
        <f t="shared" ca="1" si="22"/>
        <v>-</v>
      </c>
    </row>
    <row r="16" spans="1:45" ht="15" customHeight="1">
      <c r="B16" s="132" t="b">
        <f>IF(TRIM(Length_1!A11)="",FALSE,TRUE)</f>
        <v>0</v>
      </c>
      <c r="C16" s="129" t="str">
        <f>IF($B16=FALSE,"",VALUE(Length_1!A11))</f>
        <v/>
      </c>
      <c r="D16" s="129" t="str">
        <f>IF($B16=FALSE,"",Length_1!B11)</f>
        <v/>
      </c>
      <c r="E16" s="133" t="str">
        <f>IF(B16=FALSE,"",Length_1!M11)</f>
        <v/>
      </c>
      <c r="F16" s="133" t="str">
        <f>IF(B16=FALSE,"",Length_1!N11)</f>
        <v/>
      </c>
      <c r="G16" s="133" t="str">
        <f>IF(B16=FALSE,"",Length_1!O11)</f>
        <v/>
      </c>
      <c r="H16" s="133" t="str">
        <f>IF(B16=FALSE,"",Length_1!P11)</f>
        <v/>
      </c>
      <c r="I16" s="133" t="str">
        <f>IF(B16=FALSE,"",Length_1!Q11)</f>
        <v/>
      </c>
      <c r="J16" s="134" t="str">
        <f t="shared" si="1"/>
        <v/>
      </c>
      <c r="K16" s="146" t="str">
        <f t="shared" si="2"/>
        <v/>
      </c>
      <c r="L16" s="135" t="str">
        <f>IF(B16=FALSE,"",Length_1!D55)</f>
        <v/>
      </c>
      <c r="M16" s="136" t="str">
        <f>IF(B16=FALSE,"",Calcu!J16*I$3)</f>
        <v/>
      </c>
      <c r="N16" s="155" t="str">
        <f t="shared" si="23"/>
        <v/>
      </c>
      <c r="O16" s="155" t="str">
        <f ca="1">IF(B16=FALSE,"",OFFSET(Length_1!A55,0,MATCH("열팽창계수",Length_1!$47:$47,0)-1))</f>
        <v/>
      </c>
      <c r="P16" s="156" t="str">
        <f t="shared" si="3"/>
        <v/>
      </c>
      <c r="Q16" s="286" t="str">
        <f t="shared" si="4"/>
        <v/>
      </c>
      <c r="R16" s="286" t="str">
        <f t="shared" si="5"/>
        <v/>
      </c>
      <c r="S16" s="286" t="str">
        <f t="shared" si="6"/>
        <v/>
      </c>
      <c r="T16" s="137" t="str">
        <f t="shared" si="7"/>
        <v/>
      </c>
      <c r="U16" s="138" t="str">
        <f t="shared" si="8"/>
        <v/>
      </c>
      <c r="V16" s="129" t="str">
        <f t="shared" si="24"/>
        <v/>
      </c>
      <c r="W16" s="129" t="str">
        <f t="shared" si="25"/>
        <v/>
      </c>
      <c r="X16" s="131"/>
      <c r="Y16" s="215" t="e">
        <f ca="1">IF(Length_1!J11&lt;0,ROUNDUP(Length_1!J11*I$3,$M$66),ROUNDDOWN(Length_1!J11*I$3,$M$66))</f>
        <v>#N/A</v>
      </c>
      <c r="Z16" s="215" t="e">
        <f ca="1">IF(Length_1!K11&lt;0,ROUNDDOWN(Length_1!K11*I$3,$M$66),ROUNDUP(Length_1!K11*I$3,$M$66))</f>
        <v>#N/A</v>
      </c>
      <c r="AA16" s="129" t="e">
        <f t="shared" ca="1" si="9"/>
        <v>#N/A</v>
      </c>
      <c r="AB16" s="129" t="e">
        <f t="shared" ca="1" si="10"/>
        <v>#N/A</v>
      </c>
      <c r="AC16" s="129" t="e">
        <f t="shared" ca="1" si="11"/>
        <v>#N/A</v>
      </c>
      <c r="AD16" s="129" t="e">
        <f t="shared" ca="1" si="12"/>
        <v>#N/A</v>
      </c>
      <c r="AE16" s="129" t="str">
        <f t="shared" si="26"/>
        <v/>
      </c>
      <c r="AF16" s="232" t="e">
        <f t="shared" ca="1" si="13"/>
        <v>#N/A</v>
      </c>
      <c r="AH16" s="243">
        <v>8</v>
      </c>
      <c r="AI16" s="243">
        <f t="shared" si="14"/>
        <v>-7</v>
      </c>
      <c r="AJ16" s="243" t="b">
        <f t="shared" si="15"/>
        <v>0</v>
      </c>
      <c r="AK16" s="243" t="e">
        <f t="shared" ca="1" si="27"/>
        <v>#N/A</v>
      </c>
      <c r="AL16" s="243" t="e">
        <f t="shared" ca="1" si="16"/>
        <v>#N/A</v>
      </c>
      <c r="AM16" s="243" t="str">
        <f t="shared" ca="1" si="17"/>
        <v>-</v>
      </c>
      <c r="AN16" s="243" t="e">
        <f t="shared" ca="1" si="28"/>
        <v>#N/A</v>
      </c>
      <c r="AO16" s="243" t="str">
        <f t="shared" ca="1" si="18"/>
        <v>-</v>
      </c>
      <c r="AP16" s="243" t="e">
        <f t="shared" ca="1" si="19"/>
        <v>#N/A</v>
      </c>
      <c r="AQ16" s="243" t="str">
        <f t="shared" ca="1" si="20"/>
        <v>-</v>
      </c>
      <c r="AR16" s="243" t="str">
        <f t="shared" si="21"/>
        <v/>
      </c>
      <c r="AS16" s="243" t="str">
        <f t="shared" ca="1" si="22"/>
        <v>-</v>
      </c>
    </row>
    <row r="17" spans="2:45" ht="15" customHeight="1">
      <c r="B17" s="132" t="b">
        <f>IF(TRIM(Length_1!A12)="",FALSE,TRUE)</f>
        <v>0</v>
      </c>
      <c r="C17" s="129" t="str">
        <f>IF($B17=FALSE,"",VALUE(Length_1!A12))</f>
        <v/>
      </c>
      <c r="D17" s="129" t="str">
        <f>IF($B17=FALSE,"",Length_1!B12)</f>
        <v/>
      </c>
      <c r="E17" s="133" t="str">
        <f>IF(B17=FALSE,"",Length_1!M12)</f>
        <v/>
      </c>
      <c r="F17" s="133" t="str">
        <f>IF(B17=FALSE,"",Length_1!N12)</f>
        <v/>
      </c>
      <c r="G17" s="133" t="str">
        <f>IF(B17=FALSE,"",Length_1!O12)</f>
        <v/>
      </c>
      <c r="H17" s="133" t="str">
        <f>IF(B17=FALSE,"",Length_1!P12)</f>
        <v/>
      </c>
      <c r="I17" s="133" t="str">
        <f>IF(B17=FALSE,"",Length_1!Q12)</f>
        <v/>
      </c>
      <c r="J17" s="134" t="str">
        <f t="shared" si="1"/>
        <v/>
      </c>
      <c r="K17" s="146" t="str">
        <f t="shared" si="2"/>
        <v/>
      </c>
      <c r="L17" s="135" t="str">
        <f>IF(B17=FALSE,"",Length_1!D56)</f>
        <v/>
      </c>
      <c r="M17" s="136" t="str">
        <f>IF(B17=FALSE,"",Calcu!J17*I$3)</f>
        <v/>
      </c>
      <c r="N17" s="155" t="str">
        <f t="shared" si="23"/>
        <v/>
      </c>
      <c r="O17" s="155" t="str">
        <f ca="1">IF(B17=FALSE,"",OFFSET(Length_1!A56,0,MATCH("열팽창계수",Length_1!$47:$47,0)-1))</f>
        <v/>
      </c>
      <c r="P17" s="156" t="str">
        <f t="shared" si="3"/>
        <v/>
      </c>
      <c r="Q17" s="286" t="str">
        <f t="shared" si="4"/>
        <v/>
      </c>
      <c r="R17" s="286" t="str">
        <f t="shared" si="5"/>
        <v/>
      </c>
      <c r="S17" s="286" t="str">
        <f t="shared" si="6"/>
        <v/>
      </c>
      <c r="T17" s="137" t="str">
        <f t="shared" si="7"/>
        <v/>
      </c>
      <c r="U17" s="138" t="str">
        <f t="shared" si="8"/>
        <v/>
      </c>
      <c r="V17" s="129" t="str">
        <f t="shared" si="24"/>
        <v/>
      </c>
      <c r="W17" s="129" t="str">
        <f t="shared" si="25"/>
        <v/>
      </c>
      <c r="X17" s="131"/>
      <c r="Y17" s="215" t="e">
        <f ca="1">IF(Length_1!J12&lt;0,ROUNDUP(Length_1!J12*I$3,$M$66),ROUNDDOWN(Length_1!J12*I$3,$M$66))</f>
        <v>#N/A</v>
      </c>
      <c r="Z17" s="215" t="e">
        <f ca="1">IF(Length_1!K12&lt;0,ROUNDDOWN(Length_1!K12*I$3,$M$66),ROUNDUP(Length_1!K12*I$3,$M$66))</f>
        <v>#N/A</v>
      </c>
      <c r="AA17" s="129" t="e">
        <f t="shared" ca="1" si="9"/>
        <v>#N/A</v>
      </c>
      <c r="AB17" s="129" t="e">
        <f t="shared" ca="1" si="10"/>
        <v>#N/A</v>
      </c>
      <c r="AC17" s="129" t="e">
        <f t="shared" ca="1" si="11"/>
        <v>#N/A</v>
      </c>
      <c r="AD17" s="129" t="e">
        <f t="shared" ca="1" si="12"/>
        <v>#N/A</v>
      </c>
      <c r="AE17" s="129" t="str">
        <f t="shared" si="26"/>
        <v/>
      </c>
      <c r="AF17" s="232" t="e">
        <f t="shared" ca="1" si="13"/>
        <v>#N/A</v>
      </c>
      <c r="AH17" s="243">
        <v>9</v>
      </c>
      <c r="AI17" s="243">
        <f t="shared" si="14"/>
        <v>-8</v>
      </c>
      <c r="AJ17" s="243" t="b">
        <f t="shared" si="15"/>
        <v>0</v>
      </c>
      <c r="AK17" s="243" t="e">
        <f t="shared" ca="1" si="27"/>
        <v>#N/A</v>
      </c>
      <c r="AL17" s="243" t="e">
        <f t="shared" ca="1" si="16"/>
        <v>#N/A</v>
      </c>
      <c r="AM17" s="243" t="str">
        <f t="shared" ca="1" si="17"/>
        <v>-</v>
      </c>
      <c r="AN17" s="243" t="e">
        <f t="shared" ca="1" si="28"/>
        <v>#N/A</v>
      </c>
      <c r="AO17" s="243" t="str">
        <f t="shared" ca="1" si="18"/>
        <v>-</v>
      </c>
      <c r="AP17" s="243" t="e">
        <f t="shared" ca="1" si="19"/>
        <v>#N/A</v>
      </c>
      <c r="AQ17" s="243" t="str">
        <f t="shared" ca="1" si="20"/>
        <v>-</v>
      </c>
      <c r="AR17" s="243" t="str">
        <f t="shared" si="21"/>
        <v/>
      </c>
      <c r="AS17" s="243" t="str">
        <f t="shared" ca="1" si="22"/>
        <v>-</v>
      </c>
    </row>
    <row r="18" spans="2:45" ht="15" customHeight="1">
      <c r="B18" s="132" t="b">
        <f>IF(TRIM(Length_1!A13)="",FALSE,TRUE)</f>
        <v>0</v>
      </c>
      <c r="C18" s="129" t="str">
        <f>IF($B18=FALSE,"",VALUE(Length_1!A13))</f>
        <v/>
      </c>
      <c r="D18" s="129" t="str">
        <f>IF($B18=FALSE,"",Length_1!B13)</f>
        <v/>
      </c>
      <c r="E18" s="133" t="str">
        <f>IF(B18=FALSE,"",Length_1!M13)</f>
        <v/>
      </c>
      <c r="F18" s="133" t="str">
        <f>IF(B18=FALSE,"",Length_1!N13)</f>
        <v/>
      </c>
      <c r="G18" s="133" t="str">
        <f>IF(B18=FALSE,"",Length_1!O13)</f>
        <v/>
      </c>
      <c r="H18" s="133" t="str">
        <f>IF(B18=FALSE,"",Length_1!P13)</f>
        <v/>
      </c>
      <c r="I18" s="133" t="str">
        <f>IF(B18=FALSE,"",Length_1!Q13)</f>
        <v/>
      </c>
      <c r="J18" s="134" t="str">
        <f t="shared" si="1"/>
        <v/>
      </c>
      <c r="K18" s="146" t="str">
        <f t="shared" si="2"/>
        <v/>
      </c>
      <c r="L18" s="135" t="str">
        <f>IF(B18=FALSE,"",Length_1!D57)</f>
        <v/>
      </c>
      <c r="M18" s="136" t="str">
        <f>IF(B18=FALSE,"",Calcu!J18*I$3)</f>
        <v/>
      </c>
      <c r="N18" s="155" t="str">
        <f t="shared" si="23"/>
        <v/>
      </c>
      <c r="O18" s="155" t="str">
        <f ca="1">IF(B18=FALSE,"",OFFSET(Length_1!A57,0,MATCH("열팽창계수",Length_1!$47:$47,0)-1))</f>
        <v/>
      </c>
      <c r="P18" s="156" t="str">
        <f t="shared" si="3"/>
        <v/>
      </c>
      <c r="Q18" s="286" t="str">
        <f t="shared" si="4"/>
        <v/>
      </c>
      <c r="R18" s="286" t="str">
        <f t="shared" si="5"/>
        <v/>
      </c>
      <c r="S18" s="286" t="str">
        <f t="shared" si="6"/>
        <v/>
      </c>
      <c r="T18" s="137" t="str">
        <f t="shared" si="7"/>
        <v/>
      </c>
      <c r="U18" s="138" t="str">
        <f t="shared" si="8"/>
        <v/>
      </c>
      <c r="V18" s="129" t="str">
        <f t="shared" si="24"/>
        <v/>
      </c>
      <c r="W18" s="129" t="str">
        <f t="shared" si="25"/>
        <v/>
      </c>
      <c r="X18" s="131"/>
      <c r="Y18" s="215" t="e">
        <f ca="1">IF(Length_1!J13&lt;0,ROUNDUP(Length_1!J13*I$3,$M$66),ROUNDDOWN(Length_1!J13*I$3,$M$66))</f>
        <v>#N/A</v>
      </c>
      <c r="Z18" s="215" t="e">
        <f ca="1">IF(Length_1!K13&lt;0,ROUNDDOWN(Length_1!K13*I$3,$M$66),ROUNDUP(Length_1!K13*I$3,$M$66))</f>
        <v>#N/A</v>
      </c>
      <c r="AA18" s="129" t="e">
        <f t="shared" ca="1" si="9"/>
        <v>#N/A</v>
      </c>
      <c r="AB18" s="129" t="e">
        <f t="shared" ca="1" si="10"/>
        <v>#N/A</v>
      </c>
      <c r="AC18" s="129" t="e">
        <f t="shared" ca="1" si="11"/>
        <v>#N/A</v>
      </c>
      <c r="AD18" s="129" t="e">
        <f t="shared" ca="1" si="12"/>
        <v>#N/A</v>
      </c>
      <c r="AE18" s="129" t="str">
        <f t="shared" si="26"/>
        <v/>
      </c>
      <c r="AF18" s="232" t="e">
        <f t="shared" ca="1" si="13"/>
        <v>#N/A</v>
      </c>
      <c r="AH18" s="243">
        <v>10</v>
      </c>
      <c r="AI18" s="243">
        <f t="shared" si="14"/>
        <v>-9</v>
      </c>
      <c r="AJ18" s="243" t="b">
        <f t="shared" si="15"/>
        <v>0</v>
      </c>
      <c r="AK18" s="243" t="e">
        <f t="shared" ca="1" si="27"/>
        <v>#N/A</v>
      </c>
      <c r="AL18" s="243" t="e">
        <f t="shared" ca="1" si="16"/>
        <v>#N/A</v>
      </c>
      <c r="AM18" s="243" t="str">
        <f t="shared" ca="1" si="17"/>
        <v>-</v>
      </c>
      <c r="AN18" s="243" t="e">
        <f t="shared" ca="1" si="28"/>
        <v>#N/A</v>
      </c>
      <c r="AO18" s="243" t="str">
        <f t="shared" ca="1" si="18"/>
        <v>-</v>
      </c>
      <c r="AP18" s="243" t="e">
        <f t="shared" ca="1" si="19"/>
        <v>#N/A</v>
      </c>
      <c r="AQ18" s="243" t="str">
        <f t="shared" ca="1" si="20"/>
        <v>-</v>
      </c>
      <c r="AR18" s="243" t="str">
        <f t="shared" si="21"/>
        <v/>
      </c>
      <c r="AS18" s="243" t="str">
        <f t="shared" ca="1" si="22"/>
        <v>-</v>
      </c>
    </row>
    <row r="19" spans="2:45" ht="15" customHeight="1">
      <c r="B19" s="132" t="b">
        <f>IF(TRIM(Length_1!A14)="",FALSE,TRUE)</f>
        <v>0</v>
      </c>
      <c r="C19" s="129" t="str">
        <f>IF($B19=FALSE,"",VALUE(Length_1!A14))</f>
        <v/>
      </c>
      <c r="D19" s="129" t="str">
        <f>IF($B19=FALSE,"",Length_1!B14)</f>
        <v/>
      </c>
      <c r="E19" s="133" t="str">
        <f>IF(B19=FALSE,"",Length_1!M14)</f>
        <v/>
      </c>
      <c r="F19" s="133" t="str">
        <f>IF(B19=FALSE,"",Length_1!N14)</f>
        <v/>
      </c>
      <c r="G19" s="133" t="str">
        <f>IF(B19=FALSE,"",Length_1!O14)</f>
        <v/>
      </c>
      <c r="H19" s="133" t="str">
        <f>IF(B19=FALSE,"",Length_1!P14)</f>
        <v/>
      </c>
      <c r="I19" s="133" t="str">
        <f>IF(B19=FALSE,"",Length_1!Q14)</f>
        <v/>
      </c>
      <c r="J19" s="134" t="str">
        <f t="shared" si="1"/>
        <v/>
      </c>
      <c r="K19" s="146" t="str">
        <f t="shared" si="2"/>
        <v/>
      </c>
      <c r="L19" s="135" t="str">
        <f>IF(B19=FALSE,"",Length_1!D58)</f>
        <v/>
      </c>
      <c r="M19" s="136" t="str">
        <f>IF(B19=FALSE,"",Calcu!J19*I$3)</f>
        <v/>
      </c>
      <c r="N19" s="155" t="str">
        <f t="shared" si="23"/>
        <v/>
      </c>
      <c r="O19" s="155" t="str">
        <f ca="1">IF(B19=FALSE,"",OFFSET(Length_1!A58,0,MATCH("열팽창계수",Length_1!$47:$47,0)-1))</f>
        <v/>
      </c>
      <c r="P19" s="156" t="str">
        <f t="shared" si="3"/>
        <v/>
      </c>
      <c r="Q19" s="286" t="str">
        <f t="shared" si="4"/>
        <v/>
      </c>
      <c r="R19" s="286" t="str">
        <f t="shared" si="5"/>
        <v/>
      </c>
      <c r="S19" s="286" t="str">
        <f t="shared" si="6"/>
        <v/>
      </c>
      <c r="T19" s="137" t="str">
        <f t="shared" si="7"/>
        <v/>
      </c>
      <c r="U19" s="138" t="str">
        <f t="shared" si="8"/>
        <v/>
      </c>
      <c r="V19" s="129" t="str">
        <f t="shared" si="24"/>
        <v/>
      </c>
      <c r="W19" s="129" t="str">
        <f t="shared" si="25"/>
        <v/>
      </c>
      <c r="X19" s="131"/>
      <c r="Y19" s="215" t="e">
        <f ca="1">IF(Length_1!J14&lt;0,ROUNDUP(Length_1!J14*I$3,$M$66),ROUNDDOWN(Length_1!J14*I$3,$M$66))</f>
        <v>#N/A</v>
      </c>
      <c r="Z19" s="215" t="e">
        <f ca="1">IF(Length_1!K14&lt;0,ROUNDDOWN(Length_1!K14*I$3,$M$66),ROUNDUP(Length_1!K14*I$3,$M$66))</f>
        <v>#N/A</v>
      </c>
      <c r="AA19" s="129" t="e">
        <f t="shared" ca="1" si="9"/>
        <v>#N/A</v>
      </c>
      <c r="AB19" s="129" t="e">
        <f t="shared" ca="1" si="10"/>
        <v>#N/A</v>
      </c>
      <c r="AC19" s="129" t="e">
        <f t="shared" ca="1" si="11"/>
        <v>#N/A</v>
      </c>
      <c r="AD19" s="129" t="e">
        <f t="shared" ca="1" si="12"/>
        <v>#N/A</v>
      </c>
      <c r="AE19" s="129" t="str">
        <f t="shared" si="26"/>
        <v/>
      </c>
      <c r="AF19" s="232" t="e">
        <f t="shared" ca="1" si="13"/>
        <v>#N/A</v>
      </c>
      <c r="AH19" s="243">
        <v>11</v>
      </c>
      <c r="AI19" s="243">
        <f t="shared" si="14"/>
        <v>-10</v>
      </c>
      <c r="AJ19" s="243" t="b">
        <f t="shared" si="15"/>
        <v>0</v>
      </c>
      <c r="AK19" s="243" t="e">
        <f t="shared" ca="1" si="27"/>
        <v>#N/A</v>
      </c>
      <c r="AL19" s="243" t="e">
        <f t="shared" ca="1" si="16"/>
        <v>#N/A</v>
      </c>
      <c r="AM19" s="243" t="str">
        <f t="shared" ca="1" si="17"/>
        <v>-</v>
      </c>
      <c r="AN19" s="243" t="e">
        <f t="shared" ca="1" si="28"/>
        <v>#N/A</v>
      </c>
      <c r="AO19" s="243" t="str">
        <f t="shared" ca="1" si="18"/>
        <v>-</v>
      </c>
      <c r="AP19" s="243" t="e">
        <f t="shared" ca="1" si="19"/>
        <v>#N/A</v>
      </c>
      <c r="AQ19" s="243" t="str">
        <f t="shared" ca="1" si="20"/>
        <v>-</v>
      </c>
      <c r="AR19" s="243" t="str">
        <f t="shared" si="21"/>
        <v/>
      </c>
      <c r="AS19" s="243" t="str">
        <f t="shared" ca="1" si="22"/>
        <v>-</v>
      </c>
    </row>
    <row r="20" spans="2:45" ht="15" customHeight="1">
      <c r="B20" s="132" t="b">
        <f>IF(TRIM(Length_1!A15)="",FALSE,TRUE)</f>
        <v>0</v>
      </c>
      <c r="C20" s="129" t="str">
        <f>IF($B20=FALSE,"",VALUE(Length_1!A15))</f>
        <v/>
      </c>
      <c r="D20" s="129" t="str">
        <f>IF($B20=FALSE,"",Length_1!B15)</f>
        <v/>
      </c>
      <c r="E20" s="133" t="str">
        <f>IF(B20=FALSE,"",Length_1!M15)</f>
        <v/>
      </c>
      <c r="F20" s="133" t="str">
        <f>IF(B20=FALSE,"",Length_1!N15)</f>
        <v/>
      </c>
      <c r="G20" s="133" t="str">
        <f>IF(B20=FALSE,"",Length_1!O15)</f>
        <v/>
      </c>
      <c r="H20" s="133" t="str">
        <f>IF(B20=FALSE,"",Length_1!P15)</f>
        <v/>
      </c>
      <c r="I20" s="133" t="str">
        <f>IF(B20=FALSE,"",Length_1!Q15)</f>
        <v/>
      </c>
      <c r="J20" s="134" t="str">
        <f t="shared" si="1"/>
        <v/>
      </c>
      <c r="K20" s="146" t="str">
        <f t="shared" si="2"/>
        <v/>
      </c>
      <c r="L20" s="135" t="str">
        <f>IF(B20=FALSE,"",Length_1!D59)</f>
        <v/>
      </c>
      <c r="M20" s="136" t="str">
        <f>IF(B20=FALSE,"",Calcu!J20*I$3)</f>
        <v/>
      </c>
      <c r="N20" s="155" t="str">
        <f t="shared" si="23"/>
        <v/>
      </c>
      <c r="O20" s="155" t="str">
        <f ca="1">IF(B20=FALSE,"",OFFSET(Length_1!A59,0,MATCH("열팽창계수",Length_1!$47:$47,0)-1))</f>
        <v/>
      </c>
      <c r="P20" s="156" t="str">
        <f t="shared" si="3"/>
        <v/>
      </c>
      <c r="Q20" s="286" t="str">
        <f t="shared" si="4"/>
        <v/>
      </c>
      <c r="R20" s="286" t="str">
        <f t="shared" si="5"/>
        <v/>
      </c>
      <c r="S20" s="286" t="str">
        <f t="shared" si="6"/>
        <v/>
      </c>
      <c r="T20" s="137" t="str">
        <f t="shared" si="7"/>
        <v/>
      </c>
      <c r="U20" s="138" t="str">
        <f t="shared" si="8"/>
        <v/>
      </c>
      <c r="V20" s="129" t="str">
        <f t="shared" si="24"/>
        <v/>
      </c>
      <c r="W20" s="129" t="str">
        <f t="shared" si="25"/>
        <v/>
      </c>
      <c r="X20" s="131"/>
      <c r="Y20" s="215" t="e">
        <f ca="1">IF(Length_1!J15&lt;0,ROUNDUP(Length_1!J15*I$3,$M$66),ROUNDDOWN(Length_1!J15*I$3,$M$66))</f>
        <v>#N/A</v>
      </c>
      <c r="Z20" s="215" t="e">
        <f ca="1">IF(Length_1!K15&lt;0,ROUNDDOWN(Length_1!K15*I$3,$M$66),ROUNDUP(Length_1!K15*I$3,$M$66))</f>
        <v>#N/A</v>
      </c>
      <c r="AA20" s="129" t="e">
        <f t="shared" ca="1" si="9"/>
        <v>#N/A</v>
      </c>
      <c r="AB20" s="129" t="e">
        <f t="shared" ca="1" si="10"/>
        <v>#N/A</v>
      </c>
      <c r="AC20" s="129" t="e">
        <f t="shared" ca="1" si="11"/>
        <v>#N/A</v>
      </c>
      <c r="AD20" s="129" t="e">
        <f t="shared" ca="1" si="12"/>
        <v>#N/A</v>
      </c>
      <c r="AE20" s="129" t="str">
        <f t="shared" si="26"/>
        <v/>
      </c>
      <c r="AF20" s="232" t="e">
        <f t="shared" ca="1" si="13"/>
        <v>#N/A</v>
      </c>
      <c r="AH20" s="243">
        <v>12</v>
      </c>
      <c r="AI20" s="243">
        <f t="shared" si="14"/>
        <v>-11</v>
      </c>
      <c r="AJ20" s="243" t="b">
        <f t="shared" si="15"/>
        <v>0</v>
      </c>
      <c r="AK20" s="243" t="e">
        <f t="shared" ca="1" si="27"/>
        <v>#N/A</v>
      </c>
      <c r="AL20" s="243" t="e">
        <f t="shared" ca="1" si="16"/>
        <v>#N/A</v>
      </c>
      <c r="AM20" s="243" t="str">
        <f t="shared" ca="1" si="17"/>
        <v>-</v>
      </c>
      <c r="AN20" s="243" t="e">
        <f t="shared" ca="1" si="28"/>
        <v>#N/A</v>
      </c>
      <c r="AO20" s="243" t="str">
        <f t="shared" ca="1" si="18"/>
        <v>-</v>
      </c>
      <c r="AP20" s="243" t="e">
        <f t="shared" ca="1" si="19"/>
        <v>#N/A</v>
      </c>
      <c r="AQ20" s="243" t="str">
        <f t="shared" ca="1" si="20"/>
        <v>-</v>
      </c>
      <c r="AR20" s="243" t="str">
        <f t="shared" si="21"/>
        <v/>
      </c>
      <c r="AS20" s="243" t="str">
        <f t="shared" ca="1" si="22"/>
        <v>-</v>
      </c>
    </row>
    <row r="21" spans="2:45" ht="15" customHeight="1">
      <c r="B21" s="132" t="b">
        <f>IF(TRIM(Length_1!A16)="",FALSE,TRUE)</f>
        <v>0</v>
      </c>
      <c r="C21" s="129" t="str">
        <f>IF($B21=FALSE,"",VALUE(Length_1!A16))</f>
        <v/>
      </c>
      <c r="D21" s="129" t="str">
        <f>IF($B21=FALSE,"",Length_1!B16)</f>
        <v/>
      </c>
      <c r="E21" s="133" t="str">
        <f>IF(B21=FALSE,"",Length_1!M16)</f>
        <v/>
      </c>
      <c r="F21" s="133" t="str">
        <f>IF(B21=FALSE,"",Length_1!N16)</f>
        <v/>
      </c>
      <c r="G21" s="133" t="str">
        <f>IF(B21=FALSE,"",Length_1!O16)</f>
        <v/>
      </c>
      <c r="H21" s="133" t="str">
        <f>IF(B21=FALSE,"",Length_1!P16)</f>
        <v/>
      </c>
      <c r="I21" s="133" t="str">
        <f>IF(B21=FALSE,"",Length_1!Q16)</f>
        <v/>
      </c>
      <c r="J21" s="134" t="str">
        <f t="shared" si="1"/>
        <v/>
      </c>
      <c r="K21" s="146" t="str">
        <f t="shared" si="2"/>
        <v/>
      </c>
      <c r="L21" s="135" t="str">
        <f>IF(B21=FALSE,"",Length_1!D60)</f>
        <v/>
      </c>
      <c r="M21" s="136" t="str">
        <f>IF(B21=FALSE,"",Calcu!J21*I$3)</f>
        <v/>
      </c>
      <c r="N21" s="155" t="str">
        <f t="shared" si="23"/>
        <v/>
      </c>
      <c r="O21" s="155" t="str">
        <f ca="1">IF(B21=FALSE,"",OFFSET(Length_1!A60,0,MATCH("열팽창계수",Length_1!$47:$47,0)-1))</f>
        <v/>
      </c>
      <c r="P21" s="156" t="str">
        <f t="shared" si="3"/>
        <v/>
      </c>
      <c r="Q21" s="286" t="str">
        <f t="shared" si="4"/>
        <v/>
      </c>
      <c r="R21" s="286" t="str">
        <f t="shared" si="5"/>
        <v/>
      </c>
      <c r="S21" s="286" t="str">
        <f t="shared" si="6"/>
        <v/>
      </c>
      <c r="T21" s="137" t="str">
        <f t="shared" si="7"/>
        <v/>
      </c>
      <c r="U21" s="138" t="str">
        <f t="shared" si="8"/>
        <v/>
      </c>
      <c r="V21" s="129" t="str">
        <f t="shared" si="24"/>
        <v/>
      </c>
      <c r="W21" s="129" t="str">
        <f t="shared" si="25"/>
        <v/>
      </c>
      <c r="X21" s="131"/>
      <c r="Y21" s="215" t="e">
        <f ca="1">IF(Length_1!J16&lt;0,ROUNDUP(Length_1!J16*I$3,$M$66),ROUNDDOWN(Length_1!J16*I$3,$M$66))</f>
        <v>#N/A</v>
      </c>
      <c r="Z21" s="215" t="e">
        <f ca="1">IF(Length_1!K16&lt;0,ROUNDDOWN(Length_1!K16*I$3,$M$66),ROUNDUP(Length_1!K16*I$3,$M$66))</f>
        <v>#N/A</v>
      </c>
      <c r="AA21" s="129" t="e">
        <f t="shared" ca="1" si="9"/>
        <v>#N/A</v>
      </c>
      <c r="AB21" s="129" t="e">
        <f t="shared" ca="1" si="10"/>
        <v>#N/A</v>
      </c>
      <c r="AC21" s="129" t="e">
        <f t="shared" ca="1" si="11"/>
        <v>#N/A</v>
      </c>
      <c r="AD21" s="129" t="e">
        <f t="shared" ca="1" si="12"/>
        <v>#N/A</v>
      </c>
      <c r="AE21" s="129" t="str">
        <f t="shared" si="26"/>
        <v/>
      </c>
      <c r="AF21" s="232" t="e">
        <f t="shared" ca="1" si="13"/>
        <v>#N/A</v>
      </c>
      <c r="AH21" s="243">
        <v>13</v>
      </c>
      <c r="AI21" s="243">
        <f t="shared" si="14"/>
        <v>-12</v>
      </c>
      <c r="AJ21" s="243" t="b">
        <f t="shared" si="15"/>
        <v>0</v>
      </c>
      <c r="AK21" s="243" t="e">
        <f t="shared" ca="1" si="27"/>
        <v>#N/A</v>
      </c>
      <c r="AL21" s="243" t="e">
        <f t="shared" ca="1" si="16"/>
        <v>#N/A</v>
      </c>
      <c r="AM21" s="243" t="str">
        <f t="shared" ca="1" si="17"/>
        <v>-</v>
      </c>
      <c r="AN21" s="243" t="e">
        <f t="shared" ca="1" si="28"/>
        <v>#N/A</v>
      </c>
      <c r="AO21" s="243" t="str">
        <f t="shared" ca="1" si="18"/>
        <v>-</v>
      </c>
      <c r="AP21" s="243" t="e">
        <f t="shared" ca="1" si="19"/>
        <v>#N/A</v>
      </c>
      <c r="AQ21" s="243" t="str">
        <f t="shared" ca="1" si="20"/>
        <v>-</v>
      </c>
      <c r="AR21" s="243" t="str">
        <f t="shared" si="21"/>
        <v/>
      </c>
      <c r="AS21" s="243" t="str">
        <f t="shared" ca="1" si="22"/>
        <v>-</v>
      </c>
    </row>
    <row r="22" spans="2:45" ht="15" customHeight="1">
      <c r="B22" s="132" t="b">
        <f>IF(TRIM(Length_1!A17)="",FALSE,TRUE)</f>
        <v>0</v>
      </c>
      <c r="C22" s="129" t="str">
        <f>IF($B22=FALSE,"",VALUE(Length_1!A17))</f>
        <v/>
      </c>
      <c r="D22" s="129" t="str">
        <f>IF($B22=FALSE,"",Length_1!B17)</f>
        <v/>
      </c>
      <c r="E22" s="133" t="str">
        <f>IF(B22=FALSE,"",Length_1!M17)</f>
        <v/>
      </c>
      <c r="F22" s="133" t="str">
        <f>IF(B22=FALSE,"",Length_1!N17)</f>
        <v/>
      </c>
      <c r="G22" s="133" t="str">
        <f>IF(B22=FALSE,"",Length_1!O17)</f>
        <v/>
      </c>
      <c r="H22" s="133" t="str">
        <f>IF(B22=FALSE,"",Length_1!P17)</f>
        <v/>
      </c>
      <c r="I22" s="133" t="str">
        <f>IF(B22=FALSE,"",Length_1!Q17)</f>
        <v/>
      </c>
      <c r="J22" s="134" t="str">
        <f t="shared" si="1"/>
        <v/>
      </c>
      <c r="K22" s="146" t="str">
        <f t="shared" si="2"/>
        <v/>
      </c>
      <c r="L22" s="135" t="str">
        <f>IF(B22=FALSE,"",Length_1!D61)</f>
        <v/>
      </c>
      <c r="M22" s="136" t="str">
        <f>IF(B22=FALSE,"",Calcu!J22*I$3)</f>
        <v/>
      </c>
      <c r="N22" s="155" t="str">
        <f t="shared" si="23"/>
        <v/>
      </c>
      <c r="O22" s="155" t="str">
        <f ca="1">IF(B22=FALSE,"",OFFSET(Length_1!A61,0,MATCH("열팽창계수",Length_1!$47:$47,0)-1))</f>
        <v/>
      </c>
      <c r="P22" s="156" t="str">
        <f t="shared" si="3"/>
        <v/>
      </c>
      <c r="Q22" s="286" t="str">
        <f t="shared" si="4"/>
        <v/>
      </c>
      <c r="R22" s="286" t="str">
        <f t="shared" si="5"/>
        <v/>
      </c>
      <c r="S22" s="286" t="str">
        <f t="shared" si="6"/>
        <v/>
      </c>
      <c r="T22" s="137" t="str">
        <f t="shared" si="7"/>
        <v/>
      </c>
      <c r="U22" s="138" t="str">
        <f t="shared" si="8"/>
        <v/>
      </c>
      <c r="V22" s="129" t="str">
        <f t="shared" si="24"/>
        <v/>
      </c>
      <c r="W22" s="129" t="str">
        <f t="shared" si="25"/>
        <v/>
      </c>
      <c r="X22" s="131"/>
      <c r="Y22" s="215" t="e">
        <f ca="1">IF(Length_1!J17&lt;0,ROUNDUP(Length_1!J17*I$3,$M$66),ROUNDDOWN(Length_1!J17*I$3,$M$66))</f>
        <v>#N/A</v>
      </c>
      <c r="Z22" s="215" t="e">
        <f ca="1">IF(Length_1!K17&lt;0,ROUNDDOWN(Length_1!K17*I$3,$M$66),ROUNDUP(Length_1!K17*I$3,$M$66))</f>
        <v>#N/A</v>
      </c>
      <c r="AA22" s="129" t="e">
        <f t="shared" ca="1" si="9"/>
        <v>#N/A</v>
      </c>
      <c r="AB22" s="129" t="e">
        <f t="shared" ca="1" si="10"/>
        <v>#N/A</v>
      </c>
      <c r="AC22" s="129" t="e">
        <f t="shared" ca="1" si="11"/>
        <v>#N/A</v>
      </c>
      <c r="AD22" s="129" t="e">
        <f t="shared" ca="1" si="12"/>
        <v>#N/A</v>
      </c>
      <c r="AE22" s="129" t="str">
        <f t="shared" si="26"/>
        <v/>
      </c>
      <c r="AF22" s="232" t="e">
        <f t="shared" ca="1" si="13"/>
        <v>#N/A</v>
      </c>
      <c r="AH22" s="243">
        <v>14</v>
      </c>
      <c r="AI22" s="243">
        <f t="shared" si="14"/>
        <v>-13</v>
      </c>
      <c r="AJ22" s="243" t="b">
        <f t="shared" si="15"/>
        <v>0</v>
      </c>
      <c r="AK22" s="243" t="e">
        <f t="shared" ca="1" si="27"/>
        <v>#N/A</v>
      </c>
      <c r="AL22" s="243" t="e">
        <f t="shared" ca="1" si="16"/>
        <v>#N/A</v>
      </c>
      <c r="AM22" s="243" t="str">
        <f t="shared" ca="1" si="17"/>
        <v>-</v>
      </c>
      <c r="AN22" s="243" t="e">
        <f t="shared" ca="1" si="28"/>
        <v>#N/A</v>
      </c>
      <c r="AO22" s="243" t="str">
        <f t="shared" ca="1" si="18"/>
        <v>-</v>
      </c>
      <c r="AP22" s="243" t="e">
        <f t="shared" ca="1" si="19"/>
        <v>#N/A</v>
      </c>
      <c r="AQ22" s="243" t="str">
        <f t="shared" ca="1" si="20"/>
        <v>-</v>
      </c>
      <c r="AR22" s="243" t="str">
        <f t="shared" si="21"/>
        <v/>
      </c>
      <c r="AS22" s="243" t="str">
        <f t="shared" ca="1" si="22"/>
        <v>-</v>
      </c>
    </row>
    <row r="23" spans="2:45" ht="15" customHeight="1">
      <c r="B23" s="132" t="b">
        <f>IF(TRIM(Length_1!A18)="",FALSE,TRUE)</f>
        <v>0</v>
      </c>
      <c r="C23" s="129" t="str">
        <f>IF($B23=FALSE,"",VALUE(Length_1!A18))</f>
        <v/>
      </c>
      <c r="D23" s="129" t="str">
        <f>IF($B23=FALSE,"",Length_1!B18)</f>
        <v/>
      </c>
      <c r="E23" s="133" t="str">
        <f>IF(B23=FALSE,"",Length_1!M18)</f>
        <v/>
      </c>
      <c r="F23" s="133" t="str">
        <f>IF(B23=FALSE,"",Length_1!N18)</f>
        <v/>
      </c>
      <c r="G23" s="133" t="str">
        <f>IF(B23=FALSE,"",Length_1!O18)</f>
        <v/>
      </c>
      <c r="H23" s="133" t="str">
        <f>IF(B23=FALSE,"",Length_1!P18)</f>
        <v/>
      </c>
      <c r="I23" s="133" t="str">
        <f>IF(B23=FALSE,"",Length_1!Q18)</f>
        <v/>
      </c>
      <c r="J23" s="134" t="str">
        <f t="shared" si="1"/>
        <v/>
      </c>
      <c r="K23" s="146" t="str">
        <f t="shared" si="2"/>
        <v/>
      </c>
      <c r="L23" s="135" t="str">
        <f>IF(B23=FALSE,"",Length_1!D62)</f>
        <v/>
      </c>
      <c r="M23" s="136" t="str">
        <f>IF(B23=FALSE,"",Calcu!J23*I$3)</f>
        <v/>
      </c>
      <c r="N23" s="155" t="str">
        <f t="shared" si="23"/>
        <v/>
      </c>
      <c r="O23" s="155" t="str">
        <f ca="1">IF(B23=FALSE,"",OFFSET(Length_1!A62,0,MATCH("열팽창계수",Length_1!$47:$47,0)-1))</f>
        <v/>
      </c>
      <c r="P23" s="156" t="str">
        <f t="shared" si="3"/>
        <v/>
      </c>
      <c r="Q23" s="286" t="str">
        <f t="shared" si="4"/>
        <v/>
      </c>
      <c r="R23" s="286" t="str">
        <f t="shared" si="5"/>
        <v/>
      </c>
      <c r="S23" s="286" t="str">
        <f t="shared" si="6"/>
        <v/>
      </c>
      <c r="T23" s="137" t="str">
        <f t="shared" si="7"/>
        <v/>
      </c>
      <c r="U23" s="138" t="str">
        <f t="shared" si="8"/>
        <v/>
      </c>
      <c r="V23" s="129" t="str">
        <f t="shared" si="24"/>
        <v/>
      </c>
      <c r="W23" s="129" t="str">
        <f t="shared" si="25"/>
        <v/>
      </c>
      <c r="X23" s="131"/>
      <c r="Y23" s="215" t="e">
        <f ca="1">IF(Length_1!J18&lt;0,ROUNDUP(Length_1!J18*I$3,$M$66),ROUNDDOWN(Length_1!J18*I$3,$M$66))</f>
        <v>#N/A</v>
      </c>
      <c r="Z23" s="215" t="e">
        <f ca="1">IF(Length_1!K18&lt;0,ROUNDDOWN(Length_1!K18*I$3,$M$66),ROUNDUP(Length_1!K18*I$3,$M$66))</f>
        <v>#N/A</v>
      </c>
      <c r="AA23" s="129" t="e">
        <f t="shared" ca="1" si="9"/>
        <v>#N/A</v>
      </c>
      <c r="AB23" s="129" t="e">
        <f t="shared" ca="1" si="10"/>
        <v>#N/A</v>
      </c>
      <c r="AC23" s="129" t="e">
        <f t="shared" ca="1" si="11"/>
        <v>#N/A</v>
      </c>
      <c r="AD23" s="129" t="e">
        <f t="shared" ca="1" si="12"/>
        <v>#N/A</v>
      </c>
      <c r="AE23" s="129" t="str">
        <f t="shared" si="26"/>
        <v/>
      </c>
      <c r="AF23" s="232" t="e">
        <f t="shared" ca="1" si="13"/>
        <v>#N/A</v>
      </c>
      <c r="AH23" s="243">
        <v>15</v>
      </c>
      <c r="AI23" s="243">
        <f t="shared" si="14"/>
        <v>-14</v>
      </c>
      <c r="AJ23" s="243" t="b">
        <f t="shared" si="15"/>
        <v>0</v>
      </c>
      <c r="AK23" s="243" t="e">
        <f t="shared" ca="1" si="27"/>
        <v>#N/A</v>
      </c>
      <c r="AL23" s="243" t="e">
        <f t="shared" ca="1" si="16"/>
        <v>#N/A</v>
      </c>
      <c r="AM23" s="243" t="str">
        <f t="shared" ca="1" si="17"/>
        <v>-</v>
      </c>
      <c r="AN23" s="243" t="e">
        <f t="shared" ca="1" si="28"/>
        <v>#N/A</v>
      </c>
      <c r="AO23" s="243" t="str">
        <f t="shared" ca="1" si="18"/>
        <v>-</v>
      </c>
      <c r="AP23" s="243" t="e">
        <f t="shared" ca="1" si="19"/>
        <v>#N/A</v>
      </c>
      <c r="AQ23" s="243" t="str">
        <f t="shared" ca="1" si="20"/>
        <v>-</v>
      </c>
      <c r="AR23" s="243" t="str">
        <f t="shared" si="21"/>
        <v/>
      </c>
      <c r="AS23" s="243" t="str">
        <f t="shared" ca="1" si="22"/>
        <v>-</v>
      </c>
    </row>
    <row r="24" spans="2:45" ht="15" customHeight="1">
      <c r="B24" s="132" t="b">
        <f>IF(TRIM(Length_1!A19)="",FALSE,TRUE)</f>
        <v>0</v>
      </c>
      <c r="C24" s="129" t="str">
        <f>IF($B24=FALSE,"",VALUE(Length_1!A19))</f>
        <v/>
      </c>
      <c r="D24" s="129" t="str">
        <f>IF($B24=FALSE,"",Length_1!B19)</f>
        <v/>
      </c>
      <c r="E24" s="133" t="str">
        <f>IF(B24=FALSE,"",Length_1!M19)</f>
        <v/>
      </c>
      <c r="F24" s="133" t="str">
        <f>IF(B24=FALSE,"",Length_1!N19)</f>
        <v/>
      </c>
      <c r="G24" s="133" t="str">
        <f>IF(B24=FALSE,"",Length_1!O19)</f>
        <v/>
      </c>
      <c r="H24" s="133" t="str">
        <f>IF(B24=FALSE,"",Length_1!P19)</f>
        <v/>
      </c>
      <c r="I24" s="133" t="str">
        <f>IF(B24=FALSE,"",Length_1!Q19)</f>
        <v/>
      </c>
      <c r="J24" s="134" t="str">
        <f t="shared" si="1"/>
        <v/>
      </c>
      <c r="K24" s="146" t="str">
        <f t="shared" si="2"/>
        <v/>
      </c>
      <c r="L24" s="135" t="str">
        <f>IF(B24=FALSE,"",Length_1!D63)</f>
        <v/>
      </c>
      <c r="M24" s="136" t="str">
        <f>IF(B24=FALSE,"",Calcu!J24*I$3)</f>
        <v/>
      </c>
      <c r="N24" s="155" t="str">
        <f t="shared" si="23"/>
        <v/>
      </c>
      <c r="O24" s="155" t="str">
        <f ca="1">IF(B24=FALSE,"",OFFSET(Length_1!A63,0,MATCH("열팽창계수",Length_1!$47:$47,0)-1))</f>
        <v/>
      </c>
      <c r="P24" s="156" t="str">
        <f t="shared" si="3"/>
        <v/>
      </c>
      <c r="Q24" s="286" t="str">
        <f t="shared" si="4"/>
        <v/>
      </c>
      <c r="R24" s="286" t="str">
        <f t="shared" si="5"/>
        <v/>
      </c>
      <c r="S24" s="286" t="str">
        <f t="shared" si="6"/>
        <v/>
      </c>
      <c r="T24" s="137" t="str">
        <f t="shared" si="7"/>
        <v/>
      </c>
      <c r="U24" s="138" t="str">
        <f t="shared" si="8"/>
        <v/>
      </c>
      <c r="V24" s="129" t="str">
        <f t="shared" si="24"/>
        <v/>
      </c>
      <c r="W24" s="129" t="str">
        <f t="shared" si="25"/>
        <v/>
      </c>
      <c r="X24" s="131"/>
      <c r="Y24" s="215" t="e">
        <f ca="1">IF(Length_1!J19&lt;0,ROUNDUP(Length_1!J19*I$3,$M$66),ROUNDDOWN(Length_1!J19*I$3,$M$66))</f>
        <v>#N/A</v>
      </c>
      <c r="Z24" s="215" t="e">
        <f ca="1">IF(Length_1!K19&lt;0,ROUNDDOWN(Length_1!K19*I$3,$M$66),ROUNDUP(Length_1!K19*I$3,$M$66))</f>
        <v>#N/A</v>
      </c>
      <c r="AA24" s="129" t="e">
        <f t="shared" ca="1" si="9"/>
        <v>#N/A</v>
      </c>
      <c r="AB24" s="129" t="e">
        <f t="shared" ca="1" si="10"/>
        <v>#N/A</v>
      </c>
      <c r="AC24" s="129" t="e">
        <f t="shared" ca="1" si="11"/>
        <v>#N/A</v>
      </c>
      <c r="AD24" s="129" t="e">
        <f t="shared" ca="1" si="12"/>
        <v>#N/A</v>
      </c>
      <c r="AE24" s="129" t="str">
        <f t="shared" si="26"/>
        <v/>
      </c>
      <c r="AF24" s="232" t="e">
        <f t="shared" ca="1" si="13"/>
        <v>#N/A</v>
      </c>
      <c r="AH24" s="243">
        <v>16</v>
      </c>
      <c r="AI24" s="243">
        <f t="shared" si="14"/>
        <v>-15</v>
      </c>
      <c r="AJ24" s="243" t="b">
        <f t="shared" si="15"/>
        <v>0</v>
      </c>
      <c r="AK24" s="243" t="e">
        <f t="shared" ca="1" si="27"/>
        <v>#N/A</v>
      </c>
      <c r="AL24" s="243" t="e">
        <f t="shared" ca="1" si="16"/>
        <v>#N/A</v>
      </c>
      <c r="AM24" s="243" t="str">
        <f t="shared" ca="1" si="17"/>
        <v>-</v>
      </c>
      <c r="AN24" s="243" t="e">
        <f t="shared" ca="1" si="28"/>
        <v>#N/A</v>
      </c>
      <c r="AO24" s="243" t="str">
        <f t="shared" ca="1" si="18"/>
        <v>-</v>
      </c>
      <c r="AP24" s="243" t="e">
        <f t="shared" ca="1" si="19"/>
        <v>#N/A</v>
      </c>
      <c r="AQ24" s="243" t="str">
        <f t="shared" ca="1" si="20"/>
        <v>-</v>
      </c>
      <c r="AR24" s="243" t="str">
        <f t="shared" si="21"/>
        <v/>
      </c>
      <c r="AS24" s="243" t="str">
        <f t="shared" ca="1" si="22"/>
        <v>-</v>
      </c>
    </row>
    <row r="25" spans="2:45" ht="15" customHeight="1">
      <c r="B25" s="132" t="b">
        <f>IF(TRIM(Length_1!A20)="",FALSE,TRUE)</f>
        <v>0</v>
      </c>
      <c r="C25" s="129" t="str">
        <f>IF($B25=FALSE,"",VALUE(Length_1!A20))</f>
        <v/>
      </c>
      <c r="D25" s="129" t="str">
        <f>IF($B25=FALSE,"",Length_1!B20)</f>
        <v/>
      </c>
      <c r="E25" s="133" t="str">
        <f>IF(B25=FALSE,"",Length_1!M20)</f>
        <v/>
      </c>
      <c r="F25" s="133" t="str">
        <f>IF(B25=FALSE,"",Length_1!N20)</f>
        <v/>
      </c>
      <c r="G25" s="133" t="str">
        <f>IF(B25=FALSE,"",Length_1!O20)</f>
        <v/>
      </c>
      <c r="H25" s="133" t="str">
        <f>IF(B25=FALSE,"",Length_1!P20)</f>
        <v/>
      </c>
      <c r="I25" s="133" t="str">
        <f>IF(B25=FALSE,"",Length_1!Q20)</f>
        <v/>
      </c>
      <c r="J25" s="134" t="str">
        <f t="shared" si="1"/>
        <v/>
      </c>
      <c r="K25" s="146" t="str">
        <f t="shared" si="2"/>
        <v/>
      </c>
      <c r="L25" s="135" t="str">
        <f>IF(B25=FALSE,"",Length_1!D64)</f>
        <v/>
      </c>
      <c r="M25" s="136" t="str">
        <f>IF(B25=FALSE,"",Calcu!J25*I$3)</f>
        <v/>
      </c>
      <c r="N25" s="155" t="str">
        <f t="shared" si="23"/>
        <v/>
      </c>
      <c r="O25" s="155" t="str">
        <f ca="1">IF(B25=FALSE,"",OFFSET(Length_1!A64,0,MATCH("열팽창계수",Length_1!$47:$47,0)-1))</f>
        <v/>
      </c>
      <c r="P25" s="156" t="str">
        <f t="shared" si="3"/>
        <v/>
      </c>
      <c r="Q25" s="286" t="str">
        <f t="shared" si="4"/>
        <v/>
      </c>
      <c r="R25" s="286" t="str">
        <f t="shared" si="5"/>
        <v/>
      </c>
      <c r="S25" s="286" t="str">
        <f t="shared" si="6"/>
        <v/>
      </c>
      <c r="T25" s="137" t="str">
        <f t="shared" si="7"/>
        <v/>
      </c>
      <c r="U25" s="138" t="str">
        <f t="shared" si="8"/>
        <v/>
      </c>
      <c r="V25" s="129" t="str">
        <f t="shared" si="24"/>
        <v/>
      </c>
      <c r="W25" s="129" t="str">
        <f t="shared" si="25"/>
        <v/>
      </c>
      <c r="X25" s="131"/>
      <c r="Y25" s="215" t="e">
        <f ca="1">IF(Length_1!J20&lt;0,ROUNDUP(Length_1!J20*I$3,$M$66),ROUNDDOWN(Length_1!J20*I$3,$M$66))</f>
        <v>#N/A</v>
      </c>
      <c r="Z25" s="215" t="e">
        <f ca="1">IF(Length_1!K20&lt;0,ROUNDDOWN(Length_1!K20*I$3,$M$66),ROUNDUP(Length_1!K20*I$3,$M$66))</f>
        <v>#N/A</v>
      </c>
      <c r="AA25" s="129" t="e">
        <f t="shared" ca="1" si="9"/>
        <v>#N/A</v>
      </c>
      <c r="AB25" s="129" t="e">
        <f t="shared" ca="1" si="10"/>
        <v>#N/A</v>
      </c>
      <c r="AC25" s="129" t="e">
        <f t="shared" ca="1" si="11"/>
        <v>#N/A</v>
      </c>
      <c r="AD25" s="129" t="e">
        <f t="shared" ca="1" si="12"/>
        <v>#N/A</v>
      </c>
      <c r="AE25" s="129" t="str">
        <f t="shared" si="26"/>
        <v/>
      </c>
      <c r="AF25" s="232" t="e">
        <f t="shared" ca="1" si="13"/>
        <v>#N/A</v>
      </c>
      <c r="AH25" s="243">
        <v>17</v>
      </c>
      <c r="AI25" s="243">
        <f t="shared" si="14"/>
        <v>-16</v>
      </c>
      <c r="AJ25" s="243" t="b">
        <f t="shared" si="15"/>
        <v>0</v>
      </c>
      <c r="AK25" s="243" t="e">
        <f t="shared" ca="1" si="27"/>
        <v>#N/A</v>
      </c>
      <c r="AL25" s="243" t="e">
        <f t="shared" ca="1" si="16"/>
        <v>#N/A</v>
      </c>
      <c r="AM25" s="243" t="str">
        <f t="shared" ca="1" si="17"/>
        <v>-</v>
      </c>
      <c r="AN25" s="243" t="e">
        <f t="shared" ca="1" si="28"/>
        <v>#N/A</v>
      </c>
      <c r="AO25" s="243" t="str">
        <f t="shared" ca="1" si="18"/>
        <v>-</v>
      </c>
      <c r="AP25" s="243" t="e">
        <f t="shared" ca="1" si="19"/>
        <v>#N/A</v>
      </c>
      <c r="AQ25" s="243" t="str">
        <f t="shared" ca="1" si="20"/>
        <v>-</v>
      </c>
      <c r="AR25" s="243" t="str">
        <f t="shared" si="21"/>
        <v/>
      </c>
      <c r="AS25" s="243" t="str">
        <f t="shared" ca="1" si="22"/>
        <v>-</v>
      </c>
    </row>
    <row r="26" spans="2:45" ht="15" customHeight="1">
      <c r="B26" s="132" t="b">
        <f>IF(TRIM(Length_1!A21)="",FALSE,TRUE)</f>
        <v>0</v>
      </c>
      <c r="C26" s="129" t="str">
        <f>IF($B26=FALSE,"",VALUE(Length_1!A21))</f>
        <v/>
      </c>
      <c r="D26" s="129" t="str">
        <f>IF($B26=FALSE,"",Length_1!B21)</f>
        <v/>
      </c>
      <c r="E26" s="133" t="str">
        <f>IF(B26=FALSE,"",Length_1!M21)</f>
        <v/>
      </c>
      <c r="F26" s="133" t="str">
        <f>IF(B26=FALSE,"",Length_1!N21)</f>
        <v/>
      </c>
      <c r="G26" s="133" t="str">
        <f>IF(B26=FALSE,"",Length_1!O21)</f>
        <v/>
      </c>
      <c r="H26" s="133" t="str">
        <f>IF(B26=FALSE,"",Length_1!P21)</f>
        <v/>
      </c>
      <c r="I26" s="133" t="str">
        <f>IF(B26=FALSE,"",Length_1!Q21)</f>
        <v/>
      </c>
      <c r="J26" s="134" t="str">
        <f t="shared" si="1"/>
        <v/>
      </c>
      <c r="K26" s="146" t="str">
        <f t="shared" si="2"/>
        <v/>
      </c>
      <c r="L26" s="135" t="str">
        <f>IF(B26=FALSE,"",Length_1!D65)</f>
        <v/>
      </c>
      <c r="M26" s="136" t="str">
        <f>IF(B26=FALSE,"",Calcu!J26*I$3)</f>
        <v/>
      </c>
      <c r="N26" s="155" t="str">
        <f t="shared" si="23"/>
        <v/>
      </c>
      <c r="O26" s="155" t="str">
        <f ca="1">IF(B26=FALSE,"",OFFSET(Length_1!A65,0,MATCH("열팽창계수",Length_1!$47:$47,0)-1))</f>
        <v/>
      </c>
      <c r="P26" s="156" t="str">
        <f t="shared" si="3"/>
        <v/>
      </c>
      <c r="Q26" s="286" t="str">
        <f t="shared" si="4"/>
        <v/>
      </c>
      <c r="R26" s="286" t="str">
        <f t="shared" si="5"/>
        <v/>
      </c>
      <c r="S26" s="286" t="str">
        <f t="shared" si="6"/>
        <v/>
      </c>
      <c r="T26" s="137" t="str">
        <f t="shared" si="7"/>
        <v/>
      </c>
      <c r="U26" s="138" t="str">
        <f t="shared" si="8"/>
        <v/>
      </c>
      <c r="V26" s="129" t="str">
        <f t="shared" si="24"/>
        <v/>
      </c>
      <c r="W26" s="129" t="str">
        <f t="shared" si="25"/>
        <v/>
      </c>
      <c r="X26" s="131"/>
      <c r="Y26" s="215" t="e">
        <f ca="1">IF(Length_1!J21&lt;0,ROUNDUP(Length_1!J21*I$3,$M$66),ROUNDDOWN(Length_1!J21*I$3,$M$66))</f>
        <v>#N/A</v>
      </c>
      <c r="Z26" s="215" t="e">
        <f ca="1">IF(Length_1!K21&lt;0,ROUNDDOWN(Length_1!K21*I$3,$M$66),ROUNDUP(Length_1!K21*I$3,$M$66))</f>
        <v>#N/A</v>
      </c>
      <c r="AA26" s="129" t="e">
        <f t="shared" ca="1" si="9"/>
        <v>#N/A</v>
      </c>
      <c r="AB26" s="129" t="e">
        <f t="shared" ca="1" si="10"/>
        <v>#N/A</v>
      </c>
      <c r="AC26" s="129" t="e">
        <f t="shared" ca="1" si="11"/>
        <v>#N/A</v>
      </c>
      <c r="AD26" s="129" t="e">
        <f t="shared" ca="1" si="12"/>
        <v>#N/A</v>
      </c>
      <c r="AE26" s="129" t="str">
        <f t="shared" si="26"/>
        <v/>
      </c>
      <c r="AF26" s="232" t="e">
        <f t="shared" ca="1" si="13"/>
        <v>#N/A</v>
      </c>
      <c r="AH26" s="243">
        <v>18</v>
      </c>
      <c r="AI26" s="243">
        <f t="shared" si="14"/>
        <v>-17</v>
      </c>
      <c r="AJ26" s="243" t="b">
        <f t="shared" si="15"/>
        <v>0</v>
      </c>
      <c r="AK26" s="243" t="e">
        <f t="shared" ca="1" si="27"/>
        <v>#N/A</v>
      </c>
      <c r="AL26" s="243" t="e">
        <f t="shared" ca="1" si="16"/>
        <v>#N/A</v>
      </c>
      <c r="AM26" s="243" t="str">
        <f t="shared" ca="1" si="17"/>
        <v>-</v>
      </c>
      <c r="AN26" s="243" t="e">
        <f t="shared" ca="1" si="28"/>
        <v>#N/A</v>
      </c>
      <c r="AO26" s="243" t="str">
        <f t="shared" ca="1" si="18"/>
        <v>-</v>
      </c>
      <c r="AP26" s="243" t="e">
        <f t="shared" ca="1" si="19"/>
        <v>#N/A</v>
      </c>
      <c r="AQ26" s="243" t="str">
        <f t="shared" ca="1" si="20"/>
        <v>-</v>
      </c>
      <c r="AR26" s="243" t="str">
        <f t="shared" si="21"/>
        <v/>
      </c>
      <c r="AS26" s="243" t="str">
        <f t="shared" ca="1" si="22"/>
        <v>-</v>
      </c>
    </row>
    <row r="27" spans="2:45" ht="15" customHeight="1">
      <c r="B27" s="132" t="b">
        <f>IF(TRIM(Length_1!A22)="",FALSE,TRUE)</f>
        <v>0</v>
      </c>
      <c r="C27" s="129" t="str">
        <f>IF($B27=FALSE,"",VALUE(Length_1!A22))</f>
        <v/>
      </c>
      <c r="D27" s="129" t="str">
        <f>IF($B27=FALSE,"",Length_1!B22)</f>
        <v/>
      </c>
      <c r="E27" s="133" t="str">
        <f>IF(B27=FALSE,"",Length_1!M22)</f>
        <v/>
      </c>
      <c r="F27" s="133" t="str">
        <f>IF(B27=FALSE,"",Length_1!N22)</f>
        <v/>
      </c>
      <c r="G27" s="133" t="str">
        <f>IF(B27=FALSE,"",Length_1!O22)</f>
        <v/>
      </c>
      <c r="H27" s="133" t="str">
        <f>IF(B27=FALSE,"",Length_1!P22)</f>
        <v/>
      </c>
      <c r="I27" s="133" t="str">
        <f>IF(B27=FALSE,"",Length_1!Q22)</f>
        <v/>
      </c>
      <c r="J27" s="134" t="str">
        <f t="shared" si="1"/>
        <v/>
      </c>
      <c r="K27" s="146" t="str">
        <f t="shared" si="2"/>
        <v/>
      </c>
      <c r="L27" s="135" t="str">
        <f>IF(B27=FALSE,"",Length_1!D66)</f>
        <v/>
      </c>
      <c r="M27" s="136" t="str">
        <f>IF(B27=FALSE,"",Calcu!J27*I$3)</f>
        <v/>
      </c>
      <c r="N27" s="155" t="str">
        <f t="shared" si="23"/>
        <v/>
      </c>
      <c r="O27" s="155" t="str">
        <f ca="1">IF(B27=FALSE,"",OFFSET(Length_1!A66,0,MATCH("열팽창계수",Length_1!$47:$47,0)-1))</f>
        <v/>
      </c>
      <c r="P27" s="156" t="str">
        <f t="shared" si="3"/>
        <v/>
      </c>
      <c r="Q27" s="286" t="str">
        <f t="shared" si="4"/>
        <v/>
      </c>
      <c r="R27" s="286" t="str">
        <f t="shared" si="5"/>
        <v/>
      </c>
      <c r="S27" s="286" t="str">
        <f t="shared" si="6"/>
        <v/>
      </c>
      <c r="T27" s="137" t="str">
        <f t="shared" si="7"/>
        <v/>
      </c>
      <c r="U27" s="138" t="str">
        <f t="shared" si="8"/>
        <v/>
      </c>
      <c r="V27" s="129" t="str">
        <f t="shared" si="24"/>
        <v/>
      </c>
      <c r="W27" s="129" t="str">
        <f t="shared" si="25"/>
        <v/>
      </c>
      <c r="X27" s="131"/>
      <c r="Y27" s="215" t="e">
        <f ca="1">IF(Length_1!J22&lt;0,ROUNDUP(Length_1!J22*I$3,$M$66),ROUNDDOWN(Length_1!J22*I$3,$M$66))</f>
        <v>#N/A</v>
      </c>
      <c r="Z27" s="215" t="e">
        <f ca="1">IF(Length_1!K22&lt;0,ROUNDDOWN(Length_1!K22*I$3,$M$66),ROUNDUP(Length_1!K22*I$3,$M$66))</f>
        <v>#N/A</v>
      </c>
      <c r="AA27" s="129" t="e">
        <f t="shared" ca="1" si="9"/>
        <v>#N/A</v>
      </c>
      <c r="AB27" s="129" t="e">
        <f t="shared" ca="1" si="10"/>
        <v>#N/A</v>
      </c>
      <c r="AC27" s="129" t="e">
        <f t="shared" ca="1" si="11"/>
        <v>#N/A</v>
      </c>
      <c r="AD27" s="129" t="e">
        <f t="shared" ca="1" si="12"/>
        <v>#N/A</v>
      </c>
      <c r="AE27" s="129" t="str">
        <f t="shared" si="26"/>
        <v/>
      </c>
      <c r="AF27" s="232" t="e">
        <f t="shared" ca="1" si="13"/>
        <v>#N/A</v>
      </c>
      <c r="AH27" s="243">
        <v>19</v>
      </c>
      <c r="AI27" s="243">
        <f t="shared" si="14"/>
        <v>-18</v>
      </c>
      <c r="AJ27" s="243" t="b">
        <f t="shared" si="15"/>
        <v>0</v>
      </c>
      <c r="AK27" s="243" t="e">
        <f t="shared" ca="1" si="27"/>
        <v>#N/A</v>
      </c>
      <c r="AL27" s="243" t="e">
        <f t="shared" ca="1" si="16"/>
        <v>#N/A</v>
      </c>
      <c r="AM27" s="243" t="str">
        <f t="shared" ca="1" si="17"/>
        <v>-</v>
      </c>
      <c r="AN27" s="243" t="e">
        <f t="shared" ca="1" si="28"/>
        <v>#N/A</v>
      </c>
      <c r="AO27" s="243" t="str">
        <f t="shared" ca="1" si="18"/>
        <v>-</v>
      </c>
      <c r="AP27" s="243" t="e">
        <f t="shared" ca="1" si="19"/>
        <v>#N/A</v>
      </c>
      <c r="AQ27" s="243" t="str">
        <f t="shared" ca="1" si="20"/>
        <v>-</v>
      </c>
      <c r="AR27" s="243" t="str">
        <f t="shared" si="21"/>
        <v/>
      </c>
      <c r="AS27" s="243" t="str">
        <f t="shared" ca="1" si="22"/>
        <v>-</v>
      </c>
    </row>
    <row r="28" spans="2:45" ht="15" customHeight="1">
      <c r="B28" s="132" t="b">
        <f>IF(TRIM(Length_1!A23)="",FALSE,TRUE)</f>
        <v>0</v>
      </c>
      <c r="C28" s="129" t="str">
        <f>IF($B28=FALSE,"",VALUE(Length_1!A23))</f>
        <v/>
      </c>
      <c r="D28" s="129" t="str">
        <f>IF($B28=FALSE,"",Length_1!B23)</f>
        <v/>
      </c>
      <c r="E28" s="133" t="str">
        <f>IF(B28=FALSE,"",Length_1!M23)</f>
        <v/>
      </c>
      <c r="F28" s="133" t="str">
        <f>IF(B28=FALSE,"",Length_1!N23)</f>
        <v/>
      </c>
      <c r="G28" s="133" t="str">
        <f>IF(B28=FALSE,"",Length_1!O23)</f>
        <v/>
      </c>
      <c r="H28" s="133" t="str">
        <f>IF(B28=FALSE,"",Length_1!P23)</f>
        <v/>
      </c>
      <c r="I28" s="133" t="str">
        <f>IF(B28=FALSE,"",Length_1!Q23)</f>
        <v/>
      </c>
      <c r="J28" s="134" t="str">
        <f t="shared" si="1"/>
        <v/>
      </c>
      <c r="K28" s="146" t="str">
        <f t="shared" si="2"/>
        <v/>
      </c>
      <c r="L28" s="135" t="str">
        <f>IF(B28=FALSE,"",Length_1!D67)</f>
        <v/>
      </c>
      <c r="M28" s="136" t="str">
        <f>IF(B28=FALSE,"",Calcu!J28*I$3)</f>
        <v/>
      </c>
      <c r="N28" s="155" t="str">
        <f t="shared" si="23"/>
        <v/>
      </c>
      <c r="O28" s="155" t="str">
        <f ca="1">IF(B28=FALSE,"",OFFSET(Length_1!A67,0,MATCH("열팽창계수",Length_1!$47:$47,0)-1))</f>
        <v/>
      </c>
      <c r="P28" s="156" t="str">
        <f t="shared" si="3"/>
        <v/>
      </c>
      <c r="Q28" s="286" t="str">
        <f t="shared" si="4"/>
        <v/>
      </c>
      <c r="R28" s="286" t="str">
        <f t="shared" si="5"/>
        <v/>
      </c>
      <c r="S28" s="286" t="str">
        <f t="shared" si="6"/>
        <v/>
      </c>
      <c r="T28" s="137" t="str">
        <f t="shared" si="7"/>
        <v/>
      </c>
      <c r="U28" s="138" t="str">
        <f t="shared" si="8"/>
        <v/>
      </c>
      <c r="V28" s="129" t="str">
        <f t="shared" si="24"/>
        <v/>
      </c>
      <c r="W28" s="129" t="str">
        <f t="shared" si="25"/>
        <v/>
      </c>
      <c r="X28" s="131"/>
      <c r="Y28" s="215" t="e">
        <f ca="1">IF(Length_1!J23&lt;0,ROUNDUP(Length_1!J23*I$3,$M$66),ROUNDDOWN(Length_1!J23*I$3,$M$66))</f>
        <v>#N/A</v>
      </c>
      <c r="Z28" s="215" t="e">
        <f ca="1">IF(Length_1!K23&lt;0,ROUNDDOWN(Length_1!K23*I$3,$M$66),ROUNDUP(Length_1!K23*I$3,$M$66))</f>
        <v>#N/A</v>
      </c>
      <c r="AA28" s="129" t="e">
        <f t="shared" ca="1" si="9"/>
        <v>#N/A</v>
      </c>
      <c r="AB28" s="129" t="e">
        <f t="shared" ca="1" si="10"/>
        <v>#N/A</v>
      </c>
      <c r="AC28" s="129" t="e">
        <f t="shared" ca="1" si="11"/>
        <v>#N/A</v>
      </c>
      <c r="AD28" s="129" t="e">
        <f t="shared" ca="1" si="12"/>
        <v>#N/A</v>
      </c>
      <c r="AE28" s="129" t="str">
        <f t="shared" si="26"/>
        <v/>
      </c>
      <c r="AF28" s="232" t="e">
        <f t="shared" ca="1" si="13"/>
        <v>#N/A</v>
      </c>
      <c r="AH28" s="243">
        <v>20</v>
      </c>
      <c r="AI28" s="243">
        <f t="shared" si="14"/>
        <v>-19</v>
      </c>
      <c r="AJ28" s="243" t="b">
        <f t="shared" si="15"/>
        <v>0</v>
      </c>
      <c r="AK28" s="243" t="e">
        <f t="shared" ca="1" si="27"/>
        <v>#N/A</v>
      </c>
      <c r="AL28" s="243" t="e">
        <f t="shared" ca="1" si="16"/>
        <v>#N/A</v>
      </c>
      <c r="AM28" s="243" t="str">
        <f t="shared" ca="1" si="17"/>
        <v>-</v>
      </c>
      <c r="AN28" s="243" t="e">
        <f t="shared" ca="1" si="28"/>
        <v>#N/A</v>
      </c>
      <c r="AO28" s="243" t="str">
        <f t="shared" ca="1" si="18"/>
        <v>-</v>
      </c>
      <c r="AP28" s="243" t="e">
        <f t="shared" ca="1" si="19"/>
        <v>#N/A</v>
      </c>
      <c r="AQ28" s="243" t="str">
        <f t="shared" ca="1" si="20"/>
        <v>-</v>
      </c>
      <c r="AR28" s="243" t="str">
        <f t="shared" si="21"/>
        <v/>
      </c>
      <c r="AS28" s="243" t="str">
        <f t="shared" ca="1" si="22"/>
        <v>-</v>
      </c>
    </row>
    <row r="29" spans="2:45" ht="15" customHeight="1">
      <c r="B29" s="132" t="b">
        <f>IF(TRIM(Length_1!A24)="",FALSE,TRUE)</f>
        <v>0</v>
      </c>
      <c r="C29" s="129" t="str">
        <f>IF($B29=FALSE,"",VALUE(Length_1!A24))</f>
        <v/>
      </c>
      <c r="D29" s="129" t="str">
        <f>IF($B29=FALSE,"",Length_1!B24)</f>
        <v/>
      </c>
      <c r="E29" s="133" t="str">
        <f>IF(B29=FALSE,"",Length_1!M24)</f>
        <v/>
      </c>
      <c r="F29" s="133" t="str">
        <f>IF(B29=FALSE,"",Length_1!N24)</f>
        <v/>
      </c>
      <c r="G29" s="133" t="str">
        <f>IF(B29=FALSE,"",Length_1!O24)</f>
        <v/>
      </c>
      <c r="H29" s="133" t="str">
        <f>IF(B29=FALSE,"",Length_1!P24)</f>
        <v/>
      </c>
      <c r="I29" s="133" t="str">
        <f>IF(B29=FALSE,"",Length_1!Q24)</f>
        <v/>
      </c>
      <c r="J29" s="134" t="str">
        <f t="shared" ref="J29:J49" si="29">IF(B29=FALSE,"",AVERAGE(E29:I29))</f>
        <v/>
      </c>
      <c r="K29" s="146" t="str">
        <f t="shared" ref="K29:K49" si="30">IF(B29=FALSE,"",STDEV(E29:I29)*I$3)</f>
        <v/>
      </c>
      <c r="L29" s="135" t="str">
        <f>IF(B29=FALSE,"",Length_1!D68)</f>
        <v/>
      </c>
      <c r="M29" s="136" t="str">
        <f>IF(B29=FALSE,"",Calcu!J29*I$3)</f>
        <v/>
      </c>
      <c r="N29" s="155" t="str">
        <f t="shared" ref="N29:N49" si="31">IF(B29=FALSE,"",11.5*10^-6)</f>
        <v/>
      </c>
      <c r="O29" s="155" t="str">
        <f ca="1">IF(B29=FALSE,"",OFFSET(Length_1!A68,0,MATCH("열팽창계수",Length_1!$47:$47,0)-1))</f>
        <v/>
      </c>
      <c r="P29" s="156" t="str">
        <f t="shared" ref="P29:P49" si="32">IF(B29=FALSE,"",AVERAGE(N29:O29))</f>
        <v/>
      </c>
      <c r="Q29" s="286" t="str">
        <f t="shared" ref="Q29:Q49" si="33">IF(B29=FALSE,"",B$3-C$3)</f>
        <v/>
      </c>
      <c r="R29" s="286" t="str">
        <f t="shared" ref="R29:R49" si="34">IF(B29=FALSE,"",N29-O29)</f>
        <v/>
      </c>
      <c r="S29" s="286" t="str">
        <f t="shared" ref="S29:S49" si="35">IF(B29=FALSE,"",AVERAGE(B$3:C$3)-20)</f>
        <v/>
      </c>
      <c r="T29" s="137" t="str">
        <f t="shared" ref="T29:T49" si="36">IF(B29=FALSE,"",C29*I$3)</f>
        <v/>
      </c>
      <c r="U29" s="138" t="str">
        <f t="shared" ref="U29:U49" si="37">IF(B29=FALSE,"",L29-M29-(P29*Q29+R29*S29)*T29)</f>
        <v/>
      </c>
      <c r="V29" s="129" t="str">
        <f t="shared" si="24"/>
        <v/>
      </c>
      <c r="W29" s="129" t="str">
        <f t="shared" si="25"/>
        <v/>
      </c>
      <c r="X29" s="131"/>
      <c r="Y29" s="215" t="e">
        <f ca="1">IF(Length_1!J24&lt;0,ROUNDUP(Length_1!J24*I$3,$M$66),ROUNDDOWN(Length_1!J24*I$3,$M$66))</f>
        <v>#N/A</v>
      </c>
      <c r="Z29" s="215" t="e">
        <f ca="1">IF(Length_1!K24&lt;0,ROUNDDOWN(Length_1!K24*I$3,$M$66),ROUNDUP(Length_1!K24*I$3,$M$66))</f>
        <v>#N/A</v>
      </c>
      <c r="AA29" s="129" t="e">
        <f t="shared" ca="1" si="9"/>
        <v>#N/A</v>
      </c>
      <c r="AB29" s="129" t="e">
        <f t="shared" ca="1" si="10"/>
        <v>#N/A</v>
      </c>
      <c r="AC29" s="129" t="e">
        <f t="shared" ca="1" si="11"/>
        <v>#N/A</v>
      </c>
      <c r="AD29" s="129" t="e">
        <f t="shared" ca="1" si="12"/>
        <v>#N/A</v>
      </c>
      <c r="AE29" s="129" t="str">
        <f t="shared" si="26"/>
        <v/>
      </c>
      <c r="AF29" s="232" t="e">
        <f t="shared" ca="1" si="13"/>
        <v>#N/A</v>
      </c>
      <c r="AH29" s="243">
        <v>21</v>
      </c>
      <c r="AI29" s="243">
        <f t="shared" si="14"/>
        <v>-20</v>
      </c>
      <c r="AJ29" s="243" t="b">
        <f t="shared" si="15"/>
        <v>0</v>
      </c>
      <c r="AK29" s="243" t="e">
        <f t="shared" ca="1" si="27"/>
        <v>#N/A</v>
      </c>
      <c r="AL29" s="243" t="e">
        <f t="shared" ca="1" si="16"/>
        <v>#N/A</v>
      </c>
      <c r="AM29" s="243" t="str">
        <f t="shared" ca="1" si="17"/>
        <v>-</v>
      </c>
      <c r="AN29" s="243" t="e">
        <f t="shared" ca="1" si="28"/>
        <v>#N/A</v>
      </c>
      <c r="AO29" s="243" t="str">
        <f t="shared" ca="1" si="18"/>
        <v>-</v>
      </c>
      <c r="AP29" s="243" t="e">
        <f t="shared" ca="1" si="19"/>
        <v>#N/A</v>
      </c>
      <c r="AQ29" s="243" t="str">
        <f t="shared" ca="1" si="20"/>
        <v>-</v>
      </c>
      <c r="AR29" s="243" t="str">
        <f t="shared" si="21"/>
        <v/>
      </c>
      <c r="AS29" s="243" t="str">
        <f t="shared" ca="1" si="22"/>
        <v>-</v>
      </c>
    </row>
    <row r="30" spans="2:45" ht="15" customHeight="1">
      <c r="B30" s="132" t="b">
        <f>IF(TRIM(Length_1!A25)="",FALSE,TRUE)</f>
        <v>0</v>
      </c>
      <c r="C30" s="129" t="str">
        <f>IF($B30=FALSE,"",VALUE(Length_1!A25))</f>
        <v/>
      </c>
      <c r="D30" s="129" t="str">
        <f>IF($B30=FALSE,"",Length_1!B25)</f>
        <v/>
      </c>
      <c r="E30" s="133" t="str">
        <f>IF(B30=FALSE,"",Length_1!M25)</f>
        <v/>
      </c>
      <c r="F30" s="133" t="str">
        <f>IF(B30=FALSE,"",Length_1!N25)</f>
        <v/>
      </c>
      <c r="G30" s="133" t="str">
        <f>IF(B30=FALSE,"",Length_1!O25)</f>
        <v/>
      </c>
      <c r="H30" s="133" t="str">
        <f>IF(B30=FALSE,"",Length_1!P25)</f>
        <v/>
      </c>
      <c r="I30" s="133" t="str">
        <f>IF(B30=FALSE,"",Length_1!Q25)</f>
        <v/>
      </c>
      <c r="J30" s="134" t="str">
        <f t="shared" si="29"/>
        <v/>
      </c>
      <c r="K30" s="146" t="str">
        <f t="shared" si="30"/>
        <v/>
      </c>
      <c r="L30" s="135" t="str">
        <f>IF(B30=FALSE,"",Length_1!D69)</f>
        <v/>
      </c>
      <c r="M30" s="136" t="str">
        <f>IF(B30=FALSE,"",Calcu!J30*I$3)</f>
        <v/>
      </c>
      <c r="N30" s="155" t="str">
        <f t="shared" si="31"/>
        <v/>
      </c>
      <c r="O30" s="155" t="str">
        <f ca="1">IF(B30=FALSE,"",OFFSET(Length_1!A69,0,MATCH("열팽창계수",Length_1!$47:$47,0)-1))</f>
        <v/>
      </c>
      <c r="P30" s="156" t="str">
        <f t="shared" si="32"/>
        <v/>
      </c>
      <c r="Q30" s="286" t="str">
        <f t="shared" si="33"/>
        <v/>
      </c>
      <c r="R30" s="286" t="str">
        <f t="shared" si="34"/>
        <v/>
      </c>
      <c r="S30" s="286" t="str">
        <f t="shared" si="35"/>
        <v/>
      </c>
      <c r="T30" s="137" t="str">
        <f t="shared" si="36"/>
        <v/>
      </c>
      <c r="U30" s="138" t="str">
        <f t="shared" si="37"/>
        <v/>
      </c>
      <c r="V30" s="129" t="str">
        <f t="shared" si="24"/>
        <v/>
      </c>
      <c r="W30" s="129" t="str">
        <f t="shared" si="25"/>
        <v/>
      </c>
      <c r="X30" s="131"/>
      <c r="Y30" s="215" t="e">
        <f ca="1">IF(Length_1!J25&lt;0,ROUNDUP(Length_1!J25*I$3,$M$66),ROUNDDOWN(Length_1!J25*I$3,$M$66))</f>
        <v>#N/A</v>
      </c>
      <c r="Z30" s="215" t="e">
        <f ca="1">IF(Length_1!K25&lt;0,ROUNDDOWN(Length_1!K25*I$3,$M$66),ROUNDUP(Length_1!K25*I$3,$M$66))</f>
        <v>#N/A</v>
      </c>
      <c r="AA30" s="129" t="e">
        <f t="shared" ca="1" si="9"/>
        <v>#N/A</v>
      </c>
      <c r="AB30" s="129" t="e">
        <f t="shared" ca="1" si="10"/>
        <v>#N/A</v>
      </c>
      <c r="AC30" s="129" t="e">
        <f t="shared" ca="1" si="11"/>
        <v>#N/A</v>
      </c>
      <c r="AD30" s="129" t="e">
        <f t="shared" ca="1" si="12"/>
        <v>#N/A</v>
      </c>
      <c r="AE30" s="129" t="str">
        <f t="shared" si="26"/>
        <v/>
      </c>
      <c r="AF30" s="232" t="e">
        <f t="shared" ca="1" si="13"/>
        <v>#N/A</v>
      </c>
      <c r="AH30" s="243">
        <v>22</v>
      </c>
      <c r="AI30" s="243">
        <f t="shared" si="14"/>
        <v>-21</v>
      </c>
      <c r="AJ30" s="243" t="b">
        <f t="shared" si="15"/>
        <v>0</v>
      </c>
      <c r="AK30" s="243" t="e">
        <f t="shared" ca="1" si="27"/>
        <v>#N/A</v>
      </c>
      <c r="AL30" s="243" t="e">
        <f t="shared" ca="1" si="16"/>
        <v>#N/A</v>
      </c>
      <c r="AM30" s="243" t="str">
        <f t="shared" ca="1" si="17"/>
        <v>-</v>
      </c>
      <c r="AN30" s="243" t="e">
        <f t="shared" ca="1" si="28"/>
        <v>#N/A</v>
      </c>
      <c r="AO30" s="243" t="str">
        <f t="shared" ca="1" si="18"/>
        <v>-</v>
      </c>
      <c r="AP30" s="243" t="e">
        <f t="shared" ca="1" si="19"/>
        <v>#N/A</v>
      </c>
      <c r="AQ30" s="243" t="str">
        <f t="shared" ca="1" si="20"/>
        <v>-</v>
      </c>
      <c r="AR30" s="243" t="str">
        <f t="shared" si="21"/>
        <v/>
      </c>
      <c r="AS30" s="243" t="str">
        <f t="shared" ca="1" si="22"/>
        <v>-</v>
      </c>
    </row>
    <row r="31" spans="2:45" ht="15" customHeight="1">
      <c r="B31" s="132" t="b">
        <f>IF(TRIM(Length_1!A26)="",FALSE,TRUE)</f>
        <v>0</v>
      </c>
      <c r="C31" s="129" t="str">
        <f>IF($B31=FALSE,"",VALUE(Length_1!A26))</f>
        <v/>
      </c>
      <c r="D31" s="129" t="str">
        <f>IF($B31=FALSE,"",Length_1!B26)</f>
        <v/>
      </c>
      <c r="E31" s="133" t="str">
        <f>IF(B31=FALSE,"",Length_1!M26)</f>
        <v/>
      </c>
      <c r="F31" s="133" t="str">
        <f>IF(B31=FALSE,"",Length_1!N26)</f>
        <v/>
      </c>
      <c r="G31" s="133" t="str">
        <f>IF(B31=FALSE,"",Length_1!O26)</f>
        <v/>
      </c>
      <c r="H31" s="133" t="str">
        <f>IF(B31=FALSE,"",Length_1!P26)</f>
        <v/>
      </c>
      <c r="I31" s="133" t="str">
        <f>IF(B31=FALSE,"",Length_1!Q26)</f>
        <v/>
      </c>
      <c r="J31" s="134" t="str">
        <f t="shared" si="29"/>
        <v/>
      </c>
      <c r="K31" s="146" t="str">
        <f t="shared" si="30"/>
        <v/>
      </c>
      <c r="L31" s="135" t="str">
        <f>IF(B31=FALSE,"",Length_1!D70)</f>
        <v/>
      </c>
      <c r="M31" s="136" t="str">
        <f>IF(B31=FALSE,"",Calcu!J31*I$3)</f>
        <v/>
      </c>
      <c r="N31" s="155" t="str">
        <f t="shared" si="31"/>
        <v/>
      </c>
      <c r="O31" s="155" t="str">
        <f ca="1">IF(B31=FALSE,"",OFFSET(Length_1!A70,0,MATCH("열팽창계수",Length_1!$47:$47,0)-1))</f>
        <v/>
      </c>
      <c r="P31" s="156" t="str">
        <f t="shared" si="32"/>
        <v/>
      </c>
      <c r="Q31" s="286" t="str">
        <f t="shared" si="33"/>
        <v/>
      </c>
      <c r="R31" s="286" t="str">
        <f t="shared" si="34"/>
        <v/>
      </c>
      <c r="S31" s="286" t="str">
        <f t="shared" si="35"/>
        <v/>
      </c>
      <c r="T31" s="137" t="str">
        <f t="shared" si="36"/>
        <v/>
      </c>
      <c r="U31" s="138" t="str">
        <f t="shared" si="37"/>
        <v/>
      </c>
      <c r="V31" s="129" t="str">
        <f t="shared" si="24"/>
        <v/>
      </c>
      <c r="W31" s="129" t="str">
        <f t="shared" si="25"/>
        <v/>
      </c>
      <c r="X31" s="131"/>
      <c r="Y31" s="215" t="e">
        <f ca="1">IF(Length_1!J26&lt;0,ROUNDUP(Length_1!J26*I$3,$M$66),ROUNDDOWN(Length_1!J26*I$3,$M$66))</f>
        <v>#N/A</v>
      </c>
      <c r="Z31" s="215" t="e">
        <f ca="1">IF(Length_1!K26&lt;0,ROUNDDOWN(Length_1!K26*I$3,$M$66),ROUNDUP(Length_1!K26*I$3,$M$66))</f>
        <v>#N/A</v>
      </c>
      <c r="AA31" s="129" t="e">
        <f t="shared" ca="1" si="9"/>
        <v>#N/A</v>
      </c>
      <c r="AB31" s="129" t="e">
        <f t="shared" ca="1" si="10"/>
        <v>#N/A</v>
      </c>
      <c r="AC31" s="129" t="e">
        <f t="shared" ca="1" si="11"/>
        <v>#N/A</v>
      </c>
      <c r="AD31" s="129" t="e">
        <f t="shared" ca="1" si="12"/>
        <v>#N/A</v>
      </c>
      <c r="AE31" s="129" t="str">
        <f t="shared" si="26"/>
        <v/>
      </c>
      <c r="AF31" s="232" t="e">
        <f t="shared" ca="1" si="13"/>
        <v>#N/A</v>
      </c>
      <c r="AH31" s="243">
        <v>23</v>
      </c>
      <c r="AI31" s="243">
        <f t="shared" si="14"/>
        <v>-22</v>
      </c>
      <c r="AJ31" s="243" t="b">
        <f t="shared" si="15"/>
        <v>0</v>
      </c>
      <c r="AK31" s="243" t="e">
        <f t="shared" ca="1" si="27"/>
        <v>#N/A</v>
      </c>
      <c r="AL31" s="243" t="e">
        <f t="shared" ca="1" si="16"/>
        <v>#N/A</v>
      </c>
      <c r="AM31" s="243" t="str">
        <f t="shared" ca="1" si="17"/>
        <v>-</v>
      </c>
      <c r="AN31" s="243" t="e">
        <f t="shared" ca="1" si="28"/>
        <v>#N/A</v>
      </c>
      <c r="AO31" s="243" t="str">
        <f t="shared" ca="1" si="18"/>
        <v>-</v>
      </c>
      <c r="AP31" s="243" t="e">
        <f t="shared" ca="1" si="19"/>
        <v>#N/A</v>
      </c>
      <c r="AQ31" s="243" t="str">
        <f t="shared" ca="1" si="20"/>
        <v>-</v>
      </c>
      <c r="AR31" s="243" t="str">
        <f t="shared" si="21"/>
        <v/>
      </c>
      <c r="AS31" s="243" t="str">
        <f t="shared" ca="1" si="22"/>
        <v>-</v>
      </c>
    </row>
    <row r="32" spans="2:45" ht="15" customHeight="1">
      <c r="B32" s="132" t="b">
        <f>IF(TRIM(Length_1!A27)="",FALSE,TRUE)</f>
        <v>0</v>
      </c>
      <c r="C32" s="129" t="str">
        <f>IF($B32=FALSE,"",VALUE(Length_1!A27))</f>
        <v/>
      </c>
      <c r="D32" s="129" t="str">
        <f>IF($B32=FALSE,"",Length_1!B27)</f>
        <v/>
      </c>
      <c r="E32" s="133" t="str">
        <f>IF(B32=FALSE,"",Length_1!M27)</f>
        <v/>
      </c>
      <c r="F32" s="133" t="str">
        <f>IF(B32=FALSE,"",Length_1!N27)</f>
        <v/>
      </c>
      <c r="G32" s="133" t="str">
        <f>IF(B32=FALSE,"",Length_1!O27)</f>
        <v/>
      </c>
      <c r="H32" s="133" t="str">
        <f>IF(B32=FALSE,"",Length_1!P27)</f>
        <v/>
      </c>
      <c r="I32" s="133" t="str">
        <f>IF(B32=FALSE,"",Length_1!Q27)</f>
        <v/>
      </c>
      <c r="J32" s="134" t="str">
        <f t="shared" si="29"/>
        <v/>
      </c>
      <c r="K32" s="146" t="str">
        <f t="shared" si="30"/>
        <v/>
      </c>
      <c r="L32" s="135" t="str">
        <f>IF(B32=FALSE,"",Length_1!D71)</f>
        <v/>
      </c>
      <c r="M32" s="136" t="str">
        <f>IF(B32=FALSE,"",Calcu!J32*I$3)</f>
        <v/>
      </c>
      <c r="N32" s="155" t="str">
        <f t="shared" si="31"/>
        <v/>
      </c>
      <c r="O32" s="155" t="str">
        <f ca="1">IF(B32=FALSE,"",OFFSET(Length_1!A71,0,MATCH("열팽창계수",Length_1!$47:$47,0)-1))</f>
        <v/>
      </c>
      <c r="P32" s="156" t="str">
        <f t="shared" si="32"/>
        <v/>
      </c>
      <c r="Q32" s="286" t="str">
        <f t="shared" si="33"/>
        <v/>
      </c>
      <c r="R32" s="286" t="str">
        <f t="shared" si="34"/>
        <v/>
      </c>
      <c r="S32" s="286" t="str">
        <f t="shared" si="35"/>
        <v/>
      </c>
      <c r="T32" s="137" t="str">
        <f t="shared" si="36"/>
        <v/>
      </c>
      <c r="U32" s="138" t="str">
        <f t="shared" si="37"/>
        <v/>
      </c>
      <c r="V32" s="129" t="str">
        <f t="shared" si="24"/>
        <v/>
      </c>
      <c r="W32" s="129" t="str">
        <f t="shared" si="25"/>
        <v/>
      </c>
      <c r="X32" s="131"/>
      <c r="Y32" s="215" t="e">
        <f ca="1">IF(Length_1!J27&lt;0,ROUNDUP(Length_1!J27*I$3,$M$66),ROUNDDOWN(Length_1!J27*I$3,$M$66))</f>
        <v>#N/A</v>
      </c>
      <c r="Z32" s="215" t="e">
        <f ca="1">IF(Length_1!K27&lt;0,ROUNDDOWN(Length_1!K27*I$3,$M$66),ROUNDUP(Length_1!K27*I$3,$M$66))</f>
        <v>#N/A</v>
      </c>
      <c r="AA32" s="129" t="e">
        <f t="shared" ca="1" si="9"/>
        <v>#N/A</v>
      </c>
      <c r="AB32" s="129" t="e">
        <f t="shared" ca="1" si="10"/>
        <v>#N/A</v>
      </c>
      <c r="AC32" s="129" t="e">
        <f t="shared" ca="1" si="11"/>
        <v>#N/A</v>
      </c>
      <c r="AD32" s="129" t="e">
        <f t="shared" ca="1" si="12"/>
        <v>#N/A</v>
      </c>
      <c r="AE32" s="129" t="str">
        <f t="shared" si="26"/>
        <v/>
      </c>
      <c r="AF32" s="232" t="e">
        <f t="shared" ca="1" si="13"/>
        <v>#N/A</v>
      </c>
    </row>
    <row r="33" spans="2:32" ht="15" customHeight="1">
      <c r="B33" s="132" t="b">
        <f>IF(TRIM(Length_1!A28)="",FALSE,TRUE)</f>
        <v>0</v>
      </c>
      <c r="C33" s="129" t="str">
        <f>IF($B33=FALSE,"",VALUE(Length_1!A28))</f>
        <v/>
      </c>
      <c r="D33" s="129" t="str">
        <f>IF($B33=FALSE,"",Length_1!B28)</f>
        <v/>
      </c>
      <c r="E33" s="133" t="str">
        <f>IF(B33=FALSE,"",Length_1!M28)</f>
        <v/>
      </c>
      <c r="F33" s="133" t="str">
        <f>IF(B33=FALSE,"",Length_1!N28)</f>
        <v/>
      </c>
      <c r="G33" s="133" t="str">
        <f>IF(B33=FALSE,"",Length_1!O28)</f>
        <v/>
      </c>
      <c r="H33" s="133" t="str">
        <f>IF(B33=FALSE,"",Length_1!P28)</f>
        <v/>
      </c>
      <c r="I33" s="133" t="str">
        <f>IF(B33=FALSE,"",Length_1!Q28)</f>
        <v/>
      </c>
      <c r="J33" s="134" t="str">
        <f t="shared" si="29"/>
        <v/>
      </c>
      <c r="K33" s="146" t="str">
        <f t="shared" si="30"/>
        <v/>
      </c>
      <c r="L33" s="135" t="str">
        <f>IF(B33=FALSE,"",Length_1!D72)</f>
        <v/>
      </c>
      <c r="M33" s="136" t="str">
        <f>IF(B33=FALSE,"",Calcu!J33*I$3)</f>
        <v/>
      </c>
      <c r="N33" s="155" t="str">
        <f t="shared" si="31"/>
        <v/>
      </c>
      <c r="O33" s="155" t="str">
        <f ca="1">IF(B33=FALSE,"",OFFSET(Length_1!A72,0,MATCH("열팽창계수",Length_1!$47:$47,0)-1))</f>
        <v/>
      </c>
      <c r="P33" s="156" t="str">
        <f t="shared" si="32"/>
        <v/>
      </c>
      <c r="Q33" s="286" t="str">
        <f t="shared" si="33"/>
        <v/>
      </c>
      <c r="R33" s="286" t="str">
        <f t="shared" si="34"/>
        <v/>
      </c>
      <c r="S33" s="286" t="str">
        <f t="shared" si="35"/>
        <v/>
      </c>
      <c r="T33" s="137" t="str">
        <f t="shared" si="36"/>
        <v/>
      </c>
      <c r="U33" s="138" t="str">
        <f t="shared" si="37"/>
        <v/>
      </c>
      <c r="V33" s="129" t="str">
        <f t="shared" si="24"/>
        <v/>
      </c>
      <c r="W33" s="129" t="str">
        <f t="shared" si="25"/>
        <v/>
      </c>
      <c r="X33" s="131"/>
      <c r="Y33" s="215" t="e">
        <f ca="1">IF(Length_1!J28&lt;0,ROUNDUP(Length_1!J28*I$3,$M$66),ROUNDDOWN(Length_1!J28*I$3,$M$66))</f>
        <v>#N/A</v>
      </c>
      <c r="Z33" s="215" t="e">
        <f ca="1">IF(Length_1!K28&lt;0,ROUNDDOWN(Length_1!K28*I$3,$M$66),ROUNDUP(Length_1!K28*I$3,$M$66))</f>
        <v>#N/A</v>
      </c>
      <c r="AA33" s="129" t="e">
        <f t="shared" ca="1" si="9"/>
        <v>#N/A</v>
      </c>
      <c r="AB33" s="129" t="e">
        <f t="shared" ca="1" si="10"/>
        <v>#N/A</v>
      </c>
      <c r="AC33" s="129" t="e">
        <f t="shared" ca="1" si="11"/>
        <v>#N/A</v>
      </c>
      <c r="AD33" s="129" t="e">
        <f t="shared" ca="1" si="12"/>
        <v>#N/A</v>
      </c>
      <c r="AE33" s="129" t="str">
        <f t="shared" si="26"/>
        <v/>
      </c>
      <c r="AF33" s="232" t="e">
        <f t="shared" ca="1" si="13"/>
        <v>#N/A</v>
      </c>
    </row>
    <row r="34" spans="2:32" ht="15" customHeight="1">
      <c r="B34" s="132" t="b">
        <f>IF(TRIM(Length_1!A29)="",FALSE,TRUE)</f>
        <v>0</v>
      </c>
      <c r="C34" s="129" t="str">
        <f>IF($B34=FALSE,"",VALUE(Length_1!A29))</f>
        <v/>
      </c>
      <c r="D34" s="129" t="str">
        <f>IF($B34=FALSE,"",Length_1!B29)</f>
        <v/>
      </c>
      <c r="E34" s="133" t="str">
        <f>IF(B34=FALSE,"",Length_1!M29)</f>
        <v/>
      </c>
      <c r="F34" s="133" t="str">
        <f>IF(B34=FALSE,"",Length_1!N29)</f>
        <v/>
      </c>
      <c r="G34" s="133" t="str">
        <f>IF(B34=FALSE,"",Length_1!O29)</f>
        <v/>
      </c>
      <c r="H34" s="133" t="str">
        <f>IF(B34=FALSE,"",Length_1!P29)</f>
        <v/>
      </c>
      <c r="I34" s="133" t="str">
        <f>IF(B34=FALSE,"",Length_1!Q29)</f>
        <v/>
      </c>
      <c r="J34" s="134" t="str">
        <f t="shared" si="29"/>
        <v/>
      </c>
      <c r="K34" s="146" t="str">
        <f t="shared" si="30"/>
        <v/>
      </c>
      <c r="L34" s="135" t="str">
        <f>IF(B34=FALSE,"",Length_1!D73)</f>
        <v/>
      </c>
      <c r="M34" s="136" t="str">
        <f>IF(B34=FALSE,"",Calcu!J34*I$3)</f>
        <v/>
      </c>
      <c r="N34" s="155" t="str">
        <f t="shared" si="31"/>
        <v/>
      </c>
      <c r="O34" s="155" t="str">
        <f ca="1">IF(B34=FALSE,"",OFFSET(Length_1!A73,0,MATCH("열팽창계수",Length_1!$47:$47,0)-1))</f>
        <v/>
      </c>
      <c r="P34" s="156" t="str">
        <f t="shared" si="32"/>
        <v/>
      </c>
      <c r="Q34" s="286" t="str">
        <f t="shared" si="33"/>
        <v/>
      </c>
      <c r="R34" s="286" t="str">
        <f t="shared" si="34"/>
        <v/>
      </c>
      <c r="S34" s="286" t="str">
        <f t="shared" si="35"/>
        <v/>
      </c>
      <c r="T34" s="137" t="str">
        <f t="shared" si="36"/>
        <v/>
      </c>
      <c r="U34" s="138" t="str">
        <f t="shared" si="37"/>
        <v/>
      </c>
      <c r="V34" s="129" t="str">
        <f t="shared" si="24"/>
        <v/>
      </c>
      <c r="W34" s="129" t="str">
        <f t="shared" si="25"/>
        <v/>
      </c>
      <c r="X34" s="131"/>
      <c r="Y34" s="215" t="e">
        <f ca="1">IF(Length_1!J29&lt;0,ROUNDUP(Length_1!J29*I$3,$M$66),ROUNDDOWN(Length_1!J29*I$3,$M$66))</f>
        <v>#N/A</v>
      </c>
      <c r="Z34" s="215" t="e">
        <f ca="1">IF(Length_1!K29&lt;0,ROUNDDOWN(Length_1!K29*I$3,$M$66),ROUNDUP(Length_1!K29*I$3,$M$66))</f>
        <v>#N/A</v>
      </c>
      <c r="AA34" s="129" t="e">
        <f t="shared" ca="1" si="9"/>
        <v>#N/A</v>
      </c>
      <c r="AB34" s="129" t="e">
        <f t="shared" ca="1" si="10"/>
        <v>#N/A</v>
      </c>
      <c r="AC34" s="129" t="e">
        <f t="shared" ca="1" si="11"/>
        <v>#N/A</v>
      </c>
      <c r="AD34" s="129" t="e">
        <f t="shared" ca="1" si="12"/>
        <v>#N/A</v>
      </c>
      <c r="AE34" s="129" t="str">
        <f t="shared" si="26"/>
        <v/>
      </c>
      <c r="AF34" s="232" t="e">
        <f t="shared" ca="1" si="13"/>
        <v>#N/A</v>
      </c>
    </row>
    <row r="35" spans="2:32" ht="15" customHeight="1">
      <c r="B35" s="132" t="b">
        <f>IF(TRIM(Length_1!A30)="",FALSE,TRUE)</f>
        <v>0</v>
      </c>
      <c r="C35" s="129" t="str">
        <f>IF($B35=FALSE,"",VALUE(Length_1!A30))</f>
        <v/>
      </c>
      <c r="D35" s="129" t="str">
        <f>IF($B35=FALSE,"",Length_1!B30)</f>
        <v/>
      </c>
      <c r="E35" s="133" t="str">
        <f>IF(B35=FALSE,"",Length_1!M30)</f>
        <v/>
      </c>
      <c r="F35" s="133" t="str">
        <f>IF(B35=FALSE,"",Length_1!N30)</f>
        <v/>
      </c>
      <c r="G35" s="133" t="str">
        <f>IF(B35=FALSE,"",Length_1!O30)</f>
        <v/>
      </c>
      <c r="H35" s="133" t="str">
        <f>IF(B35=FALSE,"",Length_1!P30)</f>
        <v/>
      </c>
      <c r="I35" s="133" t="str">
        <f>IF(B35=FALSE,"",Length_1!Q30)</f>
        <v/>
      </c>
      <c r="J35" s="134" t="str">
        <f t="shared" si="29"/>
        <v/>
      </c>
      <c r="K35" s="146" t="str">
        <f t="shared" si="30"/>
        <v/>
      </c>
      <c r="L35" s="135" t="str">
        <f>IF(B35=FALSE,"",Length_1!D74)</f>
        <v/>
      </c>
      <c r="M35" s="136" t="str">
        <f>IF(B35=FALSE,"",Calcu!J35*I$3)</f>
        <v/>
      </c>
      <c r="N35" s="155" t="str">
        <f t="shared" si="31"/>
        <v/>
      </c>
      <c r="O35" s="155" t="str">
        <f ca="1">IF(B35=FALSE,"",OFFSET(Length_1!A74,0,MATCH("열팽창계수",Length_1!$47:$47,0)-1))</f>
        <v/>
      </c>
      <c r="P35" s="156" t="str">
        <f t="shared" si="32"/>
        <v/>
      </c>
      <c r="Q35" s="286" t="str">
        <f t="shared" si="33"/>
        <v/>
      </c>
      <c r="R35" s="286" t="str">
        <f t="shared" si="34"/>
        <v/>
      </c>
      <c r="S35" s="286" t="str">
        <f t="shared" si="35"/>
        <v/>
      </c>
      <c r="T35" s="137" t="str">
        <f t="shared" si="36"/>
        <v/>
      </c>
      <c r="U35" s="138" t="str">
        <f t="shared" si="37"/>
        <v/>
      </c>
      <c r="V35" s="129" t="str">
        <f t="shared" si="24"/>
        <v/>
      </c>
      <c r="W35" s="129" t="str">
        <f t="shared" si="25"/>
        <v/>
      </c>
      <c r="X35" s="131"/>
      <c r="Y35" s="215" t="e">
        <f ca="1">IF(Length_1!J30&lt;0,ROUNDUP(Length_1!J30*I$3,$M$66),ROUNDDOWN(Length_1!J30*I$3,$M$66))</f>
        <v>#N/A</v>
      </c>
      <c r="Z35" s="215" t="e">
        <f ca="1">IF(Length_1!K30&lt;0,ROUNDDOWN(Length_1!K30*I$3,$M$66),ROUNDUP(Length_1!K30*I$3,$M$66))</f>
        <v>#N/A</v>
      </c>
      <c r="AA35" s="129" t="e">
        <f t="shared" ca="1" si="9"/>
        <v>#N/A</v>
      </c>
      <c r="AB35" s="129" t="e">
        <f t="shared" ca="1" si="10"/>
        <v>#N/A</v>
      </c>
      <c r="AC35" s="129" t="e">
        <f t="shared" ca="1" si="11"/>
        <v>#N/A</v>
      </c>
      <c r="AD35" s="129" t="e">
        <f t="shared" ca="1" si="12"/>
        <v>#N/A</v>
      </c>
      <c r="AE35" s="129" t="str">
        <f t="shared" si="26"/>
        <v/>
      </c>
      <c r="AF35" s="232" t="e">
        <f t="shared" ca="1" si="13"/>
        <v>#N/A</v>
      </c>
    </row>
    <row r="36" spans="2:32" ht="15" customHeight="1">
      <c r="B36" s="132" t="b">
        <f>IF(TRIM(Length_1!A31)="",FALSE,TRUE)</f>
        <v>0</v>
      </c>
      <c r="C36" s="129" t="str">
        <f>IF($B36=FALSE,"",VALUE(Length_1!A31))</f>
        <v/>
      </c>
      <c r="D36" s="129" t="str">
        <f>IF($B36=FALSE,"",Length_1!B31)</f>
        <v/>
      </c>
      <c r="E36" s="133" t="str">
        <f>IF(B36=FALSE,"",Length_1!M31)</f>
        <v/>
      </c>
      <c r="F36" s="133" t="str">
        <f>IF(B36=FALSE,"",Length_1!N31)</f>
        <v/>
      </c>
      <c r="G36" s="133" t="str">
        <f>IF(B36=FALSE,"",Length_1!O31)</f>
        <v/>
      </c>
      <c r="H36" s="133" t="str">
        <f>IF(B36=FALSE,"",Length_1!P31)</f>
        <v/>
      </c>
      <c r="I36" s="133" t="str">
        <f>IF(B36=FALSE,"",Length_1!Q31)</f>
        <v/>
      </c>
      <c r="J36" s="134" t="str">
        <f t="shared" si="29"/>
        <v/>
      </c>
      <c r="K36" s="146" t="str">
        <f t="shared" si="30"/>
        <v/>
      </c>
      <c r="L36" s="135" t="str">
        <f>IF(B36=FALSE,"",Length_1!D75)</f>
        <v/>
      </c>
      <c r="M36" s="136" t="str">
        <f>IF(B36=FALSE,"",Calcu!J36*I$3)</f>
        <v/>
      </c>
      <c r="N36" s="155" t="str">
        <f t="shared" si="31"/>
        <v/>
      </c>
      <c r="O36" s="155" t="str">
        <f ca="1">IF(B36=FALSE,"",OFFSET(Length_1!A75,0,MATCH("열팽창계수",Length_1!$47:$47,0)-1))</f>
        <v/>
      </c>
      <c r="P36" s="156" t="str">
        <f t="shared" si="32"/>
        <v/>
      </c>
      <c r="Q36" s="286" t="str">
        <f t="shared" si="33"/>
        <v/>
      </c>
      <c r="R36" s="286" t="str">
        <f t="shared" si="34"/>
        <v/>
      </c>
      <c r="S36" s="286" t="str">
        <f t="shared" si="35"/>
        <v/>
      </c>
      <c r="T36" s="137" t="str">
        <f t="shared" si="36"/>
        <v/>
      </c>
      <c r="U36" s="138" t="str">
        <f t="shared" si="37"/>
        <v/>
      </c>
      <c r="V36" s="129" t="str">
        <f t="shared" si="24"/>
        <v/>
      </c>
      <c r="W36" s="129" t="str">
        <f t="shared" si="25"/>
        <v/>
      </c>
      <c r="X36" s="131"/>
      <c r="Y36" s="215" t="e">
        <f ca="1">IF(Length_1!J31&lt;0,ROUNDUP(Length_1!J31*I$3,$M$66),ROUNDDOWN(Length_1!J31*I$3,$M$66))</f>
        <v>#N/A</v>
      </c>
      <c r="Z36" s="215" t="e">
        <f ca="1">IF(Length_1!K31&lt;0,ROUNDDOWN(Length_1!K31*I$3,$M$66),ROUNDUP(Length_1!K31*I$3,$M$66))</f>
        <v>#N/A</v>
      </c>
      <c r="AA36" s="129" t="e">
        <f t="shared" ca="1" si="9"/>
        <v>#N/A</v>
      </c>
      <c r="AB36" s="129" t="e">
        <f t="shared" ca="1" si="10"/>
        <v>#N/A</v>
      </c>
      <c r="AC36" s="129" t="e">
        <f t="shared" ca="1" si="11"/>
        <v>#N/A</v>
      </c>
      <c r="AD36" s="129" t="e">
        <f t="shared" ca="1" si="12"/>
        <v>#N/A</v>
      </c>
      <c r="AE36" s="129" t="str">
        <f t="shared" si="26"/>
        <v/>
      </c>
      <c r="AF36" s="232" t="e">
        <f t="shared" ca="1" si="13"/>
        <v>#N/A</v>
      </c>
    </row>
    <row r="37" spans="2:32" ht="15" customHeight="1">
      <c r="B37" s="132" t="b">
        <f>IF(TRIM(Length_1!A32)="",FALSE,TRUE)</f>
        <v>0</v>
      </c>
      <c r="C37" s="129" t="str">
        <f>IF($B37=FALSE,"",VALUE(Length_1!A32))</f>
        <v/>
      </c>
      <c r="D37" s="129" t="str">
        <f>IF($B37=FALSE,"",Length_1!B32)</f>
        <v/>
      </c>
      <c r="E37" s="133" t="str">
        <f>IF(B37=FALSE,"",Length_1!M32)</f>
        <v/>
      </c>
      <c r="F37" s="133" t="str">
        <f>IF(B37=FALSE,"",Length_1!N32)</f>
        <v/>
      </c>
      <c r="G37" s="133" t="str">
        <f>IF(B37=FALSE,"",Length_1!O32)</f>
        <v/>
      </c>
      <c r="H37" s="133" t="str">
        <f>IF(B37=FALSE,"",Length_1!P32)</f>
        <v/>
      </c>
      <c r="I37" s="133" t="str">
        <f>IF(B37=FALSE,"",Length_1!Q32)</f>
        <v/>
      </c>
      <c r="J37" s="134" t="str">
        <f t="shared" si="29"/>
        <v/>
      </c>
      <c r="K37" s="146" t="str">
        <f t="shared" si="30"/>
        <v/>
      </c>
      <c r="L37" s="135" t="str">
        <f>IF(B37=FALSE,"",Length_1!D76)</f>
        <v/>
      </c>
      <c r="M37" s="136" t="str">
        <f>IF(B37=FALSE,"",Calcu!J37*I$3)</f>
        <v/>
      </c>
      <c r="N37" s="155" t="str">
        <f t="shared" si="31"/>
        <v/>
      </c>
      <c r="O37" s="155" t="str">
        <f ca="1">IF(B37=FALSE,"",OFFSET(Length_1!A76,0,MATCH("열팽창계수",Length_1!$47:$47,0)-1))</f>
        <v/>
      </c>
      <c r="P37" s="156" t="str">
        <f t="shared" si="32"/>
        <v/>
      </c>
      <c r="Q37" s="286" t="str">
        <f t="shared" si="33"/>
        <v/>
      </c>
      <c r="R37" s="286" t="str">
        <f t="shared" si="34"/>
        <v/>
      </c>
      <c r="S37" s="286" t="str">
        <f t="shared" si="35"/>
        <v/>
      </c>
      <c r="T37" s="137" t="str">
        <f t="shared" si="36"/>
        <v/>
      </c>
      <c r="U37" s="138" t="str">
        <f t="shared" si="37"/>
        <v/>
      </c>
      <c r="V37" s="129" t="str">
        <f t="shared" si="24"/>
        <v/>
      </c>
      <c r="W37" s="129" t="str">
        <f t="shared" si="25"/>
        <v/>
      </c>
      <c r="X37" s="131"/>
      <c r="Y37" s="215" t="e">
        <f ca="1">IF(Length_1!J32&lt;0,ROUNDUP(Length_1!J32*I$3,$M$66),ROUNDDOWN(Length_1!J32*I$3,$M$66))</f>
        <v>#N/A</v>
      </c>
      <c r="Z37" s="215" t="e">
        <f ca="1">IF(Length_1!K32&lt;0,ROUNDDOWN(Length_1!K32*I$3,$M$66),ROUNDUP(Length_1!K32*I$3,$M$66))</f>
        <v>#N/A</v>
      </c>
      <c r="AA37" s="129" t="e">
        <f t="shared" ca="1" si="9"/>
        <v>#N/A</v>
      </c>
      <c r="AB37" s="129" t="e">
        <f t="shared" ca="1" si="10"/>
        <v>#N/A</v>
      </c>
      <c r="AC37" s="129" t="e">
        <f t="shared" ca="1" si="11"/>
        <v>#N/A</v>
      </c>
      <c r="AD37" s="129" t="e">
        <f t="shared" ca="1" si="12"/>
        <v>#N/A</v>
      </c>
      <c r="AE37" s="129" t="str">
        <f t="shared" si="26"/>
        <v/>
      </c>
      <c r="AF37" s="232" t="e">
        <f t="shared" ca="1" si="13"/>
        <v>#N/A</v>
      </c>
    </row>
    <row r="38" spans="2:32" ht="15" customHeight="1">
      <c r="B38" s="132" t="b">
        <f>IF(TRIM(Length_1!A33)="",FALSE,TRUE)</f>
        <v>0</v>
      </c>
      <c r="C38" s="129" t="str">
        <f>IF($B38=FALSE,"",VALUE(Length_1!A33))</f>
        <v/>
      </c>
      <c r="D38" s="129" t="str">
        <f>IF($B38=FALSE,"",Length_1!B33)</f>
        <v/>
      </c>
      <c r="E38" s="133" t="str">
        <f>IF(B38=FALSE,"",Length_1!M33)</f>
        <v/>
      </c>
      <c r="F38" s="133" t="str">
        <f>IF(B38=FALSE,"",Length_1!N33)</f>
        <v/>
      </c>
      <c r="G38" s="133" t="str">
        <f>IF(B38=FALSE,"",Length_1!O33)</f>
        <v/>
      </c>
      <c r="H38" s="133" t="str">
        <f>IF(B38=FALSE,"",Length_1!P33)</f>
        <v/>
      </c>
      <c r="I38" s="133" t="str">
        <f>IF(B38=FALSE,"",Length_1!Q33)</f>
        <v/>
      </c>
      <c r="J38" s="134" t="str">
        <f t="shared" si="29"/>
        <v/>
      </c>
      <c r="K38" s="146" t="str">
        <f t="shared" si="30"/>
        <v/>
      </c>
      <c r="L38" s="135" t="str">
        <f>IF(B38=FALSE,"",Length_1!D77)</f>
        <v/>
      </c>
      <c r="M38" s="136" t="str">
        <f>IF(B38=FALSE,"",Calcu!J38*I$3)</f>
        <v/>
      </c>
      <c r="N38" s="155" t="str">
        <f t="shared" si="31"/>
        <v/>
      </c>
      <c r="O38" s="155" t="str">
        <f ca="1">IF(B38=FALSE,"",OFFSET(Length_1!A77,0,MATCH("열팽창계수",Length_1!$47:$47,0)-1))</f>
        <v/>
      </c>
      <c r="P38" s="156" t="str">
        <f t="shared" si="32"/>
        <v/>
      </c>
      <c r="Q38" s="286" t="str">
        <f t="shared" si="33"/>
        <v/>
      </c>
      <c r="R38" s="286" t="str">
        <f t="shared" si="34"/>
        <v/>
      </c>
      <c r="S38" s="286" t="str">
        <f t="shared" si="35"/>
        <v/>
      </c>
      <c r="T38" s="137" t="str">
        <f t="shared" si="36"/>
        <v/>
      </c>
      <c r="U38" s="138" t="str">
        <f t="shared" si="37"/>
        <v/>
      </c>
      <c r="V38" s="129" t="str">
        <f t="shared" si="24"/>
        <v/>
      </c>
      <c r="W38" s="129" t="str">
        <f t="shared" si="25"/>
        <v/>
      </c>
      <c r="X38" s="131"/>
      <c r="Y38" s="215" t="e">
        <f ca="1">IF(Length_1!J33&lt;0,ROUNDUP(Length_1!J33*I$3,$M$66),ROUNDDOWN(Length_1!J33*I$3,$M$66))</f>
        <v>#N/A</v>
      </c>
      <c r="Z38" s="215" t="e">
        <f ca="1">IF(Length_1!K33&lt;0,ROUNDDOWN(Length_1!K33*I$3,$M$66),ROUNDUP(Length_1!K33*I$3,$M$66))</f>
        <v>#N/A</v>
      </c>
      <c r="AA38" s="129" t="e">
        <f t="shared" ca="1" si="9"/>
        <v>#N/A</v>
      </c>
      <c r="AB38" s="129" t="e">
        <f t="shared" ca="1" si="10"/>
        <v>#N/A</v>
      </c>
      <c r="AC38" s="129" t="e">
        <f t="shared" ca="1" si="11"/>
        <v>#N/A</v>
      </c>
      <c r="AD38" s="129" t="e">
        <f t="shared" ca="1" si="12"/>
        <v>#N/A</v>
      </c>
      <c r="AE38" s="129" t="str">
        <f t="shared" si="26"/>
        <v/>
      </c>
      <c r="AF38" s="232" t="e">
        <f t="shared" ca="1" si="13"/>
        <v>#N/A</v>
      </c>
    </row>
    <row r="39" spans="2:32" ht="15" customHeight="1">
      <c r="B39" s="132" t="b">
        <f>IF(TRIM(Length_1!A34)="",FALSE,TRUE)</f>
        <v>0</v>
      </c>
      <c r="C39" s="129" t="str">
        <f>IF($B39=FALSE,"",VALUE(Length_1!A34))</f>
        <v/>
      </c>
      <c r="D39" s="129" t="str">
        <f>IF($B39=FALSE,"",Length_1!B34)</f>
        <v/>
      </c>
      <c r="E39" s="133" t="str">
        <f>IF(B39=FALSE,"",Length_1!M34)</f>
        <v/>
      </c>
      <c r="F39" s="133" t="str">
        <f>IF(B39=FALSE,"",Length_1!N34)</f>
        <v/>
      </c>
      <c r="G39" s="133" t="str">
        <f>IF(B39=FALSE,"",Length_1!O34)</f>
        <v/>
      </c>
      <c r="H39" s="133" t="str">
        <f>IF(B39=FALSE,"",Length_1!P34)</f>
        <v/>
      </c>
      <c r="I39" s="133" t="str">
        <f>IF(B39=FALSE,"",Length_1!Q34)</f>
        <v/>
      </c>
      <c r="J39" s="134" t="str">
        <f t="shared" si="29"/>
        <v/>
      </c>
      <c r="K39" s="146" t="str">
        <f t="shared" si="30"/>
        <v/>
      </c>
      <c r="L39" s="135" t="str">
        <f>IF(B39=FALSE,"",Length_1!D78)</f>
        <v/>
      </c>
      <c r="M39" s="136" t="str">
        <f>IF(B39=FALSE,"",Calcu!J39*I$3)</f>
        <v/>
      </c>
      <c r="N39" s="155" t="str">
        <f t="shared" si="31"/>
        <v/>
      </c>
      <c r="O39" s="155" t="str">
        <f ca="1">IF(B39=FALSE,"",OFFSET(Length_1!A78,0,MATCH("열팽창계수",Length_1!$47:$47,0)-1))</f>
        <v/>
      </c>
      <c r="P39" s="156" t="str">
        <f t="shared" si="32"/>
        <v/>
      </c>
      <c r="Q39" s="286" t="str">
        <f t="shared" si="33"/>
        <v/>
      </c>
      <c r="R39" s="286" t="str">
        <f t="shared" si="34"/>
        <v/>
      </c>
      <c r="S39" s="286" t="str">
        <f t="shared" si="35"/>
        <v/>
      </c>
      <c r="T39" s="137" t="str">
        <f t="shared" si="36"/>
        <v/>
      </c>
      <c r="U39" s="138" t="str">
        <f t="shared" si="37"/>
        <v/>
      </c>
      <c r="V39" s="129" t="str">
        <f t="shared" si="24"/>
        <v/>
      </c>
      <c r="W39" s="129" t="str">
        <f t="shared" si="25"/>
        <v/>
      </c>
      <c r="X39" s="131"/>
      <c r="Y39" s="215" t="e">
        <f ca="1">IF(Length_1!J34&lt;0,ROUNDUP(Length_1!J34*I$3,$M$66),ROUNDDOWN(Length_1!J34*I$3,$M$66))</f>
        <v>#N/A</v>
      </c>
      <c r="Z39" s="215" t="e">
        <f ca="1">IF(Length_1!K34&lt;0,ROUNDDOWN(Length_1!K34*I$3,$M$66),ROUNDUP(Length_1!K34*I$3,$M$66))</f>
        <v>#N/A</v>
      </c>
      <c r="AA39" s="129" t="e">
        <f t="shared" ca="1" si="9"/>
        <v>#N/A</v>
      </c>
      <c r="AB39" s="129" t="e">
        <f t="shared" ca="1" si="10"/>
        <v>#N/A</v>
      </c>
      <c r="AC39" s="129" t="e">
        <f t="shared" ca="1" si="11"/>
        <v>#N/A</v>
      </c>
      <c r="AD39" s="129" t="e">
        <f t="shared" ca="1" si="12"/>
        <v>#N/A</v>
      </c>
      <c r="AE39" s="129" t="str">
        <f t="shared" si="26"/>
        <v/>
      </c>
      <c r="AF39" s="232" t="e">
        <f t="shared" ca="1" si="13"/>
        <v>#N/A</v>
      </c>
    </row>
    <row r="40" spans="2:32" ht="15" customHeight="1">
      <c r="B40" s="132" t="b">
        <f>IF(TRIM(Length_1!A35)="",FALSE,TRUE)</f>
        <v>0</v>
      </c>
      <c r="C40" s="129" t="str">
        <f>IF($B40=FALSE,"",VALUE(Length_1!A35))</f>
        <v/>
      </c>
      <c r="D40" s="129" t="str">
        <f>IF($B40=FALSE,"",Length_1!B35)</f>
        <v/>
      </c>
      <c r="E40" s="133" t="str">
        <f>IF(B40=FALSE,"",Length_1!M35)</f>
        <v/>
      </c>
      <c r="F40" s="133" t="str">
        <f>IF(B40=FALSE,"",Length_1!N35)</f>
        <v/>
      </c>
      <c r="G40" s="133" t="str">
        <f>IF(B40=FALSE,"",Length_1!O35)</f>
        <v/>
      </c>
      <c r="H40" s="133" t="str">
        <f>IF(B40=FALSE,"",Length_1!P35)</f>
        <v/>
      </c>
      <c r="I40" s="133" t="str">
        <f>IF(B40=FALSE,"",Length_1!Q35)</f>
        <v/>
      </c>
      <c r="J40" s="134" t="str">
        <f t="shared" si="29"/>
        <v/>
      </c>
      <c r="K40" s="146" t="str">
        <f t="shared" si="30"/>
        <v/>
      </c>
      <c r="L40" s="135" t="str">
        <f>IF(B40=FALSE,"",Length_1!D79)</f>
        <v/>
      </c>
      <c r="M40" s="136" t="str">
        <f>IF(B40=FALSE,"",Calcu!J40*I$3)</f>
        <v/>
      </c>
      <c r="N40" s="155" t="str">
        <f t="shared" si="31"/>
        <v/>
      </c>
      <c r="O40" s="155" t="str">
        <f ca="1">IF(B40=FALSE,"",OFFSET(Length_1!A79,0,MATCH("열팽창계수",Length_1!$47:$47,0)-1))</f>
        <v/>
      </c>
      <c r="P40" s="156" t="str">
        <f t="shared" si="32"/>
        <v/>
      </c>
      <c r="Q40" s="286" t="str">
        <f t="shared" si="33"/>
        <v/>
      </c>
      <c r="R40" s="286" t="str">
        <f t="shared" si="34"/>
        <v/>
      </c>
      <c r="S40" s="286" t="str">
        <f t="shared" si="35"/>
        <v/>
      </c>
      <c r="T40" s="137" t="str">
        <f t="shared" si="36"/>
        <v/>
      </c>
      <c r="U40" s="138" t="str">
        <f t="shared" si="37"/>
        <v/>
      </c>
      <c r="V40" s="129" t="str">
        <f t="shared" si="24"/>
        <v/>
      </c>
      <c r="W40" s="129" t="str">
        <f t="shared" si="25"/>
        <v/>
      </c>
      <c r="X40" s="131"/>
      <c r="Y40" s="215" t="e">
        <f ca="1">IF(Length_1!J35&lt;0,ROUNDUP(Length_1!J35*I$3,$M$66),ROUNDDOWN(Length_1!J35*I$3,$M$66))</f>
        <v>#N/A</v>
      </c>
      <c r="Z40" s="215" t="e">
        <f ca="1">IF(Length_1!K35&lt;0,ROUNDDOWN(Length_1!K35*I$3,$M$66),ROUNDUP(Length_1!K35*I$3,$M$66))</f>
        <v>#N/A</v>
      </c>
      <c r="AA40" s="129" t="e">
        <f t="shared" ca="1" si="9"/>
        <v>#N/A</v>
      </c>
      <c r="AB40" s="129" t="e">
        <f t="shared" ca="1" si="10"/>
        <v>#N/A</v>
      </c>
      <c r="AC40" s="129" t="e">
        <f t="shared" ca="1" si="11"/>
        <v>#N/A</v>
      </c>
      <c r="AD40" s="129" t="e">
        <f t="shared" ca="1" si="12"/>
        <v>#N/A</v>
      </c>
      <c r="AE40" s="129" t="str">
        <f t="shared" si="26"/>
        <v/>
      </c>
      <c r="AF40" s="232" t="e">
        <f t="shared" ca="1" si="13"/>
        <v>#N/A</v>
      </c>
    </row>
    <row r="41" spans="2:32" ht="15" customHeight="1">
      <c r="B41" s="132" t="b">
        <f>IF(TRIM(Length_1!A36)="",FALSE,TRUE)</f>
        <v>0</v>
      </c>
      <c r="C41" s="129" t="str">
        <f>IF($B41=FALSE,"",VALUE(Length_1!A36))</f>
        <v/>
      </c>
      <c r="D41" s="129" t="str">
        <f>IF($B41=FALSE,"",Length_1!B36)</f>
        <v/>
      </c>
      <c r="E41" s="133" t="str">
        <f>IF(B41=FALSE,"",Length_1!M36)</f>
        <v/>
      </c>
      <c r="F41" s="133" t="str">
        <f>IF(B41=FALSE,"",Length_1!N36)</f>
        <v/>
      </c>
      <c r="G41" s="133" t="str">
        <f>IF(B41=FALSE,"",Length_1!O36)</f>
        <v/>
      </c>
      <c r="H41" s="133" t="str">
        <f>IF(B41=FALSE,"",Length_1!P36)</f>
        <v/>
      </c>
      <c r="I41" s="133" t="str">
        <f>IF(B41=FALSE,"",Length_1!Q36)</f>
        <v/>
      </c>
      <c r="J41" s="134" t="str">
        <f t="shared" si="29"/>
        <v/>
      </c>
      <c r="K41" s="146" t="str">
        <f t="shared" si="30"/>
        <v/>
      </c>
      <c r="L41" s="135" t="str">
        <f>IF(B41=FALSE,"",Length_1!D80)</f>
        <v/>
      </c>
      <c r="M41" s="136" t="str">
        <f>IF(B41=FALSE,"",Calcu!J41*I$3)</f>
        <v/>
      </c>
      <c r="N41" s="155" t="str">
        <f t="shared" si="31"/>
        <v/>
      </c>
      <c r="O41" s="155" t="str">
        <f ca="1">IF(B41=FALSE,"",OFFSET(Length_1!A80,0,MATCH("열팽창계수",Length_1!$47:$47,0)-1))</f>
        <v/>
      </c>
      <c r="P41" s="156" t="str">
        <f t="shared" si="32"/>
        <v/>
      </c>
      <c r="Q41" s="286" t="str">
        <f t="shared" si="33"/>
        <v/>
      </c>
      <c r="R41" s="286" t="str">
        <f t="shared" si="34"/>
        <v/>
      </c>
      <c r="S41" s="286" t="str">
        <f t="shared" si="35"/>
        <v/>
      </c>
      <c r="T41" s="137" t="str">
        <f t="shared" si="36"/>
        <v/>
      </c>
      <c r="U41" s="138" t="str">
        <f t="shared" si="37"/>
        <v/>
      </c>
      <c r="V41" s="129" t="str">
        <f t="shared" si="24"/>
        <v/>
      </c>
      <c r="W41" s="129" t="str">
        <f t="shared" si="25"/>
        <v/>
      </c>
      <c r="X41" s="131"/>
      <c r="Y41" s="215" t="e">
        <f ca="1">IF(Length_1!J36&lt;0,ROUNDUP(Length_1!J36*I$3,$M$66),ROUNDDOWN(Length_1!J36*I$3,$M$66))</f>
        <v>#N/A</v>
      </c>
      <c r="Z41" s="215" t="e">
        <f ca="1">IF(Length_1!K36&lt;0,ROUNDDOWN(Length_1!K36*I$3,$M$66),ROUNDUP(Length_1!K36*I$3,$M$66))</f>
        <v>#N/A</v>
      </c>
      <c r="AA41" s="129" t="e">
        <f t="shared" ca="1" si="9"/>
        <v>#N/A</v>
      </c>
      <c r="AB41" s="129" t="e">
        <f t="shared" ca="1" si="10"/>
        <v>#N/A</v>
      </c>
      <c r="AC41" s="129" t="e">
        <f t="shared" ca="1" si="11"/>
        <v>#N/A</v>
      </c>
      <c r="AD41" s="129" t="e">
        <f t="shared" ca="1" si="12"/>
        <v>#N/A</v>
      </c>
      <c r="AE41" s="129" t="str">
        <f t="shared" si="26"/>
        <v/>
      </c>
      <c r="AF41" s="232" t="e">
        <f t="shared" ca="1" si="13"/>
        <v>#N/A</v>
      </c>
    </row>
    <row r="42" spans="2:32" ht="15" customHeight="1">
      <c r="B42" s="132" t="b">
        <f>IF(TRIM(Length_1!A37)="",FALSE,TRUE)</f>
        <v>0</v>
      </c>
      <c r="C42" s="129" t="str">
        <f>IF($B42=FALSE,"",VALUE(Length_1!A37))</f>
        <v/>
      </c>
      <c r="D42" s="129" t="str">
        <f>IF($B42=FALSE,"",Length_1!B37)</f>
        <v/>
      </c>
      <c r="E42" s="133" t="str">
        <f>IF(B42=FALSE,"",Length_1!M37)</f>
        <v/>
      </c>
      <c r="F42" s="133" t="str">
        <f>IF(B42=FALSE,"",Length_1!N37)</f>
        <v/>
      </c>
      <c r="G42" s="133" t="str">
        <f>IF(B42=FALSE,"",Length_1!O37)</f>
        <v/>
      </c>
      <c r="H42" s="133" t="str">
        <f>IF(B42=FALSE,"",Length_1!P37)</f>
        <v/>
      </c>
      <c r="I42" s="133" t="str">
        <f>IF(B42=FALSE,"",Length_1!Q37)</f>
        <v/>
      </c>
      <c r="J42" s="134" t="str">
        <f t="shared" si="29"/>
        <v/>
      </c>
      <c r="K42" s="146" t="str">
        <f t="shared" si="30"/>
        <v/>
      </c>
      <c r="L42" s="135" t="str">
        <f>IF(B42=FALSE,"",Length_1!D81)</f>
        <v/>
      </c>
      <c r="M42" s="136" t="str">
        <f>IF(B42=FALSE,"",Calcu!J42*I$3)</f>
        <v/>
      </c>
      <c r="N42" s="155" t="str">
        <f t="shared" si="31"/>
        <v/>
      </c>
      <c r="O42" s="155" t="str">
        <f ca="1">IF(B42=FALSE,"",OFFSET(Length_1!A81,0,MATCH("열팽창계수",Length_1!$47:$47,0)-1))</f>
        <v/>
      </c>
      <c r="P42" s="156" t="str">
        <f t="shared" si="32"/>
        <v/>
      </c>
      <c r="Q42" s="286" t="str">
        <f t="shared" si="33"/>
        <v/>
      </c>
      <c r="R42" s="286" t="str">
        <f t="shared" si="34"/>
        <v/>
      </c>
      <c r="S42" s="286" t="str">
        <f t="shared" si="35"/>
        <v/>
      </c>
      <c r="T42" s="137" t="str">
        <f t="shared" si="36"/>
        <v/>
      </c>
      <c r="U42" s="138" t="str">
        <f t="shared" si="37"/>
        <v/>
      </c>
      <c r="V42" s="129" t="str">
        <f t="shared" si="24"/>
        <v/>
      </c>
      <c r="W42" s="129" t="str">
        <f t="shared" si="25"/>
        <v/>
      </c>
      <c r="X42" s="131"/>
      <c r="Y42" s="215" t="e">
        <f ca="1">IF(Length_1!J37&lt;0,ROUNDUP(Length_1!J37*I$3,$M$66),ROUNDDOWN(Length_1!J37*I$3,$M$66))</f>
        <v>#N/A</v>
      </c>
      <c r="Z42" s="215" t="e">
        <f ca="1">IF(Length_1!K37&lt;0,ROUNDDOWN(Length_1!K37*I$3,$M$66),ROUNDUP(Length_1!K37*I$3,$M$66))</f>
        <v>#N/A</v>
      </c>
      <c r="AA42" s="129" t="e">
        <f t="shared" ca="1" si="9"/>
        <v>#N/A</v>
      </c>
      <c r="AB42" s="129" t="e">
        <f t="shared" ca="1" si="10"/>
        <v>#N/A</v>
      </c>
      <c r="AC42" s="129" t="e">
        <f t="shared" ca="1" si="11"/>
        <v>#N/A</v>
      </c>
      <c r="AD42" s="129" t="e">
        <f t="shared" ca="1" si="12"/>
        <v>#N/A</v>
      </c>
      <c r="AE42" s="129" t="str">
        <f t="shared" si="26"/>
        <v/>
      </c>
      <c r="AF42" s="232" t="e">
        <f t="shared" ca="1" si="13"/>
        <v>#N/A</v>
      </c>
    </row>
    <row r="43" spans="2:32" ht="15" customHeight="1">
      <c r="B43" s="132" t="b">
        <f>IF(TRIM(Length_1!A38)="",FALSE,TRUE)</f>
        <v>0</v>
      </c>
      <c r="C43" s="129" t="str">
        <f>IF($B43=FALSE,"",VALUE(Length_1!A38))</f>
        <v/>
      </c>
      <c r="D43" s="129" t="str">
        <f>IF($B43=FALSE,"",Length_1!B38)</f>
        <v/>
      </c>
      <c r="E43" s="133" t="str">
        <f>IF(B43=FALSE,"",Length_1!M38)</f>
        <v/>
      </c>
      <c r="F43" s="133" t="str">
        <f>IF(B43=FALSE,"",Length_1!N38)</f>
        <v/>
      </c>
      <c r="G43" s="133" t="str">
        <f>IF(B43=FALSE,"",Length_1!O38)</f>
        <v/>
      </c>
      <c r="H43" s="133" t="str">
        <f>IF(B43=FALSE,"",Length_1!P38)</f>
        <v/>
      </c>
      <c r="I43" s="133" t="str">
        <f>IF(B43=FALSE,"",Length_1!Q38)</f>
        <v/>
      </c>
      <c r="J43" s="134" t="str">
        <f t="shared" si="29"/>
        <v/>
      </c>
      <c r="K43" s="146" t="str">
        <f t="shared" si="30"/>
        <v/>
      </c>
      <c r="L43" s="135" t="str">
        <f>IF(B43=FALSE,"",Length_1!D82)</f>
        <v/>
      </c>
      <c r="M43" s="136" t="str">
        <f>IF(B43=FALSE,"",Calcu!J43*I$3)</f>
        <v/>
      </c>
      <c r="N43" s="155" t="str">
        <f t="shared" si="31"/>
        <v/>
      </c>
      <c r="O43" s="155" t="str">
        <f ca="1">IF(B43=FALSE,"",OFFSET(Length_1!A82,0,MATCH("열팽창계수",Length_1!$47:$47,0)-1))</f>
        <v/>
      </c>
      <c r="P43" s="156" t="str">
        <f t="shared" si="32"/>
        <v/>
      </c>
      <c r="Q43" s="286" t="str">
        <f t="shared" si="33"/>
        <v/>
      </c>
      <c r="R43" s="286" t="str">
        <f t="shared" si="34"/>
        <v/>
      </c>
      <c r="S43" s="286" t="str">
        <f t="shared" si="35"/>
        <v/>
      </c>
      <c r="T43" s="137" t="str">
        <f t="shared" si="36"/>
        <v/>
      </c>
      <c r="U43" s="138" t="str">
        <f t="shared" si="37"/>
        <v/>
      </c>
      <c r="V43" s="129" t="str">
        <f t="shared" si="24"/>
        <v/>
      </c>
      <c r="W43" s="129" t="str">
        <f t="shared" si="25"/>
        <v/>
      </c>
      <c r="X43" s="131"/>
      <c r="Y43" s="215" t="e">
        <f ca="1">IF(Length_1!J38&lt;0,ROUNDUP(Length_1!J38*I$3,$M$66),ROUNDDOWN(Length_1!J38*I$3,$M$66))</f>
        <v>#N/A</v>
      </c>
      <c r="Z43" s="215" t="e">
        <f ca="1">IF(Length_1!K38&lt;0,ROUNDDOWN(Length_1!K38*I$3,$M$66),ROUNDUP(Length_1!K38*I$3,$M$66))</f>
        <v>#N/A</v>
      </c>
      <c r="AA43" s="129" t="e">
        <f t="shared" ca="1" si="9"/>
        <v>#N/A</v>
      </c>
      <c r="AB43" s="129" t="e">
        <f t="shared" ca="1" si="10"/>
        <v>#N/A</v>
      </c>
      <c r="AC43" s="129" t="e">
        <f t="shared" ca="1" si="11"/>
        <v>#N/A</v>
      </c>
      <c r="AD43" s="129" t="e">
        <f t="shared" ca="1" si="12"/>
        <v>#N/A</v>
      </c>
      <c r="AE43" s="129" t="str">
        <f t="shared" si="26"/>
        <v/>
      </c>
      <c r="AF43" s="232" t="e">
        <f t="shared" ca="1" si="13"/>
        <v>#N/A</v>
      </c>
    </row>
    <row r="44" spans="2:32" ht="15" customHeight="1">
      <c r="B44" s="132" t="b">
        <f>IF(TRIM(Length_1!A39)="",FALSE,TRUE)</f>
        <v>0</v>
      </c>
      <c r="C44" s="129" t="str">
        <f>IF($B44=FALSE,"",VALUE(Length_1!A39))</f>
        <v/>
      </c>
      <c r="D44" s="129" t="str">
        <f>IF($B44=FALSE,"",Length_1!B39)</f>
        <v/>
      </c>
      <c r="E44" s="133" t="str">
        <f>IF(B44=FALSE,"",Length_1!M39)</f>
        <v/>
      </c>
      <c r="F44" s="133" t="str">
        <f>IF(B44=FALSE,"",Length_1!N39)</f>
        <v/>
      </c>
      <c r="G44" s="133" t="str">
        <f>IF(B44=FALSE,"",Length_1!O39)</f>
        <v/>
      </c>
      <c r="H44" s="133" t="str">
        <f>IF(B44=FALSE,"",Length_1!P39)</f>
        <v/>
      </c>
      <c r="I44" s="133" t="str">
        <f>IF(B44=FALSE,"",Length_1!Q39)</f>
        <v/>
      </c>
      <c r="J44" s="134" t="str">
        <f t="shared" si="29"/>
        <v/>
      </c>
      <c r="K44" s="146" t="str">
        <f t="shared" si="30"/>
        <v/>
      </c>
      <c r="L44" s="135" t="str">
        <f>IF(B44=FALSE,"",Length_1!D83)</f>
        <v/>
      </c>
      <c r="M44" s="136" t="str">
        <f>IF(B44=FALSE,"",Calcu!J44*I$3)</f>
        <v/>
      </c>
      <c r="N44" s="155" t="str">
        <f t="shared" si="31"/>
        <v/>
      </c>
      <c r="O44" s="155" t="str">
        <f ca="1">IF(B44=FALSE,"",OFFSET(Length_1!A83,0,MATCH("열팽창계수",Length_1!$47:$47,0)-1))</f>
        <v/>
      </c>
      <c r="P44" s="156" t="str">
        <f t="shared" si="32"/>
        <v/>
      </c>
      <c r="Q44" s="286" t="str">
        <f t="shared" si="33"/>
        <v/>
      </c>
      <c r="R44" s="286" t="str">
        <f t="shared" si="34"/>
        <v/>
      </c>
      <c r="S44" s="286" t="str">
        <f t="shared" si="35"/>
        <v/>
      </c>
      <c r="T44" s="137" t="str">
        <f t="shared" si="36"/>
        <v/>
      </c>
      <c r="U44" s="138" t="str">
        <f t="shared" si="37"/>
        <v/>
      </c>
      <c r="V44" s="129" t="str">
        <f t="shared" si="24"/>
        <v/>
      </c>
      <c r="W44" s="129" t="str">
        <f t="shared" si="25"/>
        <v/>
      </c>
      <c r="X44" s="131"/>
      <c r="Y44" s="215" t="e">
        <f ca="1">IF(Length_1!J39&lt;0,ROUNDUP(Length_1!J39*I$3,$M$66),ROUNDDOWN(Length_1!J39*I$3,$M$66))</f>
        <v>#N/A</v>
      </c>
      <c r="Z44" s="215" t="e">
        <f ca="1">IF(Length_1!K39&lt;0,ROUNDDOWN(Length_1!K39*I$3,$M$66),ROUNDUP(Length_1!K39*I$3,$M$66))</f>
        <v>#N/A</v>
      </c>
      <c r="AA44" s="129" t="e">
        <f t="shared" ca="1" si="9"/>
        <v>#N/A</v>
      </c>
      <c r="AB44" s="129" t="e">
        <f t="shared" ca="1" si="10"/>
        <v>#N/A</v>
      </c>
      <c r="AC44" s="129" t="e">
        <f t="shared" ca="1" si="11"/>
        <v>#N/A</v>
      </c>
      <c r="AD44" s="129" t="e">
        <f t="shared" ca="1" si="12"/>
        <v>#N/A</v>
      </c>
      <c r="AE44" s="129" t="str">
        <f t="shared" si="26"/>
        <v/>
      </c>
      <c r="AF44" s="232" t="e">
        <f t="shared" ca="1" si="13"/>
        <v>#N/A</v>
      </c>
    </row>
    <row r="45" spans="2:32" ht="15" customHeight="1">
      <c r="B45" s="132" t="b">
        <f>IF(TRIM(Length_1!A40)="",FALSE,TRUE)</f>
        <v>0</v>
      </c>
      <c r="C45" s="129" t="str">
        <f>IF($B45=FALSE,"",VALUE(Length_1!A40))</f>
        <v/>
      </c>
      <c r="D45" s="129" t="str">
        <f>IF($B45=FALSE,"",Length_1!B40)</f>
        <v/>
      </c>
      <c r="E45" s="133" t="str">
        <f>IF(B45=FALSE,"",Length_1!M40)</f>
        <v/>
      </c>
      <c r="F45" s="133" t="str">
        <f>IF(B45=FALSE,"",Length_1!N40)</f>
        <v/>
      </c>
      <c r="G45" s="133" t="str">
        <f>IF(B45=FALSE,"",Length_1!O40)</f>
        <v/>
      </c>
      <c r="H45" s="133" t="str">
        <f>IF(B45=FALSE,"",Length_1!P40)</f>
        <v/>
      </c>
      <c r="I45" s="133" t="str">
        <f>IF(B45=FALSE,"",Length_1!Q40)</f>
        <v/>
      </c>
      <c r="J45" s="134" t="str">
        <f t="shared" si="29"/>
        <v/>
      </c>
      <c r="K45" s="146" t="str">
        <f t="shared" si="30"/>
        <v/>
      </c>
      <c r="L45" s="135" t="str">
        <f>IF(B45=FALSE,"",Length_1!D84)</f>
        <v/>
      </c>
      <c r="M45" s="136" t="str">
        <f>IF(B45=FALSE,"",Calcu!J45*I$3)</f>
        <v/>
      </c>
      <c r="N45" s="155" t="str">
        <f t="shared" si="31"/>
        <v/>
      </c>
      <c r="O45" s="155" t="str">
        <f ca="1">IF(B45=FALSE,"",OFFSET(Length_1!A84,0,MATCH("열팽창계수",Length_1!$47:$47,0)-1))</f>
        <v/>
      </c>
      <c r="P45" s="156" t="str">
        <f t="shared" si="32"/>
        <v/>
      </c>
      <c r="Q45" s="286" t="str">
        <f t="shared" si="33"/>
        <v/>
      </c>
      <c r="R45" s="286" t="str">
        <f t="shared" si="34"/>
        <v/>
      </c>
      <c r="S45" s="286" t="str">
        <f t="shared" si="35"/>
        <v/>
      </c>
      <c r="T45" s="137" t="str">
        <f t="shared" si="36"/>
        <v/>
      </c>
      <c r="U45" s="138" t="str">
        <f t="shared" si="37"/>
        <v/>
      </c>
      <c r="V45" s="129" t="str">
        <f t="shared" si="24"/>
        <v/>
      </c>
      <c r="W45" s="129" t="str">
        <f t="shared" si="25"/>
        <v/>
      </c>
      <c r="X45" s="131"/>
      <c r="Y45" s="215" t="e">
        <f ca="1">IF(Length_1!J40&lt;0,ROUNDUP(Length_1!J40*I$3,$M$66),ROUNDDOWN(Length_1!J40*I$3,$M$66))</f>
        <v>#N/A</v>
      </c>
      <c r="Z45" s="215" t="e">
        <f ca="1">IF(Length_1!K40&lt;0,ROUNDDOWN(Length_1!K40*I$3,$M$66),ROUNDUP(Length_1!K40*I$3,$M$66))</f>
        <v>#N/A</v>
      </c>
      <c r="AA45" s="129" t="e">
        <f t="shared" ca="1" si="9"/>
        <v>#N/A</v>
      </c>
      <c r="AB45" s="129" t="e">
        <f t="shared" ca="1" si="10"/>
        <v>#N/A</v>
      </c>
      <c r="AC45" s="129" t="e">
        <f t="shared" ca="1" si="11"/>
        <v>#N/A</v>
      </c>
      <c r="AD45" s="129" t="e">
        <f t="shared" ca="1" si="12"/>
        <v>#N/A</v>
      </c>
      <c r="AE45" s="129" t="str">
        <f t="shared" si="26"/>
        <v/>
      </c>
      <c r="AF45" s="232" t="e">
        <f t="shared" ca="1" si="13"/>
        <v>#N/A</v>
      </c>
    </row>
    <row r="46" spans="2:32" ht="15" customHeight="1">
      <c r="B46" s="132" t="b">
        <f>IF(TRIM(Length_1!A41)="",FALSE,TRUE)</f>
        <v>0</v>
      </c>
      <c r="C46" s="129" t="str">
        <f>IF($B46=FALSE,"",VALUE(Length_1!A41))</f>
        <v/>
      </c>
      <c r="D46" s="129" t="str">
        <f>IF($B46=FALSE,"",Length_1!B41)</f>
        <v/>
      </c>
      <c r="E46" s="133" t="str">
        <f>IF(B46=FALSE,"",Length_1!M41)</f>
        <v/>
      </c>
      <c r="F46" s="133" t="str">
        <f>IF(B46=FALSE,"",Length_1!N41)</f>
        <v/>
      </c>
      <c r="G46" s="133" t="str">
        <f>IF(B46=FALSE,"",Length_1!O41)</f>
        <v/>
      </c>
      <c r="H46" s="133" t="str">
        <f>IF(B46=FALSE,"",Length_1!P41)</f>
        <v/>
      </c>
      <c r="I46" s="133" t="str">
        <f>IF(B46=FALSE,"",Length_1!Q41)</f>
        <v/>
      </c>
      <c r="J46" s="134" t="str">
        <f t="shared" si="29"/>
        <v/>
      </c>
      <c r="K46" s="146" t="str">
        <f t="shared" si="30"/>
        <v/>
      </c>
      <c r="L46" s="135" t="str">
        <f>IF(B46=FALSE,"",Length_1!D85)</f>
        <v/>
      </c>
      <c r="M46" s="136" t="str">
        <f>IF(B46=FALSE,"",Calcu!J46*I$3)</f>
        <v/>
      </c>
      <c r="N46" s="155" t="str">
        <f t="shared" si="31"/>
        <v/>
      </c>
      <c r="O46" s="155" t="str">
        <f ca="1">IF(B46=FALSE,"",OFFSET(Length_1!A85,0,MATCH("열팽창계수",Length_1!$47:$47,0)-1))</f>
        <v/>
      </c>
      <c r="P46" s="156" t="str">
        <f t="shared" si="32"/>
        <v/>
      </c>
      <c r="Q46" s="286" t="str">
        <f t="shared" si="33"/>
        <v/>
      </c>
      <c r="R46" s="286" t="str">
        <f t="shared" si="34"/>
        <v/>
      </c>
      <c r="S46" s="286" t="str">
        <f t="shared" si="35"/>
        <v/>
      </c>
      <c r="T46" s="137" t="str">
        <f t="shared" si="36"/>
        <v/>
      </c>
      <c r="U46" s="138" t="str">
        <f t="shared" si="37"/>
        <v/>
      </c>
      <c r="V46" s="129" t="str">
        <f t="shared" si="24"/>
        <v/>
      </c>
      <c r="W46" s="129" t="str">
        <f t="shared" si="25"/>
        <v/>
      </c>
      <c r="X46" s="131"/>
      <c r="Y46" s="215" t="e">
        <f ca="1">IF(Length_1!J41&lt;0,ROUNDUP(Length_1!J41*I$3,$M$66),ROUNDDOWN(Length_1!J41*I$3,$M$66))</f>
        <v>#N/A</v>
      </c>
      <c r="Z46" s="215" t="e">
        <f ca="1">IF(Length_1!K41&lt;0,ROUNDDOWN(Length_1!K41*I$3,$M$66),ROUNDUP(Length_1!K41*I$3,$M$66))</f>
        <v>#N/A</v>
      </c>
      <c r="AA46" s="129" t="e">
        <f t="shared" ca="1" si="9"/>
        <v>#N/A</v>
      </c>
      <c r="AB46" s="129" t="e">
        <f t="shared" ca="1" si="10"/>
        <v>#N/A</v>
      </c>
      <c r="AC46" s="129" t="e">
        <f t="shared" ca="1" si="11"/>
        <v>#N/A</v>
      </c>
      <c r="AD46" s="129" t="e">
        <f t="shared" ca="1" si="12"/>
        <v>#N/A</v>
      </c>
      <c r="AE46" s="129" t="str">
        <f t="shared" si="26"/>
        <v/>
      </c>
      <c r="AF46" s="232" t="e">
        <f t="shared" ca="1" si="13"/>
        <v>#N/A</v>
      </c>
    </row>
    <row r="47" spans="2:32" ht="15" customHeight="1">
      <c r="B47" s="132" t="b">
        <f>IF(TRIM(Length_1!A42)="",FALSE,TRUE)</f>
        <v>0</v>
      </c>
      <c r="C47" s="129" t="str">
        <f>IF($B47=FALSE,"",VALUE(Length_1!A42))</f>
        <v/>
      </c>
      <c r="D47" s="129" t="str">
        <f>IF($B47=FALSE,"",Length_1!B42)</f>
        <v/>
      </c>
      <c r="E47" s="133" t="str">
        <f>IF(B47=FALSE,"",Length_1!M42)</f>
        <v/>
      </c>
      <c r="F47" s="133" t="str">
        <f>IF(B47=FALSE,"",Length_1!N42)</f>
        <v/>
      </c>
      <c r="G47" s="133" t="str">
        <f>IF(B47=FALSE,"",Length_1!O42)</f>
        <v/>
      </c>
      <c r="H47" s="133" t="str">
        <f>IF(B47=FALSE,"",Length_1!P42)</f>
        <v/>
      </c>
      <c r="I47" s="133" t="str">
        <f>IF(B47=FALSE,"",Length_1!Q42)</f>
        <v/>
      </c>
      <c r="J47" s="134" t="str">
        <f t="shared" si="29"/>
        <v/>
      </c>
      <c r="K47" s="146" t="str">
        <f t="shared" si="30"/>
        <v/>
      </c>
      <c r="L47" s="135" t="str">
        <f>IF(B47=FALSE,"",Length_1!D86)</f>
        <v/>
      </c>
      <c r="M47" s="136" t="str">
        <f>IF(B47=FALSE,"",Calcu!J47*I$3)</f>
        <v/>
      </c>
      <c r="N47" s="155" t="str">
        <f t="shared" si="31"/>
        <v/>
      </c>
      <c r="O47" s="155" t="str">
        <f ca="1">IF(B47=FALSE,"",OFFSET(Length_1!A86,0,MATCH("열팽창계수",Length_1!$47:$47,0)-1))</f>
        <v/>
      </c>
      <c r="P47" s="156" t="str">
        <f t="shared" si="32"/>
        <v/>
      </c>
      <c r="Q47" s="286" t="str">
        <f t="shared" si="33"/>
        <v/>
      </c>
      <c r="R47" s="286" t="str">
        <f t="shared" si="34"/>
        <v/>
      </c>
      <c r="S47" s="286" t="str">
        <f t="shared" si="35"/>
        <v/>
      </c>
      <c r="T47" s="137" t="str">
        <f t="shared" si="36"/>
        <v/>
      </c>
      <c r="U47" s="138" t="str">
        <f t="shared" si="37"/>
        <v/>
      </c>
      <c r="V47" s="129" t="str">
        <f t="shared" si="24"/>
        <v/>
      </c>
      <c r="W47" s="129" t="str">
        <f t="shared" si="25"/>
        <v/>
      </c>
      <c r="X47" s="131"/>
      <c r="Y47" s="215" t="e">
        <f ca="1">IF(Length_1!J42&lt;0,ROUNDUP(Length_1!J42*I$3,$M$66),ROUNDDOWN(Length_1!J42*I$3,$M$66))</f>
        <v>#N/A</v>
      </c>
      <c r="Z47" s="215" t="e">
        <f ca="1">IF(Length_1!K42&lt;0,ROUNDDOWN(Length_1!K42*I$3,$M$66),ROUNDUP(Length_1!K42*I$3,$M$66))</f>
        <v>#N/A</v>
      </c>
      <c r="AA47" s="129" t="e">
        <f t="shared" ca="1" si="9"/>
        <v>#N/A</v>
      </c>
      <c r="AB47" s="129" t="e">
        <f t="shared" ca="1" si="10"/>
        <v>#N/A</v>
      </c>
      <c r="AC47" s="129" t="e">
        <f t="shared" ca="1" si="11"/>
        <v>#N/A</v>
      </c>
      <c r="AD47" s="129" t="e">
        <f t="shared" ca="1" si="12"/>
        <v>#N/A</v>
      </c>
      <c r="AE47" s="129" t="str">
        <f t="shared" si="26"/>
        <v/>
      </c>
      <c r="AF47" s="232" t="e">
        <f t="shared" ca="1" si="13"/>
        <v>#N/A</v>
      </c>
    </row>
    <row r="48" spans="2:32" ht="15" customHeight="1">
      <c r="B48" s="132" t="b">
        <f>IF(TRIM(Length_1!A43)="",FALSE,TRUE)</f>
        <v>0</v>
      </c>
      <c r="C48" s="129" t="str">
        <f>IF($B48=FALSE,"",VALUE(Length_1!A43))</f>
        <v/>
      </c>
      <c r="D48" s="129" t="str">
        <f>IF($B48=FALSE,"",Length_1!B43)</f>
        <v/>
      </c>
      <c r="E48" s="133" t="str">
        <f>IF(B48=FALSE,"",Length_1!M43)</f>
        <v/>
      </c>
      <c r="F48" s="133" t="str">
        <f>IF(B48=FALSE,"",Length_1!N43)</f>
        <v/>
      </c>
      <c r="G48" s="133" t="str">
        <f>IF(B48=FALSE,"",Length_1!O43)</f>
        <v/>
      </c>
      <c r="H48" s="133" t="str">
        <f>IF(B48=FALSE,"",Length_1!P43)</f>
        <v/>
      </c>
      <c r="I48" s="133" t="str">
        <f>IF(B48=FALSE,"",Length_1!Q43)</f>
        <v/>
      </c>
      <c r="J48" s="134" t="str">
        <f t="shared" si="29"/>
        <v/>
      </c>
      <c r="K48" s="146" t="str">
        <f t="shared" si="30"/>
        <v/>
      </c>
      <c r="L48" s="135" t="str">
        <f>IF(B48=FALSE,"",Length_1!D87)</f>
        <v/>
      </c>
      <c r="M48" s="136" t="str">
        <f>IF(B48=FALSE,"",Calcu!J48*I$3)</f>
        <v/>
      </c>
      <c r="N48" s="155" t="str">
        <f t="shared" si="31"/>
        <v/>
      </c>
      <c r="O48" s="155" t="str">
        <f ca="1">IF(B48=FALSE,"",OFFSET(Length_1!A87,0,MATCH("열팽창계수",Length_1!$47:$47,0)-1))</f>
        <v/>
      </c>
      <c r="P48" s="156" t="str">
        <f t="shared" si="32"/>
        <v/>
      </c>
      <c r="Q48" s="286" t="str">
        <f t="shared" si="33"/>
        <v/>
      </c>
      <c r="R48" s="286" t="str">
        <f t="shared" si="34"/>
        <v/>
      </c>
      <c r="S48" s="286" t="str">
        <f t="shared" si="35"/>
        <v/>
      </c>
      <c r="T48" s="137" t="str">
        <f t="shared" si="36"/>
        <v/>
      </c>
      <c r="U48" s="138" t="str">
        <f t="shared" si="37"/>
        <v/>
      </c>
      <c r="V48" s="129" t="str">
        <f t="shared" si="24"/>
        <v/>
      </c>
      <c r="W48" s="129" t="str">
        <f t="shared" si="25"/>
        <v/>
      </c>
      <c r="X48" s="131"/>
      <c r="Y48" s="215" t="e">
        <f ca="1">IF(Length_1!J43&lt;0,ROUNDUP(Length_1!J43*I$3,$M$66),ROUNDDOWN(Length_1!J43*I$3,$M$66))</f>
        <v>#N/A</v>
      </c>
      <c r="Z48" s="215" t="e">
        <f ca="1">IF(Length_1!K43&lt;0,ROUNDDOWN(Length_1!K43*I$3,$M$66),ROUNDUP(Length_1!K43*I$3,$M$66))</f>
        <v>#N/A</v>
      </c>
      <c r="AA48" s="129" t="e">
        <f t="shared" ca="1" si="9"/>
        <v>#N/A</v>
      </c>
      <c r="AB48" s="129" t="e">
        <f t="shared" ca="1" si="10"/>
        <v>#N/A</v>
      </c>
      <c r="AC48" s="129" t="e">
        <f t="shared" ca="1" si="11"/>
        <v>#N/A</v>
      </c>
      <c r="AD48" s="129" t="e">
        <f t="shared" ca="1" si="12"/>
        <v>#N/A</v>
      </c>
      <c r="AE48" s="129" t="str">
        <f t="shared" si="26"/>
        <v/>
      </c>
      <c r="AF48" s="232" t="e">
        <f t="shared" ca="1" si="13"/>
        <v>#N/A</v>
      </c>
    </row>
    <row r="49" spans="1:32" ht="15" customHeight="1">
      <c r="B49" s="132" t="b">
        <f>IF(TRIM(Length_1!A44)="",FALSE,TRUE)</f>
        <v>0</v>
      </c>
      <c r="C49" s="129" t="str">
        <f>IF($B49=FALSE,"",VALUE(Length_1!A44))</f>
        <v/>
      </c>
      <c r="D49" s="129" t="str">
        <f>IF($B49=FALSE,"",Length_1!B44)</f>
        <v/>
      </c>
      <c r="E49" s="133" t="str">
        <f>IF(B49=FALSE,"",Length_1!M44)</f>
        <v/>
      </c>
      <c r="F49" s="133" t="str">
        <f>IF(B49=FALSE,"",Length_1!N44)</f>
        <v/>
      </c>
      <c r="G49" s="133" t="str">
        <f>IF(B49=FALSE,"",Length_1!O44)</f>
        <v/>
      </c>
      <c r="H49" s="133" t="str">
        <f>IF(B49=FALSE,"",Length_1!P44)</f>
        <v/>
      </c>
      <c r="I49" s="133" t="str">
        <f>IF(B49=FALSE,"",Length_1!Q44)</f>
        <v/>
      </c>
      <c r="J49" s="134" t="str">
        <f t="shared" si="29"/>
        <v/>
      </c>
      <c r="K49" s="146" t="str">
        <f t="shared" si="30"/>
        <v/>
      </c>
      <c r="L49" s="135" t="str">
        <f>IF(B49=FALSE,"",Length_1!D88)</f>
        <v/>
      </c>
      <c r="M49" s="136" t="str">
        <f>IF(B49=FALSE,"",Calcu!J49*I$3)</f>
        <v/>
      </c>
      <c r="N49" s="155" t="str">
        <f t="shared" si="31"/>
        <v/>
      </c>
      <c r="O49" s="155" t="str">
        <f ca="1">IF(B49=FALSE,"",OFFSET(Length_1!A88,0,MATCH("열팽창계수",Length_1!$47:$47,0)-1))</f>
        <v/>
      </c>
      <c r="P49" s="156" t="str">
        <f t="shared" si="32"/>
        <v/>
      </c>
      <c r="Q49" s="286" t="str">
        <f t="shared" si="33"/>
        <v/>
      </c>
      <c r="R49" s="286" t="str">
        <f t="shared" si="34"/>
        <v/>
      </c>
      <c r="S49" s="286" t="str">
        <f t="shared" si="35"/>
        <v/>
      </c>
      <c r="T49" s="137" t="str">
        <f t="shared" si="36"/>
        <v/>
      </c>
      <c r="U49" s="138" t="str">
        <f t="shared" si="37"/>
        <v/>
      </c>
      <c r="V49" s="129" t="str">
        <f t="shared" si="24"/>
        <v/>
      </c>
      <c r="W49" s="129" t="str">
        <f t="shared" si="25"/>
        <v/>
      </c>
      <c r="X49" s="131"/>
      <c r="Y49" s="215" t="e">
        <f ca="1">IF(Length_1!J44&lt;0,ROUNDUP(Length_1!J44*I$3,$M$66),ROUNDDOWN(Length_1!J44*I$3,$M$66))</f>
        <v>#N/A</v>
      </c>
      <c r="Z49" s="215" t="e">
        <f ca="1">IF(Length_1!K44&lt;0,ROUNDDOWN(Length_1!K44*I$3,$M$66),ROUNDUP(Length_1!K44*I$3,$M$66))</f>
        <v>#N/A</v>
      </c>
      <c r="AA49" s="129" t="e">
        <f t="shared" ca="1" si="9"/>
        <v>#N/A</v>
      </c>
      <c r="AB49" s="129" t="e">
        <f t="shared" ca="1" si="10"/>
        <v>#N/A</v>
      </c>
      <c r="AC49" s="129" t="e">
        <f t="shared" ca="1" si="11"/>
        <v>#N/A</v>
      </c>
      <c r="AD49" s="129" t="e">
        <f t="shared" ca="1" si="12"/>
        <v>#N/A</v>
      </c>
      <c r="AE49" s="129" t="str">
        <f t="shared" si="26"/>
        <v/>
      </c>
      <c r="AF49" s="232" t="e">
        <f ca="1">S$66</f>
        <v>#N/A</v>
      </c>
    </row>
    <row r="50" spans="1:32" ht="15" customHeight="1">
      <c r="N50" s="126"/>
      <c r="O50" s="126"/>
      <c r="P50" s="126"/>
      <c r="Q50" s="126"/>
      <c r="R50" s="126"/>
      <c r="S50" s="126"/>
      <c r="T50" s="126"/>
      <c r="X50" s="126"/>
    </row>
    <row r="51" spans="1:32" ht="15" customHeight="1">
      <c r="A51" s="124" t="s">
        <v>166</v>
      </c>
      <c r="C51" s="125"/>
      <c r="D51" s="125"/>
      <c r="E51" s="131"/>
      <c r="F51" s="131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</row>
    <row r="52" spans="1:32" ht="15" customHeight="1">
      <c r="A52" s="124"/>
      <c r="B52" s="516"/>
      <c r="C52" s="516" t="s">
        <v>168</v>
      </c>
      <c r="D52" s="517" t="s">
        <v>169</v>
      </c>
      <c r="E52" s="516" t="s">
        <v>170</v>
      </c>
      <c r="F52" s="516" t="s">
        <v>171</v>
      </c>
      <c r="G52" s="497">
        <v>1</v>
      </c>
      <c r="H52" s="502"/>
      <c r="I52" s="502"/>
      <c r="J52" s="502"/>
      <c r="K52" s="498"/>
      <c r="L52" s="160">
        <v>2</v>
      </c>
      <c r="M52" s="497">
        <v>3</v>
      </c>
      <c r="N52" s="502"/>
      <c r="O52" s="502"/>
      <c r="P52" s="498"/>
      <c r="Q52" s="497">
        <v>4</v>
      </c>
      <c r="R52" s="498"/>
      <c r="S52" s="160">
        <v>5</v>
      </c>
      <c r="T52" s="503" t="s">
        <v>561</v>
      </c>
      <c r="U52" s="497" t="s">
        <v>565</v>
      </c>
      <c r="V52" s="498"/>
    </row>
    <row r="53" spans="1:32" ht="15" customHeight="1">
      <c r="A53" s="124"/>
      <c r="B53" s="504"/>
      <c r="C53" s="504"/>
      <c r="D53" s="509"/>
      <c r="E53" s="504"/>
      <c r="F53" s="504"/>
      <c r="G53" s="285" t="s">
        <v>521</v>
      </c>
      <c r="H53" s="285" t="s">
        <v>522</v>
      </c>
      <c r="I53" s="285" t="s">
        <v>523</v>
      </c>
      <c r="J53" s="497" t="s">
        <v>173</v>
      </c>
      <c r="K53" s="498"/>
      <c r="L53" s="160" t="s">
        <v>174</v>
      </c>
      <c r="M53" s="497" t="s">
        <v>172</v>
      </c>
      <c r="N53" s="498"/>
      <c r="O53" s="497" t="s">
        <v>175</v>
      </c>
      <c r="P53" s="498"/>
      <c r="Q53" s="497" t="s">
        <v>176</v>
      </c>
      <c r="R53" s="498"/>
      <c r="S53" s="160" t="s">
        <v>177</v>
      </c>
      <c r="T53" s="505"/>
      <c r="U53" s="313" t="s">
        <v>566</v>
      </c>
      <c r="V53" s="313" t="s">
        <v>567</v>
      </c>
    </row>
    <row r="54" spans="1:32" ht="15" customHeight="1">
      <c r="B54" s="160" t="s">
        <v>179</v>
      </c>
      <c r="C54" s="148" t="s">
        <v>186</v>
      </c>
      <c r="D54" s="149" t="s">
        <v>187</v>
      </c>
      <c r="E54" s="162" t="e">
        <f ca="1">OFFSET(L$8,MATCH(K$3,T$9:T$49,0),0)</f>
        <v>#N/A</v>
      </c>
      <c r="F54" s="150" t="s">
        <v>182</v>
      </c>
      <c r="G54" s="217" t="e">
        <f ca="1">OFFSET(Length_1!F47,MATCH(K3,T9:T49,0),0)</f>
        <v>#N/A</v>
      </c>
      <c r="H54" s="217" t="e">
        <f ca="1">OFFSET(Length_1!F47,MATCH(K3,T9:T49,0),1)</f>
        <v>#N/A</v>
      </c>
      <c r="I54" s="129" t="e">
        <f ca="1">OFFSET(Length_1!F47,MATCH(K3,T9:T49,0),3)</f>
        <v>#N/A</v>
      </c>
      <c r="J54" s="309" t="e">
        <f ca="1">SQRT(SUMSQ(G54,H54*K3))/I54/IF(Length_1_STD1="Gauge block",1000,1)</f>
        <v>#N/A</v>
      </c>
      <c r="K54" s="151" t="s">
        <v>184</v>
      </c>
      <c r="L54" s="153" t="s">
        <v>188</v>
      </c>
      <c r="M54" s="129"/>
      <c r="N54" s="129"/>
      <c r="O54" s="136">
        <v>1</v>
      </c>
      <c r="P54" s="129"/>
      <c r="Q54" s="250" t="e">
        <f t="shared" ref="Q54:Q61" ca="1" si="38">ABS(J54*O54)</f>
        <v>#N/A</v>
      </c>
      <c r="R54" s="151" t="s">
        <v>184</v>
      </c>
      <c r="S54" s="129" t="s">
        <v>189</v>
      </c>
      <c r="T54" s="304">
        <f t="shared" ref="T54:T61" si="39">IF(S54="∞",0,Q54^4/S54)</f>
        <v>0</v>
      </c>
      <c r="U54" s="287" t="str">
        <f t="shared" ref="U54:U61" si="40">IF(OR(L54="직사각형",L54="삼각형"),Q54,"")</f>
        <v/>
      </c>
      <c r="V54" s="287" t="e">
        <f ca="1">IF(OR(L54="직사각형",L54="삼각형"),"",Q54)</f>
        <v>#N/A</v>
      </c>
    </row>
    <row r="55" spans="1:32" ht="15" customHeight="1">
      <c r="B55" s="160" t="s">
        <v>185</v>
      </c>
      <c r="C55" s="148" t="s">
        <v>180</v>
      </c>
      <c r="D55" s="149" t="s">
        <v>181</v>
      </c>
      <c r="E55" s="162" t="e">
        <f ca="1">OFFSET(M$8,MATCH(K$3,T$9:T$49,0),0)</f>
        <v>#N/A</v>
      </c>
      <c r="F55" s="150" t="s">
        <v>182</v>
      </c>
      <c r="G55" s="151">
        <f>IF(MAX(K9:K49)=0,N3*1000,MAX(K9:K49)*1000)</f>
        <v>0</v>
      </c>
      <c r="H55" s="129">
        <f>IF(MAX(K9:K49)=0,2,1)</f>
        <v>2</v>
      </c>
      <c r="I55" s="152">
        <f>IF(MAX(K9:K49)=0,3,5)</f>
        <v>3</v>
      </c>
      <c r="J55" s="310">
        <f>G55/(IF(H55="",1,H55)*SQRT(I55))</f>
        <v>0</v>
      </c>
      <c r="K55" s="151" t="s">
        <v>183</v>
      </c>
      <c r="L55" s="153" t="str">
        <f>IF(MAX(K9:K49)=0,"직사각형","t")</f>
        <v>직사각형</v>
      </c>
      <c r="M55" s="129"/>
      <c r="N55" s="129"/>
      <c r="O55" s="136">
        <v>-1</v>
      </c>
      <c r="P55" s="129"/>
      <c r="Q55" s="250">
        <f>ABS(J55*O55)</f>
        <v>0</v>
      </c>
      <c r="R55" s="151" t="s">
        <v>184</v>
      </c>
      <c r="S55" s="215" t="str">
        <f>IF(MAX(K9:K49)=0,"∞",I55-1)</f>
        <v>∞</v>
      </c>
      <c r="T55" s="304">
        <f t="shared" si="39"/>
        <v>0</v>
      </c>
      <c r="U55" s="287">
        <f t="shared" si="40"/>
        <v>0</v>
      </c>
      <c r="V55" s="287" t="str">
        <f t="shared" ref="V55:V61" si="41">IF(OR(L55="직사각형",L55="삼각형"),"",Q55)</f>
        <v/>
      </c>
    </row>
    <row r="56" spans="1:32" ht="15" customHeight="1">
      <c r="B56" s="160" t="s">
        <v>82</v>
      </c>
      <c r="C56" s="148" t="s">
        <v>145</v>
      </c>
      <c r="D56" s="149" t="s">
        <v>136</v>
      </c>
      <c r="E56" s="155" t="e">
        <f ca="1">OFFSET(P$8,MATCH(K$3,T$9:T$49,0),0)</f>
        <v>#N/A</v>
      </c>
      <c r="F56" s="150" t="s">
        <v>146</v>
      </c>
      <c r="G56" s="288">
        <f>1*10^-6</f>
        <v>9.9999999999999995E-7</v>
      </c>
      <c r="H56" s="233">
        <v>1</v>
      </c>
      <c r="I56" s="289">
        <v>3</v>
      </c>
      <c r="J56" s="311">
        <f>SQRT((G56/SQRT(I56)/2)^2+(G56/SQRT(I56)/2)^2)</f>
        <v>4.0824829046386305E-7</v>
      </c>
      <c r="K56" s="150" t="s">
        <v>146</v>
      </c>
      <c r="L56" s="153" t="s">
        <v>402</v>
      </c>
      <c r="M56" s="151">
        <f>G57</f>
        <v>0.5</v>
      </c>
      <c r="N56" s="129">
        <f>K3*1000</f>
        <v>0</v>
      </c>
      <c r="O56" s="136">
        <f>-M56*N56</f>
        <v>0</v>
      </c>
      <c r="P56" s="129" t="s">
        <v>147</v>
      </c>
      <c r="Q56" s="250">
        <f t="shared" si="38"/>
        <v>0</v>
      </c>
      <c r="R56" s="151" t="s">
        <v>144</v>
      </c>
      <c r="S56" s="129">
        <v>100</v>
      </c>
      <c r="T56" s="304">
        <f t="shared" si="39"/>
        <v>0</v>
      </c>
      <c r="U56" s="287">
        <f t="shared" si="40"/>
        <v>0</v>
      </c>
      <c r="V56" s="287" t="str">
        <f t="shared" si="41"/>
        <v/>
      </c>
    </row>
    <row r="57" spans="1:32" ht="15" customHeight="1">
      <c r="B57" s="160" t="s">
        <v>83</v>
      </c>
      <c r="C57" s="148" t="s">
        <v>150</v>
      </c>
      <c r="D57" s="149" t="s">
        <v>139</v>
      </c>
      <c r="E57" s="236" t="str">
        <f>Q9</f>
        <v/>
      </c>
      <c r="F57" s="150" t="s">
        <v>153</v>
      </c>
      <c r="G57" s="151">
        <f>IF(기본정보!H12=1,1,0.5)</f>
        <v>0.5</v>
      </c>
      <c r="H57" s="233">
        <v>1</v>
      </c>
      <c r="I57" s="152">
        <v>3</v>
      </c>
      <c r="J57" s="310">
        <f>G57/(IF(H57="",1,H57)*SQRT(I57))</f>
        <v>0.28867513459481292</v>
      </c>
      <c r="K57" s="150" t="s">
        <v>153</v>
      </c>
      <c r="L57" s="153" t="s">
        <v>193</v>
      </c>
      <c r="M57" s="155" t="e">
        <f ca="1">E56</f>
        <v>#N/A</v>
      </c>
      <c r="N57" s="129">
        <f>K3*1000</f>
        <v>0</v>
      </c>
      <c r="O57" s="136" t="e">
        <f ca="1">-M57*N57</f>
        <v>#N/A</v>
      </c>
      <c r="P57" s="129" t="s">
        <v>194</v>
      </c>
      <c r="Q57" s="250" t="e">
        <f ca="1">ABS(J57*O57)</f>
        <v>#N/A</v>
      </c>
      <c r="R57" s="151" t="s">
        <v>183</v>
      </c>
      <c r="S57" s="129">
        <v>12</v>
      </c>
      <c r="T57" s="304" t="e">
        <f t="shared" ca="1" si="39"/>
        <v>#N/A</v>
      </c>
      <c r="U57" s="287" t="e">
        <f t="shared" ca="1" si="40"/>
        <v>#N/A</v>
      </c>
      <c r="V57" s="287" t="str">
        <f t="shared" si="41"/>
        <v/>
      </c>
    </row>
    <row r="58" spans="1:32" ht="15" customHeight="1">
      <c r="B58" s="160" t="s">
        <v>192</v>
      </c>
      <c r="C58" s="148" t="s">
        <v>137</v>
      </c>
      <c r="D58" s="149" t="s">
        <v>138</v>
      </c>
      <c r="E58" s="157" t="e">
        <f ca="1">OFFSET(R$8,MATCH(K$3,T$9:T$49,0),0)</f>
        <v>#N/A</v>
      </c>
      <c r="F58" s="150" t="s">
        <v>146</v>
      </c>
      <c r="G58" s="288">
        <f>1*10^-6</f>
        <v>9.9999999999999995E-7</v>
      </c>
      <c r="H58" s="233">
        <v>1</v>
      </c>
      <c r="I58" s="289">
        <v>3</v>
      </c>
      <c r="J58" s="311">
        <f>SQRT((G58/SQRT(I58))^2+(G58/SQRT(I58))^2)</f>
        <v>8.1649658092772609E-7</v>
      </c>
      <c r="K58" s="150" t="s">
        <v>146</v>
      </c>
      <c r="L58" s="153" t="s">
        <v>402</v>
      </c>
      <c r="M58" s="151">
        <f>E59</f>
        <v>0.1</v>
      </c>
      <c r="N58" s="129">
        <f>K3*1000</f>
        <v>0</v>
      </c>
      <c r="O58" s="136">
        <f>-M58*N58</f>
        <v>0</v>
      </c>
      <c r="P58" s="129" t="s">
        <v>190</v>
      </c>
      <c r="Q58" s="250">
        <f>ABS(J58*O58)</f>
        <v>0</v>
      </c>
      <c r="R58" s="151" t="s">
        <v>183</v>
      </c>
      <c r="S58" s="129">
        <v>100</v>
      </c>
      <c r="T58" s="304">
        <f t="shared" si="39"/>
        <v>0</v>
      </c>
      <c r="U58" s="287">
        <f t="shared" si="40"/>
        <v>0</v>
      </c>
      <c r="V58" s="287" t="str">
        <f t="shared" si="41"/>
        <v/>
      </c>
    </row>
    <row r="59" spans="1:32" ht="15" customHeight="1">
      <c r="B59" s="160" t="s">
        <v>195</v>
      </c>
      <c r="C59" s="148" t="s">
        <v>140</v>
      </c>
      <c r="D59" s="149" t="s">
        <v>141</v>
      </c>
      <c r="E59" s="236">
        <f>MAX(S9,0.1)</f>
        <v>0.1</v>
      </c>
      <c r="F59" s="150" t="s">
        <v>153</v>
      </c>
      <c r="G59" s="151">
        <f>IF(기본정보!H12=1,3,1)</f>
        <v>1</v>
      </c>
      <c r="H59" s="233">
        <v>1</v>
      </c>
      <c r="I59" s="152">
        <v>3</v>
      </c>
      <c r="J59" s="310">
        <f>G59/(IF(H59="",1,H59)*SQRT(I59))</f>
        <v>0.57735026918962584</v>
      </c>
      <c r="K59" s="150" t="s">
        <v>153</v>
      </c>
      <c r="L59" s="153" t="s">
        <v>193</v>
      </c>
      <c r="M59" s="157" t="e">
        <f ca="1">E58</f>
        <v>#N/A</v>
      </c>
      <c r="N59" s="129">
        <f>K3*1000</f>
        <v>0</v>
      </c>
      <c r="O59" s="136" t="e">
        <f ca="1">-M59*N59</f>
        <v>#N/A</v>
      </c>
      <c r="P59" s="129" t="s">
        <v>194</v>
      </c>
      <c r="Q59" s="250" t="e">
        <f t="shared" ca="1" si="38"/>
        <v>#N/A</v>
      </c>
      <c r="R59" s="151" t="s">
        <v>183</v>
      </c>
      <c r="S59" s="129">
        <v>12</v>
      </c>
      <c r="T59" s="304" t="e">
        <f t="shared" ca="1" si="39"/>
        <v>#N/A</v>
      </c>
      <c r="U59" s="287" t="e">
        <f t="shared" ca="1" si="40"/>
        <v>#N/A</v>
      </c>
      <c r="V59" s="287" t="str">
        <f t="shared" si="41"/>
        <v/>
      </c>
    </row>
    <row r="60" spans="1:32" ht="15" customHeight="1">
      <c r="B60" s="160" t="s">
        <v>196</v>
      </c>
      <c r="C60" s="148" t="s">
        <v>197</v>
      </c>
      <c r="D60" s="149" t="s">
        <v>570</v>
      </c>
      <c r="E60" s="129">
        <v>0</v>
      </c>
      <c r="F60" s="150" t="s">
        <v>182</v>
      </c>
      <c r="G60" s="129">
        <f>N3*1000</f>
        <v>0</v>
      </c>
      <c r="H60" s="129">
        <v>2</v>
      </c>
      <c r="I60" s="152">
        <v>3</v>
      </c>
      <c r="J60" s="310">
        <f t="shared" ref="J60:J61" si="42">G60/(IF(H60="",1,H60)*SQRT(I60))</f>
        <v>0</v>
      </c>
      <c r="K60" s="151" t="s">
        <v>183</v>
      </c>
      <c r="L60" s="153" t="s">
        <v>198</v>
      </c>
      <c r="M60" s="129"/>
      <c r="N60" s="129"/>
      <c r="O60" s="136">
        <v>1</v>
      </c>
      <c r="P60" s="129"/>
      <c r="Q60" s="250">
        <f t="shared" si="38"/>
        <v>0</v>
      </c>
      <c r="R60" s="151" t="s">
        <v>184</v>
      </c>
      <c r="S60" s="129" t="s">
        <v>191</v>
      </c>
      <c r="T60" s="304">
        <f t="shared" si="39"/>
        <v>0</v>
      </c>
      <c r="U60" s="287">
        <f t="shared" si="40"/>
        <v>0</v>
      </c>
      <c r="V60" s="287" t="str">
        <f t="shared" si="41"/>
        <v/>
      </c>
    </row>
    <row r="61" spans="1:32" ht="15" customHeight="1">
      <c r="B61" s="160" t="s">
        <v>199</v>
      </c>
      <c r="C61" s="148" t="s">
        <v>370</v>
      </c>
      <c r="D61" s="149" t="s">
        <v>462</v>
      </c>
      <c r="E61" s="129">
        <v>0</v>
      </c>
      <c r="F61" s="150" t="s">
        <v>200</v>
      </c>
      <c r="G61" s="232">
        <f>(K3-(K3*COS(RADIANS(0.5))))*1000</f>
        <v>0</v>
      </c>
      <c r="H61" s="233">
        <v>1</v>
      </c>
      <c r="I61" s="152">
        <v>3</v>
      </c>
      <c r="J61" s="310">
        <f t="shared" si="42"/>
        <v>0</v>
      </c>
      <c r="K61" s="151" t="s">
        <v>183</v>
      </c>
      <c r="L61" s="153" t="s">
        <v>198</v>
      </c>
      <c r="M61" s="129"/>
      <c r="N61" s="129"/>
      <c r="O61" s="136">
        <v>1</v>
      </c>
      <c r="P61" s="129"/>
      <c r="Q61" s="250">
        <f t="shared" si="38"/>
        <v>0</v>
      </c>
      <c r="R61" s="151" t="s">
        <v>183</v>
      </c>
      <c r="S61" s="129" t="s">
        <v>189</v>
      </c>
      <c r="T61" s="304">
        <f t="shared" si="39"/>
        <v>0</v>
      </c>
      <c r="U61" s="287">
        <f t="shared" si="40"/>
        <v>0</v>
      </c>
      <c r="V61" s="287" t="str">
        <f t="shared" si="41"/>
        <v/>
      </c>
    </row>
    <row r="62" spans="1:32" ht="15" customHeight="1">
      <c r="B62" s="160" t="s">
        <v>201</v>
      </c>
      <c r="C62" s="148" t="s">
        <v>202</v>
      </c>
      <c r="D62" s="149" t="s">
        <v>371</v>
      </c>
      <c r="E62" s="162" t="e">
        <f ca="1">E54-E55-(E56*E57+E58*E59)*K3</f>
        <v>#N/A</v>
      </c>
      <c r="F62" s="150" t="s">
        <v>182</v>
      </c>
      <c r="G62" s="499"/>
      <c r="H62" s="500"/>
      <c r="I62" s="500"/>
      <c r="J62" s="500"/>
      <c r="K62" s="500"/>
      <c r="L62" s="500"/>
      <c r="M62" s="500"/>
      <c r="N62" s="500"/>
      <c r="O62" s="500"/>
      <c r="P62" s="501"/>
      <c r="Q62" s="251" t="e">
        <f ca="1">SQRT(SUMSQ(Q54:Q61))</f>
        <v>#N/A</v>
      </c>
      <c r="R62" s="151" t="s">
        <v>183</v>
      </c>
      <c r="S62" s="266" t="e">
        <f ca="1">IF(T62=0,"∞",ROUNDDOWN(Q62^4/T62,0))</f>
        <v>#N/A</v>
      </c>
      <c r="T62" s="314" t="e">
        <f ca="1">SUM(T54:T61)</f>
        <v>#N/A</v>
      </c>
      <c r="U62" s="291" t="e">
        <f ca="1">SQRT(SUMSQ(U54:U61))</f>
        <v>#N/A</v>
      </c>
      <c r="V62" s="291" t="e">
        <f ca="1">SQRT(SUMSQ(V54:V61))</f>
        <v>#N/A</v>
      </c>
    </row>
    <row r="63" spans="1:32" ht="15" customHeight="1">
      <c r="T63" s="131"/>
      <c r="U63" s="131"/>
    </row>
    <row r="64" spans="1:32" ht="15" customHeight="1">
      <c r="B64" s="161"/>
      <c r="C64" s="497" t="s">
        <v>206</v>
      </c>
      <c r="D64" s="502"/>
      <c r="E64" s="502"/>
      <c r="F64" s="502"/>
      <c r="G64" s="498"/>
      <c r="H64" s="303" t="s">
        <v>546</v>
      </c>
      <c r="I64" s="303" t="s">
        <v>76</v>
      </c>
      <c r="J64" s="497" t="s">
        <v>547</v>
      </c>
      <c r="K64" s="502"/>
      <c r="L64" s="502"/>
      <c r="M64" s="498"/>
      <c r="N64" s="303" t="s">
        <v>548</v>
      </c>
      <c r="O64" s="497" t="s">
        <v>549</v>
      </c>
      <c r="P64" s="502"/>
      <c r="Q64" s="498"/>
      <c r="R64" s="503" t="s">
        <v>550</v>
      </c>
      <c r="S64" s="497" t="s">
        <v>551</v>
      </c>
      <c r="T64" s="498"/>
      <c r="U64" s="127"/>
    </row>
    <row r="65" spans="2:21" ht="15" customHeight="1">
      <c r="B65" s="161"/>
      <c r="C65" s="161">
        <v>1</v>
      </c>
      <c r="D65" s="161">
        <v>2</v>
      </c>
      <c r="E65" s="161" t="s">
        <v>208</v>
      </c>
      <c r="F65" s="161" t="s">
        <v>209</v>
      </c>
      <c r="G65" s="161" t="s">
        <v>210</v>
      </c>
      <c r="H65" s="302" t="s">
        <v>555</v>
      </c>
      <c r="I65" s="302" t="s">
        <v>555</v>
      </c>
      <c r="J65" s="303" t="s">
        <v>556</v>
      </c>
      <c r="K65" s="303" t="s">
        <v>557</v>
      </c>
      <c r="L65" s="303" t="s">
        <v>558</v>
      </c>
      <c r="M65" s="303" t="s">
        <v>559</v>
      </c>
      <c r="N65" s="302"/>
      <c r="O65" s="303" t="s">
        <v>556</v>
      </c>
      <c r="P65" s="303" t="s">
        <v>557</v>
      </c>
      <c r="Q65" s="303" t="s">
        <v>560</v>
      </c>
      <c r="R65" s="504"/>
      <c r="S65" s="315" t="s">
        <v>574</v>
      </c>
      <c r="T65" s="315" t="s">
        <v>575</v>
      </c>
      <c r="U65" s="127"/>
    </row>
    <row r="66" spans="2:21" ht="15" customHeight="1">
      <c r="B66" s="161" t="s">
        <v>206</v>
      </c>
      <c r="C66" s="142" t="e">
        <f ca="1">E77*Q62</f>
        <v>#N/A</v>
      </c>
      <c r="D66" s="142"/>
      <c r="E66" s="142"/>
      <c r="F66" s="144" t="str">
        <f>R62</f>
        <v>μm</v>
      </c>
      <c r="G66" s="166" t="e">
        <f ca="1">C66/1000</f>
        <v>#N/A</v>
      </c>
      <c r="H66" s="166" t="e">
        <f ca="1">MAX(G66:G67)</f>
        <v>#N/A</v>
      </c>
      <c r="I66" s="216">
        <f>N3</f>
        <v>0</v>
      </c>
      <c r="J66" s="141" t="e">
        <f ca="1">IF(H66&lt;0.00001,6,IF(H66&lt;0.0001,5,IF(H66&lt;0.001,4,IF(H66&lt;0.01,3,IF(H66&lt;0.1,2,IF(H66&lt;1,1,IF(H66&lt;10,0,IF(H66&lt;100,-1,-2))))))))+K67</f>
        <v>#N/A</v>
      </c>
      <c r="K66" s="141" t="e">
        <f ca="1">J66+IF(AND(H65="μm",I65="mm"),3,0)</f>
        <v>#N/A</v>
      </c>
      <c r="L66" s="232">
        <f>IFERROR(LEN(I66)-FIND(".",I66),0)</f>
        <v>0</v>
      </c>
      <c r="M66" s="304" t="e">
        <f ca="1">IF(M67=TRUE,MIN(K66:L66),K66)</f>
        <v>#N/A</v>
      </c>
      <c r="N66" s="216" t="e">
        <f ca="1">ABS((H66-ROUND(H66,M66))/H66*100)</f>
        <v>#N/A</v>
      </c>
      <c r="O66" s="232" t="e">
        <f ca="1">OFFSET(P70,MATCH(J66,O71:O80,0),0)</f>
        <v>#N/A</v>
      </c>
      <c r="P66" s="232" t="e">
        <f ca="1">OFFSET(P70,MATCH(M66,O71:O80,0),0)</f>
        <v>#N/A</v>
      </c>
      <c r="Q66" s="232" t="str">
        <f ca="1">OFFSET(P70,MATCH(L66,O71:O80,0),0)</f>
        <v>0</v>
      </c>
      <c r="R66" s="145" t="e">
        <f ca="1">IF(H66=G66,0,1)</f>
        <v>#N/A</v>
      </c>
      <c r="S66" s="168" t="e">
        <f ca="1">TEXT(IF(N66&gt;5,ROUNDUP(H66,M66),ROUND(H66,M66)),P66)</f>
        <v>#N/A</v>
      </c>
      <c r="T66" s="168" t="e">
        <f ca="1">S66&amp;" "&amp;H65</f>
        <v>#N/A</v>
      </c>
      <c r="U66" s="127"/>
    </row>
    <row r="67" spans="2:21" ht="15" customHeight="1">
      <c r="B67" s="161" t="s">
        <v>211</v>
      </c>
      <c r="C67" s="143" t="e">
        <f ca="1">$O$3</f>
        <v>#N/A</v>
      </c>
      <c r="D67" s="144" t="e">
        <f ca="1">$P$3</f>
        <v>#N/A</v>
      </c>
      <c r="E67" s="144">
        <f>K3</f>
        <v>0</v>
      </c>
      <c r="F67" s="144" t="e">
        <f ca="1">$Q$3</f>
        <v>#N/A</v>
      </c>
      <c r="G67" s="167" t="e">
        <f ca="1">SQRT(SUMSQ(C67,D67*E67))/1000</f>
        <v>#N/A</v>
      </c>
      <c r="J67" s="303" t="s">
        <v>552</v>
      </c>
      <c r="K67" s="232">
        <f>IF(O67=TRUE,1,기본정보!$A$47)</f>
        <v>1</v>
      </c>
      <c r="L67" s="303" t="s">
        <v>553</v>
      </c>
      <c r="M67" s="232" t="b">
        <f>IF(O67=TRUE,FALSE,기본정보!$A$52)</f>
        <v>0</v>
      </c>
      <c r="N67" s="303" t="s">
        <v>554</v>
      </c>
      <c r="O67" s="232" t="b">
        <f>기본정보!$A$46=0</f>
        <v>1</v>
      </c>
      <c r="P67" s="131"/>
      <c r="Q67" s="127"/>
      <c r="R67" s="127"/>
      <c r="S67" s="127"/>
      <c r="T67" s="127"/>
      <c r="U67" s="127"/>
    </row>
    <row r="68" spans="2:21" ht="15" customHeight="1">
      <c r="B68" s="128"/>
      <c r="C68" s="128"/>
      <c r="D68" s="128"/>
      <c r="O68" s="131"/>
      <c r="P68" s="131"/>
      <c r="Q68" s="127"/>
      <c r="R68" s="127"/>
      <c r="S68" s="127"/>
      <c r="T68" s="127"/>
      <c r="U68" s="127"/>
    </row>
    <row r="69" spans="2:21" ht="15" customHeight="1">
      <c r="B69" s="147" t="s">
        <v>203</v>
      </c>
      <c r="C69" s="128"/>
      <c r="D69" s="128"/>
      <c r="I69" s="148" t="s">
        <v>53</v>
      </c>
      <c r="J69" s="148" t="s">
        <v>207</v>
      </c>
      <c r="O69" s="158" t="s">
        <v>213</v>
      </c>
      <c r="P69" s="158" t="s">
        <v>212</v>
      </c>
      <c r="Q69" s="127"/>
      <c r="R69" s="127"/>
      <c r="S69" s="127"/>
      <c r="T69" s="127"/>
      <c r="U69" s="127"/>
    </row>
    <row r="70" spans="2:21" ht="15" customHeight="1">
      <c r="B70" s="513" t="s">
        <v>562</v>
      </c>
      <c r="C70" s="514"/>
      <c r="D70" s="503" t="s">
        <v>568</v>
      </c>
      <c r="E70" s="313" t="s">
        <v>566</v>
      </c>
      <c r="F70" s="313" t="s">
        <v>567</v>
      </c>
      <c r="G70" s="313" t="s">
        <v>569</v>
      </c>
      <c r="I70" s="148"/>
      <c r="J70" s="148">
        <v>95.45</v>
      </c>
      <c r="O70" s="159" t="s">
        <v>215</v>
      </c>
      <c r="P70" s="159" t="s">
        <v>214</v>
      </c>
      <c r="Q70" s="127"/>
      <c r="R70" s="127"/>
      <c r="S70" s="127"/>
      <c r="T70" s="127"/>
      <c r="U70" s="127"/>
    </row>
    <row r="71" spans="2:21" ht="15" customHeight="1">
      <c r="B71" s="305" t="s">
        <v>404</v>
      </c>
      <c r="C71" s="307" t="s">
        <v>563</v>
      </c>
      <c r="D71" s="515"/>
      <c r="E71" s="312" t="e">
        <f ca="1">U62</f>
        <v>#N/A</v>
      </c>
      <c r="F71" s="312" t="e">
        <f ca="1">V62</f>
        <v>#N/A</v>
      </c>
      <c r="G71" s="290" t="e">
        <f ca="1">F71/E71</f>
        <v>#N/A</v>
      </c>
      <c r="I71" s="129">
        <v>1</v>
      </c>
      <c r="J71" s="129">
        <v>13.97</v>
      </c>
      <c r="O71" s="139">
        <v>0</v>
      </c>
      <c r="P71" s="140" t="s">
        <v>216</v>
      </c>
      <c r="Q71" s="127"/>
      <c r="R71" s="127"/>
      <c r="S71" s="127"/>
      <c r="T71" s="127"/>
      <c r="U71" s="127"/>
    </row>
    <row r="72" spans="2:21" ht="15" customHeight="1">
      <c r="B72" s="232">
        <v>1</v>
      </c>
      <c r="C72" s="287">
        <f ca="1">IFERROR(LARGE(U54:U61,B72),0)</f>
        <v>0</v>
      </c>
      <c r="D72" s="285" t="s">
        <v>524</v>
      </c>
      <c r="E72" s="520" t="e">
        <f ca="1">SQRT(SUMSQ(C74:C79,V54:V61))</f>
        <v>#N/A</v>
      </c>
      <c r="F72" s="520"/>
      <c r="G72" s="521" t="e">
        <f ca="1">E72/SQRT(SUMSQ(E73,F73))</f>
        <v>#N/A</v>
      </c>
      <c r="I72" s="129">
        <v>2</v>
      </c>
      <c r="J72" s="129">
        <v>4.53</v>
      </c>
      <c r="K72" s="130"/>
      <c r="L72" s="130"/>
      <c r="O72" s="139">
        <v>1</v>
      </c>
      <c r="P72" s="140" t="s">
        <v>217</v>
      </c>
      <c r="Q72" s="127"/>
      <c r="R72" s="127"/>
      <c r="S72" s="127"/>
      <c r="T72" s="127"/>
      <c r="U72" s="127"/>
    </row>
    <row r="73" spans="2:21" ht="15" customHeight="1">
      <c r="B73" s="232">
        <v>2</v>
      </c>
      <c r="C73" s="287">
        <f ca="1">IFERROR(LARGE(U54:U61,B73),0)</f>
        <v>0</v>
      </c>
      <c r="D73" s="285" t="s">
        <v>382</v>
      </c>
      <c r="E73" s="306">
        <f ca="1">C72</f>
        <v>0</v>
      </c>
      <c r="F73" s="306">
        <f ca="1">C73</f>
        <v>0</v>
      </c>
      <c r="G73" s="522"/>
      <c r="I73" s="129">
        <v>3</v>
      </c>
      <c r="J73" s="129">
        <v>3.31</v>
      </c>
      <c r="K73" s="130"/>
      <c r="L73" s="130"/>
      <c r="O73" s="139">
        <v>2</v>
      </c>
      <c r="P73" s="140" t="s">
        <v>218</v>
      </c>
      <c r="Q73" s="127"/>
      <c r="R73" s="127"/>
      <c r="S73" s="127"/>
      <c r="T73" s="127"/>
      <c r="U73" s="127"/>
    </row>
    <row r="74" spans="2:21" ht="15" customHeight="1">
      <c r="B74" s="232">
        <v>3</v>
      </c>
      <c r="C74" s="308">
        <f ca="1">IFERROR(LARGE(U54:U61,B74),0)</f>
        <v>0</v>
      </c>
      <c r="D74" s="516" t="s">
        <v>204</v>
      </c>
      <c r="E74" s="230" t="s">
        <v>394</v>
      </c>
      <c r="F74" s="230" t="s">
        <v>564</v>
      </c>
      <c r="G74" s="230" t="s">
        <v>393</v>
      </c>
      <c r="I74" s="129">
        <v>4</v>
      </c>
      <c r="J74" s="129">
        <v>2.87</v>
      </c>
      <c r="K74" s="130"/>
      <c r="L74" s="130"/>
      <c r="O74" s="139">
        <v>3</v>
      </c>
      <c r="P74" s="140" t="s">
        <v>219</v>
      </c>
      <c r="Q74" s="127"/>
      <c r="R74" s="127"/>
      <c r="S74" s="127"/>
      <c r="T74" s="127"/>
      <c r="U74" s="127"/>
    </row>
    <row r="75" spans="2:21" ht="15" customHeight="1">
      <c r="B75" s="232">
        <v>4</v>
      </c>
      <c r="C75" s="308">
        <f ca="1">IFERROR(LARGE(U54:U61,B75),0)</f>
        <v>0</v>
      </c>
      <c r="D75" s="504"/>
      <c r="E75" s="232">
        <f ca="1">OFFSET(G53,MATCH(E73,U54:U61,0),0)/IF(OFFSET(H53,MATCH(E73,U54:U61,0),0)="",1,OFFSET(H53,MATCH(E73,U54:U61,0),0))</f>
        <v>0</v>
      </c>
      <c r="F75" s="232">
        <f ca="1">OFFSET(G53,MATCH(F73,U54:U61,0),0)/IF(OFFSET(H53,MATCH(F73,U54:U61,0),0)="",1,OFFSET(H53,MATCH(F73,U54:U61,0),0))</f>
        <v>0</v>
      </c>
      <c r="G75" s="231" t="e">
        <f ca="1">ABS(E75-F75)/(E75+F75)</f>
        <v>#DIV/0!</v>
      </c>
      <c r="I75" s="129">
        <v>5</v>
      </c>
      <c r="J75" s="129">
        <v>2.65</v>
      </c>
      <c r="O75" s="139">
        <v>4</v>
      </c>
      <c r="P75" s="140" t="s">
        <v>220</v>
      </c>
      <c r="Q75" s="127"/>
      <c r="R75" s="127"/>
      <c r="S75" s="127"/>
      <c r="T75" s="127"/>
      <c r="U75" s="127"/>
    </row>
    <row r="76" spans="2:21" ht="15" customHeight="1">
      <c r="B76" s="232">
        <v>5</v>
      </c>
      <c r="C76" s="308">
        <f ca="1">IFERROR(LARGE(U54:U61,B76),0)</f>
        <v>0</v>
      </c>
      <c r="D76" s="160" t="s">
        <v>174</v>
      </c>
      <c r="E76" s="214" t="e">
        <f ca="1">IF(AND(G71&lt;0.3,G72&lt;0.3),"사다리꼴","정규")</f>
        <v>#N/A</v>
      </c>
      <c r="I76" s="129">
        <v>6</v>
      </c>
      <c r="J76" s="129">
        <v>2.52</v>
      </c>
      <c r="O76" s="139">
        <v>5</v>
      </c>
      <c r="P76" s="140" t="s">
        <v>221</v>
      </c>
      <c r="Q76" s="127"/>
      <c r="R76" s="127"/>
      <c r="S76" s="127"/>
      <c r="T76" s="127"/>
      <c r="U76" s="127"/>
    </row>
    <row r="77" spans="2:21" ht="15" customHeight="1">
      <c r="B77" s="232">
        <v>6</v>
      </c>
      <c r="C77" s="308">
        <f ca="1">IFERROR(LARGE(U54:U61,B77),0)</f>
        <v>0</v>
      </c>
      <c r="D77" s="160" t="s">
        <v>205</v>
      </c>
      <c r="E77" s="232" t="e">
        <f ca="1">IF(E76="정규",IF(OR(S62="∞",S62&gt;=10),2,OFFSET(J70,MATCH(S62,I71:I80,0),0)),ROUND((1-SQRT((1-0.95)*(1-G75^2)))/SQRT((1+G75^2)/6),2))</f>
        <v>#N/A</v>
      </c>
      <c r="I77" s="129">
        <v>7</v>
      </c>
      <c r="J77" s="129">
        <v>2.4300000000000002</v>
      </c>
      <c r="O77" s="139">
        <v>6</v>
      </c>
      <c r="P77" s="140" t="s">
        <v>222</v>
      </c>
      <c r="Q77" s="127"/>
      <c r="R77" s="127"/>
      <c r="S77" s="127"/>
      <c r="T77" s="127"/>
      <c r="U77" s="127"/>
    </row>
    <row r="78" spans="2:21" ht="15" customHeight="1">
      <c r="B78" s="232">
        <v>7</v>
      </c>
      <c r="C78" s="308">
        <f ca="1">IFERROR(LARGE(U54:U61,B78),0)</f>
        <v>0</v>
      </c>
      <c r="D78" s="128"/>
      <c r="I78" s="129">
        <v>8</v>
      </c>
      <c r="J78" s="129">
        <v>2.37</v>
      </c>
      <c r="O78" s="139">
        <v>7</v>
      </c>
      <c r="P78" s="140" t="s">
        <v>223</v>
      </c>
      <c r="Q78" s="127"/>
      <c r="R78" s="127"/>
      <c r="S78" s="127"/>
      <c r="T78" s="127"/>
      <c r="U78" s="127"/>
    </row>
    <row r="79" spans="2:21" ht="15" customHeight="1">
      <c r="B79" s="232">
        <v>8</v>
      </c>
      <c r="C79" s="308">
        <f ca="1">IFERROR(LARGE(U54:U61,B79),0)</f>
        <v>0</v>
      </c>
      <c r="D79" s="128"/>
      <c r="I79" s="129">
        <v>9</v>
      </c>
      <c r="J79" s="129">
        <v>2.3199999999999998</v>
      </c>
      <c r="O79" s="139">
        <v>8</v>
      </c>
      <c r="P79" s="140" t="s">
        <v>224</v>
      </c>
      <c r="Q79" s="127"/>
      <c r="R79" s="127"/>
      <c r="S79" s="127"/>
      <c r="T79" s="127"/>
      <c r="U79" s="127"/>
    </row>
    <row r="80" spans="2:21" ht="15" customHeight="1">
      <c r="B80" s="128"/>
      <c r="C80" s="128"/>
      <c r="D80" s="128"/>
      <c r="I80" s="129" t="s">
        <v>54</v>
      </c>
      <c r="J80" s="129">
        <v>2</v>
      </c>
      <c r="O80" s="139">
        <v>9</v>
      </c>
      <c r="P80" s="140" t="s">
        <v>225</v>
      </c>
      <c r="Q80" s="127"/>
      <c r="R80" s="127"/>
      <c r="S80" s="127"/>
      <c r="T80" s="127"/>
      <c r="U80" s="127"/>
    </row>
    <row r="81" spans="2:29" ht="15" customHeight="1">
      <c r="B81" s="128"/>
      <c r="C81" s="128"/>
      <c r="D81" s="126"/>
      <c r="E81" s="127"/>
      <c r="Q81" s="127"/>
      <c r="R81" s="127"/>
      <c r="S81" s="127"/>
      <c r="T81" s="127"/>
      <c r="U81" s="127"/>
    </row>
    <row r="82" spans="2:29" ht="18" customHeight="1">
      <c r="B82" s="205" t="s">
        <v>373</v>
      </c>
      <c r="C82" s="206"/>
      <c r="D82" s="206"/>
      <c r="E82" s="206"/>
      <c r="F82" s="206"/>
      <c r="G82" s="206"/>
      <c r="H82" s="206"/>
      <c r="I82" s="206"/>
      <c r="J82" s="206"/>
      <c r="K82" s="206"/>
      <c r="L82" s="206"/>
      <c r="M82" s="206"/>
      <c r="N82" s="206"/>
      <c r="O82" s="206"/>
      <c r="P82" s="206"/>
      <c r="Q82" s="206"/>
      <c r="R82" s="206"/>
      <c r="Z82" s="128"/>
      <c r="AA82" s="128"/>
      <c r="AB82" s="128"/>
      <c r="AC82" s="128"/>
    </row>
    <row r="83" spans="2:29" ht="18" customHeight="1">
      <c r="B83" s="206"/>
      <c r="C83" s="511" t="s">
        <v>374</v>
      </c>
      <c r="D83" s="512"/>
      <c r="E83" s="122" t="s">
        <v>375</v>
      </c>
      <c r="F83" s="122" t="s">
        <v>376</v>
      </c>
      <c r="G83" s="122" t="s">
        <v>377</v>
      </c>
      <c r="H83" s="206"/>
      <c r="I83" s="122" t="s">
        <v>432</v>
      </c>
      <c r="J83" s="122" t="s">
        <v>433</v>
      </c>
      <c r="K83" s="122" t="s">
        <v>434</v>
      </c>
      <c r="L83" s="122"/>
      <c r="M83" s="219" t="s">
        <v>378</v>
      </c>
      <c r="N83" s="122" t="s">
        <v>376</v>
      </c>
      <c r="O83" s="219" t="s">
        <v>377</v>
      </c>
      <c r="P83" s="122"/>
      <c r="Q83" s="122" t="s">
        <v>379</v>
      </c>
      <c r="R83" s="122" t="s">
        <v>380</v>
      </c>
      <c r="Z83" s="128"/>
      <c r="AA83" s="128"/>
      <c r="AB83" s="128"/>
      <c r="AC83" s="128"/>
    </row>
    <row r="84" spans="2:29" ht="18" customHeight="1">
      <c r="B84" s="206"/>
      <c r="C84" s="207">
        <v>1</v>
      </c>
      <c r="D84" s="208" t="s">
        <v>428</v>
      </c>
      <c r="E84" s="219"/>
      <c r="F84" s="220">
        <v>22000</v>
      </c>
      <c r="G84" s="491" t="s">
        <v>431</v>
      </c>
      <c r="H84" s="206"/>
      <c r="I84" s="122">
        <f>K3</f>
        <v>0</v>
      </c>
      <c r="J84" s="221">
        <f ca="1">OFFSET(F84,COUNTIF(C84:C90,"&lt;"&amp;I84),0)</f>
        <v>22000</v>
      </c>
      <c r="K84" s="122">
        <f>MAX(I84-10,0)</f>
        <v>0</v>
      </c>
      <c r="L84" s="122">
        <f>ROUNDDOWN(K84/10,0)</f>
        <v>0</v>
      </c>
      <c r="M84" s="122" t="b">
        <f>H3="inch"</f>
        <v>0</v>
      </c>
      <c r="N84" s="220">
        <f ca="1">J84*IF(M84=TRUE,1.8,1)</f>
        <v>22000</v>
      </c>
      <c r="O84" s="222">
        <f ca="1">N84*(L84*20%)</f>
        <v>0</v>
      </c>
      <c r="P84" s="223"/>
      <c r="Q84" s="223">
        <f ca="1">SUM(N84:P84)</f>
        <v>22000</v>
      </c>
      <c r="R84" s="494">
        <f ca="1">SUM(Q84:Q86)</f>
        <v>22000</v>
      </c>
      <c r="Z84" s="128"/>
      <c r="AA84" s="128"/>
      <c r="AB84" s="128"/>
      <c r="AC84" s="128"/>
    </row>
    <row r="85" spans="2:29" ht="18" customHeight="1">
      <c r="B85" s="206"/>
      <c r="C85" s="207">
        <v>2</v>
      </c>
      <c r="D85" s="208" t="s">
        <v>429</v>
      </c>
      <c r="E85" s="219"/>
      <c r="F85" s="220">
        <v>25700</v>
      </c>
      <c r="G85" s="492"/>
      <c r="H85" s="206"/>
      <c r="I85" s="122"/>
      <c r="J85" s="221"/>
      <c r="K85" s="122"/>
      <c r="L85" s="122"/>
      <c r="M85" s="122"/>
      <c r="N85" s="220"/>
      <c r="O85" s="222"/>
      <c r="P85" s="223"/>
      <c r="Q85" s="223"/>
      <c r="R85" s="495"/>
      <c r="Z85" s="128"/>
      <c r="AA85" s="128"/>
      <c r="AB85" s="128"/>
      <c r="AC85" s="128"/>
    </row>
    <row r="86" spans="2:29" ht="18" customHeight="1">
      <c r="B86" s="206"/>
      <c r="C86" s="207">
        <v>5</v>
      </c>
      <c r="D86" s="208" t="s">
        <v>430</v>
      </c>
      <c r="E86" s="219"/>
      <c r="F86" s="220">
        <v>28200</v>
      </c>
      <c r="G86" s="492"/>
      <c r="H86" s="206"/>
      <c r="I86" s="122"/>
      <c r="J86" s="122"/>
      <c r="K86" s="122"/>
      <c r="L86" s="122"/>
      <c r="M86" s="122"/>
      <c r="N86" s="220"/>
      <c r="O86" s="224"/>
      <c r="P86" s="223"/>
      <c r="Q86" s="223"/>
      <c r="R86" s="496"/>
      <c r="Z86" s="128"/>
      <c r="AA86" s="128"/>
      <c r="AB86" s="128"/>
      <c r="AC86" s="128"/>
    </row>
    <row r="87" spans="2:29" ht="18" customHeight="1">
      <c r="B87" s="206"/>
      <c r="C87" s="207">
        <v>10</v>
      </c>
      <c r="D87" s="208" t="s">
        <v>430</v>
      </c>
      <c r="E87" s="219"/>
      <c r="F87" s="220">
        <v>30700</v>
      </c>
      <c r="G87" s="492"/>
      <c r="H87" s="206"/>
      <c r="I87" s="206"/>
      <c r="J87" s="206"/>
      <c r="K87" s="206"/>
      <c r="L87" s="206"/>
      <c r="M87" s="206"/>
      <c r="N87" s="206"/>
      <c r="O87" s="209"/>
      <c r="P87" s="206"/>
      <c r="Q87" s="206"/>
      <c r="R87" s="206"/>
      <c r="Z87" s="128"/>
      <c r="AA87" s="128"/>
      <c r="AB87" s="128"/>
      <c r="AC87" s="128"/>
    </row>
    <row r="88" spans="2:29" ht="18" customHeight="1">
      <c r="B88" s="206"/>
      <c r="C88" s="207"/>
      <c r="D88" s="208"/>
      <c r="E88" s="219"/>
      <c r="F88" s="220">
        <v>30700</v>
      </c>
      <c r="G88" s="492"/>
      <c r="H88" s="206"/>
      <c r="I88" s="210" t="s">
        <v>381</v>
      </c>
      <c r="J88" s="206"/>
      <c r="K88" s="206"/>
      <c r="L88" s="206"/>
      <c r="M88" s="206"/>
      <c r="N88" s="206"/>
      <c r="O88" s="206"/>
      <c r="P88" s="206"/>
      <c r="Q88" s="206"/>
      <c r="R88" s="206"/>
      <c r="Z88" s="128"/>
      <c r="AA88" s="128"/>
      <c r="AB88" s="128"/>
      <c r="AC88" s="128"/>
    </row>
    <row r="89" spans="2:29" ht="18" customHeight="1">
      <c r="B89" s="206"/>
      <c r="C89" s="207"/>
      <c r="D89" s="208"/>
      <c r="E89" s="219"/>
      <c r="F89" s="220"/>
      <c r="G89" s="492"/>
      <c r="H89" s="206"/>
      <c r="I89" s="211"/>
      <c r="M89" s="206"/>
      <c r="N89" s="206"/>
      <c r="O89" s="206"/>
      <c r="P89" s="206"/>
      <c r="Q89" s="206"/>
      <c r="R89" s="206"/>
      <c r="Z89" s="128"/>
      <c r="AA89" s="128"/>
      <c r="AB89" s="128"/>
      <c r="AC89" s="128"/>
    </row>
    <row r="90" spans="2:29" ht="18" customHeight="1">
      <c r="B90" s="206"/>
      <c r="C90" s="207"/>
      <c r="D90" s="212"/>
      <c r="E90" s="122"/>
      <c r="F90" s="122"/>
      <c r="G90" s="493"/>
      <c r="H90" s="206"/>
      <c r="I90" s="211"/>
      <c r="M90" s="206"/>
      <c r="N90" s="206"/>
      <c r="O90" s="206"/>
      <c r="P90" s="206"/>
      <c r="Q90" s="206"/>
      <c r="R90" s="206"/>
      <c r="Z90" s="128"/>
      <c r="AA90" s="128"/>
      <c r="AB90" s="128"/>
      <c r="AC90" s="128"/>
    </row>
    <row r="91" spans="2:29" ht="18" customHeight="1">
      <c r="B91" s="73"/>
      <c r="C91" s="73"/>
      <c r="D91" s="73"/>
      <c r="E91" s="73"/>
      <c r="F91" s="73"/>
      <c r="G91" s="73"/>
      <c r="H91" s="73"/>
      <c r="M91" s="73"/>
      <c r="N91" s="73"/>
      <c r="O91" s="73"/>
      <c r="P91" s="206"/>
      <c r="Q91" s="206"/>
      <c r="R91" s="206"/>
      <c r="Z91" s="128"/>
      <c r="AA91" s="128"/>
      <c r="AB91" s="128"/>
      <c r="AC91" s="128"/>
    </row>
    <row r="92" spans="2:29" ht="18" customHeight="1">
      <c r="B92" s="128"/>
      <c r="C92" s="128"/>
      <c r="D92" s="128"/>
      <c r="I92" s="211"/>
      <c r="J92" s="206"/>
      <c r="K92" s="206"/>
      <c r="L92" s="206"/>
      <c r="P92" s="127"/>
      <c r="Q92" s="127"/>
      <c r="R92" s="127"/>
      <c r="Z92" s="128"/>
      <c r="AA92" s="128"/>
      <c r="AB92" s="128"/>
      <c r="AC92" s="128"/>
    </row>
    <row r="93" spans="2:29" ht="18" customHeight="1">
      <c r="B93" s="128"/>
      <c r="C93" s="128"/>
      <c r="D93" s="128"/>
      <c r="I93" s="211"/>
      <c r="J93" s="206"/>
      <c r="K93" s="206"/>
      <c r="L93" s="206"/>
      <c r="P93" s="127"/>
      <c r="Q93" s="127"/>
      <c r="R93" s="127"/>
      <c r="Z93" s="128"/>
      <c r="AA93" s="128"/>
      <c r="AB93" s="128"/>
      <c r="AC93" s="128"/>
    </row>
    <row r="94" spans="2:29" ht="18" customHeight="1">
      <c r="B94" s="128"/>
      <c r="C94" s="128"/>
      <c r="D94" s="128"/>
      <c r="J94" s="73"/>
      <c r="K94" s="73"/>
      <c r="L94" s="73"/>
      <c r="P94" s="127"/>
      <c r="Q94" s="127"/>
      <c r="R94" s="127"/>
      <c r="Z94" s="128"/>
      <c r="AA94" s="128"/>
      <c r="AB94" s="128"/>
      <c r="AC94" s="128"/>
    </row>
    <row r="95" spans="2:29" ht="18" customHeight="1">
      <c r="B95" s="128"/>
      <c r="C95" s="128"/>
      <c r="D95" s="128"/>
      <c r="I95" s="211"/>
      <c r="J95" s="131"/>
      <c r="K95" s="131"/>
      <c r="P95" s="127"/>
      <c r="Q95" s="127"/>
      <c r="R95" s="127"/>
      <c r="Z95" s="128"/>
      <c r="AA95" s="128"/>
      <c r="AB95" s="128"/>
      <c r="AC95" s="128"/>
    </row>
    <row r="96" spans="2:29" ht="18" customHeight="1">
      <c r="B96" s="128"/>
      <c r="C96" s="128"/>
      <c r="D96" s="128"/>
      <c r="I96" s="211"/>
      <c r="J96" s="131"/>
      <c r="K96" s="131"/>
      <c r="P96" s="127"/>
      <c r="Q96" s="127"/>
      <c r="R96" s="127"/>
      <c r="V96" s="128"/>
      <c r="W96" s="128"/>
      <c r="X96" s="128"/>
      <c r="Y96" s="128"/>
      <c r="Z96" s="128"/>
      <c r="AA96" s="128"/>
      <c r="AB96" s="128"/>
      <c r="AC96" s="128"/>
    </row>
    <row r="97" spans="2:29" ht="18" customHeight="1">
      <c r="B97" s="128"/>
      <c r="C97" s="128"/>
      <c r="D97" s="128"/>
      <c r="J97" s="131"/>
      <c r="K97" s="131"/>
      <c r="P97" s="127"/>
      <c r="Q97" s="127"/>
      <c r="R97" s="127"/>
      <c r="V97" s="128"/>
      <c r="W97" s="128"/>
      <c r="X97" s="128"/>
      <c r="Y97" s="128"/>
      <c r="Z97" s="128"/>
      <c r="AA97" s="128"/>
      <c r="AB97" s="128"/>
      <c r="AC97" s="128"/>
    </row>
    <row r="98" spans="2:29" ht="18" customHeight="1">
      <c r="B98" s="128"/>
      <c r="C98" s="128"/>
      <c r="D98" s="128"/>
      <c r="P98" s="127"/>
      <c r="Q98" s="127"/>
      <c r="R98" s="127"/>
    </row>
  </sheetData>
  <mergeCells count="37">
    <mergeCell ref="AA6:AF6"/>
    <mergeCell ref="Y6:Z6"/>
    <mergeCell ref="D74:D75"/>
    <mergeCell ref="E72:F72"/>
    <mergeCell ref="G72:G73"/>
    <mergeCell ref="C64:G64"/>
    <mergeCell ref="O53:P53"/>
    <mergeCell ref="Q53:R53"/>
    <mergeCell ref="N6:P6"/>
    <mergeCell ref="K6:K7"/>
    <mergeCell ref="U52:V52"/>
    <mergeCell ref="B6:B8"/>
    <mergeCell ref="C6:C8"/>
    <mergeCell ref="D6:D8"/>
    <mergeCell ref="E6:J6"/>
    <mergeCell ref="C83:D83"/>
    <mergeCell ref="B70:C70"/>
    <mergeCell ref="D70:D71"/>
    <mergeCell ref="B52:B53"/>
    <mergeCell ref="C52:C53"/>
    <mergeCell ref="D52:D53"/>
    <mergeCell ref="E52:E53"/>
    <mergeCell ref="F52:F53"/>
    <mergeCell ref="G84:G90"/>
    <mergeCell ref="R84:R86"/>
    <mergeCell ref="V6:W6"/>
    <mergeCell ref="G62:P62"/>
    <mergeCell ref="G52:K52"/>
    <mergeCell ref="M52:P52"/>
    <mergeCell ref="Q52:R52"/>
    <mergeCell ref="J53:K53"/>
    <mergeCell ref="M53:N53"/>
    <mergeCell ref="J64:M64"/>
    <mergeCell ref="O64:Q64"/>
    <mergeCell ref="R64:R65"/>
    <mergeCell ref="T52:T53"/>
    <mergeCell ref="S64:T64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17</vt:i4>
      </vt:variant>
    </vt:vector>
  </HeadingPairs>
  <TitlesOfParts>
    <vt:vector size="28" baseType="lpstr">
      <vt:lpstr>기본정보</vt:lpstr>
      <vt:lpstr>교정결과</vt:lpstr>
      <vt:lpstr>교정결과-E</vt:lpstr>
      <vt:lpstr>교정결과-HY</vt:lpstr>
      <vt:lpstr>판정결과</vt:lpstr>
      <vt:lpstr>부록</vt:lpstr>
      <vt:lpstr>RAWDATA</vt:lpstr>
      <vt:lpstr>측정불확도추정보고서</vt:lpstr>
      <vt:lpstr>Calcu</vt:lpstr>
      <vt:lpstr>STD_Data</vt:lpstr>
      <vt:lpstr>Length_1</vt:lpstr>
      <vt:lpstr>'교정결과-E'!B_Tag</vt:lpstr>
      <vt:lpstr>'교정결과-HY'!B_Tag</vt:lpstr>
      <vt:lpstr>B_Tag</vt:lpstr>
      <vt:lpstr>판정결과!B_Tag_2</vt:lpstr>
      <vt:lpstr>부록!B_Tag_3</vt:lpstr>
      <vt:lpstr>Length_1_CMC</vt:lpstr>
      <vt:lpstr>Length_1_Condition</vt:lpstr>
      <vt:lpstr>Length_1_Resolution</vt:lpstr>
      <vt:lpstr>Length_1_Result</vt:lpstr>
      <vt:lpstr>Length_1_Spec</vt:lpstr>
      <vt:lpstr>Length_1_STD1</vt:lpstr>
      <vt:lpstr>기본정보!Print_Area</vt:lpstr>
      <vt:lpstr>교정결과!Print_Titles</vt:lpstr>
      <vt:lpstr>'교정결과-E'!Print_Titles</vt:lpstr>
      <vt:lpstr>'교정결과-HY'!Print_Titles</vt:lpstr>
      <vt:lpstr>부록!Print_Titles</vt:lpstr>
      <vt:lpstr>판정결과!Print_Titles</vt:lpstr>
    </vt:vector>
  </TitlesOfParts>
  <Company>HCT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노트북-5</dc:creator>
  <cp:lastModifiedBy>Jey Jey</cp:lastModifiedBy>
  <cp:lastPrinted>2020-11-02T06:59:07Z</cp:lastPrinted>
  <dcterms:created xsi:type="dcterms:W3CDTF">2004-11-10T00:11:43Z</dcterms:created>
  <dcterms:modified xsi:type="dcterms:W3CDTF">2021-07-23T06:27:10Z</dcterms:modified>
</cp:coreProperties>
</file>